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19428" windowHeight="9156" tabRatio="937" firstSheet="4" activeTab="8"/>
  </bookViews>
  <sheets>
    <sheet name="0000000000000" sheetId="4" state="veryHidden" r:id="rId1"/>
    <sheet name="1000000000000" sheetId="5" state="veryHidden" r:id="rId2"/>
    <sheet name="VUP Data" sheetId="127" state="hidden" r:id="rId3"/>
    <sheet name="temp-calculations" sheetId="179" state="hidden" r:id="rId4"/>
    <sheet name="Input Data" sheetId="107" r:id="rId5"/>
    <sheet name="Cover Page" sheetId="198" r:id="rId6"/>
    <sheet name="Inspection Report" sheetId="200" r:id="rId7"/>
    <sheet name="Note File" sheetId="174" state="hidden" r:id="rId8"/>
    <sheet name="GA" sheetId="133" r:id="rId9"/>
    <sheet name="ESAL-result" sheetId="191" r:id="rId10"/>
    <sheet name="TRAFF-Count-ESAL-Cal" sheetId="175" r:id="rId11"/>
    <sheet name="SPR" sheetId="185" r:id="rId12"/>
    <sheet name="Key Map" sheetId="201" r:id="rId13"/>
    <sheet name="Road Estimate" sheetId="164" r:id="rId14"/>
    <sheet name="ESAL-calculation " sheetId="197" state="hidden" r:id="rId15"/>
    <sheet name="ESAL-Data" sheetId="193" state="hidden" r:id="rId16"/>
    <sheet name="Cover" sheetId="128" state="hidden" r:id="rId17"/>
    <sheet name="google-map" sheetId="178" state="hidden" r:id="rId18"/>
    <sheet name="Road-furniture " sheetId="171" r:id="rId19"/>
    <sheet name="RSI-Estt" sheetId="203" r:id="rId20"/>
    <sheet name="Road data" sheetId="94" r:id="rId21"/>
    <sheet name="Road Furniture-Data" sheetId="150" r:id="rId22"/>
    <sheet name="CD Abs" sheetId="189" state="hidden" r:id="rId23"/>
    <sheet name="Mtc-Abs" sheetId="139" state="hidden" r:id="rId24"/>
    <sheet name="MTS Esti" sheetId="140" state="hidden" r:id="rId25"/>
    <sheet name="Mtc-data" sheetId="141" state="hidden" r:id="rId26"/>
    <sheet name="Slab Culvert 2V 6m x 2m spa" sheetId="187" state="hidden" r:id="rId27"/>
    <sheet name="3V 1m dia Pipe Culverts" sheetId="204" state="hidden" r:id="rId28"/>
    <sheet name="Ret wall" sheetId="169" state="hidden" r:id="rId29"/>
    <sheet name="Slab-Culverts Data" sheetId="119" state="hidden" r:id="rId30"/>
    <sheet name="Seigneorage" sheetId="190" r:id="rId31"/>
    <sheet name="Schedule-A" sheetId="162" state="hidden" r:id="rId32"/>
    <sheet name="Schedule-A (Part-B)" sheetId="163" state="hidden" r:id="rId33"/>
    <sheet name="lead" sheetId="7" r:id="rId34"/>
    <sheet name="LS_2LS" sheetId="195" state="hidden" r:id="rId35"/>
    <sheet name="1V 1m dia Pipe Culverts" sheetId="199" state="hidden" r:id="rId36"/>
    <sheet name="Road dam 30m" sheetId="168" state="hidden" r:id="rId37"/>
    <sheet name="Slab Culvert 1V 5m x 2m span" sheetId="167" state="hidden" r:id="rId38"/>
    <sheet name="Road-Marks" sheetId="132" state="hidden" r:id="rId39"/>
    <sheet name="TENDER-NF" sheetId="182" state="hidden" r:id="rId40"/>
    <sheet name="Slab Culvert 1V 6m x 2m spa" sheetId="186" state="hidden" r:id="rId41"/>
    <sheet name="2V 1m dia Pipe Culverts" sheetId="165" state="hidden" r:id="rId42"/>
    <sheet name="Drain " sheetId="170" state="hidden" r:id="rId43"/>
    <sheet name="SSR-rates" sheetId="86" state="hidden" r:id="rId44"/>
    <sheet name="Pipe data" sheetId="113" state="hidden" r:id="rId45"/>
    <sheet name="MTC DAtas" sheetId="202" state="hidden" r:id="rId46"/>
    <sheet name="NP4 pipes" sheetId="146" state="hidden" r:id="rId47"/>
    <sheet name="NP4 collars" sheetId="147" state="hidden" r:id="rId48"/>
    <sheet name="TEMP-CAL" sheetId="184" state="hidden" r:id="rId49"/>
    <sheet name="Sheet2" sheetId="205" state="hidden" r:id="rId50"/>
  </sheets>
  <definedNames>
    <definedName name="\" localSheetId="5">#REF!</definedName>
    <definedName name="\" localSheetId="6">#REF!</definedName>
    <definedName name="\" localSheetId="12">#REF!</definedName>
    <definedName name="\" localSheetId="19">#REF!</definedName>
    <definedName name="\" localSheetId="30">#REF!</definedName>
    <definedName name="\">#REF!</definedName>
    <definedName name="\a" localSheetId="6">#REF!</definedName>
    <definedName name="\a" localSheetId="12">#REF!</definedName>
    <definedName name="\a" localSheetId="19">#REF!</definedName>
    <definedName name="\a">#REF!</definedName>
    <definedName name="\P">#REF!</definedName>
    <definedName name="____" localSheetId="6">#REF!</definedName>
    <definedName name="____" localSheetId="12">#REF!</definedName>
    <definedName name="____" localSheetId="19">#REF!</definedName>
    <definedName name="____">#REF!</definedName>
    <definedName name="_____________________________________________________________________l12">#REF!</definedName>
    <definedName name="_____________________________________________________________________l3">#REF!</definedName>
    <definedName name="_____________________________________________________________________l5">#REF!</definedName>
    <definedName name="_____________________________________________________________________var1">#REF!</definedName>
    <definedName name="_____________________________________________________________________var4">#REF!</definedName>
    <definedName name="____________________________________________________________________l12">#REF!</definedName>
    <definedName name="____________________________________________________________________l3">#REF!</definedName>
    <definedName name="____________________________________________________________________l5">#REF!</definedName>
    <definedName name="____________________________________________________________________var1">#REF!</definedName>
    <definedName name="____________________________________________________________________var4">#REF!</definedName>
    <definedName name="___________________________________________________________________l12">#REF!</definedName>
    <definedName name="___________________________________________________________________l3">#REF!</definedName>
    <definedName name="___________________________________________________________________l5">#REF!</definedName>
    <definedName name="___________________________________________________________________pc2">#REF!</definedName>
    <definedName name="___________________________________________________________________pv2">#REF!</definedName>
    <definedName name="___________________________________________________________________var1">#REF!</definedName>
    <definedName name="___________________________________________________________________var4">#REF!</definedName>
    <definedName name="__________________________________________________________________pc2">#REF!</definedName>
    <definedName name="__________________________________________________________________pv2">#REF!</definedName>
    <definedName name="_________________________________________________________________l12">#REF!</definedName>
    <definedName name="_________________________________________________________________l3">#REF!</definedName>
    <definedName name="_________________________________________________________________l5">#REF!</definedName>
    <definedName name="_________________________________________________________________pc2">#REF!</definedName>
    <definedName name="_________________________________________________________________pv2">#REF!</definedName>
    <definedName name="_________________________________________________________________var1">#REF!</definedName>
    <definedName name="_________________________________________________________________var4">#REF!</definedName>
    <definedName name="________________________________________________________________l12">#REF!</definedName>
    <definedName name="________________________________________________________________l3">#REF!</definedName>
    <definedName name="________________________________________________________________l5">#REF!</definedName>
    <definedName name="________________________________________________________________pc2">#REF!</definedName>
    <definedName name="________________________________________________________________pv2">#REF!</definedName>
    <definedName name="________________________________________________________________var1">#REF!</definedName>
    <definedName name="________________________________________________________________var4">#REF!</definedName>
    <definedName name="_______________________________________________________________l12">#REF!</definedName>
    <definedName name="_______________________________________________________________l3">#REF!</definedName>
    <definedName name="_______________________________________________________________l5">#REF!</definedName>
    <definedName name="_______________________________________________________________pc2">#REF!</definedName>
    <definedName name="_______________________________________________________________pv2">#REF!</definedName>
    <definedName name="_______________________________________________________________var1">#REF!</definedName>
    <definedName name="_______________________________________________________________var4">#REF!</definedName>
    <definedName name="______________________________________________________________l12">#REF!</definedName>
    <definedName name="______________________________________________________________l3">#REF!</definedName>
    <definedName name="______________________________________________________________l5">#REF!</definedName>
    <definedName name="______________________________________________________________pc2">#REF!</definedName>
    <definedName name="______________________________________________________________pv2">#REF!</definedName>
    <definedName name="______________________________________________________________var1">#REF!</definedName>
    <definedName name="______________________________________________________________var4">#REF!</definedName>
    <definedName name="_____________________________________________________________l12">#REF!</definedName>
    <definedName name="_____________________________________________________________l3">#REF!</definedName>
    <definedName name="_____________________________________________________________l5">#REF!</definedName>
    <definedName name="_____________________________________________________________pc2">#REF!</definedName>
    <definedName name="_____________________________________________________________pv2">#REF!</definedName>
    <definedName name="_____________________________________________________________var1">#REF!</definedName>
    <definedName name="_____________________________________________________________var4">#REF!</definedName>
    <definedName name="____________________________________________________________l12">#REF!</definedName>
    <definedName name="____________________________________________________________l3">#REF!</definedName>
    <definedName name="____________________________________________________________l5">#REF!</definedName>
    <definedName name="____________________________________________________________pc2">#REF!</definedName>
    <definedName name="____________________________________________________________pv2">#REF!</definedName>
    <definedName name="____________________________________________________________var1">#REF!</definedName>
    <definedName name="____________________________________________________________var4">#REF!</definedName>
    <definedName name="___________________________________________________________l12">#REF!</definedName>
    <definedName name="___________________________________________________________l3">#REF!</definedName>
    <definedName name="___________________________________________________________l5">#REF!</definedName>
    <definedName name="___________________________________________________________pc2">#REF!</definedName>
    <definedName name="___________________________________________________________pv2">#REF!</definedName>
    <definedName name="___________________________________________________________var1">#REF!</definedName>
    <definedName name="___________________________________________________________var4">#REF!</definedName>
    <definedName name="__________________________________________________________l12">#REF!</definedName>
    <definedName name="__________________________________________________________l3">#REF!</definedName>
    <definedName name="__________________________________________________________l5">#REF!</definedName>
    <definedName name="__________________________________________________________pc2">#REF!</definedName>
    <definedName name="__________________________________________________________pv2">#REF!</definedName>
    <definedName name="__________________________________________________________var1">#REF!</definedName>
    <definedName name="__________________________________________________________var4">#REF!</definedName>
    <definedName name="_________________________________________________________l12">#REF!</definedName>
    <definedName name="_________________________________________________________l3">#REF!</definedName>
    <definedName name="_________________________________________________________l5">#REF!</definedName>
    <definedName name="_________________________________________________________pc2">#REF!</definedName>
    <definedName name="_________________________________________________________pv2">#REF!</definedName>
    <definedName name="_________________________________________________________var1">#REF!</definedName>
    <definedName name="_________________________________________________________var4">#REF!</definedName>
    <definedName name="________________________________________________________l12">#REF!</definedName>
    <definedName name="________________________________________________________l3">#REF!</definedName>
    <definedName name="________________________________________________________l5">#REF!</definedName>
    <definedName name="________________________________________________________pc2">#REF!</definedName>
    <definedName name="________________________________________________________pv2">#REF!</definedName>
    <definedName name="________________________________________________________var1">#REF!</definedName>
    <definedName name="________________________________________________________var4">#REF!</definedName>
    <definedName name="_______________________________________________________l12">#REF!</definedName>
    <definedName name="_______________________________________________________l3">#REF!</definedName>
    <definedName name="_______________________________________________________l5">#REF!</definedName>
    <definedName name="_______________________________________________________pc2">#REF!</definedName>
    <definedName name="_______________________________________________________pv2">#REF!</definedName>
    <definedName name="_______________________________________________________var1">#REF!</definedName>
    <definedName name="_______________________________________________________var4">#REF!</definedName>
    <definedName name="______________________________________________________l12">#REF!</definedName>
    <definedName name="______________________________________________________l3">#REF!</definedName>
    <definedName name="______________________________________________________l5">#REF!</definedName>
    <definedName name="______________________________________________________pc2">#REF!</definedName>
    <definedName name="______________________________________________________pv2">#REF!</definedName>
    <definedName name="______________________________________________________var1">#REF!</definedName>
    <definedName name="______________________________________________________var4">#REF!</definedName>
    <definedName name="_____________________________________________________l12">#REF!</definedName>
    <definedName name="_____________________________________________________l3">#REF!</definedName>
    <definedName name="_____________________________________________________l5">#REF!</definedName>
    <definedName name="_____________________________________________________pc2">#REF!</definedName>
    <definedName name="_____________________________________________________pv2">#REF!</definedName>
    <definedName name="_____________________________________________________var1">#REF!</definedName>
    <definedName name="_____________________________________________________var4">#REF!</definedName>
    <definedName name="____________________________________________________l12" localSheetId="27">#REF!</definedName>
    <definedName name="____________________________________________________l12">#REF!</definedName>
    <definedName name="____________________________________________________l3" localSheetId="27">#REF!</definedName>
    <definedName name="____________________________________________________l3">#REF!</definedName>
    <definedName name="____________________________________________________l5">#REF!</definedName>
    <definedName name="____________________________________________________pc2" localSheetId="27">#REF!</definedName>
    <definedName name="____________________________________________________pc2">#REF!</definedName>
    <definedName name="____________________________________________________pv2">#REF!</definedName>
    <definedName name="____________________________________________________var1">#REF!</definedName>
    <definedName name="____________________________________________________var4">#REF!</definedName>
    <definedName name="___________________________________________________l12" localSheetId="27">#REF!</definedName>
    <definedName name="___________________________________________________l12">#REF!</definedName>
    <definedName name="___________________________________________________l3" localSheetId="27">#REF!</definedName>
    <definedName name="___________________________________________________l3">#REF!</definedName>
    <definedName name="___________________________________________________l5">#REF!</definedName>
    <definedName name="___________________________________________________pc2" localSheetId="27">#REF!</definedName>
    <definedName name="___________________________________________________pc2">#REF!</definedName>
    <definedName name="___________________________________________________pv2">#REF!</definedName>
    <definedName name="___________________________________________________var1">#REF!</definedName>
    <definedName name="___________________________________________________var4">#REF!</definedName>
    <definedName name="__________________________________________________l12" localSheetId="27">#REF!</definedName>
    <definedName name="__________________________________________________l12">#REF!</definedName>
    <definedName name="__________________________________________________l3" localSheetId="27">#REF!</definedName>
    <definedName name="__________________________________________________l3">#REF!</definedName>
    <definedName name="__________________________________________________l5">#REF!</definedName>
    <definedName name="__________________________________________________pc2" localSheetId="27">#REF!</definedName>
    <definedName name="__________________________________________________pc2">#REF!</definedName>
    <definedName name="__________________________________________________pv2">#REF!</definedName>
    <definedName name="__________________________________________________var1">#REF!</definedName>
    <definedName name="__________________________________________________var4">#REF!</definedName>
    <definedName name="_________________________________________________l12" localSheetId="27">#REF!</definedName>
    <definedName name="_________________________________________________l12">#REF!</definedName>
    <definedName name="_________________________________________________l3" localSheetId="27">#REF!</definedName>
    <definedName name="_________________________________________________l3">#REF!</definedName>
    <definedName name="_________________________________________________l5">#REF!</definedName>
    <definedName name="_________________________________________________pc2" localSheetId="27">#REF!</definedName>
    <definedName name="_________________________________________________pc2">#REF!</definedName>
    <definedName name="_________________________________________________pv2">#REF!</definedName>
    <definedName name="_________________________________________________var1">#REF!</definedName>
    <definedName name="_________________________________________________var4">#REF!</definedName>
    <definedName name="________________________________________________l12" localSheetId="27">#REF!</definedName>
    <definedName name="________________________________________________l12">#REF!</definedName>
    <definedName name="________________________________________________l3" localSheetId="27">#REF!</definedName>
    <definedName name="________________________________________________l3">#REF!</definedName>
    <definedName name="________________________________________________l5">#REF!</definedName>
    <definedName name="________________________________________________pc2" localSheetId="27">#REF!</definedName>
    <definedName name="________________________________________________pc2">#REF!</definedName>
    <definedName name="________________________________________________pv2">#REF!</definedName>
    <definedName name="________________________________________________var1">#REF!</definedName>
    <definedName name="________________________________________________var4">#REF!</definedName>
    <definedName name="_______________________________________________l12" localSheetId="27">#REF!</definedName>
    <definedName name="_______________________________________________l12">#REF!</definedName>
    <definedName name="_______________________________________________l3" localSheetId="27">#REF!</definedName>
    <definedName name="_______________________________________________l3">#REF!</definedName>
    <definedName name="_______________________________________________l5">#REF!</definedName>
    <definedName name="_______________________________________________pc2" localSheetId="27">#REF!</definedName>
    <definedName name="_______________________________________________pc2">#REF!</definedName>
    <definedName name="_______________________________________________pv2">#REF!</definedName>
    <definedName name="_______________________________________________var1">#REF!</definedName>
    <definedName name="_______________________________________________var4">#REF!</definedName>
    <definedName name="______________________________________________l12" localSheetId="27">#REF!</definedName>
    <definedName name="______________________________________________l12">#REF!</definedName>
    <definedName name="______________________________________________l3" localSheetId="27">#REF!</definedName>
    <definedName name="______________________________________________l3">#REF!</definedName>
    <definedName name="______________________________________________l5">#REF!</definedName>
    <definedName name="______________________________________________pc2" localSheetId="27">#REF!</definedName>
    <definedName name="______________________________________________pc2">#REF!</definedName>
    <definedName name="______________________________________________pv2">#REF!</definedName>
    <definedName name="______________________________________________var1">#REF!</definedName>
    <definedName name="______________________________________________var4">#REF!</definedName>
    <definedName name="_____________________________________________l12" localSheetId="27">#REF!</definedName>
    <definedName name="_____________________________________________l12">#REF!</definedName>
    <definedName name="_____________________________________________l3" localSheetId="27">#REF!</definedName>
    <definedName name="_____________________________________________l3">#REF!</definedName>
    <definedName name="_____________________________________________l5">#REF!</definedName>
    <definedName name="_____________________________________________pc2" localSheetId="27">#REF!</definedName>
    <definedName name="_____________________________________________pc2">#REF!</definedName>
    <definedName name="_____________________________________________pv2">#REF!</definedName>
    <definedName name="_____________________________________________var1">#REF!</definedName>
    <definedName name="_____________________________________________var4">#REF!</definedName>
    <definedName name="____________________________________________l12" localSheetId="27">#REF!</definedName>
    <definedName name="____________________________________________l12">#REF!</definedName>
    <definedName name="____________________________________________l3" localSheetId="27">#REF!</definedName>
    <definedName name="____________________________________________l3">#REF!</definedName>
    <definedName name="____________________________________________l5">#REF!</definedName>
    <definedName name="____________________________________________pc2" localSheetId="27">#REF!</definedName>
    <definedName name="____________________________________________pc2">#REF!</definedName>
    <definedName name="____________________________________________pv2">#REF!</definedName>
    <definedName name="____________________________________________var1">#REF!</definedName>
    <definedName name="____________________________________________var4">#REF!</definedName>
    <definedName name="___________________________________________l12" localSheetId="27">#REF!</definedName>
    <definedName name="___________________________________________l12">#REF!</definedName>
    <definedName name="___________________________________________l3" localSheetId="27">#REF!</definedName>
    <definedName name="___________________________________________l3">#REF!</definedName>
    <definedName name="___________________________________________l5">#REF!</definedName>
    <definedName name="___________________________________________pc2" localSheetId="27">#REF!</definedName>
    <definedName name="___________________________________________pc2">#REF!</definedName>
    <definedName name="___________________________________________pv2">#REF!</definedName>
    <definedName name="___________________________________________var1">#REF!</definedName>
    <definedName name="___________________________________________var4">#REF!</definedName>
    <definedName name="__________________________________________bla1">#REF!</definedName>
    <definedName name="__________________________________________l1" localSheetId="27">#REF!</definedName>
    <definedName name="__________________________________________l1">#REF!</definedName>
    <definedName name="__________________________________________l12">#REF!</definedName>
    <definedName name="__________________________________________l3" localSheetId="27">#REF!</definedName>
    <definedName name="__________________________________________l3">#REF!</definedName>
    <definedName name="__________________________________________l4">#REF!</definedName>
    <definedName name="__________________________________________l5">#REF!</definedName>
    <definedName name="__________________________________________mm1" localSheetId="27">#REF!</definedName>
    <definedName name="__________________________________________mm1">#REF!</definedName>
    <definedName name="__________________________________________pc2" localSheetId="27">#REF!</definedName>
    <definedName name="__________________________________________pc2">#REF!</definedName>
    <definedName name="__________________________________________pv2">#REF!</definedName>
    <definedName name="__________________________________________rr3">#REF!</definedName>
    <definedName name="__________________________________________rrr1">#REF!</definedName>
    <definedName name="__________________________________________ss12">#REF!</definedName>
    <definedName name="__________________________________________ss20">#REF!</definedName>
    <definedName name="__________________________________________ss40">#REF!</definedName>
    <definedName name="__________________________________________var1">#REF!</definedName>
    <definedName name="__________________________________________var4">#REF!</definedName>
    <definedName name="__________________________________________xlfn_BAHTTEXT">#N/A</definedName>
    <definedName name="_________________________________________bla1" localSheetId="27">#REF!</definedName>
    <definedName name="_________________________________________bla1">#REF!</definedName>
    <definedName name="_________________________________________l1" localSheetId="27">#REF!</definedName>
    <definedName name="_________________________________________l1">#REF!</definedName>
    <definedName name="_________________________________________l12" localSheetId="27">#REF!</definedName>
    <definedName name="_________________________________________l12">#REF!</definedName>
    <definedName name="_________________________________________l3" localSheetId="27">#REF!</definedName>
    <definedName name="_________________________________________l3">#REF!</definedName>
    <definedName name="_________________________________________l4">#REF!</definedName>
    <definedName name="_________________________________________l5">#REF!</definedName>
    <definedName name="_________________________________________mm1" localSheetId="27">#REF!</definedName>
    <definedName name="_________________________________________mm1">#REF!</definedName>
    <definedName name="_________________________________________pc2" localSheetId="27">#REF!</definedName>
    <definedName name="_________________________________________pc2">#REF!</definedName>
    <definedName name="_________________________________________pv2">#REF!</definedName>
    <definedName name="_________________________________________rr3">#REF!</definedName>
    <definedName name="_________________________________________rrr1">#REF!</definedName>
    <definedName name="_________________________________________ss12">#REF!</definedName>
    <definedName name="_________________________________________ss20">#REF!</definedName>
    <definedName name="_________________________________________ss40">#REF!</definedName>
    <definedName name="_________________________________________var1">#REF!</definedName>
    <definedName name="_________________________________________var4">#REF!</definedName>
    <definedName name="_________________________________________xlfn_BAHTTEXT">#N/A</definedName>
    <definedName name="________________________________________bla1" localSheetId="27">#REF!</definedName>
    <definedName name="________________________________________bla1">#REF!</definedName>
    <definedName name="________________________________________l1" localSheetId="27">#REF!</definedName>
    <definedName name="________________________________________l1">#REF!</definedName>
    <definedName name="________________________________________l12" localSheetId="27">#REF!</definedName>
    <definedName name="________________________________________l12">#REF!</definedName>
    <definedName name="________________________________________l3" localSheetId="27">#REF!</definedName>
    <definedName name="________________________________________l3">#REF!</definedName>
    <definedName name="________________________________________l4">#REF!</definedName>
    <definedName name="________________________________________l5">#REF!</definedName>
    <definedName name="________________________________________mm1" localSheetId="27">#REF!</definedName>
    <definedName name="________________________________________mm1">#REF!</definedName>
    <definedName name="________________________________________pc2" localSheetId="27">#REF!</definedName>
    <definedName name="________________________________________pc2">#REF!</definedName>
    <definedName name="________________________________________pv2">#REF!</definedName>
    <definedName name="________________________________________rr3">#REF!</definedName>
    <definedName name="________________________________________rrr1">#REF!</definedName>
    <definedName name="________________________________________ss12">#REF!</definedName>
    <definedName name="________________________________________ss20">#REF!</definedName>
    <definedName name="________________________________________ss40">#REF!</definedName>
    <definedName name="________________________________________var1">#REF!</definedName>
    <definedName name="________________________________________var4">#REF!</definedName>
    <definedName name="________________________________________xlfn_BAHTTEXT">#N/A</definedName>
    <definedName name="_______________________________________bla1" localSheetId="27">#REF!</definedName>
    <definedName name="_______________________________________bla1">#REF!</definedName>
    <definedName name="_______________________________________l1" localSheetId="27">#REF!</definedName>
    <definedName name="_______________________________________l1">#REF!</definedName>
    <definedName name="_______________________________________l12" localSheetId="27">#REF!</definedName>
    <definedName name="_______________________________________l12">#REF!</definedName>
    <definedName name="_______________________________________l3" localSheetId="27">#REF!</definedName>
    <definedName name="_______________________________________l3">#REF!</definedName>
    <definedName name="_______________________________________l4">#REF!</definedName>
    <definedName name="_______________________________________l5">#REF!</definedName>
    <definedName name="_______________________________________mm1" localSheetId="27">#REF!</definedName>
    <definedName name="_______________________________________mm1">#REF!</definedName>
    <definedName name="_______________________________________pc2" localSheetId="27">#REF!</definedName>
    <definedName name="_______________________________________pc2">#REF!</definedName>
    <definedName name="_______________________________________pv2">#REF!</definedName>
    <definedName name="_______________________________________rr3">#REF!</definedName>
    <definedName name="_______________________________________rrr1">#REF!</definedName>
    <definedName name="_______________________________________ss12">#REF!</definedName>
    <definedName name="_______________________________________ss20">#REF!</definedName>
    <definedName name="_______________________________________ss40">#REF!</definedName>
    <definedName name="_______________________________________var1">#REF!</definedName>
    <definedName name="_______________________________________var4">#REF!</definedName>
    <definedName name="_______________________________________xlfn_BAHTTEXT">#N/A</definedName>
    <definedName name="______________________________________l12" localSheetId="27">#REF!</definedName>
    <definedName name="______________________________________l12">#REF!</definedName>
    <definedName name="______________________________________l3" localSheetId="27">#REF!</definedName>
    <definedName name="______________________________________l3">#REF!</definedName>
    <definedName name="______________________________________l5" localSheetId="27">#REF!</definedName>
    <definedName name="______________________________________l5">#REF!</definedName>
    <definedName name="______________________________________pc2" localSheetId="27">#REF!</definedName>
    <definedName name="______________________________________pc2">#REF!</definedName>
    <definedName name="______________________________________pv2">#REF!</definedName>
    <definedName name="______________________________________var1" localSheetId="27">#REF!</definedName>
    <definedName name="______________________________________var1">#REF!</definedName>
    <definedName name="______________________________________var4">#REF!</definedName>
    <definedName name="______________________________________xlfn_BAHTTEXT">#N/A</definedName>
    <definedName name="_____________________________________l12" localSheetId="27">#REF!</definedName>
    <definedName name="_____________________________________l12">#REF!</definedName>
    <definedName name="_____________________________________l3" localSheetId="27">#REF!</definedName>
    <definedName name="_____________________________________l3">#REF!</definedName>
    <definedName name="_____________________________________l5" localSheetId="27">#REF!</definedName>
    <definedName name="_____________________________________l5">#REF!</definedName>
    <definedName name="_____________________________________pc2" localSheetId="27">#REF!</definedName>
    <definedName name="_____________________________________pc2">#REF!</definedName>
    <definedName name="_____________________________________pv2">#REF!</definedName>
    <definedName name="_____________________________________rr3" localSheetId="19">#REF!</definedName>
    <definedName name="_____________________________________var1" localSheetId="27">#REF!</definedName>
    <definedName name="_____________________________________var1">#REF!</definedName>
    <definedName name="_____________________________________var4">#REF!</definedName>
    <definedName name="_____________________________________xlfn_BAHTTEXT">#N/A</definedName>
    <definedName name="____________________________________l12" localSheetId="6">#REF!</definedName>
    <definedName name="____________________________________l12" localSheetId="12">#REF!</definedName>
    <definedName name="____________________________________l12" localSheetId="19">#REF!</definedName>
    <definedName name="____________________________________l12">#REF!</definedName>
    <definedName name="____________________________________l3" localSheetId="6">#REF!</definedName>
    <definedName name="____________________________________l3" localSheetId="12">#REF!</definedName>
    <definedName name="____________________________________l3" localSheetId="19">#REF!</definedName>
    <definedName name="____________________________________l3">#REF!</definedName>
    <definedName name="____________________________________l5" localSheetId="6">#REF!</definedName>
    <definedName name="____________________________________l5" localSheetId="12">#REF!</definedName>
    <definedName name="____________________________________l5" localSheetId="19">#REF!</definedName>
    <definedName name="____________________________________l5">#REF!</definedName>
    <definedName name="____________________________________pc2" localSheetId="27">#REF!</definedName>
    <definedName name="____________________________________pc2">#REF!</definedName>
    <definedName name="____________________________________pv2">#REF!</definedName>
    <definedName name="____________________________________var1" localSheetId="6">#REF!</definedName>
    <definedName name="____________________________________var1" localSheetId="12">#REF!</definedName>
    <definedName name="____________________________________var1" localSheetId="19">#REF!</definedName>
    <definedName name="____________________________________var1">#REF!</definedName>
    <definedName name="____________________________________var4" localSheetId="6">#REF!</definedName>
    <definedName name="____________________________________var4" localSheetId="12">#REF!</definedName>
    <definedName name="____________________________________var4" localSheetId="19">#REF!</definedName>
    <definedName name="____________________________________var4">#REF!</definedName>
    <definedName name="____________________________________xlfn_BAHTTEXT">#N/A</definedName>
    <definedName name="___________________________________cbr1" localSheetId="27">#REF!</definedName>
    <definedName name="___________________________________cbr1">#REF!</definedName>
    <definedName name="___________________________________cbr2" localSheetId="27">#REF!</definedName>
    <definedName name="___________________________________cbr2">#REF!</definedName>
    <definedName name="___________________________________cbr3" localSheetId="27">#REF!</definedName>
    <definedName name="___________________________________cbr3">#REF!</definedName>
    <definedName name="___________________________________cbr4">#REF!</definedName>
    <definedName name="___________________________________l12" localSheetId="6">#REF!</definedName>
    <definedName name="___________________________________l12" localSheetId="12">#REF!</definedName>
    <definedName name="___________________________________l12" localSheetId="19">#REF!</definedName>
    <definedName name="___________________________________l12">#REF!</definedName>
    <definedName name="___________________________________l3" localSheetId="6">#REF!</definedName>
    <definedName name="___________________________________l3" localSheetId="12">#REF!</definedName>
    <definedName name="___________________________________l3" localSheetId="19">#REF!</definedName>
    <definedName name="___________________________________l3">#REF!</definedName>
    <definedName name="___________________________________l5" localSheetId="6">#REF!</definedName>
    <definedName name="___________________________________l5" localSheetId="12">#REF!</definedName>
    <definedName name="___________________________________l5" localSheetId="19">#REF!</definedName>
    <definedName name="___________________________________l5">#REF!</definedName>
    <definedName name="___________________________________pc2" localSheetId="6">#REF!</definedName>
    <definedName name="___________________________________pc2" localSheetId="12">#REF!</definedName>
    <definedName name="___________________________________pc2" localSheetId="19">#REF!</definedName>
    <definedName name="___________________________________pc2">#REF!</definedName>
    <definedName name="___________________________________pv2" localSheetId="6">#REF!</definedName>
    <definedName name="___________________________________pv2" localSheetId="12">#REF!</definedName>
    <definedName name="___________________________________pv2" localSheetId="19">#REF!</definedName>
    <definedName name="___________________________________pv2">#REF!</definedName>
    <definedName name="___________________________________var1" localSheetId="6">#REF!</definedName>
    <definedName name="___________________________________var1" localSheetId="12">#REF!</definedName>
    <definedName name="___________________________________var1" localSheetId="19">#REF!</definedName>
    <definedName name="___________________________________var1">#REF!</definedName>
    <definedName name="___________________________________var4" localSheetId="6">#REF!</definedName>
    <definedName name="___________________________________var4" localSheetId="12">#REF!</definedName>
    <definedName name="___________________________________var4" localSheetId="19">#REF!</definedName>
    <definedName name="___________________________________var4">#REF!</definedName>
    <definedName name="___________________________________vat1">#REF!</definedName>
    <definedName name="___________________________________vat2">#REF!</definedName>
    <definedName name="___________________________________xlfn_BAHTTEXT">#N/A</definedName>
    <definedName name="__________________________________cbr1" localSheetId="27">#REF!</definedName>
    <definedName name="__________________________________cbr1">#REF!</definedName>
    <definedName name="__________________________________cbr2" localSheetId="27">#REF!</definedName>
    <definedName name="__________________________________cbr2">#REF!</definedName>
    <definedName name="__________________________________cbr3" localSheetId="27">#REF!</definedName>
    <definedName name="__________________________________cbr3">#REF!</definedName>
    <definedName name="__________________________________cbr4">#REF!</definedName>
    <definedName name="__________________________________l12" localSheetId="6">#REF!</definedName>
    <definedName name="__________________________________l12" localSheetId="12">#REF!</definedName>
    <definedName name="__________________________________l12" localSheetId="19">#REF!</definedName>
    <definedName name="__________________________________l12">#REF!</definedName>
    <definedName name="__________________________________l3" localSheetId="6">#REF!</definedName>
    <definedName name="__________________________________l3" localSheetId="12">#REF!</definedName>
    <definedName name="__________________________________l3" localSheetId="19">#REF!</definedName>
    <definedName name="__________________________________l3">#REF!</definedName>
    <definedName name="__________________________________l5" localSheetId="6">#REF!</definedName>
    <definedName name="__________________________________l5" localSheetId="12">#REF!</definedName>
    <definedName name="__________________________________l5" localSheetId="19">#REF!</definedName>
    <definedName name="__________________________________l5">#REF!</definedName>
    <definedName name="__________________________________pc2" localSheetId="6">#REF!</definedName>
    <definedName name="__________________________________pc2" localSheetId="12">#REF!</definedName>
    <definedName name="__________________________________pc2" localSheetId="19">#REF!</definedName>
    <definedName name="__________________________________pc2">#REF!</definedName>
    <definedName name="__________________________________pv2" localSheetId="6">#REF!</definedName>
    <definedName name="__________________________________pv2" localSheetId="12">#REF!</definedName>
    <definedName name="__________________________________pv2" localSheetId="19">#REF!</definedName>
    <definedName name="__________________________________pv2">#REF!</definedName>
    <definedName name="__________________________________var1" localSheetId="6">#REF!</definedName>
    <definedName name="__________________________________var1" localSheetId="12">#REF!</definedName>
    <definedName name="__________________________________var1" localSheetId="19">#REF!</definedName>
    <definedName name="__________________________________var1">#REF!</definedName>
    <definedName name="__________________________________var4" localSheetId="6">#REF!</definedName>
    <definedName name="__________________________________var4" localSheetId="12">#REF!</definedName>
    <definedName name="__________________________________var4" localSheetId="19">#REF!</definedName>
    <definedName name="__________________________________var4">#REF!</definedName>
    <definedName name="__________________________________vat1">#REF!</definedName>
    <definedName name="__________________________________vat2">#REF!</definedName>
    <definedName name="__________________________________xlfn_BAHTTEXT">#N/A</definedName>
    <definedName name="_________________________________cbr1" localSheetId="27">#REF!</definedName>
    <definedName name="_________________________________cbr1">#REF!</definedName>
    <definedName name="_________________________________cbr2" localSheetId="27">#REF!</definedName>
    <definedName name="_________________________________cbr2">#REF!</definedName>
    <definedName name="_________________________________cbr3" localSheetId="27">#REF!</definedName>
    <definedName name="_________________________________cbr3">#REF!</definedName>
    <definedName name="_________________________________cbr4">#REF!</definedName>
    <definedName name="_________________________________l12" localSheetId="6">#REF!</definedName>
    <definedName name="_________________________________l12" localSheetId="12">#REF!</definedName>
    <definedName name="_________________________________l12" localSheetId="19">#REF!</definedName>
    <definedName name="_________________________________l12">#REF!</definedName>
    <definedName name="_________________________________l3" localSheetId="6">#REF!</definedName>
    <definedName name="_________________________________l3" localSheetId="12">#REF!</definedName>
    <definedName name="_________________________________l3" localSheetId="19">#REF!</definedName>
    <definedName name="_________________________________l3">#REF!</definedName>
    <definedName name="_________________________________l5" localSheetId="6">#REF!</definedName>
    <definedName name="_________________________________l5" localSheetId="12">#REF!</definedName>
    <definedName name="_________________________________l5" localSheetId="19">#REF!</definedName>
    <definedName name="_________________________________l5">#REF!</definedName>
    <definedName name="_________________________________pc2" localSheetId="6">#REF!</definedName>
    <definedName name="_________________________________pc2" localSheetId="12">#REF!</definedName>
    <definedName name="_________________________________pc2" localSheetId="19">#REF!</definedName>
    <definedName name="_________________________________pc2">#REF!</definedName>
    <definedName name="_________________________________pv2" localSheetId="6">#REF!</definedName>
    <definedName name="_________________________________pv2" localSheetId="12">#REF!</definedName>
    <definedName name="_________________________________pv2" localSheetId="19">#REF!</definedName>
    <definedName name="_________________________________pv2">#REF!</definedName>
    <definedName name="_________________________________var1" localSheetId="6">#REF!</definedName>
    <definedName name="_________________________________var1" localSheetId="12">#REF!</definedName>
    <definedName name="_________________________________var1" localSheetId="19">#REF!</definedName>
    <definedName name="_________________________________var1">#REF!</definedName>
    <definedName name="_________________________________var4" localSheetId="6">#REF!</definedName>
    <definedName name="_________________________________var4" localSheetId="12">#REF!</definedName>
    <definedName name="_________________________________var4" localSheetId="19">#REF!</definedName>
    <definedName name="_________________________________var4">#REF!</definedName>
    <definedName name="_________________________________vat1">#REF!</definedName>
    <definedName name="_________________________________vat2">#REF!</definedName>
    <definedName name="_________________________________xlfn_BAHTTEXT">#N/A</definedName>
    <definedName name="________________________________can430">40.73</definedName>
    <definedName name="________________________________can435">43.3</definedName>
    <definedName name="________________________________l12" localSheetId="6">#REF!</definedName>
    <definedName name="________________________________l12" localSheetId="12">#REF!</definedName>
    <definedName name="________________________________l12" localSheetId="19">#REF!</definedName>
    <definedName name="________________________________l12">#REF!</definedName>
    <definedName name="________________________________l3" localSheetId="6">#REF!</definedName>
    <definedName name="________________________________l3" localSheetId="12">#REF!</definedName>
    <definedName name="________________________________l3" localSheetId="19">#REF!</definedName>
    <definedName name="________________________________l3">#REF!</definedName>
    <definedName name="________________________________l5" localSheetId="6">#REF!</definedName>
    <definedName name="________________________________l5" localSheetId="12">#REF!</definedName>
    <definedName name="________________________________l5" localSheetId="19">#REF!</definedName>
    <definedName name="________________________________l5">#REF!</definedName>
    <definedName name="________________________________pc2" localSheetId="6">#REF!</definedName>
    <definedName name="________________________________pc2" localSheetId="12">#REF!</definedName>
    <definedName name="________________________________pc2" localSheetId="19">#REF!</definedName>
    <definedName name="________________________________pc2">#REF!</definedName>
    <definedName name="________________________________pv2" localSheetId="6">#REF!</definedName>
    <definedName name="________________________________pv2" localSheetId="12">#REF!</definedName>
    <definedName name="________________________________pv2" localSheetId="19">#REF!</definedName>
    <definedName name="________________________________pv2">#REF!</definedName>
    <definedName name="________________________________var1" localSheetId="6">#REF!</definedName>
    <definedName name="________________________________var1" localSheetId="12">#REF!</definedName>
    <definedName name="________________________________var1" localSheetId="19">#REF!</definedName>
    <definedName name="________________________________var1">#REF!</definedName>
    <definedName name="________________________________var4" localSheetId="6">#REF!</definedName>
    <definedName name="________________________________var4" localSheetId="12">#REF!</definedName>
    <definedName name="________________________________var4" localSheetId="19">#REF!</definedName>
    <definedName name="________________________________var4">#REF!</definedName>
    <definedName name="________________________________xlfn_BAHTTEXT">#N/A</definedName>
    <definedName name="_______________________________can430">40.73</definedName>
    <definedName name="_______________________________can435">43.3</definedName>
    <definedName name="_______________________________cbr1" localSheetId="27">#REF!</definedName>
    <definedName name="_______________________________cbr1">#REF!</definedName>
    <definedName name="_______________________________cbr2" localSheetId="27">#REF!</definedName>
    <definedName name="_______________________________cbr2">#REF!</definedName>
    <definedName name="_______________________________cbr3" localSheetId="27">#REF!</definedName>
    <definedName name="_______________________________cbr3">#REF!</definedName>
    <definedName name="_______________________________cbr4">#REF!</definedName>
    <definedName name="_______________________________l12" localSheetId="6">#REF!</definedName>
    <definedName name="_______________________________l12" localSheetId="12">#REF!</definedName>
    <definedName name="_______________________________l12" localSheetId="19">#REF!</definedName>
    <definedName name="_______________________________l12">#REF!</definedName>
    <definedName name="_______________________________l3" localSheetId="6">#REF!</definedName>
    <definedName name="_______________________________l3" localSheetId="12">#REF!</definedName>
    <definedName name="_______________________________l3" localSheetId="19">#REF!</definedName>
    <definedName name="_______________________________l3">#REF!</definedName>
    <definedName name="_______________________________l5" localSheetId="6">#REF!</definedName>
    <definedName name="_______________________________l5" localSheetId="12">#REF!</definedName>
    <definedName name="_______________________________l5" localSheetId="19">#REF!</definedName>
    <definedName name="_______________________________l5">#REF!</definedName>
    <definedName name="_______________________________pc2" localSheetId="6">#REF!</definedName>
    <definedName name="_______________________________pc2" localSheetId="12">#REF!</definedName>
    <definedName name="_______________________________pc2" localSheetId="19">#REF!</definedName>
    <definedName name="_______________________________pc2">#REF!</definedName>
    <definedName name="_______________________________pv2" localSheetId="6">#REF!</definedName>
    <definedName name="_______________________________pv2" localSheetId="12">#REF!</definedName>
    <definedName name="_______________________________pv2" localSheetId="19">#REF!</definedName>
    <definedName name="_______________________________pv2">#REF!</definedName>
    <definedName name="_______________________________var1" localSheetId="6">#REF!</definedName>
    <definedName name="_______________________________var1" localSheetId="12">#REF!</definedName>
    <definedName name="_______________________________var1" localSheetId="19">#REF!</definedName>
    <definedName name="_______________________________var1">#REF!</definedName>
    <definedName name="_______________________________var4" localSheetId="6">#REF!</definedName>
    <definedName name="_______________________________var4" localSheetId="12">#REF!</definedName>
    <definedName name="_______________________________var4" localSheetId="19">#REF!</definedName>
    <definedName name="_______________________________var4">#REF!</definedName>
    <definedName name="_______________________________vat1">#REF!</definedName>
    <definedName name="_______________________________vat2">#REF!</definedName>
    <definedName name="_______________________________xlfn_BAHTTEXT">#N/A</definedName>
    <definedName name="______________________________can430">40.73</definedName>
    <definedName name="______________________________can435">43.3</definedName>
    <definedName name="______________________________cbr1" localSheetId="27">#REF!</definedName>
    <definedName name="______________________________cbr1">#REF!</definedName>
    <definedName name="______________________________cbr2" localSheetId="27">#REF!</definedName>
    <definedName name="______________________________cbr2">#REF!</definedName>
    <definedName name="______________________________cbr3" localSheetId="27">#REF!</definedName>
    <definedName name="______________________________cbr3">#REF!</definedName>
    <definedName name="______________________________cbr4">#REF!</definedName>
    <definedName name="______________________________l12" localSheetId="5">#REF!</definedName>
    <definedName name="______________________________l12" localSheetId="14">#REF!</definedName>
    <definedName name="______________________________l12" localSheetId="6">#REF!</definedName>
    <definedName name="______________________________l12" localSheetId="12">#REF!</definedName>
    <definedName name="______________________________l12" localSheetId="19">#REF!</definedName>
    <definedName name="______________________________l12">#REF!</definedName>
    <definedName name="______________________________l3" localSheetId="5">#REF!</definedName>
    <definedName name="______________________________l3" localSheetId="14">#REF!</definedName>
    <definedName name="______________________________l3" localSheetId="6">#REF!</definedName>
    <definedName name="______________________________l3" localSheetId="12">#REF!</definedName>
    <definedName name="______________________________l3" localSheetId="19">#REF!</definedName>
    <definedName name="______________________________l3">#REF!</definedName>
    <definedName name="______________________________l5" localSheetId="5">#REF!</definedName>
    <definedName name="______________________________l5" localSheetId="14">#REF!</definedName>
    <definedName name="______________________________l5" localSheetId="6">#REF!</definedName>
    <definedName name="______________________________l5" localSheetId="12">#REF!</definedName>
    <definedName name="______________________________l5" localSheetId="19">#REF!</definedName>
    <definedName name="______________________________l5">#REF!</definedName>
    <definedName name="______________________________pc2" localSheetId="6">#REF!</definedName>
    <definedName name="______________________________pc2" localSheetId="12">#REF!</definedName>
    <definedName name="______________________________pc2" localSheetId="19">#REF!</definedName>
    <definedName name="______________________________pc2">#REF!</definedName>
    <definedName name="______________________________pv2" localSheetId="6">#REF!</definedName>
    <definedName name="______________________________pv2" localSheetId="12">#REF!</definedName>
    <definedName name="______________________________pv2" localSheetId="19">#REF!</definedName>
    <definedName name="______________________________pv2">#REF!</definedName>
    <definedName name="______________________________var1" localSheetId="5">#REF!</definedName>
    <definedName name="______________________________var1" localSheetId="14">#REF!</definedName>
    <definedName name="______________________________var1" localSheetId="6">#REF!</definedName>
    <definedName name="______________________________var1" localSheetId="12">#REF!</definedName>
    <definedName name="______________________________var1" localSheetId="19">#REF!</definedName>
    <definedName name="______________________________var1">#REF!</definedName>
    <definedName name="______________________________var4" localSheetId="5">#REF!</definedName>
    <definedName name="______________________________var4" localSheetId="14">#REF!</definedName>
    <definedName name="______________________________var4" localSheetId="6">#REF!</definedName>
    <definedName name="______________________________var4" localSheetId="12">#REF!</definedName>
    <definedName name="______________________________var4" localSheetId="19">#REF!</definedName>
    <definedName name="______________________________var4">#REF!</definedName>
    <definedName name="______________________________vat1">#REF!</definedName>
    <definedName name="______________________________vat2">#REF!</definedName>
    <definedName name="______________________________xlfn_BAHTTEXT">#N/A</definedName>
    <definedName name="_____________________________AUX1" localSheetId="19">#REF!</definedName>
    <definedName name="_____________________________aux2" localSheetId="27">#REF!</definedName>
    <definedName name="_____________________________aux2">#REF!</definedName>
    <definedName name="_____________________________AUX3" localSheetId="27">#REF!</definedName>
    <definedName name="_____________________________AUX3">#REF!</definedName>
    <definedName name="_____________________________can430">40.73</definedName>
    <definedName name="_____________________________can435">43.3</definedName>
    <definedName name="_____________________________cbr1" localSheetId="27">#REF!</definedName>
    <definedName name="_____________________________cbr1">#REF!</definedName>
    <definedName name="_____________________________cbr2" localSheetId="27">#REF!</definedName>
    <definedName name="_____________________________cbr2">#REF!</definedName>
    <definedName name="_____________________________cbr3" localSheetId="27">#REF!</definedName>
    <definedName name="_____________________________cbr3">#REF!</definedName>
    <definedName name="_____________________________cbr4">#REF!</definedName>
    <definedName name="_____________________________er1" localSheetId="27">#REF!</definedName>
    <definedName name="_____________________________er1">#REF!</definedName>
    <definedName name="_____________________________gus1">#REF!</definedName>
    <definedName name="_____________________________hpm1">#REF!</definedName>
    <definedName name="_____________________________l12" localSheetId="5">#REF!</definedName>
    <definedName name="_____________________________l12" localSheetId="6">#REF!</definedName>
    <definedName name="_____________________________l12" localSheetId="12">#REF!</definedName>
    <definedName name="_____________________________l12" localSheetId="34">#REF!</definedName>
    <definedName name="_____________________________l12" localSheetId="19">#REF!</definedName>
    <definedName name="_____________________________l12">#REF!</definedName>
    <definedName name="_____________________________l3" localSheetId="5">#REF!</definedName>
    <definedName name="_____________________________l3" localSheetId="6">#REF!</definedName>
    <definedName name="_____________________________l3" localSheetId="12">#REF!</definedName>
    <definedName name="_____________________________l3" localSheetId="34">#REF!</definedName>
    <definedName name="_____________________________l3" localSheetId="19">#REF!</definedName>
    <definedName name="_____________________________l3">#REF!</definedName>
    <definedName name="_____________________________l5" localSheetId="5">#REF!</definedName>
    <definedName name="_____________________________l5" localSheetId="6">#REF!</definedName>
    <definedName name="_____________________________l5" localSheetId="12">#REF!</definedName>
    <definedName name="_____________________________l5" localSheetId="34">#REF!</definedName>
    <definedName name="_____________________________l5" localSheetId="19">#REF!</definedName>
    <definedName name="_____________________________l5">#REF!</definedName>
    <definedName name="_____________________________lcn1" localSheetId="27">#REF!</definedName>
    <definedName name="_____________________________lcn1">#REF!</definedName>
    <definedName name="_____________________________lm1" localSheetId="19">#REF!</definedName>
    <definedName name="_____________________________pc2" localSheetId="5">#REF!</definedName>
    <definedName name="_____________________________pc2" localSheetId="6">#REF!</definedName>
    <definedName name="_____________________________pc2" localSheetId="12">#REF!</definedName>
    <definedName name="_____________________________pc2" localSheetId="19">#REF!</definedName>
    <definedName name="_____________________________pc2">#REF!</definedName>
    <definedName name="_____________________________pv2" localSheetId="5">#REF!</definedName>
    <definedName name="_____________________________pv2" localSheetId="6">#REF!</definedName>
    <definedName name="_____________________________pv2" localSheetId="12">#REF!</definedName>
    <definedName name="_____________________________pv2" localSheetId="19">#REF!</definedName>
    <definedName name="_____________________________pv2">#REF!</definedName>
    <definedName name="_____________________________sw1" localSheetId="27">#REF!</definedName>
    <definedName name="_____________________________sw1">#REF!</definedName>
    <definedName name="_____________________________us1">#REF!</definedName>
    <definedName name="_____________________________var1" localSheetId="5">#REF!</definedName>
    <definedName name="_____________________________var1" localSheetId="6">#REF!</definedName>
    <definedName name="_____________________________var1" localSheetId="12">#REF!</definedName>
    <definedName name="_____________________________var1" localSheetId="34">#REF!</definedName>
    <definedName name="_____________________________var1" localSheetId="19">#REF!</definedName>
    <definedName name="_____________________________var1">#REF!</definedName>
    <definedName name="_____________________________var4" localSheetId="5">#REF!</definedName>
    <definedName name="_____________________________var4" localSheetId="6">#REF!</definedName>
    <definedName name="_____________________________var4" localSheetId="12">#REF!</definedName>
    <definedName name="_____________________________var4" localSheetId="34">#REF!</definedName>
    <definedName name="_____________________________var4" localSheetId="19">#REF!</definedName>
    <definedName name="_____________________________var4">#REF!</definedName>
    <definedName name="_____________________________vat1">#REF!</definedName>
    <definedName name="_____________________________vat2">#REF!</definedName>
    <definedName name="_____________________________xlfn_BAHTTEXT">#N/A</definedName>
    <definedName name="____________________________abs1" localSheetId="6">#REF!</definedName>
    <definedName name="____________________________abs1" localSheetId="12">#REF!</definedName>
    <definedName name="____________________________abs1" localSheetId="19">#REF!</definedName>
    <definedName name="____________________________abs1">#REF!</definedName>
    <definedName name="____________________________AUX1">#REF!</definedName>
    <definedName name="____________________________aux2" localSheetId="19">#REF!</definedName>
    <definedName name="____________________________AUX3">#REF!</definedName>
    <definedName name="____________________________can430">40.73</definedName>
    <definedName name="____________________________can435">43.3</definedName>
    <definedName name="____________________________cbr1" localSheetId="27">#REF!</definedName>
    <definedName name="____________________________cbr1">#REF!</definedName>
    <definedName name="____________________________cbr2" localSheetId="27">#REF!</definedName>
    <definedName name="____________________________cbr2">#REF!</definedName>
    <definedName name="____________________________cbr3" localSheetId="27">#REF!</definedName>
    <definedName name="____________________________cbr3">#REF!</definedName>
    <definedName name="____________________________cbr4">#REF!</definedName>
    <definedName name="____________________________er1" localSheetId="27">#REF!</definedName>
    <definedName name="____________________________er1">#REF!</definedName>
    <definedName name="____________________________f1">#REF!</definedName>
    <definedName name="____________________________gus1">#REF!</definedName>
    <definedName name="____________________________hpm1">#REF!</definedName>
    <definedName name="____________________________l12" localSheetId="5">#REF!</definedName>
    <definedName name="____________________________l12" localSheetId="6">#REF!</definedName>
    <definedName name="____________________________l12" localSheetId="12">#REF!</definedName>
    <definedName name="____________________________l12" localSheetId="34">#REF!</definedName>
    <definedName name="____________________________l12" localSheetId="19">#REF!</definedName>
    <definedName name="____________________________l12">#REF!</definedName>
    <definedName name="____________________________l3" localSheetId="5">#REF!</definedName>
    <definedName name="____________________________l3" localSheetId="6">#REF!</definedName>
    <definedName name="____________________________l3" localSheetId="12">#REF!</definedName>
    <definedName name="____________________________l3" localSheetId="34">#REF!</definedName>
    <definedName name="____________________________l3" localSheetId="19">#REF!</definedName>
    <definedName name="____________________________l3">#REF!</definedName>
    <definedName name="____________________________l5" localSheetId="5">#REF!</definedName>
    <definedName name="____________________________l5" localSheetId="6">#REF!</definedName>
    <definedName name="____________________________l5" localSheetId="12">#REF!</definedName>
    <definedName name="____________________________l5" localSheetId="34">#REF!</definedName>
    <definedName name="____________________________l5" localSheetId="19">#REF!</definedName>
    <definedName name="____________________________l5">#REF!</definedName>
    <definedName name="____________________________lcn1" localSheetId="27">#REF!</definedName>
    <definedName name="____________________________lcn1">#REF!</definedName>
    <definedName name="____________________________lm1" localSheetId="19">#REF!</definedName>
    <definedName name="____________________________pc2" localSheetId="5">#REF!</definedName>
    <definedName name="____________________________pc2" localSheetId="6">#REF!</definedName>
    <definedName name="____________________________pc2" localSheetId="12">#REF!</definedName>
    <definedName name="____________________________pc2" localSheetId="34">#REF!</definedName>
    <definedName name="____________________________pc2" localSheetId="19">#REF!</definedName>
    <definedName name="____________________________pc2">#REF!</definedName>
    <definedName name="____________________________pv2" localSheetId="5">#REF!</definedName>
    <definedName name="____________________________pv2" localSheetId="6">#REF!</definedName>
    <definedName name="____________________________pv2" localSheetId="12">#REF!</definedName>
    <definedName name="____________________________pv2" localSheetId="34">#REF!</definedName>
    <definedName name="____________________________pv2" localSheetId="19">#REF!</definedName>
    <definedName name="____________________________pv2">#REF!</definedName>
    <definedName name="____________________________sw1" localSheetId="19">#REF!</definedName>
    <definedName name="____________________________us1" localSheetId="27">#REF!</definedName>
    <definedName name="____________________________us1">#REF!</definedName>
    <definedName name="____________________________var1" localSheetId="5">#REF!</definedName>
    <definedName name="____________________________var1" localSheetId="6">#REF!</definedName>
    <definedName name="____________________________var1" localSheetId="12">#REF!</definedName>
    <definedName name="____________________________var1" localSheetId="34">#REF!</definedName>
    <definedName name="____________________________var1" localSheetId="19">#REF!</definedName>
    <definedName name="____________________________var1">#REF!</definedName>
    <definedName name="____________________________var4" localSheetId="5">#REF!</definedName>
    <definedName name="____________________________var4" localSheetId="6">#REF!</definedName>
    <definedName name="____________________________var4" localSheetId="12">#REF!</definedName>
    <definedName name="____________________________var4" localSheetId="34">#REF!</definedName>
    <definedName name="____________________________var4" localSheetId="19">#REF!</definedName>
    <definedName name="____________________________var4">#REF!</definedName>
    <definedName name="____________________________vat1">#REF!</definedName>
    <definedName name="____________________________vat2">#REF!</definedName>
    <definedName name="____________________________xlfn_BAHTTEXT">#N/A</definedName>
    <definedName name="___________________________abs1" localSheetId="6">#REF!</definedName>
    <definedName name="___________________________abs1" localSheetId="12">#REF!</definedName>
    <definedName name="___________________________abs1" localSheetId="19">#REF!</definedName>
    <definedName name="___________________________abs1">#REF!</definedName>
    <definedName name="___________________________AUX1">#REF!</definedName>
    <definedName name="___________________________aux2" localSheetId="19">#REF!</definedName>
    <definedName name="___________________________AUX3">#REF!</definedName>
    <definedName name="___________________________can430">40.73</definedName>
    <definedName name="___________________________can435">43.3</definedName>
    <definedName name="___________________________cbr1" localSheetId="27">#REF!</definedName>
    <definedName name="___________________________cbr1">#REF!</definedName>
    <definedName name="___________________________cbr2" localSheetId="27">#REF!</definedName>
    <definedName name="___________________________cbr2">#REF!</definedName>
    <definedName name="___________________________cbr3" localSheetId="27">#REF!</definedName>
    <definedName name="___________________________cbr3">#REF!</definedName>
    <definedName name="___________________________cbr4">#REF!</definedName>
    <definedName name="___________________________er1" localSheetId="27">#REF!</definedName>
    <definedName name="___________________________er1">#REF!</definedName>
    <definedName name="___________________________f1">#REF!</definedName>
    <definedName name="___________________________gus1">#REF!</definedName>
    <definedName name="___________________________hpm1">#REF!</definedName>
    <definedName name="___________________________knr2" localSheetId="19">#REF!</definedName>
    <definedName name="___________________________l12" localSheetId="6">#REF!</definedName>
    <definedName name="___________________________l12" localSheetId="12">#REF!</definedName>
    <definedName name="___________________________l12" localSheetId="19">#REF!</definedName>
    <definedName name="___________________________l12" localSheetId="30">#REF!</definedName>
    <definedName name="___________________________l12">#REF!</definedName>
    <definedName name="___________________________l3" localSheetId="6">#REF!</definedName>
    <definedName name="___________________________l3" localSheetId="12">#REF!</definedName>
    <definedName name="___________________________l3" localSheetId="19">#REF!</definedName>
    <definedName name="___________________________l3" localSheetId="30">#REF!</definedName>
    <definedName name="___________________________l3">#REF!</definedName>
    <definedName name="___________________________l5" localSheetId="6">#REF!</definedName>
    <definedName name="___________________________l5" localSheetId="12">#REF!</definedName>
    <definedName name="___________________________l5" localSheetId="19">#REF!</definedName>
    <definedName name="___________________________l5" localSheetId="30">#REF!</definedName>
    <definedName name="___________________________l5">#REF!</definedName>
    <definedName name="___________________________lcn1" localSheetId="27">#REF!</definedName>
    <definedName name="___________________________lcn1">#REF!</definedName>
    <definedName name="___________________________lm1" localSheetId="19">#REF!</definedName>
    <definedName name="___________________________mm20" localSheetId="27">#REF!</definedName>
    <definedName name="___________________________mm20">#REF!</definedName>
    <definedName name="___________________________mm40">#REF!</definedName>
    <definedName name="___________________________pc2" localSheetId="5">#REF!</definedName>
    <definedName name="___________________________pc2" localSheetId="6">#REF!</definedName>
    <definedName name="___________________________pc2" localSheetId="12">#REF!</definedName>
    <definedName name="___________________________pc2" localSheetId="34">#REF!</definedName>
    <definedName name="___________________________pc2" localSheetId="19">#REF!</definedName>
    <definedName name="___________________________pc2">#REF!</definedName>
    <definedName name="___________________________pv2" localSheetId="5">#REF!</definedName>
    <definedName name="___________________________pv2" localSheetId="6">#REF!</definedName>
    <definedName name="___________________________pv2" localSheetId="12">#REF!</definedName>
    <definedName name="___________________________pv2" localSheetId="34">#REF!</definedName>
    <definedName name="___________________________pv2" localSheetId="19">#REF!</definedName>
    <definedName name="___________________________pv2">#REF!</definedName>
    <definedName name="___________________________sw1" localSheetId="19">#REF!</definedName>
    <definedName name="___________________________us1" localSheetId="27">#REF!</definedName>
    <definedName name="___________________________us1">#REF!</definedName>
    <definedName name="___________________________var1" localSheetId="6">#REF!</definedName>
    <definedName name="___________________________var1" localSheetId="12">#REF!</definedName>
    <definedName name="___________________________var1" localSheetId="19">#REF!</definedName>
    <definedName name="___________________________var1" localSheetId="30">#REF!</definedName>
    <definedName name="___________________________var1">#REF!</definedName>
    <definedName name="___________________________var4" localSheetId="6">#REF!</definedName>
    <definedName name="___________________________var4" localSheetId="12">#REF!</definedName>
    <definedName name="___________________________var4" localSheetId="19">#REF!</definedName>
    <definedName name="___________________________var4" localSheetId="30">#REF!</definedName>
    <definedName name="___________________________var4">#REF!</definedName>
    <definedName name="___________________________vat1">#REF!</definedName>
    <definedName name="___________________________vat2">#REF!</definedName>
    <definedName name="___________________________xlfn_BAHTTEXT">#N/A</definedName>
    <definedName name="__________________________abs1" localSheetId="6">#REF!</definedName>
    <definedName name="__________________________abs1" localSheetId="12">#REF!</definedName>
    <definedName name="__________________________abs1" localSheetId="19">#REF!</definedName>
    <definedName name="__________________________abs1">#REF!</definedName>
    <definedName name="__________________________can430">40.73</definedName>
    <definedName name="__________________________can435">43.3</definedName>
    <definedName name="__________________________er1" localSheetId="27">#REF!</definedName>
    <definedName name="__________________________er1">#REF!</definedName>
    <definedName name="__________________________ewe1" localSheetId="27">#REF!</definedName>
    <definedName name="__________________________ewe1">#REF!</definedName>
    <definedName name="__________________________f1" localSheetId="27">#REF!</definedName>
    <definedName name="__________________________f1">#REF!</definedName>
    <definedName name="__________________________knr2" localSheetId="19">#REF!</definedName>
    <definedName name="__________________________l12" localSheetId="5">#REF!</definedName>
    <definedName name="__________________________l12" localSheetId="6">#REF!</definedName>
    <definedName name="__________________________l12" localSheetId="12">#REF!</definedName>
    <definedName name="__________________________l12" localSheetId="34">#REF!</definedName>
    <definedName name="__________________________l12" localSheetId="19">#REF!</definedName>
    <definedName name="__________________________l12">#REF!</definedName>
    <definedName name="__________________________l3" localSheetId="5">#REF!</definedName>
    <definedName name="__________________________l3" localSheetId="6">#REF!</definedName>
    <definedName name="__________________________l3" localSheetId="12">#REF!</definedName>
    <definedName name="__________________________l3" localSheetId="34">#REF!</definedName>
    <definedName name="__________________________l3" localSheetId="19">#REF!</definedName>
    <definedName name="__________________________l3">#REF!</definedName>
    <definedName name="__________________________l5" localSheetId="5">#REF!</definedName>
    <definedName name="__________________________l5" localSheetId="6">#REF!</definedName>
    <definedName name="__________________________l5" localSheetId="12">#REF!</definedName>
    <definedName name="__________________________l5" localSheetId="34">#REF!</definedName>
    <definedName name="__________________________l5" localSheetId="19">#REF!</definedName>
    <definedName name="__________________________l5">#REF!</definedName>
    <definedName name="__________________________mm20" localSheetId="19">#REF!</definedName>
    <definedName name="__________________________mm40" localSheetId="27">#REF!</definedName>
    <definedName name="__________________________mm40">#REF!</definedName>
    <definedName name="__________________________pc2" localSheetId="5">#REF!</definedName>
    <definedName name="__________________________pc2" localSheetId="6">#REF!</definedName>
    <definedName name="__________________________pc2" localSheetId="12">#REF!</definedName>
    <definedName name="__________________________pc2" localSheetId="34">#REF!</definedName>
    <definedName name="__________________________pc2" localSheetId="19">#REF!</definedName>
    <definedName name="__________________________pc2">#REF!</definedName>
    <definedName name="__________________________pv2" localSheetId="5">#REF!</definedName>
    <definedName name="__________________________pv2" localSheetId="6">#REF!</definedName>
    <definedName name="__________________________pv2" localSheetId="12">#REF!</definedName>
    <definedName name="__________________________pv2" localSheetId="34">#REF!</definedName>
    <definedName name="__________________________pv2" localSheetId="19">#REF!</definedName>
    <definedName name="__________________________pv2">#REF!</definedName>
    <definedName name="__________________________var1" localSheetId="5">#REF!</definedName>
    <definedName name="__________________________var1" localSheetId="6">#REF!</definedName>
    <definedName name="__________________________var1" localSheetId="12">#REF!</definedName>
    <definedName name="__________________________var1" localSheetId="34">#REF!</definedName>
    <definedName name="__________________________var1" localSheetId="19">#REF!</definedName>
    <definedName name="__________________________var1">#REF!</definedName>
    <definedName name="__________________________var4" localSheetId="5">#REF!</definedName>
    <definedName name="__________________________var4" localSheetId="6">#REF!</definedName>
    <definedName name="__________________________var4" localSheetId="12">#REF!</definedName>
    <definedName name="__________________________var4" localSheetId="34">#REF!</definedName>
    <definedName name="__________________________var4" localSheetId="19">#REF!</definedName>
    <definedName name="__________________________var4">#REF!</definedName>
    <definedName name="__________________________xlfn_BAHTTEXT">#N/A</definedName>
    <definedName name="_________________________abs1" localSheetId="6">#REF!</definedName>
    <definedName name="_________________________abs1" localSheetId="12">#REF!</definedName>
    <definedName name="_________________________abs1" localSheetId="19">#REF!</definedName>
    <definedName name="_________________________abs1">#REF!</definedName>
    <definedName name="_________________________AUX1" localSheetId="19">#REF!</definedName>
    <definedName name="_________________________aux2" localSheetId="19">#REF!</definedName>
    <definedName name="_________________________AUX3">#REF!</definedName>
    <definedName name="_________________________can430">40.73</definedName>
    <definedName name="_________________________can435">43.3</definedName>
    <definedName name="_________________________cbr1" localSheetId="27">#REF!</definedName>
    <definedName name="_________________________cbr1">#REF!</definedName>
    <definedName name="_________________________cbr2" localSheetId="27">#REF!</definedName>
    <definedName name="_________________________cbr2">#REF!</definedName>
    <definedName name="_________________________cbr3" localSheetId="27">#REF!</definedName>
    <definedName name="_________________________cbr3">#REF!</definedName>
    <definedName name="_________________________cbr4">#REF!</definedName>
    <definedName name="_________________________er1" localSheetId="27">#REF!</definedName>
    <definedName name="_________________________er1">#REF!</definedName>
    <definedName name="_________________________ewe1">#REF!</definedName>
    <definedName name="_________________________f1">#REF!</definedName>
    <definedName name="_________________________gus1">#REF!</definedName>
    <definedName name="_________________________hpm1">#REF!</definedName>
    <definedName name="_________________________knr2" localSheetId="19">#REF!</definedName>
    <definedName name="_________________________l12" localSheetId="5">#REF!</definedName>
    <definedName name="_________________________l12" localSheetId="6">#REF!</definedName>
    <definedName name="_________________________l12" localSheetId="12">#REF!</definedName>
    <definedName name="_________________________l12" localSheetId="34">#REF!</definedName>
    <definedName name="_________________________l12" localSheetId="19">#REF!</definedName>
    <definedName name="_________________________l12">#REF!</definedName>
    <definedName name="_________________________l3" localSheetId="5">#REF!</definedName>
    <definedName name="_________________________l3" localSheetId="6">#REF!</definedName>
    <definedName name="_________________________l3" localSheetId="12">#REF!</definedName>
    <definedName name="_________________________l3" localSheetId="34">#REF!</definedName>
    <definedName name="_________________________l3" localSheetId="19">#REF!</definedName>
    <definedName name="_________________________l3">#REF!</definedName>
    <definedName name="_________________________l5" localSheetId="5">#REF!</definedName>
    <definedName name="_________________________l5" localSheetId="6">#REF!</definedName>
    <definedName name="_________________________l5" localSheetId="12">#REF!</definedName>
    <definedName name="_________________________l5" localSheetId="34">#REF!</definedName>
    <definedName name="_________________________l5" localSheetId="19">#REF!</definedName>
    <definedName name="_________________________l5">#REF!</definedName>
    <definedName name="_________________________lcn1" localSheetId="27">#REF!</definedName>
    <definedName name="_________________________lcn1">#REF!</definedName>
    <definedName name="_________________________lm1" localSheetId="19">#REF!</definedName>
    <definedName name="_________________________pc2" localSheetId="5">#REF!</definedName>
    <definedName name="_________________________pc2" localSheetId="6">#REF!</definedName>
    <definedName name="_________________________pc2" localSheetId="12">#REF!</definedName>
    <definedName name="_________________________pc2" localSheetId="34">#REF!</definedName>
    <definedName name="_________________________pc2" localSheetId="19">#REF!</definedName>
    <definedName name="_________________________pc2">#REF!</definedName>
    <definedName name="_________________________pv2" localSheetId="5">#REF!</definedName>
    <definedName name="_________________________pv2" localSheetId="6">#REF!</definedName>
    <definedName name="_________________________pv2" localSheetId="12">#REF!</definedName>
    <definedName name="_________________________pv2" localSheetId="34">#REF!</definedName>
    <definedName name="_________________________pv2" localSheetId="19">#REF!</definedName>
    <definedName name="_________________________pv2">#REF!</definedName>
    <definedName name="_________________________sw1" localSheetId="19">#REF!</definedName>
    <definedName name="_________________________us1" localSheetId="27">#REF!</definedName>
    <definedName name="_________________________us1">#REF!</definedName>
    <definedName name="_________________________var1" localSheetId="5">#REF!</definedName>
    <definedName name="_________________________var1" localSheetId="6">#REF!</definedName>
    <definedName name="_________________________var1" localSheetId="12">#REF!</definedName>
    <definedName name="_________________________var1" localSheetId="34">#REF!</definedName>
    <definedName name="_________________________var1" localSheetId="19">#REF!</definedName>
    <definedName name="_________________________var1">#REF!</definedName>
    <definedName name="_________________________var4" localSheetId="5">#REF!</definedName>
    <definedName name="_________________________var4" localSheetId="6">#REF!</definedName>
    <definedName name="_________________________var4" localSheetId="12">#REF!</definedName>
    <definedName name="_________________________var4" localSheetId="34">#REF!</definedName>
    <definedName name="_________________________var4" localSheetId="19">#REF!</definedName>
    <definedName name="_________________________var4">#REF!</definedName>
    <definedName name="_________________________vat1">#REF!</definedName>
    <definedName name="_________________________vat2">#REF!</definedName>
    <definedName name="_________________________xlfn_BAHTTEXT">#N/A</definedName>
    <definedName name="________________________abs1" localSheetId="6">#REF!</definedName>
    <definedName name="________________________abs1" localSheetId="12">#REF!</definedName>
    <definedName name="________________________abs1" localSheetId="19">#REF!</definedName>
    <definedName name="________________________abs1">#REF!</definedName>
    <definedName name="________________________AUX1">#REF!</definedName>
    <definedName name="________________________aux2" localSheetId="19">#REF!</definedName>
    <definedName name="________________________AUX3">#REF!</definedName>
    <definedName name="________________________can430">40.73</definedName>
    <definedName name="________________________can435">43.3</definedName>
    <definedName name="________________________cbr1" localSheetId="27">#REF!</definedName>
    <definedName name="________________________cbr1">#REF!</definedName>
    <definedName name="________________________cbr2" localSheetId="27">#REF!</definedName>
    <definedName name="________________________cbr2">#REF!</definedName>
    <definedName name="________________________cbr3" localSheetId="27">#REF!</definedName>
    <definedName name="________________________cbr3">#REF!</definedName>
    <definedName name="________________________cbr4">#REF!</definedName>
    <definedName name="________________________er1" localSheetId="27">#REF!</definedName>
    <definedName name="________________________er1">#REF!</definedName>
    <definedName name="________________________ewe1">#REF!</definedName>
    <definedName name="________________________f1">#REF!</definedName>
    <definedName name="________________________gus1">#REF!</definedName>
    <definedName name="________________________hpm1">#REF!</definedName>
    <definedName name="________________________knr2" localSheetId="19">#REF!</definedName>
    <definedName name="________________________l12" localSheetId="5">#REF!</definedName>
    <definedName name="________________________l12" localSheetId="6">#REF!</definedName>
    <definedName name="________________________l12" localSheetId="12">#REF!</definedName>
    <definedName name="________________________l12" localSheetId="34">#REF!</definedName>
    <definedName name="________________________l12" localSheetId="19">#REF!</definedName>
    <definedName name="________________________l12">#REF!</definedName>
    <definedName name="________________________l3" localSheetId="5">#REF!</definedName>
    <definedName name="________________________l3" localSheetId="6">#REF!</definedName>
    <definedName name="________________________l3" localSheetId="12">#REF!</definedName>
    <definedName name="________________________l3" localSheetId="34">#REF!</definedName>
    <definedName name="________________________l3" localSheetId="19">#REF!</definedName>
    <definedName name="________________________l3">#REF!</definedName>
    <definedName name="________________________l5" localSheetId="5">#REF!</definedName>
    <definedName name="________________________l5" localSheetId="6">#REF!</definedName>
    <definedName name="________________________l5" localSheetId="12">#REF!</definedName>
    <definedName name="________________________l5" localSheetId="34">#REF!</definedName>
    <definedName name="________________________l5" localSheetId="19">#REF!</definedName>
    <definedName name="________________________l5">#REF!</definedName>
    <definedName name="________________________lcn1" localSheetId="27">#REF!</definedName>
    <definedName name="________________________lcn1">#REF!</definedName>
    <definedName name="________________________lm1" localSheetId="19">#REF!</definedName>
    <definedName name="________________________mm20" localSheetId="19">#REF!</definedName>
    <definedName name="________________________mm40" localSheetId="27">#REF!</definedName>
    <definedName name="________________________mm40">#REF!</definedName>
    <definedName name="________________________pc2" localSheetId="5">#REF!</definedName>
    <definedName name="________________________pc2" localSheetId="6">#REF!</definedName>
    <definedName name="________________________pc2" localSheetId="12">#REF!</definedName>
    <definedName name="________________________pc2" localSheetId="34">#REF!</definedName>
    <definedName name="________________________pc2" localSheetId="19">#REF!</definedName>
    <definedName name="________________________pc2">#REF!</definedName>
    <definedName name="________________________pv2" localSheetId="5">#REF!</definedName>
    <definedName name="________________________pv2" localSheetId="6">#REF!</definedName>
    <definedName name="________________________pv2" localSheetId="12">#REF!</definedName>
    <definedName name="________________________pv2" localSheetId="34">#REF!</definedName>
    <definedName name="________________________pv2" localSheetId="19">#REF!</definedName>
    <definedName name="________________________pv2">#REF!</definedName>
    <definedName name="________________________sw1" localSheetId="19">#REF!</definedName>
    <definedName name="________________________us1" localSheetId="27">#REF!</definedName>
    <definedName name="________________________us1">#REF!</definedName>
    <definedName name="________________________var1" localSheetId="5">#REF!</definedName>
    <definedName name="________________________var1" localSheetId="6">#REF!</definedName>
    <definedName name="________________________var1" localSheetId="12">#REF!</definedName>
    <definedName name="________________________var1" localSheetId="34">#REF!</definedName>
    <definedName name="________________________var1" localSheetId="19">#REF!</definedName>
    <definedName name="________________________var1">#REF!</definedName>
    <definedName name="________________________var4" localSheetId="5">#REF!</definedName>
    <definedName name="________________________var4" localSheetId="6">#REF!</definedName>
    <definedName name="________________________var4" localSheetId="12">#REF!</definedName>
    <definedName name="________________________var4" localSheetId="34">#REF!</definedName>
    <definedName name="________________________var4" localSheetId="19">#REF!</definedName>
    <definedName name="________________________var4">#REF!</definedName>
    <definedName name="________________________vat1">#REF!</definedName>
    <definedName name="________________________vat2">#REF!</definedName>
    <definedName name="________________________xlfn_BAHTTEXT">#N/A</definedName>
    <definedName name="_______________________abs1" localSheetId="6">#REF!</definedName>
    <definedName name="_______________________abs1" localSheetId="12">#REF!</definedName>
    <definedName name="_______________________abs1" localSheetId="19">#REF!</definedName>
    <definedName name="_______________________abs1">#REF!</definedName>
    <definedName name="_______________________AUX1">#REF!</definedName>
    <definedName name="_______________________aux2" localSheetId="19">#REF!</definedName>
    <definedName name="_______________________AUX3">#REF!</definedName>
    <definedName name="_______________________can430">40.73</definedName>
    <definedName name="_______________________can435">43.3</definedName>
    <definedName name="_______________________cbr1" localSheetId="27">#REF!</definedName>
    <definedName name="_______________________cbr1">#REF!</definedName>
    <definedName name="_______________________cbr2" localSheetId="27">#REF!</definedName>
    <definedName name="_______________________cbr2">#REF!</definedName>
    <definedName name="_______________________cbr3" localSheetId="27">#REF!</definedName>
    <definedName name="_______________________cbr3">#REF!</definedName>
    <definedName name="_______________________cbr4">#REF!</definedName>
    <definedName name="_______________________er1" localSheetId="27">#REF!</definedName>
    <definedName name="_______________________er1">#REF!</definedName>
    <definedName name="_______________________ewe1">#REF!</definedName>
    <definedName name="_______________________f1">#REF!</definedName>
    <definedName name="_______________________gus1">#REF!</definedName>
    <definedName name="_______________________hpm1">#REF!</definedName>
    <definedName name="_______________________knr2" localSheetId="19">#REF!</definedName>
    <definedName name="_______________________l12" localSheetId="5">#REF!</definedName>
    <definedName name="_______________________l12" localSheetId="6">#REF!</definedName>
    <definedName name="_______________________l12" localSheetId="12">#REF!</definedName>
    <definedName name="_______________________l12" localSheetId="34">#REF!</definedName>
    <definedName name="_______________________l12" localSheetId="19">#REF!</definedName>
    <definedName name="_______________________l12">#REF!</definedName>
    <definedName name="_______________________l3" localSheetId="5">#REF!</definedName>
    <definedName name="_______________________l3" localSheetId="6">#REF!</definedName>
    <definedName name="_______________________l3" localSheetId="12">#REF!</definedName>
    <definedName name="_______________________l3" localSheetId="34">#REF!</definedName>
    <definedName name="_______________________l3" localSheetId="19">#REF!</definedName>
    <definedName name="_______________________l3">#REF!</definedName>
    <definedName name="_______________________l5" localSheetId="5">#REF!</definedName>
    <definedName name="_______________________l5" localSheetId="6">#REF!</definedName>
    <definedName name="_______________________l5" localSheetId="12">#REF!</definedName>
    <definedName name="_______________________l5" localSheetId="34">#REF!</definedName>
    <definedName name="_______________________l5" localSheetId="19">#REF!</definedName>
    <definedName name="_______________________l5">#REF!</definedName>
    <definedName name="_______________________lcn1" localSheetId="27">#REF!</definedName>
    <definedName name="_______________________lcn1">#REF!</definedName>
    <definedName name="_______________________lm1" localSheetId="19">#REF!</definedName>
    <definedName name="_______________________mm20" localSheetId="19">#REF!</definedName>
    <definedName name="_______________________mm40" localSheetId="27">#REF!</definedName>
    <definedName name="_______________________mm40">#REF!</definedName>
    <definedName name="_______________________pc2" localSheetId="5">#REF!</definedName>
    <definedName name="_______________________pc2" localSheetId="6">#REF!</definedName>
    <definedName name="_______________________pc2" localSheetId="12">#REF!</definedName>
    <definedName name="_______________________pc2" localSheetId="34">#REF!</definedName>
    <definedName name="_______________________pc2" localSheetId="19">#REF!</definedName>
    <definedName name="_______________________pc2">#REF!</definedName>
    <definedName name="_______________________pv2" localSheetId="5">#REF!</definedName>
    <definedName name="_______________________pv2" localSheetId="6">#REF!</definedName>
    <definedName name="_______________________pv2" localSheetId="12">#REF!</definedName>
    <definedName name="_______________________pv2" localSheetId="34">#REF!</definedName>
    <definedName name="_______________________pv2" localSheetId="19">#REF!</definedName>
    <definedName name="_______________________pv2">#REF!</definedName>
    <definedName name="_______________________sw1" localSheetId="19">#REF!</definedName>
    <definedName name="_______________________us1" localSheetId="27">#REF!</definedName>
    <definedName name="_______________________us1">#REF!</definedName>
    <definedName name="_______________________var1" localSheetId="5">#REF!</definedName>
    <definedName name="_______________________var1" localSheetId="6">#REF!</definedName>
    <definedName name="_______________________var1" localSheetId="12">#REF!</definedName>
    <definedName name="_______________________var1" localSheetId="34">#REF!</definedName>
    <definedName name="_______________________var1" localSheetId="19">#REF!</definedName>
    <definedName name="_______________________var1">#REF!</definedName>
    <definedName name="_______________________var4" localSheetId="5">#REF!</definedName>
    <definedName name="_______________________var4" localSheetId="6">#REF!</definedName>
    <definedName name="_______________________var4" localSheetId="12">#REF!</definedName>
    <definedName name="_______________________var4" localSheetId="34">#REF!</definedName>
    <definedName name="_______________________var4" localSheetId="19">#REF!</definedName>
    <definedName name="_______________________var4">#REF!</definedName>
    <definedName name="_______________________vat1">#REF!</definedName>
    <definedName name="_______________________vat2">#REF!</definedName>
    <definedName name="_______________________xlfn_BAHTTEXT">#N/A</definedName>
    <definedName name="______________________abs1" localSheetId="6">#REF!</definedName>
    <definedName name="______________________abs1" localSheetId="12">#REF!</definedName>
    <definedName name="______________________abs1" localSheetId="19">#REF!</definedName>
    <definedName name="______________________abs1">#REF!</definedName>
    <definedName name="______________________AUX1">#REF!</definedName>
    <definedName name="______________________aux2" localSheetId="19">#REF!</definedName>
    <definedName name="______________________AUX3">#REF!</definedName>
    <definedName name="______________________can430">40.73</definedName>
    <definedName name="______________________can435">43.3</definedName>
    <definedName name="______________________cbr1" localSheetId="27">#REF!</definedName>
    <definedName name="______________________cbr1">#REF!</definedName>
    <definedName name="______________________cbr2" localSheetId="27">#REF!</definedName>
    <definedName name="______________________cbr2">#REF!</definedName>
    <definedName name="______________________cbr3" localSheetId="27">#REF!</definedName>
    <definedName name="______________________cbr3">#REF!</definedName>
    <definedName name="______________________cbr4">#REF!</definedName>
    <definedName name="______________________er1" localSheetId="27">#REF!</definedName>
    <definedName name="______________________er1">#REF!</definedName>
    <definedName name="______________________ewe1">#REF!</definedName>
    <definedName name="______________________f1">#REF!</definedName>
    <definedName name="______________________gus1">#REF!</definedName>
    <definedName name="______________________hpm1">#REF!</definedName>
    <definedName name="______________________knr2" localSheetId="19">#REF!</definedName>
    <definedName name="______________________l12" localSheetId="5">#REF!</definedName>
    <definedName name="______________________l12" localSheetId="6">#REF!</definedName>
    <definedName name="______________________l12" localSheetId="12">#REF!</definedName>
    <definedName name="______________________l12" localSheetId="34">#REF!</definedName>
    <definedName name="______________________l12" localSheetId="19">#REF!</definedName>
    <definedName name="______________________l12">#REF!</definedName>
    <definedName name="______________________l3" localSheetId="5">#REF!</definedName>
    <definedName name="______________________l3" localSheetId="6">#REF!</definedName>
    <definedName name="______________________l3" localSheetId="12">#REF!</definedName>
    <definedName name="______________________l3" localSheetId="34">#REF!</definedName>
    <definedName name="______________________l3" localSheetId="19">#REF!</definedName>
    <definedName name="______________________l3">#REF!</definedName>
    <definedName name="______________________l5" localSheetId="5">#REF!</definedName>
    <definedName name="______________________l5" localSheetId="6">#REF!</definedName>
    <definedName name="______________________l5" localSheetId="12">#REF!</definedName>
    <definedName name="______________________l5" localSheetId="34">#REF!</definedName>
    <definedName name="______________________l5" localSheetId="19">#REF!</definedName>
    <definedName name="______________________l5">#REF!</definedName>
    <definedName name="______________________lcn1" localSheetId="27">#REF!</definedName>
    <definedName name="______________________lcn1">#REF!</definedName>
    <definedName name="______________________lm1" localSheetId="19">#REF!</definedName>
    <definedName name="______________________mm20" localSheetId="19">#REF!</definedName>
    <definedName name="______________________mm40" localSheetId="27">#REF!</definedName>
    <definedName name="______________________mm40">#REF!</definedName>
    <definedName name="______________________pc2" localSheetId="5">#REF!</definedName>
    <definedName name="______________________pc2" localSheetId="6">#REF!</definedName>
    <definedName name="______________________pc2" localSheetId="12">#REF!</definedName>
    <definedName name="______________________pc2" localSheetId="34">#REF!</definedName>
    <definedName name="______________________pc2" localSheetId="19">#REF!</definedName>
    <definedName name="______________________pc2">#REF!</definedName>
    <definedName name="______________________pv2" localSheetId="5">#REF!</definedName>
    <definedName name="______________________pv2" localSheetId="6">#REF!</definedName>
    <definedName name="______________________pv2" localSheetId="12">#REF!</definedName>
    <definedName name="______________________pv2" localSheetId="34">#REF!</definedName>
    <definedName name="______________________pv2" localSheetId="19">#REF!</definedName>
    <definedName name="______________________pv2">#REF!</definedName>
    <definedName name="______________________sw1" localSheetId="19">#REF!</definedName>
    <definedName name="______________________us1" localSheetId="27">#REF!</definedName>
    <definedName name="______________________us1">#REF!</definedName>
    <definedName name="______________________var1" localSheetId="5">#REF!</definedName>
    <definedName name="______________________var1" localSheetId="6">#REF!</definedName>
    <definedName name="______________________var1" localSheetId="12">#REF!</definedName>
    <definedName name="______________________var1" localSheetId="34">#REF!</definedName>
    <definedName name="______________________var1" localSheetId="19">#REF!</definedName>
    <definedName name="______________________var1">#REF!</definedName>
    <definedName name="______________________var4" localSheetId="5">#REF!</definedName>
    <definedName name="______________________var4" localSheetId="6">#REF!</definedName>
    <definedName name="______________________var4" localSheetId="12">#REF!</definedName>
    <definedName name="______________________var4" localSheetId="34">#REF!</definedName>
    <definedName name="______________________var4" localSheetId="19">#REF!</definedName>
    <definedName name="______________________var4">#REF!</definedName>
    <definedName name="______________________vat1">#REF!</definedName>
    <definedName name="______________________vat2">#REF!</definedName>
    <definedName name="______________________xlfn_BAHTTEXT">#N/A</definedName>
    <definedName name="_____________________abs1" localSheetId="6">#REF!</definedName>
    <definedName name="_____________________abs1" localSheetId="12">#REF!</definedName>
    <definedName name="_____________________abs1" localSheetId="19">#REF!</definedName>
    <definedName name="_____________________abs1">#REF!</definedName>
    <definedName name="_____________________AUX1">#REF!</definedName>
    <definedName name="_____________________aux2" localSheetId="19">#REF!</definedName>
    <definedName name="_____________________AUX3">#REF!</definedName>
    <definedName name="_____________________can430">40.73</definedName>
    <definedName name="_____________________can435">43.3</definedName>
    <definedName name="_____________________cbr1" localSheetId="27">#REF!</definedName>
    <definedName name="_____________________cbr1">#REF!</definedName>
    <definedName name="_____________________cbr2" localSheetId="27">#REF!</definedName>
    <definedName name="_____________________cbr2">#REF!</definedName>
    <definedName name="_____________________cbr3" localSheetId="27">#REF!</definedName>
    <definedName name="_____________________cbr3">#REF!</definedName>
    <definedName name="_____________________cbr4">#REF!</definedName>
    <definedName name="_____________________er1" localSheetId="27">#REF!</definedName>
    <definedName name="_____________________er1">#REF!</definedName>
    <definedName name="_____________________ewe1">#REF!</definedName>
    <definedName name="_____________________f1">#REF!</definedName>
    <definedName name="_____________________gus1">#REF!</definedName>
    <definedName name="_____________________hpm1">#REF!</definedName>
    <definedName name="_____________________knr2" localSheetId="19">#REF!</definedName>
    <definedName name="_____________________l12" localSheetId="5">#REF!</definedName>
    <definedName name="_____________________l12" localSheetId="6">#REF!</definedName>
    <definedName name="_____________________l12" localSheetId="12">#REF!</definedName>
    <definedName name="_____________________l12" localSheetId="34">#REF!</definedName>
    <definedName name="_____________________l12" localSheetId="19">#REF!</definedName>
    <definedName name="_____________________l12">#REF!</definedName>
    <definedName name="_____________________l3" localSheetId="5">#REF!</definedName>
    <definedName name="_____________________l3" localSheetId="6">#REF!</definedName>
    <definedName name="_____________________l3" localSheetId="12">#REF!</definedName>
    <definedName name="_____________________l3" localSheetId="34">#REF!</definedName>
    <definedName name="_____________________l3" localSheetId="19">#REF!</definedName>
    <definedName name="_____________________l3">#REF!</definedName>
    <definedName name="_____________________l5" localSheetId="5">#REF!</definedName>
    <definedName name="_____________________l5" localSheetId="6">#REF!</definedName>
    <definedName name="_____________________l5" localSheetId="12">#REF!</definedName>
    <definedName name="_____________________l5" localSheetId="34">#REF!</definedName>
    <definedName name="_____________________l5" localSheetId="19">#REF!</definedName>
    <definedName name="_____________________l5">#REF!</definedName>
    <definedName name="_____________________lcn1" localSheetId="27">#REF!</definedName>
    <definedName name="_____________________lcn1">#REF!</definedName>
    <definedName name="_____________________lm1" localSheetId="19">#REF!</definedName>
    <definedName name="_____________________mm20" localSheetId="19">#REF!</definedName>
    <definedName name="_____________________mm40" localSheetId="27">#REF!</definedName>
    <definedName name="_____________________mm40">#REF!</definedName>
    <definedName name="_____________________pc2" localSheetId="5">#REF!</definedName>
    <definedName name="_____________________pc2" localSheetId="6">#REF!</definedName>
    <definedName name="_____________________pc2" localSheetId="12">#REF!</definedName>
    <definedName name="_____________________pc2" localSheetId="34">#REF!</definedName>
    <definedName name="_____________________pc2" localSheetId="19">#REF!</definedName>
    <definedName name="_____________________pc2">#REF!</definedName>
    <definedName name="_____________________pv2" localSheetId="5">#REF!</definedName>
    <definedName name="_____________________pv2" localSheetId="6">#REF!</definedName>
    <definedName name="_____________________pv2" localSheetId="12">#REF!</definedName>
    <definedName name="_____________________pv2" localSheetId="34">#REF!</definedName>
    <definedName name="_____________________pv2" localSheetId="19">#REF!</definedName>
    <definedName name="_____________________pv2">#REF!</definedName>
    <definedName name="_____________________sw1" localSheetId="19">#REF!</definedName>
    <definedName name="_____________________us1" localSheetId="27">#REF!</definedName>
    <definedName name="_____________________us1">#REF!</definedName>
    <definedName name="_____________________var1" localSheetId="5">#REF!</definedName>
    <definedName name="_____________________var1" localSheetId="6">#REF!</definedName>
    <definedName name="_____________________var1" localSheetId="12">#REF!</definedName>
    <definedName name="_____________________var1" localSheetId="34">#REF!</definedName>
    <definedName name="_____________________var1" localSheetId="19">#REF!</definedName>
    <definedName name="_____________________var1">#REF!</definedName>
    <definedName name="_____________________var4" localSheetId="5">#REF!</definedName>
    <definedName name="_____________________var4" localSheetId="6">#REF!</definedName>
    <definedName name="_____________________var4" localSheetId="12">#REF!</definedName>
    <definedName name="_____________________var4" localSheetId="34">#REF!</definedName>
    <definedName name="_____________________var4" localSheetId="19">#REF!</definedName>
    <definedName name="_____________________var4">#REF!</definedName>
    <definedName name="_____________________vat1">#REF!</definedName>
    <definedName name="_____________________vat2">#REF!</definedName>
    <definedName name="_____________________xlfn_BAHTTEXT">#N/A</definedName>
    <definedName name="____________________abs1" localSheetId="6">#REF!</definedName>
    <definedName name="____________________abs1" localSheetId="12">#REF!</definedName>
    <definedName name="____________________abs1" localSheetId="19">#REF!</definedName>
    <definedName name="____________________abs1">#REF!</definedName>
    <definedName name="____________________AUX1" localSheetId="19">#REF!</definedName>
    <definedName name="____________________aux2" localSheetId="19">#REF!</definedName>
    <definedName name="____________________AUX3">#REF!</definedName>
    <definedName name="____________________can430">40.73</definedName>
    <definedName name="____________________can435">43.3</definedName>
    <definedName name="____________________cbr1" localSheetId="27">#REF!</definedName>
    <definedName name="____________________cbr1">#REF!</definedName>
    <definedName name="____________________cbr2" localSheetId="27">#REF!</definedName>
    <definedName name="____________________cbr2">#REF!</definedName>
    <definedName name="____________________cbr3" localSheetId="27">#REF!</definedName>
    <definedName name="____________________cbr3">#REF!</definedName>
    <definedName name="____________________cbr4">#REF!</definedName>
    <definedName name="____________________er1" localSheetId="27">#REF!</definedName>
    <definedName name="____________________er1">#REF!</definedName>
    <definedName name="____________________ewe1">#REF!</definedName>
    <definedName name="____________________f1">#REF!</definedName>
    <definedName name="____________________gus1">#REF!</definedName>
    <definedName name="____________________hpm1">#REF!</definedName>
    <definedName name="____________________knr2" localSheetId="19">#REF!</definedName>
    <definedName name="____________________l12" localSheetId="5">#REF!</definedName>
    <definedName name="____________________l12" localSheetId="6">#REF!</definedName>
    <definedName name="____________________l12" localSheetId="12">#REF!</definedName>
    <definedName name="____________________l12" localSheetId="34">#REF!</definedName>
    <definedName name="____________________l12" localSheetId="19">#REF!</definedName>
    <definedName name="____________________l12">#REF!</definedName>
    <definedName name="____________________l3" localSheetId="5">#REF!</definedName>
    <definedName name="____________________l3" localSheetId="6">#REF!</definedName>
    <definedName name="____________________l3" localSheetId="12">#REF!</definedName>
    <definedName name="____________________l3" localSheetId="34">#REF!</definedName>
    <definedName name="____________________l3" localSheetId="19">#REF!</definedName>
    <definedName name="____________________l3">#REF!</definedName>
    <definedName name="____________________l5" localSheetId="5">#REF!</definedName>
    <definedName name="____________________l5" localSheetId="6">#REF!</definedName>
    <definedName name="____________________l5" localSheetId="12">#REF!</definedName>
    <definedName name="____________________l5" localSheetId="34">#REF!</definedName>
    <definedName name="____________________l5" localSheetId="19">#REF!</definedName>
    <definedName name="____________________l5">#REF!</definedName>
    <definedName name="____________________lcn1" localSheetId="27">#REF!</definedName>
    <definedName name="____________________lcn1">#REF!</definedName>
    <definedName name="____________________lm1" localSheetId="19">#REF!</definedName>
    <definedName name="____________________mm20" localSheetId="19">#REF!</definedName>
    <definedName name="____________________mm40" localSheetId="27">#REF!</definedName>
    <definedName name="____________________mm40">#REF!</definedName>
    <definedName name="____________________pc2" localSheetId="5">#REF!</definedName>
    <definedName name="____________________pc2" localSheetId="6">#REF!</definedName>
    <definedName name="____________________pc2" localSheetId="12">#REF!</definedName>
    <definedName name="____________________pc2" localSheetId="34">#REF!</definedName>
    <definedName name="____________________pc2" localSheetId="19">#REF!</definedName>
    <definedName name="____________________pc2">#REF!</definedName>
    <definedName name="____________________pv2" localSheetId="5">#REF!</definedName>
    <definedName name="____________________pv2" localSheetId="6">#REF!</definedName>
    <definedName name="____________________pv2" localSheetId="12">#REF!</definedName>
    <definedName name="____________________pv2" localSheetId="34">#REF!</definedName>
    <definedName name="____________________pv2" localSheetId="19">#REF!</definedName>
    <definedName name="____________________pv2">#REF!</definedName>
    <definedName name="____________________sw1" localSheetId="19">#REF!</definedName>
    <definedName name="____________________us1" localSheetId="27">#REF!</definedName>
    <definedName name="____________________us1">#REF!</definedName>
    <definedName name="____________________var1" localSheetId="5">#REF!</definedName>
    <definedName name="____________________var1" localSheetId="6">#REF!</definedName>
    <definedName name="____________________var1" localSheetId="12">#REF!</definedName>
    <definedName name="____________________var1" localSheetId="34">#REF!</definedName>
    <definedName name="____________________var1" localSheetId="19">#REF!</definedName>
    <definedName name="____________________var1">#REF!</definedName>
    <definedName name="____________________var4" localSheetId="5">#REF!</definedName>
    <definedName name="____________________var4" localSheetId="6">#REF!</definedName>
    <definedName name="____________________var4" localSheetId="12">#REF!</definedName>
    <definedName name="____________________var4" localSheetId="34">#REF!</definedName>
    <definedName name="____________________var4" localSheetId="19">#REF!</definedName>
    <definedName name="____________________var4">#REF!</definedName>
    <definedName name="____________________vat1">#REF!</definedName>
    <definedName name="____________________vat2">#REF!</definedName>
    <definedName name="____________________xlfn_BAHTTEXT">#N/A</definedName>
    <definedName name="___________________abs1" localSheetId="6">#REF!</definedName>
    <definedName name="___________________abs1" localSheetId="12">#REF!</definedName>
    <definedName name="___________________abs1" localSheetId="19">#REF!</definedName>
    <definedName name="___________________abs1">#REF!</definedName>
    <definedName name="___________________AUX1" localSheetId="19">#REF!</definedName>
    <definedName name="___________________aux2" localSheetId="19">#REF!</definedName>
    <definedName name="___________________AUX3">#REF!</definedName>
    <definedName name="___________________can430">40.73</definedName>
    <definedName name="___________________can435">43.3</definedName>
    <definedName name="___________________cbr1" localSheetId="27">#REF!</definedName>
    <definedName name="___________________cbr1">#REF!</definedName>
    <definedName name="___________________cbr2" localSheetId="27">#REF!</definedName>
    <definedName name="___________________cbr2">#REF!</definedName>
    <definedName name="___________________cbr3" localSheetId="27">#REF!</definedName>
    <definedName name="___________________cbr3">#REF!</definedName>
    <definedName name="___________________cbr4">#REF!</definedName>
    <definedName name="___________________er1" localSheetId="27">#REF!</definedName>
    <definedName name="___________________er1">#REF!</definedName>
    <definedName name="___________________ewe1">#REF!</definedName>
    <definedName name="___________________f1">#REF!</definedName>
    <definedName name="___________________gus1">#REF!</definedName>
    <definedName name="___________________hpm1">#REF!</definedName>
    <definedName name="___________________knr2" localSheetId="6">#REF!</definedName>
    <definedName name="___________________knr2" localSheetId="12">#REF!</definedName>
    <definedName name="___________________knr2" localSheetId="19">#REF!</definedName>
    <definedName name="___________________knr2">#REF!</definedName>
    <definedName name="___________________l12" localSheetId="5">#REF!</definedName>
    <definedName name="___________________l12" localSheetId="6">#REF!</definedName>
    <definedName name="___________________l12" localSheetId="12">#REF!</definedName>
    <definedName name="___________________l12" localSheetId="34">#REF!</definedName>
    <definedName name="___________________l12" localSheetId="19">#REF!</definedName>
    <definedName name="___________________l12">#REF!</definedName>
    <definedName name="___________________l3" localSheetId="5">#REF!</definedName>
    <definedName name="___________________l3" localSheetId="6">#REF!</definedName>
    <definedName name="___________________l3" localSheetId="12">#REF!</definedName>
    <definedName name="___________________l3" localSheetId="34">#REF!</definedName>
    <definedName name="___________________l3" localSheetId="19">#REF!</definedName>
    <definedName name="___________________l3">#REF!</definedName>
    <definedName name="___________________l5" localSheetId="5">#REF!</definedName>
    <definedName name="___________________l5" localSheetId="6">#REF!</definedName>
    <definedName name="___________________l5" localSheetId="12">#REF!</definedName>
    <definedName name="___________________l5" localSheetId="34">#REF!</definedName>
    <definedName name="___________________l5" localSheetId="19">#REF!</definedName>
    <definedName name="___________________l5">#REF!</definedName>
    <definedName name="___________________lcn1" localSheetId="27">#REF!</definedName>
    <definedName name="___________________lcn1">#REF!</definedName>
    <definedName name="___________________lm1" localSheetId="19">#REF!</definedName>
    <definedName name="___________________mm20" localSheetId="19">#REF!</definedName>
    <definedName name="___________________mm40" localSheetId="27">#REF!</definedName>
    <definedName name="___________________mm40">#REF!</definedName>
    <definedName name="___________________pc2" localSheetId="5">#REF!</definedName>
    <definedName name="___________________pc2" localSheetId="6">#REF!</definedName>
    <definedName name="___________________pc2" localSheetId="12">#REF!</definedName>
    <definedName name="___________________pc2" localSheetId="34">#REF!</definedName>
    <definedName name="___________________pc2" localSheetId="19">#REF!</definedName>
    <definedName name="___________________pc2">#REF!</definedName>
    <definedName name="___________________pv2" localSheetId="5">#REF!</definedName>
    <definedName name="___________________pv2" localSheetId="6">#REF!</definedName>
    <definedName name="___________________pv2" localSheetId="12">#REF!</definedName>
    <definedName name="___________________pv2" localSheetId="34">#REF!</definedName>
    <definedName name="___________________pv2" localSheetId="19">#REF!</definedName>
    <definedName name="___________________pv2">#REF!</definedName>
    <definedName name="___________________sw1" localSheetId="19">#REF!</definedName>
    <definedName name="___________________us1" localSheetId="27">#REF!</definedName>
    <definedName name="___________________us1">#REF!</definedName>
    <definedName name="___________________var1" localSheetId="5">#REF!</definedName>
    <definedName name="___________________var1" localSheetId="6">#REF!</definedName>
    <definedName name="___________________var1" localSheetId="12">#REF!</definedName>
    <definedName name="___________________var1" localSheetId="34">#REF!</definedName>
    <definedName name="___________________var1" localSheetId="19">#REF!</definedName>
    <definedName name="___________________var1">#REF!</definedName>
    <definedName name="___________________var4" localSheetId="5">#REF!</definedName>
    <definedName name="___________________var4" localSheetId="6">#REF!</definedName>
    <definedName name="___________________var4" localSheetId="12">#REF!</definedName>
    <definedName name="___________________var4" localSheetId="34">#REF!</definedName>
    <definedName name="___________________var4" localSheetId="19">#REF!</definedName>
    <definedName name="___________________var4">#REF!</definedName>
    <definedName name="___________________vat1">#REF!</definedName>
    <definedName name="___________________vat2">#REF!</definedName>
    <definedName name="___________________xlfn_BAHTTEXT">#N/A</definedName>
    <definedName name="__________________abs1" localSheetId="6">#REF!</definedName>
    <definedName name="__________________abs1" localSheetId="12">#REF!</definedName>
    <definedName name="__________________abs1" localSheetId="19">#REF!</definedName>
    <definedName name="__________________abs1">#REF!</definedName>
    <definedName name="__________________AUX1" localSheetId="19">#REF!</definedName>
    <definedName name="__________________aux2" localSheetId="19">#REF!</definedName>
    <definedName name="__________________AUX3">#REF!</definedName>
    <definedName name="__________________can430">40.73</definedName>
    <definedName name="__________________can435">43.3</definedName>
    <definedName name="__________________cbr1" localSheetId="27">#REF!</definedName>
    <definedName name="__________________cbr1">#REF!</definedName>
    <definedName name="__________________cbr2" localSheetId="27">#REF!</definedName>
    <definedName name="__________________cbr2">#REF!</definedName>
    <definedName name="__________________cbr3" localSheetId="27">#REF!</definedName>
    <definedName name="__________________cbr3">#REF!</definedName>
    <definedName name="__________________cbr4">#REF!</definedName>
    <definedName name="__________________er1" localSheetId="27">#REF!</definedName>
    <definedName name="__________________er1">#REF!</definedName>
    <definedName name="__________________ewe1">#REF!</definedName>
    <definedName name="__________________f1">#REF!</definedName>
    <definedName name="__________________gus1">#REF!</definedName>
    <definedName name="__________________hpm1">#REF!</definedName>
    <definedName name="__________________knr2" localSheetId="6">#REF!</definedName>
    <definedName name="__________________knr2" localSheetId="12">#REF!</definedName>
    <definedName name="__________________knr2" localSheetId="19">#REF!</definedName>
    <definedName name="__________________knr2">#REF!</definedName>
    <definedName name="__________________l12" localSheetId="5">#REF!</definedName>
    <definedName name="__________________l12" localSheetId="6">#REF!</definedName>
    <definedName name="__________________l12" localSheetId="12">#REF!</definedName>
    <definedName name="__________________l12" localSheetId="34">#REF!</definedName>
    <definedName name="__________________l12" localSheetId="19">#REF!</definedName>
    <definedName name="__________________l12">#REF!</definedName>
    <definedName name="__________________l3" localSheetId="5">#REF!</definedName>
    <definedName name="__________________l3" localSheetId="6">#REF!</definedName>
    <definedName name="__________________l3" localSheetId="12">#REF!</definedName>
    <definedName name="__________________l3" localSheetId="34">#REF!</definedName>
    <definedName name="__________________l3" localSheetId="19">#REF!</definedName>
    <definedName name="__________________l3">#REF!</definedName>
    <definedName name="__________________l5" localSheetId="5">#REF!</definedName>
    <definedName name="__________________l5" localSheetId="6">#REF!</definedName>
    <definedName name="__________________l5" localSheetId="12">#REF!</definedName>
    <definedName name="__________________l5" localSheetId="34">#REF!</definedName>
    <definedName name="__________________l5" localSheetId="19">#REF!</definedName>
    <definedName name="__________________l5">#REF!</definedName>
    <definedName name="__________________lcn1" localSheetId="27">#REF!</definedName>
    <definedName name="__________________lcn1">#REF!</definedName>
    <definedName name="__________________lm1" localSheetId="19">#REF!</definedName>
    <definedName name="__________________mm20" localSheetId="19">#REF!</definedName>
    <definedName name="__________________mm40" localSheetId="27">#REF!</definedName>
    <definedName name="__________________mm40">#REF!</definedName>
    <definedName name="__________________pc2" localSheetId="5">#REF!</definedName>
    <definedName name="__________________pc2" localSheetId="6">#REF!</definedName>
    <definedName name="__________________pc2" localSheetId="12">#REF!</definedName>
    <definedName name="__________________pc2" localSheetId="34">#REF!</definedName>
    <definedName name="__________________pc2" localSheetId="19">#REF!</definedName>
    <definedName name="__________________pc2">#REF!</definedName>
    <definedName name="__________________pv2" localSheetId="5">#REF!</definedName>
    <definedName name="__________________pv2" localSheetId="6">#REF!</definedName>
    <definedName name="__________________pv2" localSheetId="12">#REF!</definedName>
    <definedName name="__________________pv2" localSheetId="34">#REF!</definedName>
    <definedName name="__________________pv2" localSheetId="19">#REF!</definedName>
    <definedName name="__________________pv2">#REF!</definedName>
    <definedName name="__________________sw1" localSheetId="19">#REF!</definedName>
    <definedName name="__________________us1" localSheetId="27">#REF!</definedName>
    <definedName name="__________________us1">#REF!</definedName>
    <definedName name="__________________var1" localSheetId="5">#REF!</definedName>
    <definedName name="__________________var1" localSheetId="6">#REF!</definedName>
    <definedName name="__________________var1" localSheetId="12">#REF!</definedName>
    <definedName name="__________________var1" localSheetId="34">#REF!</definedName>
    <definedName name="__________________var1" localSheetId="19">#REF!</definedName>
    <definedName name="__________________var1">#REF!</definedName>
    <definedName name="__________________var4" localSheetId="5">#REF!</definedName>
    <definedName name="__________________var4" localSheetId="6">#REF!</definedName>
    <definedName name="__________________var4" localSheetId="12">#REF!</definedName>
    <definedName name="__________________var4" localSheetId="34">#REF!</definedName>
    <definedName name="__________________var4" localSheetId="19">#REF!</definedName>
    <definedName name="__________________var4">#REF!</definedName>
    <definedName name="__________________vat1">#REF!</definedName>
    <definedName name="__________________vat2">#REF!</definedName>
    <definedName name="__________________xlfn_BAHTTEXT">#N/A</definedName>
    <definedName name="_________________abs1" localSheetId="6">#REF!</definedName>
    <definedName name="_________________abs1" localSheetId="12">#REF!</definedName>
    <definedName name="_________________abs1" localSheetId="19">#REF!</definedName>
    <definedName name="_________________abs1">#REF!</definedName>
    <definedName name="_________________AUX1" localSheetId="19">#REF!</definedName>
    <definedName name="_________________aux2" localSheetId="19">#REF!</definedName>
    <definedName name="_________________AUX3">#REF!</definedName>
    <definedName name="_________________can430">40.73</definedName>
    <definedName name="_________________can435">43.3</definedName>
    <definedName name="_________________cbr1" localSheetId="27">#REF!</definedName>
    <definedName name="_________________cbr1">#REF!</definedName>
    <definedName name="_________________cbr2" localSheetId="27">#REF!</definedName>
    <definedName name="_________________cbr2">#REF!</definedName>
    <definedName name="_________________cbr3" localSheetId="27">#REF!</definedName>
    <definedName name="_________________cbr3">#REF!</definedName>
    <definedName name="_________________cbr4">#REF!</definedName>
    <definedName name="_________________er1" localSheetId="27">#REF!</definedName>
    <definedName name="_________________er1">#REF!</definedName>
    <definedName name="_________________ewe1">#REF!</definedName>
    <definedName name="_________________f1">#REF!</definedName>
    <definedName name="_________________gus1">#REF!</definedName>
    <definedName name="_________________hpm1">#REF!</definedName>
    <definedName name="_________________knr2" localSheetId="6">#REF!</definedName>
    <definedName name="_________________knr2" localSheetId="12">#REF!</definedName>
    <definedName name="_________________knr2" localSheetId="19">#REF!</definedName>
    <definedName name="_________________knr2">#REF!</definedName>
    <definedName name="_________________l12" localSheetId="5">#REF!</definedName>
    <definedName name="_________________l12" localSheetId="6">#REF!</definedName>
    <definedName name="_________________l12" localSheetId="12">#REF!</definedName>
    <definedName name="_________________l12" localSheetId="34">#REF!</definedName>
    <definedName name="_________________l12" localSheetId="19">#REF!</definedName>
    <definedName name="_________________l12">#REF!</definedName>
    <definedName name="_________________l3" localSheetId="5">#REF!</definedName>
    <definedName name="_________________l3" localSheetId="6">#REF!</definedName>
    <definedName name="_________________l3" localSheetId="12">#REF!</definedName>
    <definedName name="_________________l3" localSheetId="34">#REF!</definedName>
    <definedName name="_________________l3" localSheetId="19">#REF!</definedName>
    <definedName name="_________________l3">#REF!</definedName>
    <definedName name="_________________l5" localSheetId="5">#REF!</definedName>
    <definedName name="_________________l5" localSheetId="6">#REF!</definedName>
    <definedName name="_________________l5" localSheetId="12">#REF!</definedName>
    <definedName name="_________________l5" localSheetId="34">#REF!</definedName>
    <definedName name="_________________l5" localSheetId="19">#REF!</definedName>
    <definedName name="_________________l5">#REF!</definedName>
    <definedName name="_________________lcn1" localSheetId="27">#REF!</definedName>
    <definedName name="_________________lcn1">#REF!</definedName>
    <definedName name="_________________lm1" localSheetId="19">#REF!</definedName>
    <definedName name="_________________mm20" localSheetId="19">#REF!</definedName>
    <definedName name="_________________mm40" localSheetId="27">#REF!</definedName>
    <definedName name="_________________mm40">#REF!</definedName>
    <definedName name="_________________pc2" localSheetId="5">#REF!</definedName>
    <definedName name="_________________pc2" localSheetId="6">#REF!</definedName>
    <definedName name="_________________pc2" localSheetId="12">#REF!</definedName>
    <definedName name="_________________pc2" localSheetId="34">#REF!</definedName>
    <definedName name="_________________pc2" localSheetId="19">#REF!</definedName>
    <definedName name="_________________pc2">#REF!</definedName>
    <definedName name="_________________pv2" localSheetId="5">#REF!</definedName>
    <definedName name="_________________pv2" localSheetId="6">#REF!</definedName>
    <definedName name="_________________pv2" localSheetId="12">#REF!</definedName>
    <definedName name="_________________pv2" localSheetId="34">#REF!</definedName>
    <definedName name="_________________pv2" localSheetId="19">#REF!</definedName>
    <definedName name="_________________pv2">#REF!</definedName>
    <definedName name="_________________sw1" localSheetId="19">#REF!</definedName>
    <definedName name="_________________us1" localSheetId="27">#REF!</definedName>
    <definedName name="_________________us1">#REF!</definedName>
    <definedName name="_________________var1" localSheetId="5">#REF!</definedName>
    <definedName name="_________________var1" localSheetId="6">#REF!</definedName>
    <definedName name="_________________var1" localSheetId="12">#REF!</definedName>
    <definedName name="_________________var1" localSheetId="34">#REF!</definedName>
    <definedName name="_________________var1" localSheetId="19">#REF!</definedName>
    <definedName name="_________________var1">#REF!</definedName>
    <definedName name="_________________var4" localSheetId="5">#REF!</definedName>
    <definedName name="_________________var4" localSheetId="6">#REF!</definedName>
    <definedName name="_________________var4" localSheetId="12">#REF!</definedName>
    <definedName name="_________________var4" localSheetId="34">#REF!</definedName>
    <definedName name="_________________var4" localSheetId="19">#REF!</definedName>
    <definedName name="_________________var4">#REF!</definedName>
    <definedName name="_________________vat1">#REF!</definedName>
    <definedName name="_________________vat2">#REF!</definedName>
    <definedName name="_________________xlfn_BAHTTEXT">#N/A</definedName>
    <definedName name="________________abs1" localSheetId="6">#REF!</definedName>
    <definedName name="________________abs1" localSheetId="12">#REF!</definedName>
    <definedName name="________________abs1" localSheetId="19">#REF!</definedName>
    <definedName name="________________abs1">#REF!</definedName>
    <definedName name="________________AUX1" localSheetId="19">#REF!</definedName>
    <definedName name="________________aux2" localSheetId="19">#REF!</definedName>
    <definedName name="________________AUX3">#REF!</definedName>
    <definedName name="________________can430">40.73</definedName>
    <definedName name="________________can435">43.3</definedName>
    <definedName name="________________cbr1" localSheetId="27">#REF!</definedName>
    <definedName name="________________cbr1">#REF!</definedName>
    <definedName name="________________cbr2" localSheetId="27">#REF!</definedName>
    <definedName name="________________cbr2">#REF!</definedName>
    <definedName name="________________cbr3" localSheetId="27">#REF!</definedName>
    <definedName name="________________cbr3">#REF!</definedName>
    <definedName name="________________cbr4">#REF!</definedName>
    <definedName name="________________er1" localSheetId="27">#REF!</definedName>
    <definedName name="________________er1">#REF!</definedName>
    <definedName name="________________ewe1">#REF!</definedName>
    <definedName name="________________f1">#REF!</definedName>
    <definedName name="________________gus1">#REF!</definedName>
    <definedName name="________________hpm1">#REF!</definedName>
    <definedName name="________________knr2" localSheetId="6">#REF!</definedName>
    <definedName name="________________knr2" localSheetId="12">#REF!</definedName>
    <definedName name="________________knr2" localSheetId="19">#REF!</definedName>
    <definedName name="________________knr2">#REF!</definedName>
    <definedName name="________________l12" localSheetId="5">#REF!</definedName>
    <definedName name="________________l12" localSheetId="6">#REF!</definedName>
    <definedName name="________________l12" localSheetId="12">#REF!</definedName>
    <definedName name="________________l12" localSheetId="34">#REF!</definedName>
    <definedName name="________________l12" localSheetId="19">#REF!</definedName>
    <definedName name="________________l12">#REF!</definedName>
    <definedName name="________________l3" localSheetId="5">#REF!</definedName>
    <definedName name="________________l3" localSheetId="6">#REF!</definedName>
    <definedName name="________________l3" localSheetId="12">#REF!</definedName>
    <definedName name="________________l3" localSheetId="34">#REF!</definedName>
    <definedName name="________________l3" localSheetId="19">#REF!</definedName>
    <definedName name="________________l3">#REF!</definedName>
    <definedName name="________________l5" localSheetId="5">#REF!</definedName>
    <definedName name="________________l5" localSheetId="6">#REF!</definedName>
    <definedName name="________________l5" localSheetId="12">#REF!</definedName>
    <definedName name="________________l5" localSheetId="34">#REF!</definedName>
    <definedName name="________________l5" localSheetId="19">#REF!</definedName>
    <definedName name="________________l5">#REF!</definedName>
    <definedName name="________________lcn1" localSheetId="27">#REF!</definedName>
    <definedName name="________________lcn1">#REF!</definedName>
    <definedName name="________________lm1" localSheetId="19">#REF!</definedName>
    <definedName name="________________mm20" localSheetId="19">#REF!</definedName>
    <definedName name="________________mm40" localSheetId="27">#REF!</definedName>
    <definedName name="________________mm40">#REF!</definedName>
    <definedName name="________________pc2" localSheetId="5">#REF!</definedName>
    <definedName name="________________pc2" localSheetId="6">#REF!</definedName>
    <definedName name="________________pc2" localSheetId="12">#REF!</definedName>
    <definedName name="________________pc2" localSheetId="34">#REF!</definedName>
    <definedName name="________________pc2" localSheetId="19">#REF!</definedName>
    <definedName name="________________pc2">#REF!</definedName>
    <definedName name="________________PMS2" localSheetId="6">#REF!</definedName>
    <definedName name="________________PMS2" localSheetId="12">#REF!</definedName>
    <definedName name="________________PMS2" localSheetId="19">#REF!</definedName>
    <definedName name="________________PMS2">#REF!</definedName>
    <definedName name="________________pv2" localSheetId="5">#REF!</definedName>
    <definedName name="________________pv2" localSheetId="6">#REF!</definedName>
    <definedName name="________________pv2" localSheetId="12">#REF!</definedName>
    <definedName name="________________pv2" localSheetId="34">#REF!</definedName>
    <definedName name="________________pv2" localSheetId="19">#REF!</definedName>
    <definedName name="________________pv2">#REF!</definedName>
    <definedName name="________________sw1" localSheetId="19">#REF!</definedName>
    <definedName name="________________us1" localSheetId="27">#REF!</definedName>
    <definedName name="________________us1">#REF!</definedName>
    <definedName name="________________var1" localSheetId="5">#REF!</definedName>
    <definedName name="________________var1" localSheetId="6">#REF!</definedName>
    <definedName name="________________var1" localSheetId="12">#REF!</definedName>
    <definedName name="________________var1" localSheetId="34">#REF!</definedName>
    <definedName name="________________var1" localSheetId="19">#REF!</definedName>
    <definedName name="________________var1">#REF!</definedName>
    <definedName name="________________var4" localSheetId="5">#REF!</definedName>
    <definedName name="________________var4" localSheetId="6">#REF!</definedName>
    <definedName name="________________var4" localSheetId="12">#REF!</definedName>
    <definedName name="________________var4" localSheetId="34">#REF!</definedName>
    <definedName name="________________var4" localSheetId="19">#REF!</definedName>
    <definedName name="________________var4">#REF!</definedName>
    <definedName name="________________vat1">#REF!</definedName>
    <definedName name="________________vat2">#REF!</definedName>
    <definedName name="________________xlfn_BAHTTEXT">#N/A</definedName>
    <definedName name="_______________abs1" localSheetId="6">#REF!</definedName>
    <definedName name="_______________abs1" localSheetId="12">#REF!</definedName>
    <definedName name="_______________abs1" localSheetId="19">#REF!</definedName>
    <definedName name="_______________abs1">#REF!</definedName>
    <definedName name="_______________AUX1" localSheetId="19">#REF!</definedName>
    <definedName name="_______________aux2" localSheetId="19">#REF!</definedName>
    <definedName name="_______________AUX3">#REF!</definedName>
    <definedName name="_______________BSG100" localSheetId="6">#REF!</definedName>
    <definedName name="_______________BSG100" localSheetId="12">#REF!</definedName>
    <definedName name="_______________BSG100" localSheetId="19">#REF!</definedName>
    <definedName name="_______________BSG100">#REF!</definedName>
    <definedName name="_______________BSG150" localSheetId="6">#REF!</definedName>
    <definedName name="_______________BSG150" localSheetId="12">#REF!</definedName>
    <definedName name="_______________BSG150" localSheetId="19">#REF!</definedName>
    <definedName name="_______________BSG150">#REF!</definedName>
    <definedName name="_______________BSG5" localSheetId="6">#REF!</definedName>
    <definedName name="_______________BSG5" localSheetId="12">#REF!</definedName>
    <definedName name="_______________BSG5" localSheetId="19">#REF!</definedName>
    <definedName name="_______________BSG5">#REF!</definedName>
    <definedName name="_______________BSG75" localSheetId="6">#REF!</definedName>
    <definedName name="_______________BSG75" localSheetId="12">#REF!</definedName>
    <definedName name="_______________BSG75" localSheetId="19">#REF!</definedName>
    <definedName name="_______________BSG75">#REF!</definedName>
    <definedName name="_______________BTC1" localSheetId="6">#REF!</definedName>
    <definedName name="_______________BTC1" localSheetId="12">#REF!</definedName>
    <definedName name="_______________BTC1" localSheetId="19">#REF!</definedName>
    <definedName name="_______________BTC1">#REF!</definedName>
    <definedName name="_______________BTC10" localSheetId="6">#REF!</definedName>
    <definedName name="_______________BTC10" localSheetId="12">#REF!</definedName>
    <definedName name="_______________BTC10" localSheetId="19">#REF!</definedName>
    <definedName name="_______________BTC10">#REF!</definedName>
    <definedName name="_______________BTC11" localSheetId="6">#REF!</definedName>
    <definedName name="_______________BTC11" localSheetId="12">#REF!</definedName>
    <definedName name="_______________BTC11" localSheetId="19">#REF!</definedName>
    <definedName name="_______________BTC11">#REF!</definedName>
    <definedName name="_______________BTC12" localSheetId="6">#REF!</definedName>
    <definedName name="_______________BTC12" localSheetId="12">#REF!</definedName>
    <definedName name="_______________BTC12" localSheetId="19">#REF!</definedName>
    <definedName name="_______________BTC12">#REF!</definedName>
    <definedName name="_______________BTC13" localSheetId="6">#REF!</definedName>
    <definedName name="_______________BTC13" localSheetId="12">#REF!</definedName>
    <definedName name="_______________BTC13" localSheetId="19">#REF!</definedName>
    <definedName name="_______________BTC13">#REF!</definedName>
    <definedName name="_______________BTC14" localSheetId="6">#REF!</definedName>
    <definedName name="_______________BTC14" localSheetId="12">#REF!</definedName>
    <definedName name="_______________BTC14" localSheetId="19">#REF!</definedName>
    <definedName name="_______________BTC14">#REF!</definedName>
    <definedName name="_______________BTC15" localSheetId="6">#REF!</definedName>
    <definedName name="_______________BTC15" localSheetId="12">#REF!</definedName>
    <definedName name="_______________BTC15" localSheetId="19">#REF!</definedName>
    <definedName name="_______________BTC15">#REF!</definedName>
    <definedName name="_______________BTC2" localSheetId="6">#REF!</definedName>
    <definedName name="_______________BTC2" localSheetId="12">#REF!</definedName>
    <definedName name="_______________BTC2" localSheetId="19">#REF!</definedName>
    <definedName name="_______________BTC2">#REF!</definedName>
    <definedName name="_______________BTC3" localSheetId="6">#REF!</definedName>
    <definedName name="_______________BTC3" localSheetId="12">#REF!</definedName>
    <definedName name="_______________BTC3" localSheetId="19">#REF!</definedName>
    <definedName name="_______________BTC3">#REF!</definedName>
    <definedName name="_______________BTC4" localSheetId="6">#REF!</definedName>
    <definedName name="_______________BTC4" localSheetId="12">#REF!</definedName>
    <definedName name="_______________BTC4" localSheetId="19">#REF!</definedName>
    <definedName name="_______________BTC4">#REF!</definedName>
    <definedName name="_______________BTC5" localSheetId="6">#REF!</definedName>
    <definedName name="_______________BTC5" localSheetId="12">#REF!</definedName>
    <definedName name="_______________BTC5" localSheetId="19">#REF!</definedName>
    <definedName name="_______________BTC5">#REF!</definedName>
    <definedName name="_______________BTC6" localSheetId="6">#REF!</definedName>
    <definedName name="_______________BTC6" localSheetId="12">#REF!</definedName>
    <definedName name="_______________BTC6" localSheetId="19">#REF!</definedName>
    <definedName name="_______________BTC6">#REF!</definedName>
    <definedName name="_______________BTC7" localSheetId="6">#REF!</definedName>
    <definedName name="_______________BTC7" localSheetId="12">#REF!</definedName>
    <definedName name="_______________BTC7" localSheetId="19">#REF!</definedName>
    <definedName name="_______________BTC7">#REF!</definedName>
    <definedName name="_______________BTC8" localSheetId="6">#REF!</definedName>
    <definedName name="_______________BTC8" localSheetId="12">#REF!</definedName>
    <definedName name="_______________BTC8" localSheetId="19">#REF!</definedName>
    <definedName name="_______________BTC8">#REF!</definedName>
    <definedName name="_______________BTC9" localSheetId="6">#REF!</definedName>
    <definedName name="_______________BTC9" localSheetId="12">#REF!</definedName>
    <definedName name="_______________BTC9" localSheetId="19">#REF!</definedName>
    <definedName name="_______________BTC9">#REF!</definedName>
    <definedName name="_______________BTS1" localSheetId="6">#REF!</definedName>
    <definedName name="_______________BTS1" localSheetId="12">#REF!</definedName>
    <definedName name="_______________BTS1" localSheetId="19">#REF!</definedName>
    <definedName name="_______________BTS1">#REF!</definedName>
    <definedName name="_______________BTS10" localSheetId="6">#REF!</definedName>
    <definedName name="_______________BTS10" localSheetId="12">#REF!</definedName>
    <definedName name="_______________BTS10" localSheetId="19">#REF!</definedName>
    <definedName name="_______________BTS10">#REF!</definedName>
    <definedName name="_______________BTS11" localSheetId="6">#REF!</definedName>
    <definedName name="_______________BTS11" localSheetId="12">#REF!</definedName>
    <definedName name="_______________BTS11" localSheetId="19">#REF!</definedName>
    <definedName name="_______________BTS11">#REF!</definedName>
    <definedName name="_______________BTS12" localSheetId="6">#REF!</definedName>
    <definedName name="_______________BTS12" localSheetId="12">#REF!</definedName>
    <definedName name="_______________BTS12" localSheetId="19">#REF!</definedName>
    <definedName name="_______________BTS12">#REF!</definedName>
    <definedName name="_______________BTS13" localSheetId="6">#REF!</definedName>
    <definedName name="_______________BTS13" localSheetId="12">#REF!</definedName>
    <definedName name="_______________BTS13" localSheetId="19">#REF!</definedName>
    <definedName name="_______________BTS13">#REF!</definedName>
    <definedName name="_______________BTS14" localSheetId="6">#REF!</definedName>
    <definedName name="_______________BTS14" localSheetId="12">#REF!</definedName>
    <definedName name="_______________BTS14" localSheetId="19">#REF!</definedName>
    <definedName name="_______________BTS14">#REF!</definedName>
    <definedName name="_______________BTS15" localSheetId="6">#REF!</definedName>
    <definedName name="_______________BTS15" localSheetId="12">#REF!</definedName>
    <definedName name="_______________BTS15" localSheetId="19">#REF!</definedName>
    <definedName name="_______________BTS15">#REF!</definedName>
    <definedName name="_______________BTS2" localSheetId="6">#REF!</definedName>
    <definedName name="_______________BTS2" localSheetId="12">#REF!</definedName>
    <definedName name="_______________BTS2" localSheetId="19">#REF!</definedName>
    <definedName name="_______________BTS2">#REF!</definedName>
    <definedName name="_______________BTS3" localSheetId="6">#REF!</definedName>
    <definedName name="_______________BTS3" localSheetId="12">#REF!</definedName>
    <definedName name="_______________BTS3" localSheetId="19">#REF!</definedName>
    <definedName name="_______________BTS3">#REF!</definedName>
    <definedName name="_______________BTS4" localSheetId="6">#REF!</definedName>
    <definedName name="_______________BTS4" localSheetId="12">#REF!</definedName>
    <definedName name="_______________BTS4" localSheetId="19">#REF!</definedName>
    <definedName name="_______________BTS4">#REF!</definedName>
    <definedName name="_______________BTS5" localSheetId="6">#REF!</definedName>
    <definedName name="_______________BTS5" localSheetId="12">#REF!</definedName>
    <definedName name="_______________BTS5" localSheetId="19">#REF!</definedName>
    <definedName name="_______________BTS5">#REF!</definedName>
    <definedName name="_______________BTS6" localSheetId="6">#REF!</definedName>
    <definedName name="_______________BTS6" localSheetId="12">#REF!</definedName>
    <definedName name="_______________BTS6" localSheetId="19">#REF!</definedName>
    <definedName name="_______________BTS6">#REF!</definedName>
    <definedName name="_______________BTS7" localSheetId="6">#REF!</definedName>
    <definedName name="_______________BTS7" localSheetId="12">#REF!</definedName>
    <definedName name="_______________BTS7" localSheetId="19">#REF!</definedName>
    <definedName name="_______________BTS7">#REF!</definedName>
    <definedName name="_______________BTS8" localSheetId="6">#REF!</definedName>
    <definedName name="_______________BTS8" localSheetId="12">#REF!</definedName>
    <definedName name="_______________BTS8" localSheetId="19">#REF!</definedName>
    <definedName name="_______________BTS8">#REF!</definedName>
    <definedName name="_______________BTS9" localSheetId="6">#REF!</definedName>
    <definedName name="_______________BTS9" localSheetId="12">#REF!</definedName>
    <definedName name="_______________BTS9" localSheetId="19">#REF!</definedName>
    <definedName name="_______________BTS9">#REF!</definedName>
    <definedName name="_______________can430">40.73</definedName>
    <definedName name="_______________can435">43.3</definedName>
    <definedName name="_______________cbr1" localSheetId="27">#REF!</definedName>
    <definedName name="_______________cbr1">#REF!</definedName>
    <definedName name="_______________cbr2" localSheetId="27">#REF!</definedName>
    <definedName name="_______________cbr2">#REF!</definedName>
    <definedName name="_______________cbr3" localSheetId="27">#REF!</definedName>
    <definedName name="_______________cbr3">#REF!</definedName>
    <definedName name="_______________cbr4">#REF!</definedName>
    <definedName name="_______________er1" localSheetId="27">#REF!</definedName>
    <definedName name="_______________er1">#REF!</definedName>
    <definedName name="_______________ewe1" localSheetId="19">#REF!</definedName>
    <definedName name="_______________f1">#REF!</definedName>
    <definedName name="_______________GBS11" localSheetId="6">#REF!</definedName>
    <definedName name="_______________GBS11" localSheetId="12">#REF!</definedName>
    <definedName name="_______________GBS11" localSheetId="19">#REF!</definedName>
    <definedName name="_______________GBS11">#REF!</definedName>
    <definedName name="_______________GBS110" localSheetId="6">#REF!</definedName>
    <definedName name="_______________GBS110" localSheetId="12">#REF!</definedName>
    <definedName name="_______________GBS110" localSheetId="19">#REF!</definedName>
    <definedName name="_______________GBS110">#REF!</definedName>
    <definedName name="_______________GBS111" localSheetId="6">#REF!</definedName>
    <definedName name="_______________GBS111" localSheetId="12">#REF!</definedName>
    <definedName name="_______________GBS111" localSheetId="19">#REF!</definedName>
    <definedName name="_______________GBS111">#REF!</definedName>
    <definedName name="_______________GBS112" localSheetId="6">#REF!</definedName>
    <definedName name="_______________GBS112" localSheetId="12">#REF!</definedName>
    <definedName name="_______________GBS112" localSheetId="19">#REF!</definedName>
    <definedName name="_______________GBS112">#REF!</definedName>
    <definedName name="_______________GBS113" localSheetId="6">#REF!</definedName>
    <definedName name="_______________GBS113" localSheetId="12">#REF!</definedName>
    <definedName name="_______________GBS113" localSheetId="19">#REF!</definedName>
    <definedName name="_______________GBS113">#REF!</definedName>
    <definedName name="_______________GBS114" localSheetId="6">#REF!</definedName>
    <definedName name="_______________GBS114" localSheetId="12">#REF!</definedName>
    <definedName name="_______________GBS114" localSheetId="19">#REF!</definedName>
    <definedName name="_______________GBS114">#REF!</definedName>
    <definedName name="_______________GBS115" localSheetId="6">#REF!</definedName>
    <definedName name="_______________GBS115" localSheetId="12">#REF!</definedName>
    <definedName name="_______________GBS115" localSheetId="19">#REF!</definedName>
    <definedName name="_______________GBS115">#REF!</definedName>
    <definedName name="_______________GBS12" localSheetId="6">#REF!</definedName>
    <definedName name="_______________GBS12" localSheetId="12">#REF!</definedName>
    <definedName name="_______________GBS12" localSheetId="19">#REF!</definedName>
    <definedName name="_______________GBS12">#REF!</definedName>
    <definedName name="_______________GBS13" localSheetId="6">#REF!</definedName>
    <definedName name="_______________GBS13" localSheetId="12">#REF!</definedName>
    <definedName name="_______________GBS13" localSheetId="19">#REF!</definedName>
    <definedName name="_______________GBS13">#REF!</definedName>
    <definedName name="_______________GBS14" localSheetId="6">#REF!</definedName>
    <definedName name="_______________GBS14" localSheetId="12">#REF!</definedName>
    <definedName name="_______________GBS14" localSheetId="19">#REF!</definedName>
    <definedName name="_______________GBS14">#REF!</definedName>
    <definedName name="_______________GBS15" localSheetId="6">#REF!</definedName>
    <definedName name="_______________GBS15" localSheetId="12">#REF!</definedName>
    <definedName name="_______________GBS15" localSheetId="19">#REF!</definedName>
    <definedName name="_______________GBS15">#REF!</definedName>
    <definedName name="_______________GBS16" localSheetId="6">#REF!</definedName>
    <definedName name="_______________GBS16" localSheetId="12">#REF!</definedName>
    <definedName name="_______________GBS16" localSheetId="19">#REF!</definedName>
    <definedName name="_______________GBS16">#REF!</definedName>
    <definedName name="_______________GBS17" localSheetId="6">#REF!</definedName>
    <definedName name="_______________GBS17" localSheetId="12">#REF!</definedName>
    <definedName name="_______________GBS17" localSheetId="19">#REF!</definedName>
    <definedName name="_______________GBS17">#REF!</definedName>
    <definedName name="_______________GBS18" localSheetId="6">#REF!</definedName>
    <definedName name="_______________GBS18" localSheetId="12">#REF!</definedName>
    <definedName name="_______________GBS18" localSheetId="19">#REF!</definedName>
    <definedName name="_______________GBS18">#REF!</definedName>
    <definedName name="_______________GBS19" localSheetId="6">#REF!</definedName>
    <definedName name="_______________GBS19" localSheetId="12">#REF!</definedName>
    <definedName name="_______________GBS19" localSheetId="19">#REF!</definedName>
    <definedName name="_______________GBS19">#REF!</definedName>
    <definedName name="_______________GBS21" localSheetId="6">#REF!</definedName>
    <definedName name="_______________GBS21" localSheetId="12">#REF!</definedName>
    <definedName name="_______________GBS21" localSheetId="19">#REF!</definedName>
    <definedName name="_______________GBS21">#REF!</definedName>
    <definedName name="_______________GBS210" localSheetId="6">#REF!</definedName>
    <definedName name="_______________GBS210" localSheetId="12">#REF!</definedName>
    <definedName name="_______________GBS210" localSheetId="19">#REF!</definedName>
    <definedName name="_______________GBS210">#REF!</definedName>
    <definedName name="_______________GBS211" localSheetId="6">#REF!</definedName>
    <definedName name="_______________GBS211" localSheetId="12">#REF!</definedName>
    <definedName name="_______________GBS211" localSheetId="19">#REF!</definedName>
    <definedName name="_______________GBS211">#REF!</definedName>
    <definedName name="_______________GBS212" localSheetId="6">#REF!</definedName>
    <definedName name="_______________GBS212" localSheetId="12">#REF!</definedName>
    <definedName name="_______________GBS212" localSheetId="19">#REF!</definedName>
    <definedName name="_______________GBS212">#REF!</definedName>
    <definedName name="_______________GBS213" localSheetId="6">#REF!</definedName>
    <definedName name="_______________GBS213" localSheetId="12">#REF!</definedName>
    <definedName name="_______________GBS213" localSheetId="19">#REF!</definedName>
    <definedName name="_______________GBS213">#REF!</definedName>
    <definedName name="_______________GBS214" localSheetId="6">#REF!</definedName>
    <definedName name="_______________GBS214" localSheetId="12">#REF!</definedName>
    <definedName name="_______________GBS214" localSheetId="19">#REF!</definedName>
    <definedName name="_______________GBS214">#REF!</definedName>
    <definedName name="_______________GBS215" localSheetId="6">#REF!</definedName>
    <definedName name="_______________GBS215" localSheetId="12">#REF!</definedName>
    <definedName name="_______________GBS215" localSheetId="19">#REF!</definedName>
    <definedName name="_______________GBS215">#REF!</definedName>
    <definedName name="_______________GBS22" localSheetId="6">#REF!</definedName>
    <definedName name="_______________GBS22" localSheetId="12">#REF!</definedName>
    <definedName name="_______________GBS22" localSheetId="19">#REF!</definedName>
    <definedName name="_______________GBS22">#REF!</definedName>
    <definedName name="_______________GBS23" localSheetId="6">#REF!</definedName>
    <definedName name="_______________GBS23" localSheetId="12">#REF!</definedName>
    <definedName name="_______________GBS23" localSheetId="19">#REF!</definedName>
    <definedName name="_______________GBS23">#REF!</definedName>
    <definedName name="_______________GBS24" localSheetId="6">#REF!</definedName>
    <definedName name="_______________GBS24" localSheetId="12">#REF!</definedName>
    <definedName name="_______________GBS24" localSheetId="19">#REF!</definedName>
    <definedName name="_______________GBS24">#REF!</definedName>
    <definedName name="_______________GBS25" localSheetId="6">#REF!</definedName>
    <definedName name="_______________GBS25" localSheetId="12">#REF!</definedName>
    <definedName name="_______________GBS25" localSheetId="19">#REF!</definedName>
    <definedName name="_______________GBS25">#REF!</definedName>
    <definedName name="_______________GBS26" localSheetId="6">#REF!</definedName>
    <definedName name="_______________GBS26" localSheetId="12">#REF!</definedName>
    <definedName name="_______________GBS26" localSheetId="19">#REF!</definedName>
    <definedName name="_______________GBS26">#REF!</definedName>
    <definedName name="_______________GBS27" localSheetId="6">#REF!</definedName>
    <definedName name="_______________GBS27" localSheetId="12">#REF!</definedName>
    <definedName name="_______________GBS27" localSheetId="19">#REF!</definedName>
    <definedName name="_______________GBS27">#REF!</definedName>
    <definedName name="_______________GBS28" localSheetId="6">#REF!</definedName>
    <definedName name="_______________GBS28" localSheetId="12">#REF!</definedName>
    <definedName name="_______________GBS28" localSheetId="19">#REF!</definedName>
    <definedName name="_______________GBS28">#REF!</definedName>
    <definedName name="_______________GBS29" localSheetId="6">#REF!</definedName>
    <definedName name="_______________GBS29" localSheetId="12">#REF!</definedName>
    <definedName name="_______________GBS29" localSheetId="19">#REF!</definedName>
    <definedName name="_______________GBS29">#REF!</definedName>
    <definedName name="_______________gus1">#REF!</definedName>
    <definedName name="_______________hpm1">#REF!</definedName>
    <definedName name="_______________knr2" localSheetId="19">#REF!</definedName>
    <definedName name="_______________l12" localSheetId="5">#REF!</definedName>
    <definedName name="_______________l12" localSheetId="6">#REF!</definedName>
    <definedName name="_______________l12" localSheetId="12">#REF!</definedName>
    <definedName name="_______________l12" localSheetId="34">#REF!</definedName>
    <definedName name="_______________l12" localSheetId="19">#REF!</definedName>
    <definedName name="_______________l12">#REF!</definedName>
    <definedName name="_______________l3" localSheetId="5">#REF!</definedName>
    <definedName name="_______________l3" localSheetId="6">#REF!</definedName>
    <definedName name="_______________l3" localSheetId="12">#REF!</definedName>
    <definedName name="_______________l3" localSheetId="34">#REF!</definedName>
    <definedName name="_______________l3" localSheetId="19">#REF!</definedName>
    <definedName name="_______________l3">#REF!</definedName>
    <definedName name="_______________l5" localSheetId="5">#REF!</definedName>
    <definedName name="_______________l5" localSheetId="6">#REF!</definedName>
    <definedName name="_______________l5" localSheetId="12">#REF!</definedName>
    <definedName name="_______________l5" localSheetId="34">#REF!</definedName>
    <definedName name="_______________l5" localSheetId="19">#REF!</definedName>
    <definedName name="_______________l5">#REF!</definedName>
    <definedName name="_______________lcn1" localSheetId="27">#REF!</definedName>
    <definedName name="_______________lcn1">#REF!</definedName>
    <definedName name="_______________LI9" localSheetId="6">#REF!</definedName>
    <definedName name="_______________LI9" localSheetId="12">#REF!</definedName>
    <definedName name="_______________LI9" localSheetId="19">#REF!</definedName>
    <definedName name="_______________LI9">#REF!</definedName>
    <definedName name="_______________LII9" localSheetId="6">#REF!</definedName>
    <definedName name="_______________LII9" localSheetId="12">#REF!</definedName>
    <definedName name="_______________LII9" localSheetId="19">#REF!</definedName>
    <definedName name="_______________LII9">#REF!</definedName>
    <definedName name="_______________lm1" localSheetId="19">#REF!</definedName>
    <definedName name="_______________ML11" localSheetId="6">#REF!</definedName>
    <definedName name="_______________ML11" localSheetId="12">#REF!</definedName>
    <definedName name="_______________ML11" localSheetId="19">#REF!</definedName>
    <definedName name="_______________ML11">#REF!</definedName>
    <definedName name="_______________ML110" localSheetId="6">#REF!</definedName>
    <definedName name="_______________ML110" localSheetId="12">#REF!</definedName>
    <definedName name="_______________ML110" localSheetId="19">#REF!</definedName>
    <definedName name="_______________ML110">#REF!</definedName>
    <definedName name="_______________ML111" localSheetId="6">#REF!</definedName>
    <definedName name="_______________ML111" localSheetId="12">#REF!</definedName>
    <definedName name="_______________ML111" localSheetId="19">#REF!</definedName>
    <definedName name="_______________ML111">#REF!</definedName>
    <definedName name="_______________ML112" localSheetId="6">#REF!</definedName>
    <definedName name="_______________ML112" localSheetId="12">#REF!</definedName>
    <definedName name="_______________ML112" localSheetId="19">#REF!</definedName>
    <definedName name="_______________ML112">#REF!</definedName>
    <definedName name="_______________ML113" localSheetId="6">#REF!</definedName>
    <definedName name="_______________ML113" localSheetId="12">#REF!</definedName>
    <definedName name="_______________ML113" localSheetId="19">#REF!</definedName>
    <definedName name="_______________ML113">#REF!</definedName>
    <definedName name="_______________ML114" localSheetId="6">#REF!</definedName>
    <definedName name="_______________ML114" localSheetId="12">#REF!</definedName>
    <definedName name="_______________ML114" localSheetId="19">#REF!</definedName>
    <definedName name="_______________ML114">#REF!</definedName>
    <definedName name="_______________ML115" localSheetId="6">#REF!</definedName>
    <definedName name="_______________ML115" localSheetId="12">#REF!</definedName>
    <definedName name="_______________ML115" localSheetId="19">#REF!</definedName>
    <definedName name="_______________ML115">#REF!</definedName>
    <definedName name="_______________ML12" localSheetId="6">#REF!</definedName>
    <definedName name="_______________ML12" localSheetId="12">#REF!</definedName>
    <definedName name="_______________ML12" localSheetId="19">#REF!</definedName>
    <definedName name="_______________ML12">#REF!</definedName>
    <definedName name="_______________ML13" localSheetId="6">#REF!</definedName>
    <definedName name="_______________ML13" localSheetId="12">#REF!</definedName>
    <definedName name="_______________ML13" localSheetId="19">#REF!</definedName>
    <definedName name="_______________ML13">#REF!</definedName>
    <definedName name="_______________ML14" localSheetId="6">#REF!</definedName>
    <definedName name="_______________ML14" localSheetId="12">#REF!</definedName>
    <definedName name="_______________ML14" localSheetId="19">#REF!</definedName>
    <definedName name="_______________ML14">#REF!</definedName>
    <definedName name="_______________ML15" localSheetId="6">#REF!</definedName>
    <definedName name="_______________ML15" localSheetId="12">#REF!</definedName>
    <definedName name="_______________ML15" localSheetId="19">#REF!</definedName>
    <definedName name="_______________ML15">#REF!</definedName>
    <definedName name="_______________ML16" localSheetId="6">#REF!</definedName>
    <definedName name="_______________ML16" localSheetId="12">#REF!</definedName>
    <definedName name="_______________ML16" localSheetId="19">#REF!</definedName>
    <definedName name="_______________ML16">#REF!</definedName>
    <definedName name="_______________ML17" localSheetId="6">#REF!</definedName>
    <definedName name="_______________ML17" localSheetId="12">#REF!</definedName>
    <definedName name="_______________ML17" localSheetId="19">#REF!</definedName>
    <definedName name="_______________ML17">#REF!</definedName>
    <definedName name="_______________ML18" localSheetId="6">#REF!</definedName>
    <definedName name="_______________ML18" localSheetId="12">#REF!</definedName>
    <definedName name="_______________ML18" localSheetId="19">#REF!</definedName>
    <definedName name="_______________ML18">#REF!</definedName>
    <definedName name="_______________ML19" localSheetId="6">#REF!</definedName>
    <definedName name="_______________ML19" localSheetId="12">#REF!</definedName>
    <definedName name="_______________ML19" localSheetId="19">#REF!</definedName>
    <definedName name="_______________ML19">#REF!</definedName>
    <definedName name="_______________ML21" localSheetId="6">#REF!</definedName>
    <definedName name="_______________ML21" localSheetId="12">#REF!</definedName>
    <definedName name="_______________ML21" localSheetId="19">#REF!</definedName>
    <definedName name="_______________ML21">#REF!</definedName>
    <definedName name="_______________ML210" localSheetId="6">#REF!</definedName>
    <definedName name="_______________ML210" localSheetId="12">#REF!</definedName>
    <definedName name="_______________ML210" localSheetId="19">#REF!</definedName>
    <definedName name="_______________ML210">#REF!</definedName>
    <definedName name="_______________ML211" localSheetId="6">#REF!</definedName>
    <definedName name="_______________ML211" localSheetId="12">#REF!</definedName>
    <definedName name="_______________ML211" localSheetId="19">#REF!</definedName>
    <definedName name="_______________ML211">#REF!</definedName>
    <definedName name="_______________ML212" localSheetId="6">#REF!</definedName>
    <definedName name="_______________ML212" localSheetId="12">#REF!</definedName>
    <definedName name="_______________ML212" localSheetId="19">#REF!</definedName>
    <definedName name="_______________ML212">#REF!</definedName>
    <definedName name="_______________ML213" localSheetId="6">#REF!</definedName>
    <definedName name="_______________ML213" localSheetId="12">#REF!</definedName>
    <definedName name="_______________ML213" localSheetId="19">#REF!</definedName>
    <definedName name="_______________ML213">#REF!</definedName>
    <definedName name="_______________ML214" localSheetId="6">#REF!</definedName>
    <definedName name="_______________ML214" localSheetId="12">#REF!</definedName>
    <definedName name="_______________ML214" localSheetId="19">#REF!</definedName>
    <definedName name="_______________ML214">#REF!</definedName>
    <definedName name="_______________ML215" localSheetId="6">#REF!</definedName>
    <definedName name="_______________ML215" localSheetId="12">#REF!</definedName>
    <definedName name="_______________ML215" localSheetId="19">#REF!</definedName>
    <definedName name="_______________ML215">#REF!</definedName>
    <definedName name="_______________ML22" localSheetId="6">#REF!</definedName>
    <definedName name="_______________ML22" localSheetId="12">#REF!</definedName>
    <definedName name="_______________ML22" localSheetId="19">#REF!</definedName>
    <definedName name="_______________ML22">#REF!</definedName>
    <definedName name="_______________ML23" localSheetId="6">#REF!</definedName>
    <definedName name="_______________ML23" localSheetId="12">#REF!</definedName>
    <definedName name="_______________ML23" localSheetId="19">#REF!</definedName>
    <definedName name="_______________ML23">#REF!</definedName>
    <definedName name="_______________ML24" localSheetId="6">#REF!</definedName>
    <definedName name="_______________ML24" localSheetId="12">#REF!</definedName>
    <definedName name="_______________ML24" localSheetId="19">#REF!</definedName>
    <definedName name="_______________ML24">#REF!</definedName>
    <definedName name="_______________ML25" localSheetId="6">#REF!</definedName>
    <definedName name="_______________ML25" localSheetId="12">#REF!</definedName>
    <definedName name="_______________ML25" localSheetId="19">#REF!</definedName>
    <definedName name="_______________ML25">#REF!</definedName>
    <definedName name="_______________ML26" localSheetId="6">#REF!</definedName>
    <definedName name="_______________ML26" localSheetId="12">#REF!</definedName>
    <definedName name="_______________ML26" localSheetId="19">#REF!</definedName>
    <definedName name="_______________ML26">#REF!</definedName>
    <definedName name="_______________ML27" localSheetId="6">#REF!</definedName>
    <definedName name="_______________ML27" localSheetId="12">#REF!</definedName>
    <definedName name="_______________ML27" localSheetId="19">#REF!</definedName>
    <definedName name="_______________ML27">#REF!</definedName>
    <definedName name="_______________ML28" localSheetId="6">#REF!</definedName>
    <definedName name="_______________ML28" localSheetId="12">#REF!</definedName>
    <definedName name="_______________ML28" localSheetId="19">#REF!</definedName>
    <definedName name="_______________ML28">#REF!</definedName>
    <definedName name="_______________ML29" localSheetId="6">#REF!</definedName>
    <definedName name="_______________ML29" localSheetId="12">#REF!</definedName>
    <definedName name="_______________ML29" localSheetId="19">#REF!</definedName>
    <definedName name="_______________ML29">#REF!</definedName>
    <definedName name="_______________ML31" localSheetId="6">#REF!</definedName>
    <definedName name="_______________ML31" localSheetId="12">#REF!</definedName>
    <definedName name="_______________ML31" localSheetId="19">#REF!</definedName>
    <definedName name="_______________ML31">#REF!</definedName>
    <definedName name="_______________ML310" localSheetId="6">#REF!</definedName>
    <definedName name="_______________ML310" localSheetId="12">#REF!</definedName>
    <definedName name="_______________ML310" localSheetId="19">#REF!</definedName>
    <definedName name="_______________ML310">#REF!</definedName>
    <definedName name="_______________ML311" localSheetId="6">#REF!</definedName>
    <definedName name="_______________ML311" localSheetId="12">#REF!</definedName>
    <definedName name="_______________ML311" localSheetId="19">#REF!</definedName>
    <definedName name="_______________ML311">#REF!</definedName>
    <definedName name="_______________ML312" localSheetId="6">#REF!</definedName>
    <definedName name="_______________ML312" localSheetId="12">#REF!</definedName>
    <definedName name="_______________ML312" localSheetId="19">#REF!</definedName>
    <definedName name="_______________ML312">#REF!</definedName>
    <definedName name="_______________ML313" localSheetId="6">#REF!</definedName>
    <definedName name="_______________ML313" localSheetId="12">#REF!</definedName>
    <definedName name="_______________ML313" localSheetId="19">#REF!</definedName>
    <definedName name="_______________ML313">#REF!</definedName>
    <definedName name="_______________ML314" localSheetId="6">#REF!</definedName>
    <definedName name="_______________ML314" localSheetId="12">#REF!</definedName>
    <definedName name="_______________ML314" localSheetId="19">#REF!</definedName>
    <definedName name="_______________ML314">#REF!</definedName>
    <definedName name="_______________ML315" localSheetId="6">#REF!</definedName>
    <definedName name="_______________ML315" localSheetId="12">#REF!</definedName>
    <definedName name="_______________ML315" localSheetId="19">#REF!</definedName>
    <definedName name="_______________ML315">#REF!</definedName>
    <definedName name="_______________ML32" localSheetId="6">#REF!</definedName>
    <definedName name="_______________ML32" localSheetId="12">#REF!</definedName>
    <definedName name="_______________ML32" localSheetId="19">#REF!</definedName>
    <definedName name="_______________ML32">#REF!</definedName>
    <definedName name="_______________ML33" localSheetId="6">#REF!</definedName>
    <definedName name="_______________ML33" localSheetId="12">#REF!</definedName>
    <definedName name="_______________ML33" localSheetId="19">#REF!</definedName>
    <definedName name="_______________ML33">#REF!</definedName>
    <definedName name="_______________ML34" localSheetId="6">#REF!</definedName>
    <definedName name="_______________ML34" localSheetId="12">#REF!</definedName>
    <definedName name="_______________ML34" localSheetId="19">#REF!</definedName>
    <definedName name="_______________ML34">#REF!</definedName>
    <definedName name="_______________ML35" localSheetId="6">#REF!</definedName>
    <definedName name="_______________ML35" localSheetId="12">#REF!</definedName>
    <definedName name="_______________ML35" localSheetId="19">#REF!</definedName>
    <definedName name="_______________ML35">#REF!</definedName>
    <definedName name="_______________ML36" localSheetId="6">#REF!</definedName>
    <definedName name="_______________ML36" localSheetId="12">#REF!</definedName>
    <definedName name="_______________ML36" localSheetId="19">#REF!</definedName>
    <definedName name="_______________ML36">#REF!</definedName>
    <definedName name="_______________ML37" localSheetId="6">#REF!</definedName>
    <definedName name="_______________ML37" localSheetId="12">#REF!</definedName>
    <definedName name="_______________ML37" localSheetId="19">#REF!</definedName>
    <definedName name="_______________ML37">#REF!</definedName>
    <definedName name="_______________ML38" localSheetId="6">#REF!</definedName>
    <definedName name="_______________ML38" localSheetId="12">#REF!</definedName>
    <definedName name="_______________ML38" localSheetId="19">#REF!</definedName>
    <definedName name="_______________ML38">#REF!</definedName>
    <definedName name="_______________ML39" localSheetId="6">#REF!</definedName>
    <definedName name="_______________ML39" localSheetId="12">#REF!</definedName>
    <definedName name="_______________ML39" localSheetId="19">#REF!</definedName>
    <definedName name="_______________ML39">#REF!</definedName>
    <definedName name="_______________ML7" localSheetId="6">#REF!</definedName>
    <definedName name="_______________ML7" localSheetId="12">#REF!</definedName>
    <definedName name="_______________ML7" localSheetId="19">#REF!</definedName>
    <definedName name="_______________ML7">#REF!</definedName>
    <definedName name="_______________ML8" localSheetId="6">#REF!</definedName>
    <definedName name="_______________ML8" localSheetId="12">#REF!</definedName>
    <definedName name="_______________ML8" localSheetId="19">#REF!</definedName>
    <definedName name="_______________ML8">#REF!</definedName>
    <definedName name="_______________ML9" localSheetId="6">#REF!</definedName>
    <definedName name="_______________ML9" localSheetId="12">#REF!</definedName>
    <definedName name="_______________ML9" localSheetId="19">#REF!</definedName>
    <definedName name="_______________ML9">#REF!</definedName>
    <definedName name="_______________mm20" localSheetId="19">#REF!</definedName>
    <definedName name="_______________mm40" localSheetId="27">#REF!</definedName>
    <definedName name="_______________mm40">#REF!</definedName>
    <definedName name="_______________pc2" localSheetId="5">#REF!</definedName>
    <definedName name="_______________pc2" localSheetId="6">#REF!</definedName>
    <definedName name="_______________pc2" localSheetId="12">#REF!</definedName>
    <definedName name="_______________pc2" localSheetId="34">#REF!</definedName>
    <definedName name="_______________pc2" localSheetId="19">#REF!</definedName>
    <definedName name="_______________pc2">#REF!</definedName>
    <definedName name="_______________PMS2" localSheetId="6">#REF!</definedName>
    <definedName name="_______________PMS2" localSheetId="12">#REF!</definedName>
    <definedName name="_______________PMS2" localSheetId="19">#REF!</definedName>
    <definedName name="_______________PMS2">#REF!</definedName>
    <definedName name="_______________pv2" localSheetId="5">#REF!</definedName>
    <definedName name="_______________pv2" localSheetId="6">#REF!</definedName>
    <definedName name="_______________pv2" localSheetId="12">#REF!</definedName>
    <definedName name="_______________pv2" localSheetId="34">#REF!</definedName>
    <definedName name="_______________pv2" localSheetId="19">#REF!</definedName>
    <definedName name="_______________pv2">#REF!</definedName>
    <definedName name="_______________sw1" localSheetId="19">#REF!</definedName>
    <definedName name="_______________us1" localSheetId="27">#REF!</definedName>
    <definedName name="_______________us1">#REF!</definedName>
    <definedName name="_______________var1" localSheetId="5">#REF!</definedName>
    <definedName name="_______________var1" localSheetId="6">#REF!</definedName>
    <definedName name="_______________var1" localSheetId="12">#REF!</definedName>
    <definedName name="_______________var1" localSheetId="34">#REF!</definedName>
    <definedName name="_______________var1" localSheetId="19">#REF!</definedName>
    <definedName name="_______________var1">#REF!</definedName>
    <definedName name="_______________var4" localSheetId="5">#REF!</definedName>
    <definedName name="_______________var4" localSheetId="6">#REF!</definedName>
    <definedName name="_______________var4" localSheetId="12">#REF!</definedName>
    <definedName name="_______________var4" localSheetId="34">#REF!</definedName>
    <definedName name="_______________var4" localSheetId="19">#REF!</definedName>
    <definedName name="_______________var4">#REF!</definedName>
    <definedName name="_______________vat1">#REF!</definedName>
    <definedName name="_______________vat2">#REF!</definedName>
    <definedName name="_______________xlfn_BAHTTEXT">#N/A</definedName>
    <definedName name="______________abs1" localSheetId="6">#REF!</definedName>
    <definedName name="______________abs1" localSheetId="12">#REF!</definedName>
    <definedName name="______________abs1" localSheetId="19">#REF!</definedName>
    <definedName name="______________abs1">#REF!</definedName>
    <definedName name="______________AUX1" localSheetId="19">#REF!</definedName>
    <definedName name="______________aux2" localSheetId="19">#REF!</definedName>
    <definedName name="______________AUX3">#REF!</definedName>
    <definedName name="______________BSG100" localSheetId="6">#REF!</definedName>
    <definedName name="______________BSG100" localSheetId="12">#REF!</definedName>
    <definedName name="______________BSG100" localSheetId="19">#REF!</definedName>
    <definedName name="______________BSG100">#REF!</definedName>
    <definedName name="______________BSG150" localSheetId="6">#REF!</definedName>
    <definedName name="______________BSG150" localSheetId="12">#REF!</definedName>
    <definedName name="______________BSG150" localSheetId="19">#REF!</definedName>
    <definedName name="______________BSG150">#REF!</definedName>
    <definedName name="______________BSG5" localSheetId="6">#REF!</definedName>
    <definedName name="______________BSG5" localSheetId="12">#REF!</definedName>
    <definedName name="______________BSG5" localSheetId="19">#REF!</definedName>
    <definedName name="______________BSG5">#REF!</definedName>
    <definedName name="______________BSG75" localSheetId="6">#REF!</definedName>
    <definedName name="______________BSG75" localSheetId="12">#REF!</definedName>
    <definedName name="______________BSG75" localSheetId="19">#REF!</definedName>
    <definedName name="______________BSG75">#REF!</definedName>
    <definedName name="______________BTC1" localSheetId="6">#REF!</definedName>
    <definedName name="______________BTC1" localSheetId="12">#REF!</definedName>
    <definedName name="______________BTC1" localSheetId="19">#REF!</definedName>
    <definedName name="______________BTC1">#REF!</definedName>
    <definedName name="______________BTC10" localSheetId="6">#REF!</definedName>
    <definedName name="______________BTC10" localSheetId="12">#REF!</definedName>
    <definedName name="______________BTC10" localSheetId="19">#REF!</definedName>
    <definedName name="______________BTC10">#REF!</definedName>
    <definedName name="______________BTC11" localSheetId="6">#REF!</definedName>
    <definedName name="______________BTC11" localSheetId="12">#REF!</definedName>
    <definedName name="______________BTC11" localSheetId="19">#REF!</definedName>
    <definedName name="______________BTC11">#REF!</definedName>
    <definedName name="______________BTC12" localSheetId="6">#REF!</definedName>
    <definedName name="______________BTC12" localSheetId="12">#REF!</definedName>
    <definedName name="______________BTC12" localSheetId="19">#REF!</definedName>
    <definedName name="______________BTC12">#REF!</definedName>
    <definedName name="______________BTC13" localSheetId="6">#REF!</definedName>
    <definedName name="______________BTC13" localSheetId="12">#REF!</definedName>
    <definedName name="______________BTC13" localSheetId="19">#REF!</definedName>
    <definedName name="______________BTC13">#REF!</definedName>
    <definedName name="______________BTC14" localSheetId="6">#REF!</definedName>
    <definedName name="______________BTC14" localSheetId="12">#REF!</definedName>
    <definedName name="______________BTC14" localSheetId="19">#REF!</definedName>
    <definedName name="______________BTC14">#REF!</definedName>
    <definedName name="______________BTC15" localSheetId="6">#REF!</definedName>
    <definedName name="______________BTC15" localSheetId="12">#REF!</definedName>
    <definedName name="______________BTC15" localSheetId="19">#REF!</definedName>
    <definedName name="______________BTC15">#REF!</definedName>
    <definedName name="______________BTC2" localSheetId="6">#REF!</definedName>
    <definedName name="______________BTC2" localSheetId="12">#REF!</definedName>
    <definedName name="______________BTC2" localSheetId="19">#REF!</definedName>
    <definedName name="______________BTC2">#REF!</definedName>
    <definedName name="______________BTC3" localSheetId="6">#REF!</definedName>
    <definedName name="______________BTC3" localSheetId="12">#REF!</definedName>
    <definedName name="______________BTC3" localSheetId="19">#REF!</definedName>
    <definedName name="______________BTC3">#REF!</definedName>
    <definedName name="______________BTC4" localSheetId="6">#REF!</definedName>
    <definedName name="______________BTC4" localSheetId="12">#REF!</definedName>
    <definedName name="______________BTC4" localSheetId="19">#REF!</definedName>
    <definedName name="______________BTC4">#REF!</definedName>
    <definedName name="______________BTC5" localSheetId="6">#REF!</definedName>
    <definedName name="______________BTC5" localSheetId="12">#REF!</definedName>
    <definedName name="______________BTC5" localSheetId="19">#REF!</definedName>
    <definedName name="______________BTC5">#REF!</definedName>
    <definedName name="______________BTC6" localSheetId="6">#REF!</definedName>
    <definedName name="______________BTC6" localSheetId="12">#REF!</definedName>
    <definedName name="______________BTC6" localSheetId="19">#REF!</definedName>
    <definedName name="______________BTC6">#REF!</definedName>
    <definedName name="______________BTC7" localSheetId="6">#REF!</definedName>
    <definedName name="______________BTC7" localSheetId="12">#REF!</definedName>
    <definedName name="______________BTC7" localSheetId="19">#REF!</definedName>
    <definedName name="______________BTC7">#REF!</definedName>
    <definedName name="______________BTC8" localSheetId="6">#REF!</definedName>
    <definedName name="______________BTC8" localSheetId="12">#REF!</definedName>
    <definedName name="______________BTC8" localSheetId="19">#REF!</definedName>
    <definedName name="______________BTC8">#REF!</definedName>
    <definedName name="______________BTC9" localSheetId="6">#REF!</definedName>
    <definedName name="______________BTC9" localSheetId="12">#REF!</definedName>
    <definedName name="______________BTC9" localSheetId="19">#REF!</definedName>
    <definedName name="______________BTC9">#REF!</definedName>
    <definedName name="______________BTS1" localSheetId="6">#REF!</definedName>
    <definedName name="______________BTS1" localSheetId="12">#REF!</definedName>
    <definedName name="______________BTS1" localSheetId="19">#REF!</definedName>
    <definedName name="______________BTS1">#REF!</definedName>
    <definedName name="______________BTS10" localSheetId="6">#REF!</definedName>
    <definedName name="______________BTS10" localSheetId="12">#REF!</definedName>
    <definedName name="______________BTS10" localSheetId="19">#REF!</definedName>
    <definedName name="______________BTS10">#REF!</definedName>
    <definedName name="______________BTS11" localSheetId="6">#REF!</definedName>
    <definedName name="______________BTS11" localSheetId="12">#REF!</definedName>
    <definedName name="______________BTS11" localSheetId="19">#REF!</definedName>
    <definedName name="______________BTS11">#REF!</definedName>
    <definedName name="______________BTS12" localSheetId="6">#REF!</definedName>
    <definedName name="______________BTS12" localSheetId="12">#REF!</definedName>
    <definedName name="______________BTS12" localSheetId="19">#REF!</definedName>
    <definedName name="______________BTS12">#REF!</definedName>
    <definedName name="______________BTS13" localSheetId="6">#REF!</definedName>
    <definedName name="______________BTS13" localSheetId="12">#REF!</definedName>
    <definedName name="______________BTS13" localSheetId="19">#REF!</definedName>
    <definedName name="______________BTS13">#REF!</definedName>
    <definedName name="______________BTS14" localSheetId="6">#REF!</definedName>
    <definedName name="______________BTS14" localSheetId="12">#REF!</definedName>
    <definedName name="______________BTS14" localSheetId="19">#REF!</definedName>
    <definedName name="______________BTS14">#REF!</definedName>
    <definedName name="______________BTS15" localSheetId="6">#REF!</definedName>
    <definedName name="______________BTS15" localSheetId="12">#REF!</definedName>
    <definedName name="______________BTS15" localSheetId="19">#REF!</definedName>
    <definedName name="______________BTS15">#REF!</definedName>
    <definedName name="______________BTS2" localSheetId="6">#REF!</definedName>
    <definedName name="______________BTS2" localSheetId="12">#REF!</definedName>
    <definedName name="______________BTS2" localSheetId="19">#REF!</definedName>
    <definedName name="______________BTS2">#REF!</definedName>
    <definedName name="______________BTS3" localSheetId="6">#REF!</definedName>
    <definedName name="______________BTS3" localSheetId="12">#REF!</definedName>
    <definedName name="______________BTS3" localSheetId="19">#REF!</definedName>
    <definedName name="______________BTS3">#REF!</definedName>
    <definedName name="______________BTS4" localSheetId="6">#REF!</definedName>
    <definedName name="______________BTS4" localSheetId="12">#REF!</definedName>
    <definedName name="______________BTS4" localSheetId="19">#REF!</definedName>
    <definedName name="______________BTS4">#REF!</definedName>
    <definedName name="______________BTS5" localSheetId="6">#REF!</definedName>
    <definedName name="______________BTS5" localSheetId="12">#REF!</definedName>
    <definedName name="______________BTS5" localSheetId="19">#REF!</definedName>
    <definedName name="______________BTS5">#REF!</definedName>
    <definedName name="______________BTS6" localSheetId="6">#REF!</definedName>
    <definedName name="______________BTS6" localSheetId="12">#REF!</definedName>
    <definedName name="______________BTS6" localSheetId="19">#REF!</definedName>
    <definedName name="______________BTS6">#REF!</definedName>
    <definedName name="______________BTS7" localSheetId="6">#REF!</definedName>
    <definedName name="______________BTS7" localSheetId="12">#REF!</definedName>
    <definedName name="______________BTS7" localSheetId="19">#REF!</definedName>
    <definedName name="______________BTS7">#REF!</definedName>
    <definedName name="______________BTS8" localSheetId="6">#REF!</definedName>
    <definedName name="______________BTS8" localSheetId="12">#REF!</definedName>
    <definedName name="______________BTS8" localSheetId="19">#REF!</definedName>
    <definedName name="______________BTS8">#REF!</definedName>
    <definedName name="______________BTS9" localSheetId="6">#REF!</definedName>
    <definedName name="______________BTS9" localSheetId="12">#REF!</definedName>
    <definedName name="______________BTS9" localSheetId="19">#REF!</definedName>
    <definedName name="______________BTS9">#REF!</definedName>
    <definedName name="______________can430">40.73</definedName>
    <definedName name="______________can435">43.3</definedName>
    <definedName name="______________cbr1" localSheetId="27">#REF!</definedName>
    <definedName name="______________cbr1">#REF!</definedName>
    <definedName name="______________cbr2" localSheetId="27">#REF!</definedName>
    <definedName name="______________cbr2">#REF!</definedName>
    <definedName name="______________cbr3" localSheetId="27">#REF!</definedName>
    <definedName name="______________cbr3">#REF!</definedName>
    <definedName name="______________cbr4">#REF!</definedName>
    <definedName name="______________er1" localSheetId="27">#REF!</definedName>
    <definedName name="______________er1">#REF!</definedName>
    <definedName name="______________ewe1" localSheetId="19">#REF!</definedName>
    <definedName name="______________f1">#REF!</definedName>
    <definedName name="______________GBS11" localSheetId="6">#REF!</definedName>
    <definedName name="______________GBS11" localSheetId="12">#REF!</definedName>
    <definedName name="______________GBS11" localSheetId="19">#REF!</definedName>
    <definedName name="______________GBS11">#REF!</definedName>
    <definedName name="______________GBS110" localSheetId="6">#REF!</definedName>
    <definedName name="______________GBS110" localSheetId="12">#REF!</definedName>
    <definedName name="______________GBS110" localSheetId="19">#REF!</definedName>
    <definedName name="______________GBS110">#REF!</definedName>
    <definedName name="______________GBS111" localSheetId="6">#REF!</definedName>
    <definedName name="______________GBS111" localSheetId="12">#REF!</definedName>
    <definedName name="______________GBS111" localSheetId="19">#REF!</definedName>
    <definedName name="______________GBS111">#REF!</definedName>
    <definedName name="______________GBS112" localSheetId="6">#REF!</definedName>
    <definedName name="______________GBS112" localSheetId="12">#REF!</definedName>
    <definedName name="______________GBS112" localSheetId="19">#REF!</definedName>
    <definedName name="______________GBS112">#REF!</definedName>
    <definedName name="______________GBS113" localSheetId="6">#REF!</definedName>
    <definedName name="______________GBS113" localSheetId="12">#REF!</definedName>
    <definedName name="______________GBS113" localSheetId="19">#REF!</definedName>
    <definedName name="______________GBS113">#REF!</definedName>
    <definedName name="______________GBS114" localSheetId="6">#REF!</definedName>
    <definedName name="______________GBS114" localSheetId="12">#REF!</definedName>
    <definedName name="______________GBS114" localSheetId="19">#REF!</definedName>
    <definedName name="______________GBS114">#REF!</definedName>
    <definedName name="______________GBS115" localSheetId="6">#REF!</definedName>
    <definedName name="______________GBS115" localSheetId="12">#REF!</definedName>
    <definedName name="______________GBS115" localSheetId="19">#REF!</definedName>
    <definedName name="______________GBS115">#REF!</definedName>
    <definedName name="______________GBS12" localSheetId="6">#REF!</definedName>
    <definedName name="______________GBS12" localSheetId="12">#REF!</definedName>
    <definedName name="______________GBS12" localSheetId="19">#REF!</definedName>
    <definedName name="______________GBS12">#REF!</definedName>
    <definedName name="______________GBS13" localSheetId="6">#REF!</definedName>
    <definedName name="______________GBS13" localSheetId="12">#REF!</definedName>
    <definedName name="______________GBS13" localSheetId="19">#REF!</definedName>
    <definedName name="______________GBS13">#REF!</definedName>
    <definedName name="______________GBS14" localSheetId="6">#REF!</definedName>
    <definedName name="______________GBS14" localSheetId="12">#REF!</definedName>
    <definedName name="______________GBS14" localSheetId="19">#REF!</definedName>
    <definedName name="______________GBS14">#REF!</definedName>
    <definedName name="______________GBS15" localSheetId="6">#REF!</definedName>
    <definedName name="______________GBS15" localSheetId="12">#REF!</definedName>
    <definedName name="______________GBS15" localSheetId="19">#REF!</definedName>
    <definedName name="______________GBS15">#REF!</definedName>
    <definedName name="______________GBS16" localSheetId="6">#REF!</definedName>
    <definedName name="______________GBS16" localSheetId="12">#REF!</definedName>
    <definedName name="______________GBS16" localSheetId="19">#REF!</definedName>
    <definedName name="______________GBS16">#REF!</definedName>
    <definedName name="______________GBS17" localSheetId="6">#REF!</definedName>
    <definedName name="______________GBS17" localSheetId="12">#REF!</definedName>
    <definedName name="______________GBS17" localSheetId="19">#REF!</definedName>
    <definedName name="______________GBS17">#REF!</definedName>
    <definedName name="______________GBS18" localSheetId="6">#REF!</definedName>
    <definedName name="______________GBS18" localSheetId="12">#REF!</definedName>
    <definedName name="______________GBS18" localSheetId="19">#REF!</definedName>
    <definedName name="______________GBS18">#REF!</definedName>
    <definedName name="______________GBS19" localSheetId="6">#REF!</definedName>
    <definedName name="______________GBS19" localSheetId="12">#REF!</definedName>
    <definedName name="______________GBS19" localSheetId="19">#REF!</definedName>
    <definedName name="______________GBS19">#REF!</definedName>
    <definedName name="______________GBS21" localSheetId="6">#REF!</definedName>
    <definedName name="______________GBS21" localSheetId="12">#REF!</definedName>
    <definedName name="______________GBS21" localSheetId="19">#REF!</definedName>
    <definedName name="______________GBS21">#REF!</definedName>
    <definedName name="______________GBS210" localSheetId="6">#REF!</definedName>
    <definedName name="______________GBS210" localSheetId="12">#REF!</definedName>
    <definedName name="______________GBS210" localSheetId="19">#REF!</definedName>
    <definedName name="______________GBS210">#REF!</definedName>
    <definedName name="______________GBS211" localSheetId="6">#REF!</definedName>
    <definedName name="______________GBS211" localSheetId="12">#REF!</definedName>
    <definedName name="______________GBS211" localSheetId="19">#REF!</definedName>
    <definedName name="______________GBS211">#REF!</definedName>
    <definedName name="______________GBS212" localSheetId="6">#REF!</definedName>
    <definedName name="______________GBS212" localSheetId="12">#REF!</definedName>
    <definedName name="______________GBS212" localSheetId="19">#REF!</definedName>
    <definedName name="______________GBS212">#REF!</definedName>
    <definedName name="______________GBS213" localSheetId="6">#REF!</definedName>
    <definedName name="______________GBS213" localSheetId="12">#REF!</definedName>
    <definedName name="______________GBS213" localSheetId="19">#REF!</definedName>
    <definedName name="______________GBS213">#REF!</definedName>
    <definedName name="______________GBS214" localSheetId="6">#REF!</definedName>
    <definedName name="______________GBS214" localSheetId="12">#REF!</definedName>
    <definedName name="______________GBS214" localSheetId="19">#REF!</definedName>
    <definedName name="______________GBS214">#REF!</definedName>
    <definedName name="______________GBS215" localSheetId="6">#REF!</definedName>
    <definedName name="______________GBS215" localSheetId="12">#REF!</definedName>
    <definedName name="______________GBS215" localSheetId="19">#REF!</definedName>
    <definedName name="______________GBS215">#REF!</definedName>
    <definedName name="______________GBS22" localSheetId="6">#REF!</definedName>
    <definedName name="______________GBS22" localSheetId="12">#REF!</definedName>
    <definedName name="______________GBS22" localSheetId="19">#REF!</definedName>
    <definedName name="______________GBS22">#REF!</definedName>
    <definedName name="______________GBS23" localSheetId="6">#REF!</definedName>
    <definedName name="______________GBS23" localSheetId="12">#REF!</definedName>
    <definedName name="______________GBS23" localSheetId="19">#REF!</definedName>
    <definedName name="______________GBS23">#REF!</definedName>
    <definedName name="______________GBS24" localSheetId="6">#REF!</definedName>
    <definedName name="______________GBS24" localSheetId="12">#REF!</definedName>
    <definedName name="______________GBS24" localSheetId="19">#REF!</definedName>
    <definedName name="______________GBS24">#REF!</definedName>
    <definedName name="______________GBS25" localSheetId="6">#REF!</definedName>
    <definedName name="______________GBS25" localSheetId="12">#REF!</definedName>
    <definedName name="______________GBS25" localSheetId="19">#REF!</definedName>
    <definedName name="______________GBS25">#REF!</definedName>
    <definedName name="______________GBS26" localSheetId="6">#REF!</definedName>
    <definedName name="______________GBS26" localSheetId="12">#REF!</definedName>
    <definedName name="______________GBS26" localSheetId="19">#REF!</definedName>
    <definedName name="______________GBS26">#REF!</definedName>
    <definedName name="______________GBS27" localSheetId="6">#REF!</definedName>
    <definedName name="______________GBS27" localSheetId="12">#REF!</definedName>
    <definedName name="______________GBS27" localSheetId="19">#REF!</definedName>
    <definedName name="______________GBS27">#REF!</definedName>
    <definedName name="______________GBS28" localSheetId="6">#REF!</definedName>
    <definedName name="______________GBS28" localSheetId="12">#REF!</definedName>
    <definedName name="______________GBS28" localSheetId="19">#REF!</definedName>
    <definedName name="______________GBS28">#REF!</definedName>
    <definedName name="______________GBS29" localSheetId="6">#REF!</definedName>
    <definedName name="______________GBS29" localSheetId="12">#REF!</definedName>
    <definedName name="______________GBS29" localSheetId="19">#REF!</definedName>
    <definedName name="______________GBS29">#REF!</definedName>
    <definedName name="______________gus1">#REF!</definedName>
    <definedName name="______________hpm1">#REF!</definedName>
    <definedName name="______________knr2" localSheetId="5">#REF!</definedName>
    <definedName name="______________knr2" localSheetId="14">#REF!</definedName>
    <definedName name="______________knr2" localSheetId="6">#REF!</definedName>
    <definedName name="______________knr2" localSheetId="12">#REF!</definedName>
    <definedName name="______________knr2" localSheetId="19">#REF!</definedName>
    <definedName name="______________knr2">#REF!</definedName>
    <definedName name="______________l12" localSheetId="22">#REF!</definedName>
    <definedName name="______________l12" localSheetId="5">#REF!</definedName>
    <definedName name="______________l12" localSheetId="6">#REF!</definedName>
    <definedName name="______________l12" localSheetId="12">#REF!</definedName>
    <definedName name="______________l12" localSheetId="34">#REF!</definedName>
    <definedName name="______________l12" localSheetId="19">#REF!</definedName>
    <definedName name="______________l12" localSheetId="30">#REF!</definedName>
    <definedName name="______________l12" localSheetId="40">#REF!</definedName>
    <definedName name="______________l12" localSheetId="26">#REF!</definedName>
    <definedName name="______________l12">#REF!</definedName>
    <definedName name="______________l3" localSheetId="22">#REF!</definedName>
    <definedName name="______________l3" localSheetId="5">#REF!</definedName>
    <definedName name="______________l3" localSheetId="6">#REF!</definedName>
    <definedName name="______________l3" localSheetId="12">#REF!</definedName>
    <definedName name="______________l3" localSheetId="34">#REF!</definedName>
    <definedName name="______________l3" localSheetId="19">#REF!</definedName>
    <definedName name="______________l3" localSheetId="30">#REF!</definedName>
    <definedName name="______________l3" localSheetId="40">#REF!</definedName>
    <definedName name="______________l3" localSheetId="26">#REF!</definedName>
    <definedName name="______________l3">#REF!</definedName>
    <definedName name="______________l5" localSheetId="22">#REF!</definedName>
    <definedName name="______________l5" localSheetId="5">#REF!</definedName>
    <definedName name="______________l5" localSheetId="6">#REF!</definedName>
    <definedName name="______________l5" localSheetId="12">#REF!</definedName>
    <definedName name="______________l5" localSheetId="34">#REF!</definedName>
    <definedName name="______________l5" localSheetId="19">#REF!</definedName>
    <definedName name="______________l5" localSheetId="30">#REF!</definedName>
    <definedName name="______________l5" localSheetId="40">#REF!</definedName>
    <definedName name="______________l5" localSheetId="26">#REF!</definedName>
    <definedName name="______________l5">#REF!</definedName>
    <definedName name="______________lcn1" localSheetId="27">#REF!</definedName>
    <definedName name="______________lcn1">#REF!</definedName>
    <definedName name="______________LI9" localSheetId="6">#REF!</definedName>
    <definedName name="______________LI9" localSheetId="12">#REF!</definedName>
    <definedName name="______________LI9" localSheetId="19">#REF!</definedName>
    <definedName name="______________LI9">#REF!</definedName>
    <definedName name="______________LII9" localSheetId="6">#REF!</definedName>
    <definedName name="______________LII9" localSheetId="12">#REF!</definedName>
    <definedName name="______________LII9" localSheetId="19">#REF!</definedName>
    <definedName name="______________LII9">#REF!</definedName>
    <definedName name="______________lm1" localSheetId="19">#REF!</definedName>
    <definedName name="______________ML11" localSheetId="6">#REF!</definedName>
    <definedName name="______________ML11" localSheetId="12">#REF!</definedName>
    <definedName name="______________ML11" localSheetId="19">#REF!</definedName>
    <definedName name="______________ML11">#REF!</definedName>
    <definedName name="______________ML110" localSheetId="6">#REF!</definedName>
    <definedName name="______________ML110" localSheetId="12">#REF!</definedName>
    <definedName name="______________ML110" localSheetId="19">#REF!</definedName>
    <definedName name="______________ML110">#REF!</definedName>
    <definedName name="______________ML111" localSheetId="6">#REF!</definedName>
    <definedName name="______________ML111" localSheetId="12">#REF!</definedName>
    <definedName name="______________ML111" localSheetId="19">#REF!</definedName>
    <definedName name="______________ML111">#REF!</definedName>
    <definedName name="______________ML112" localSheetId="6">#REF!</definedName>
    <definedName name="______________ML112" localSheetId="12">#REF!</definedName>
    <definedName name="______________ML112" localSheetId="19">#REF!</definedName>
    <definedName name="______________ML112">#REF!</definedName>
    <definedName name="______________ML113" localSheetId="6">#REF!</definedName>
    <definedName name="______________ML113" localSheetId="12">#REF!</definedName>
    <definedName name="______________ML113" localSheetId="19">#REF!</definedName>
    <definedName name="______________ML113">#REF!</definedName>
    <definedName name="______________ML114" localSheetId="6">#REF!</definedName>
    <definedName name="______________ML114" localSheetId="12">#REF!</definedName>
    <definedName name="______________ML114" localSheetId="19">#REF!</definedName>
    <definedName name="______________ML114">#REF!</definedName>
    <definedName name="______________ML115" localSheetId="6">#REF!</definedName>
    <definedName name="______________ML115" localSheetId="12">#REF!</definedName>
    <definedName name="______________ML115" localSheetId="19">#REF!</definedName>
    <definedName name="______________ML115">#REF!</definedName>
    <definedName name="______________ML12" localSheetId="6">#REF!</definedName>
    <definedName name="______________ML12" localSheetId="12">#REF!</definedName>
    <definedName name="______________ML12" localSheetId="19">#REF!</definedName>
    <definedName name="______________ML12">#REF!</definedName>
    <definedName name="______________ML13" localSheetId="6">#REF!</definedName>
    <definedName name="______________ML13" localSheetId="12">#REF!</definedName>
    <definedName name="______________ML13" localSheetId="19">#REF!</definedName>
    <definedName name="______________ML13">#REF!</definedName>
    <definedName name="______________ML14" localSheetId="6">#REF!</definedName>
    <definedName name="______________ML14" localSheetId="12">#REF!</definedName>
    <definedName name="______________ML14" localSheetId="19">#REF!</definedName>
    <definedName name="______________ML14">#REF!</definedName>
    <definedName name="______________ML15" localSheetId="6">#REF!</definedName>
    <definedName name="______________ML15" localSheetId="12">#REF!</definedName>
    <definedName name="______________ML15" localSheetId="19">#REF!</definedName>
    <definedName name="______________ML15">#REF!</definedName>
    <definedName name="______________ML16" localSheetId="6">#REF!</definedName>
    <definedName name="______________ML16" localSheetId="12">#REF!</definedName>
    <definedName name="______________ML16" localSheetId="19">#REF!</definedName>
    <definedName name="______________ML16">#REF!</definedName>
    <definedName name="______________ML17" localSheetId="6">#REF!</definedName>
    <definedName name="______________ML17" localSheetId="12">#REF!</definedName>
    <definedName name="______________ML17" localSheetId="19">#REF!</definedName>
    <definedName name="______________ML17">#REF!</definedName>
    <definedName name="______________ML18" localSheetId="6">#REF!</definedName>
    <definedName name="______________ML18" localSheetId="12">#REF!</definedName>
    <definedName name="______________ML18" localSheetId="19">#REF!</definedName>
    <definedName name="______________ML18">#REF!</definedName>
    <definedName name="______________ML19" localSheetId="6">#REF!</definedName>
    <definedName name="______________ML19" localSheetId="12">#REF!</definedName>
    <definedName name="______________ML19" localSheetId="19">#REF!</definedName>
    <definedName name="______________ML19">#REF!</definedName>
    <definedName name="______________ML21" localSheetId="6">#REF!</definedName>
    <definedName name="______________ML21" localSheetId="12">#REF!</definedName>
    <definedName name="______________ML21" localSheetId="19">#REF!</definedName>
    <definedName name="______________ML21">#REF!</definedName>
    <definedName name="______________ML210" localSheetId="6">#REF!</definedName>
    <definedName name="______________ML210" localSheetId="12">#REF!</definedName>
    <definedName name="______________ML210" localSheetId="19">#REF!</definedName>
    <definedName name="______________ML210">#REF!</definedName>
    <definedName name="______________ML211" localSheetId="6">#REF!</definedName>
    <definedName name="______________ML211" localSheetId="12">#REF!</definedName>
    <definedName name="______________ML211" localSheetId="19">#REF!</definedName>
    <definedName name="______________ML211">#REF!</definedName>
    <definedName name="______________ML212" localSheetId="6">#REF!</definedName>
    <definedName name="______________ML212" localSheetId="12">#REF!</definedName>
    <definedName name="______________ML212" localSheetId="19">#REF!</definedName>
    <definedName name="______________ML212">#REF!</definedName>
    <definedName name="______________ML213" localSheetId="6">#REF!</definedName>
    <definedName name="______________ML213" localSheetId="12">#REF!</definedName>
    <definedName name="______________ML213" localSheetId="19">#REF!</definedName>
    <definedName name="______________ML213">#REF!</definedName>
    <definedName name="______________ML214" localSheetId="6">#REF!</definedName>
    <definedName name="______________ML214" localSheetId="12">#REF!</definedName>
    <definedName name="______________ML214" localSheetId="19">#REF!</definedName>
    <definedName name="______________ML214">#REF!</definedName>
    <definedName name="______________ML215" localSheetId="6">#REF!</definedName>
    <definedName name="______________ML215" localSheetId="12">#REF!</definedName>
    <definedName name="______________ML215" localSheetId="19">#REF!</definedName>
    <definedName name="______________ML215">#REF!</definedName>
    <definedName name="______________ML22" localSheetId="6">#REF!</definedName>
    <definedName name="______________ML22" localSheetId="12">#REF!</definedName>
    <definedName name="______________ML22" localSheetId="19">#REF!</definedName>
    <definedName name="______________ML22">#REF!</definedName>
    <definedName name="______________ML23" localSheetId="6">#REF!</definedName>
    <definedName name="______________ML23" localSheetId="12">#REF!</definedName>
    <definedName name="______________ML23" localSheetId="19">#REF!</definedName>
    <definedName name="______________ML23">#REF!</definedName>
    <definedName name="______________ML24" localSheetId="6">#REF!</definedName>
    <definedName name="______________ML24" localSheetId="12">#REF!</definedName>
    <definedName name="______________ML24" localSheetId="19">#REF!</definedName>
    <definedName name="______________ML24">#REF!</definedName>
    <definedName name="______________ML25" localSheetId="6">#REF!</definedName>
    <definedName name="______________ML25" localSheetId="12">#REF!</definedName>
    <definedName name="______________ML25" localSheetId="19">#REF!</definedName>
    <definedName name="______________ML25">#REF!</definedName>
    <definedName name="______________ML26" localSheetId="6">#REF!</definedName>
    <definedName name="______________ML26" localSheetId="12">#REF!</definedName>
    <definedName name="______________ML26" localSheetId="19">#REF!</definedName>
    <definedName name="______________ML26">#REF!</definedName>
    <definedName name="______________ML27" localSheetId="6">#REF!</definedName>
    <definedName name="______________ML27" localSheetId="12">#REF!</definedName>
    <definedName name="______________ML27" localSheetId="19">#REF!</definedName>
    <definedName name="______________ML27">#REF!</definedName>
    <definedName name="______________ML28" localSheetId="6">#REF!</definedName>
    <definedName name="______________ML28" localSheetId="12">#REF!</definedName>
    <definedName name="______________ML28" localSheetId="19">#REF!</definedName>
    <definedName name="______________ML28">#REF!</definedName>
    <definedName name="______________ML29" localSheetId="6">#REF!</definedName>
    <definedName name="______________ML29" localSheetId="12">#REF!</definedName>
    <definedName name="______________ML29" localSheetId="19">#REF!</definedName>
    <definedName name="______________ML29">#REF!</definedName>
    <definedName name="______________ML31" localSheetId="6">#REF!</definedName>
    <definedName name="______________ML31" localSheetId="12">#REF!</definedName>
    <definedName name="______________ML31" localSheetId="19">#REF!</definedName>
    <definedName name="______________ML31">#REF!</definedName>
    <definedName name="______________ML310" localSheetId="6">#REF!</definedName>
    <definedName name="______________ML310" localSheetId="12">#REF!</definedName>
    <definedName name="______________ML310" localSheetId="19">#REF!</definedName>
    <definedName name="______________ML310">#REF!</definedName>
    <definedName name="______________ML311" localSheetId="6">#REF!</definedName>
    <definedName name="______________ML311" localSheetId="12">#REF!</definedName>
    <definedName name="______________ML311" localSheetId="19">#REF!</definedName>
    <definedName name="______________ML311">#REF!</definedName>
    <definedName name="______________ML312" localSheetId="6">#REF!</definedName>
    <definedName name="______________ML312" localSheetId="12">#REF!</definedName>
    <definedName name="______________ML312" localSheetId="19">#REF!</definedName>
    <definedName name="______________ML312">#REF!</definedName>
    <definedName name="______________ML313" localSheetId="6">#REF!</definedName>
    <definedName name="______________ML313" localSheetId="12">#REF!</definedName>
    <definedName name="______________ML313" localSheetId="19">#REF!</definedName>
    <definedName name="______________ML313">#REF!</definedName>
    <definedName name="______________ML314" localSheetId="6">#REF!</definedName>
    <definedName name="______________ML314" localSheetId="12">#REF!</definedName>
    <definedName name="______________ML314" localSheetId="19">#REF!</definedName>
    <definedName name="______________ML314">#REF!</definedName>
    <definedName name="______________ML315" localSheetId="6">#REF!</definedName>
    <definedName name="______________ML315" localSheetId="12">#REF!</definedName>
    <definedName name="______________ML315" localSheetId="19">#REF!</definedName>
    <definedName name="______________ML315">#REF!</definedName>
    <definedName name="______________ML32" localSheetId="6">#REF!</definedName>
    <definedName name="______________ML32" localSheetId="12">#REF!</definedName>
    <definedName name="______________ML32" localSheetId="19">#REF!</definedName>
    <definedName name="______________ML32">#REF!</definedName>
    <definedName name="______________ML33" localSheetId="6">#REF!</definedName>
    <definedName name="______________ML33" localSheetId="12">#REF!</definedName>
    <definedName name="______________ML33" localSheetId="19">#REF!</definedName>
    <definedName name="______________ML33">#REF!</definedName>
    <definedName name="______________ML34" localSheetId="6">#REF!</definedName>
    <definedName name="______________ML34" localSheetId="12">#REF!</definedName>
    <definedName name="______________ML34" localSheetId="19">#REF!</definedName>
    <definedName name="______________ML34">#REF!</definedName>
    <definedName name="______________ML35" localSheetId="6">#REF!</definedName>
    <definedName name="______________ML35" localSheetId="12">#REF!</definedName>
    <definedName name="______________ML35" localSheetId="19">#REF!</definedName>
    <definedName name="______________ML35">#REF!</definedName>
    <definedName name="______________ML36" localSheetId="6">#REF!</definedName>
    <definedName name="______________ML36" localSheetId="12">#REF!</definedName>
    <definedName name="______________ML36" localSheetId="19">#REF!</definedName>
    <definedName name="______________ML36">#REF!</definedName>
    <definedName name="______________ML37" localSheetId="6">#REF!</definedName>
    <definedName name="______________ML37" localSheetId="12">#REF!</definedName>
    <definedName name="______________ML37" localSheetId="19">#REF!</definedName>
    <definedName name="______________ML37">#REF!</definedName>
    <definedName name="______________ML38" localSheetId="6">#REF!</definedName>
    <definedName name="______________ML38" localSheetId="12">#REF!</definedName>
    <definedName name="______________ML38" localSheetId="19">#REF!</definedName>
    <definedName name="______________ML38">#REF!</definedName>
    <definedName name="______________ML39" localSheetId="6">#REF!</definedName>
    <definedName name="______________ML39" localSheetId="12">#REF!</definedName>
    <definedName name="______________ML39" localSheetId="19">#REF!</definedName>
    <definedName name="______________ML39">#REF!</definedName>
    <definedName name="______________ML7" localSheetId="6">#REF!</definedName>
    <definedName name="______________ML7" localSheetId="12">#REF!</definedName>
    <definedName name="______________ML7" localSheetId="19">#REF!</definedName>
    <definedName name="______________ML7">#REF!</definedName>
    <definedName name="______________ML8" localSheetId="6">#REF!</definedName>
    <definedName name="______________ML8" localSheetId="12">#REF!</definedName>
    <definedName name="______________ML8" localSheetId="19">#REF!</definedName>
    <definedName name="______________ML8">#REF!</definedName>
    <definedName name="______________ML9" localSheetId="6">#REF!</definedName>
    <definedName name="______________ML9" localSheetId="12">#REF!</definedName>
    <definedName name="______________ML9" localSheetId="19">#REF!</definedName>
    <definedName name="______________ML9">#REF!</definedName>
    <definedName name="______________mm20" localSheetId="19">#REF!</definedName>
    <definedName name="______________mm40" localSheetId="27">#REF!</definedName>
    <definedName name="______________mm40">#REF!</definedName>
    <definedName name="______________pc2" localSheetId="22">#REF!</definedName>
    <definedName name="______________pc2" localSheetId="5">#REF!</definedName>
    <definedName name="______________pc2" localSheetId="6">#REF!</definedName>
    <definedName name="______________pc2" localSheetId="12">#REF!</definedName>
    <definedName name="______________pc2" localSheetId="34">#REF!</definedName>
    <definedName name="______________pc2" localSheetId="19">#REF!</definedName>
    <definedName name="______________pc2" localSheetId="30">#REF!</definedName>
    <definedName name="______________pc2" localSheetId="40">#REF!</definedName>
    <definedName name="______________pc2" localSheetId="26">#REF!</definedName>
    <definedName name="______________pc2">#REF!</definedName>
    <definedName name="______________PMS2" localSheetId="6">#REF!</definedName>
    <definedName name="______________PMS2" localSheetId="12">#REF!</definedName>
    <definedName name="______________PMS2" localSheetId="19">#REF!</definedName>
    <definedName name="______________PMS2">#REF!</definedName>
    <definedName name="______________pv2" localSheetId="22">#REF!</definedName>
    <definedName name="______________pv2" localSheetId="5">#REF!</definedName>
    <definedName name="______________pv2" localSheetId="6">#REF!</definedName>
    <definedName name="______________pv2" localSheetId="12">#REF!</definedName>
    <definedName name="______________pv2" localSheetId="34">#REF!</definedName>
    <definedName name="______________pv2" localSheetId="19">#REF!</definedName>
    <definedName name="______________pv2" localSheetId="30">#REF!</definedName>
    <definedName name="______________pv2" localSheetId="40">#REF!</definedName>
    <definedName name="______________pv2" localSheetId="26">#REF!</definedName>
    <definedName name="______________pv2">#REF!</definedName>
    <definedName name="______________sw1" localSheetId="19">#REF!</definedName>
    <definedName name="______________us1" localSheetId="27">#REF!</definedName>
    <definedName name="______________us1">#REF!</definedName>
    <definedName name="______________var1" localSheetId="22">#REF!</definedName>
    <definedName name="______________var1" localSheetId="5">#REF!</definedName>
    <definedName name="______________var1" localSheetId="6">#REF!</definedName>
    <definedName name="______________var1" localSheetId="12">#REF!</definedName>
    <definedName name="______________var1" localSheetId="34">#REF!</definedName>
    <definedName name="______________var1" localSheetId="19">#REF!</definedName>
    <definedName name="______________var1" localSheetId="30">#REF!</definedName>
    <definedName name="______________var1" localSheetId="40">#REF!</definedName>
    <definedName name="______________var1" localSheetId="26">#REF!</definedName>
    <definedName name="______________var1">#REF!</definedName>
    <definedName name="______________var4" localSheetId="22">#REF!</definedName>
    <definedName name="______________var4" localSheetId="5">#REF!</definedName>
    <definedName name="______________var4" localSheetId="6">#REF!</definedName>
    <definedName name="______________var4" localSheetId="12">#REF!</definedName>
    <definedName name="______________var4" localSheetId="34">#REF!</definedName>
    <definedName name="______________var4" localSheetId="19">#REF!</definedName>
    <definedName name="______________var4" localSheetId="30">#REF!</definedName>
    <definedName name="______________var4" localSheetId="40">#REF!</definedName>
    <definedName name="______________var4" localSheetId="26">#REF!</definedName>
    <definedName name="______________var4">#REF!</definedName>
    <definedName name="______________vat1">#REF!</definedName>
    <definedName name="______________vat2">#REF!</definedName>
    <definedName name="______________xlfn_BAHTTEXT">#N/A</definedName>
    <definedName name="_____________abs1" localSheetId="6">#REF!</definedName>
    <definedName name="_____________abs1" localSheetId="12">#REF!</definedName>
    <definedName name="_____________abs1" localSheetId="19">#REF!</definedName>
    <definedName name="_____________abs1">#REF!</definedName>
    <definedName name="_____________AUX1" localSheetId="19">#REF!</definedName>
    <definedName name="_____________aux2" localSheetId="19">#REF!</definedName>
    <definedName name="_____________AUX3">#REF!</definedName>
    <definedName name="_____________BSG100" localSheetId="6">#REF!</definedName>
    <definedName name="_____________BSG100" localSheetId="12">#REF!</definedName>
    <definedName name="_____________BSG100" localSheetId="19">#REF!</definedName>
    <definedName name="_____________BSG100">#REF!</definedName>
    <definedName name="_____________BSG150" localSheetId="6">#REF!</definedName>
    <definedName name="_____________BSG150" localSheetId="12">#REF!</definedName>
    <definedName name="_____________BSG150" localSheetId="19">#REF!</definedName>
    <definedName name="_____________BSG150">#REF!</definedName>
    <definedName name="_____________BSG5" localSheetId="6">#REF!</definedName>
    <definedName name="_____________BSG5" localSheetId="12">#REF!</definedName>
    <definedName name="_____________BSG5" localSheetId="19">#REF!</definedName>
    <definedName name="_____________BSG5">#REF!</definedName>
    <definedName name="_____________BSG75" localSheetId="6">#REF!</definedName>
    <definedName name="_____________BSG75" localSheetId="12">#REF!</definedName>
    <definedName name="_____________BSG75" localSheetId="19">#REF!</definedName>
    <definedName name="_____________BSG75">#REF!</definedName>
    <definedName name="_____________BTC1" localSheetId="6">#REF!</definedName>
    <definedName name="_____________BTC1" localSheetId="12">#REF!</definedName>
    <definedName name="_____________BTC1" localSheetId="19">#REF!</definedName>
    <definedName name="_____________BTC1">#REF!</definedName>
    <definedName name="_____________BTC10" localSheetId="6">#REF!</definedName>
    <definedName name="_____________BTC10" localSheetId="12">#REF!</definedName>
    <definedName name="_____________BTC10" localSheetId="19">#REF!</definedName>
    <definedName name="_____________BTC10">#REF!</definedName>
    <definedName name="_____________BTC11" localSheetId="6">#REF!</definedName>
    <definedName name="_____________BTC11" localSheetId="12">#REF!</definedName>
    <definedName name="_____________BTC11" localSheetId="19">#REF!</definedName>
    <definedName name="_____________BTC11">#REF!</definedName>
    <definedName name="_____________BTC12" localSheetId="6">#REF!</definedName>
    <definedName name="_____________BTC12" localSheetId="12">#REF!</definedName>
    <definedName name="_____________BTC12" localSheetId="19">#REF!</definedName>
    <definedName name="_____________BTC12">#REF!</definedName>
    <definedName name="_____________BTC13" localSheetId="6">#REF!</definedName>
    <definedName name="_____________BTC13" localSheetId="12">#REF!</definedName>
    <definedName name="_____________BTC13" localSheetId="19">#REF!</definedName>
    <definedName name="_____________BTC13">#REF!</definedName>
    <definedName name="_____________BTC14" localSheetId="6">#REF!</definedName>
    <definedName name="_____________BTC14" localSheetId="12">#REF!</definedName>
    <definedName name="_____________BTC14" localSheetId="19">#REF!</definedName>
    <definedName name="_____________BTC14">#REF!</definedName>
    <definedName name="_____________BTC15" localSheetId="6">#REF!</definedName>
    <definedName name="_____________BTC15" localSheetId="12">#REF!</definedName>
    <definedName name="_____________BTC15" localSheetId="19">#REF!</definedName>
    <definedName name="_____________BTC15">#REF!</definedName>
    <definedName name="_____________BTC2" localSheetId="6">#REF!</definedName>
    <definedName name="_____________BTC2" localSheetId="12">#REF!</definedName>
    <definedName name="_____________BTC2" localSheetId="19">#REF!</definedName>
    <definedName name="_____________BTC2">#REF!</definedName>
    <definedName name="_____________BTC3" localSheetId="6">#REF!</definedName>
    <definedName name="_____________BTC3" localSheetId="12">#REF!</definedName>
    <definedName name="_____________BTC3" localSheetId="19">#REF!</definedName>
    <definedName name="_____________BTC3">#REF!</definedName>
    <definedName name="_____________BTC4" localSheetId="6">#REF!</definedName>
    <definedName name="_____________BTC4" localSheetId="12">#REF!</definedName>
    <definedName name="_____________BTC4" localSheetId="19">#REF!</definedName>
    <definedName name="_____________BTC4">#REF!</definedName>
    <definedName name="_____________BTC5" localSheetId="6">#REF!</definedName>
    <definedName name="_____________BTC5" localSheetId="12">#REF!</definedName>
    <definedName name="_____________BTC5" localSheetId="19">#REF!</definedName>
    <definedName name="_____________BTC5">#REF!</definedName>
    <definedName name="_____________BTC6" localSheetId="6">#REF!</definedName>
    <definedName name="_____________BTC6" localSheetId="12">#REF!</definedName>
    <definedName name="_____________BTC6" localSheetId="19">#REF!</definedName>
    <definedName name="_____________BTC6">#REF!</definedName>
    <definedName name="_____________BTC7" localSheetId="6">#REF!</definedName>
    <definedName name="_____________BTC7" localSheetId="12">#REF!</definedName>
    <definedName name="_____________BTC7" localSheetId="19">#REF!</definedName>
    <definedName name="_____________BTC7">#REF!</definedName>
    <definedName name="_____________BTC8" localSheetId="6">#REF!</definedName>
    <definedName name="_____________BTC8" localSheetId="12">#REF!</definedName>
    <definedName name="_____________BTC8" localSheetId="19">#REF!</definedName>
    <definedName name="_____________BTC8">#REF!</definedName>
    <definedName name="_____________BTC9" localSheetId="6">#REF!</definedName>
    <definedName name="_____________BTC9" localSheetId="12">#REF!</definedName>
    <definedName name="_____________BTC9" localSheetId="19">#REF!</definedName>
    <definedName name="_____________BTC9">#REF!</definedName>
    <definedName name="_____________BTS1" localSheetId="6">#REF!</definedName>
    <definedName name="_____________BTS1" localSheetId="12">#REF!</definedName>
    <definedName name="_____________BTS1" localSheetId="19">#REF!</definedName>
    <definedName name="_____________BTS1">#REF!</definedName>
    <definedName name="_____________BTS10" localSheetId="6">#REF!</definedName>
    <definedName name="_____________BTS10" localSheetId="12">#REF!</definedName>
    <definedName name="_____________BTS10" localSheetId="19">#REF!</definedName>
    <definedName name="_____________BTS10">#REF!</definedName>
    <definedName name="_____________BTS11" localSheetId="6">#REF!</definedName>
    <definedName name="_____________BTS11" localSheetId="12">#REF!</definedName>
    <definedName name="_____________BTS11" localSheetId="19">#REF!</definedName>
    <definedName name="_____________BTS11">#REF!</definedName>
    <definedName name="_____________BTS12" localSheetId="6">#REF!</definedName>
    <definedName name="_____________BTS12" localSheetId="12">#REF!</definedName>
    <definedName name="_____________BTS12" localSheetId="19">#REF!</definedName>
    <definedName name="_____________BTS12">#REF!</definedName>
    <definedName name="_____________BTS13" localSheetId="6">#REF!</definedName>
    <definedName name="_____________BTS13" localSheetId="12">#REF!</definedName>
    <definedName name="_____________BTS13" localSheetId="19">#REF!</definedName>
    <definedName name="_____________BTS13">#REF!</definedName>
    <definedName name="_____________BTS14" localSheetId="6">#REF!</definedName>
    <definedName name="_____________BTS14" localSheetId="12">#REF!</definedName>
    <definedName name="_____________BTS14" localSheetId="19">#REF!</definedName>
    <definedName name="_____________BTS14">#REF!</definedName>
    <definedName name="_____________BTS15" localSheetId="6">#REF!</definedName>
    <definedName name="_____________BTS15" localSheetId="12">#REF!</definedName>
    <definedName name="_____________BTS15" localSheetId="19">#REF!</definedName>
    <definedName name="_____________BTS15">#REF!</definedName>
    <definedName name="_____________BTS2" localSheetId="6">#REF!</definedName>
    <definedName name="_____________BTS2" localSheetId="12">#REF!</definedName>
    <definedName name="_____________BTS2" localSheetId="19">#REF!</definedName>
    <definedName name="_____________BTS2">#REF!</definedName>
    <definedName name="_____________BTS3" localSheetId="6">#REF!</definedName>
    <definedName name="_____________BTS3" localSheetId="12">#REF!</definedName>
    <definedName name="_____________BTS3" localSheetId="19">#REF!</definedName>
    <definedName name="_____________BTS3">#REF!</definedName>
    <definedName name="_____________BTS4" localSheetId="6">#REF!</definedName>
    <definedName name="_____________BTS4" localSheetId="12">#REF!</definedName>
    <definedName name="_____________BTS4" localSheetId="19">#REF!</definedName>
    <definedName name="_____________BTS4">#REF!</definedName>
    <definedName name="_____________BTS5" localSheetId="6">#REF!</definedName>
    <definedName name="_____________BTS5" localSheetId="12">#REF!</definedName>
    <definedName name="_____________BTS5" localSheetId="19">#REF!</definedName>
    <definedName name="_____________BTS5">#REF!</definedName>
    <definedName name="_____________BTS6" localSheetId="6">#REF!</definedName>
    <definedName name="_____________BTS6" localSheetId="12">#REF!</definedName>
    <definedName name="_____________BTS6" localSheetId="19">#REF!</definedName>
    <definedName name="_____________BTS6">#REF!</definedName>
    <definedName name="_____________BTS7" localSheetId="6">#REF!</definedName>
    <definedName name="_____________BTS7" localSheetId="12">#REF!</definedName>
    <definedName name="_____________BTS7" localSheetId="19">#REF!</definedName>
    <definedName name="_____________BTS7">#REF!</definedName>
    <definedName name="_____________BTS8" localSheetId="6">#REF!</definedName>
    <definedName name="_____________BTS8" localSheetId="12">#REF!</definedName>
    <definedName name="_____________BTS8" localSheetId="19">#REF!</definedName>
    <definedName name="_____________BTS8">#REF!</definedName>
    <definedName name="_____________BTS9" localSheetId="6">#REF!</definedName>
    <definedName name="_____________BTS9" localSheetId="12">#REF!</definedName>
    <definedName name="_____________BTS9" localSheetId="19">#REF!</definedName>
    <definedName name="_____________BTS9">#REF!</definedName>
    <definedName name="_____________can430">40.73</definedName>
    <definedName name="_____________can435">43.3</definedName>
    <definedName name="_____________cbr1" localSheetId="27">#REF!</definedName>
    <definedName name="_____________cbr1">#REF!</definedName>
    <definedName name="_____________cbr2" localSheetId="27">#REF!</definedName>
    <definedName name="_____________cbr2">#REF!</definedName>
    <definedName name="_____________cbr3" localSheetId="27">#REF!</definedName>
    <definedName name="_____________cbr3">#REF!</definedName>
    <definedName name="_____________cbr4">#REF!</definedName>
    <definedName name="_____________er1" localSheetId="27">#REF!</definedName>
    <definedName name="_____________er1">#REF!</definedName>
    <definedName name="_____________ewe1" localSheetId="19">#REF!</definedName>
    <definedName name="_____________f1">#REF!</definedName>
    <definedName name="_____________GBS11" localSheetId="6">#REF!</definedName>
    <definedName name="_____________GBS11" localSheetId="12">#REF!</definedName>
    <definedName name="_____________GBS11" localSheetId="19">#REF!</definedName>
    <definedName name="_____________GBS11">#REF!</definedName>
    <definedName name="_____________GBS110" localSheetId="6">#REF!</definedName>
    <definedName name="_____________GBS110" localSheetId="12">#REF!</definedName>
    <definedName name="_____________GBS110" localSheetId="19">#REF!</definedName>
    <definedName name="_____________GBS110">#REF!</definedName>
    <definedName name="_____________GBS111" localSheetId="6">#REF!</definedName>
    <definedName name="_____________GBS111" localSheetId="12">#REF!</definedName>
    <definedName name="_____________GBS111" localSheetId="19">#REF!</definedName>
    <definedName name="_____________GBS111">#REF!</definedName>
    <definedName name="_____________GBS112" localSheetId="6">#REF!</definedName>
    <definedName name="_____________GBS112" localSheetId="12">#REF!</definedName>
    <definedName name="_____________GBS112" localSheetId="19">#REF!</definedName>
    <definedName name="_____________GBS112">#REF!</definedName>
    <definedName name="_____________GBS113" localSheetId="6">#REF!</definedName>
    <definedName name="_____________GBS113" localSheetId="12">#REF!</definedName>
    <definedName name="_____________GBS113" localSheetId="19">#REF!</definedName>
    <definedName name="_____________GBS113">#REF!</definedName>
    <definedName name="_____________GBS114" localSheetId="6">#REF!</definedName>
    <definedName name="_____________GBS114" localSheetId="12">#REF!</definedName>
    <definedName name="_____________GBS114" localSheetId="19">#REF!</definedName>
    <definedName name="_____________GBS114">#REF!</definedName>
    <definedName name="_____________GBS115" localSheetId="6">#REF!</definedName>
    <definedName name="_____________GBS115" localSheetId="12">#REF!</definedName>
    <definedName name="_____________GBS115" localSheetId="19">#REF!</definedName>
    <definedName name="_____________GBS115">#REF!</definedName>
    <definedName name="_____________GBS12" localSheetId="6">#REF!</definedName>
    <definedName name="_____________GBS12" localSheetId="12">#REF!</definedName>
    <definedName name="_____________GBS12" localSheetId="19">#REF!</definedName>
    <definedName name="_____________GBS12">#REF!</definedName>
    <definedName name="_____________GBS13" localSheetId="6">#REF!</definedName>
    <definedName name="_____________GBS13" localSheetId="12">#REF!</definedName>
    <definedName name="_____________GBS13" localSheetId="19">#REF!</definedName>
    <definedName name="_____________GBS13">#REF!</definedName>
    <definedName name="_____________GBS14" localSheetId="6">#REF!</definedName>
    <definedName name="_____________GBS14" localSheetId="12">#REF!</definedName>
    <definedName name="_____________GBS14" localSheetId="19">#REF!</definedName>
    <definedName name="_____________GBS14">#REF!</definedName>
    <definedName name="_____________GBS15" localSheetId="6">#REF!</definedName>
    <definedName name="_____________GBS15" localSheetId="12">#REF!</definedName>
    <definedName name="_____________GBS15" localSheetId="19">#REF!</definedName>
    <definedName name="_____________GBS15">#REF!</definedName>
    <definedName name="_____________GBS16" localSheetId="6">#REF!</definedName>
    <definedName name="_____________GBS16" localSheetId="12">#REF!</definedName>
    <definedName name="_____________GBS16" localSheetId="19">#REF!</definedName>
    <definedName name="_____________GBS16">#REF!</definedName>
    <definedName name="_____________GBS17" localSheetId="6">#REF!</definedName>
    <definedName name="_____________GBS17" localSheetId="12">#REF!</definedName>
    <definedName name="_____________GBS17" localSheetId="19">#REF!</definedName>
    <definedName name="_____________GBS17">#REF!</definedName>
    <definedName name="_____________GBS18" localSheetId="6">#REF!</definedName>
    <definedName name="_____________GBS18" localSheetId="12">#REF!</definedName>
    <definedName name="_____________GBS18" localSheetId="19">#REF!</definedName>
    <definedName name="_____________GBS18">#REF!</definedName>
    <definedName name="_____________GBS19" localSheetId="6">#REF!</definedName>
    <definedName name="_____________GBS19" localSheetId="12">#REF!</definedName>
    <definedName name="_____________GBS19" localSheetId="19">#REF!</definedName>
    <definedName name="_____________GBS19">#REF!</definedName>
    <definedName name="_____________GBS21" localSheetId="6">#REF!</definedName>
    <definedName name="_____________GBS21" localSheetId="12">#REF!</definedName>
    <definedName name="_____________GBS21" localSheetId="19">#REF!</definedName>
    <definedName name="_____________GBS21">#REF!</definedName>
    <definedName name="_____________GBS210" localSheetId="6">#REF!</definedName>
    <definedName name="_____________GBS210" localSheetId="12">#REF!</definedName>
    <definedName name="_____________GBS210" localSheetId="19">#REF!</definedName>
    <definedName name="_____________GBS210">#REF!</definedName>
    <definedName name="_____________GBS211" localSheetId="6">#REF!</definedName>
    <definedName name="_____________GBS211" localSheetId="12">#REF!</definedName>
    <definedName name="_____________GBS211" localSheetId="19">#REF!</definedName>
    <definedName name="_____________GBS211">#REF!</definedName>
    <definedName name="_____________GBS212" localSheetId="6">#REF!</definedName>
    <definedName name="_____________GBS212" localSheetId="12">#REF!</definedName>
    <definedName name="_____________GBS212" localSheetId="19">#REF!</definedName>
    <definedName name="_____________GBS212">#REF!</definedName>
    <definedName name="_____________GBS213" localSheetId="6">#REF!</definedName>
    <definedName name="_____________GBS213" localSheetId="12">#REF!</definedName>
    <definedName name="_____________GBS213" localSheetId="19">#REF!</definedName>
    <definedName name="_____________GBS213">#REF!</definedName>
    <definedName name="_____________GBS214" localSheetId="6">#REF!</definedName>
    <definedName name="_____________GBS214" localSheetId="12">#REF!</definedName>
    <definedName name="_____________GBS214" localSheetId="19">#REF!</definedName>
    <definedName name="_____________GBS214">#REF!</definedName>
    <definedName name="_____________GBS215" localSheetId="6">#REF!</definedName>
    <definedName name="_____________GBS215" localSheetId="12">#REF!</definedName>
    <definedName name="_____________GBS215" localSheetId="19">#REF!</definedName>
    <definedName name="_____________GBS215">#REF!</definedName>
    <definedName name="_____________GBS22" localSheetId="6">#REF!</definedName>
    <definedName name="_____________GBS22" localSheetId="12">#REF!</definedName>
    <definedName name="_____________GBS22" localSheetId="19">#REF!</definedName>
    <definedName name="_____________GBS22">#REF!</definedName>
    <definedName name="_____________GBS23" localSheetId="6">#REF!</definedName>
    <definedName name="_____________GBS23" localSheetId="12">#REF!</definedName>
    <definedName name="_____________GBS23" localSheetId="19">#REF!</definedName>
    <definedName name="_____________GBS23">#REF!</definedName>
    <definedName name="_____________GBS24" localSheetId="6">#REF!</definedName>
    <definedName name="_____________GBS24" localSheetId="12">#REF!</definedName>
    <definedName name="_____________GBS24" localSheetId="19">#REF!</definedName>
    <definedName name="_____________GBS24">#REF!</definedName>
    <definedName name="_____________GBS25" localSheetId="6">#REF!</definedName>
    <definedName name="_____________GBS25" localSheetId="12">#REF!</definedName>
    <definedName name="_____________GBS25" localSheetId="19">#REF!</definedName>
    <definedName name="_____________GBS25">#REF!</definedName>
    <definedName name="_____________GBS26" localSheetId="6">#REF!</definedName>
    <definedName name="_____________GBS26" localSheetId="12">#REF!</definedName>
    <definedName name="_____________GBS26" localSheetId="19">#REF!</definedName>
    <definedName name="_____________GBS26">#REF!</definedName>
    <definedName name="_____________GBS27" localSheetId="6">#REF!</definedName>
    <definedName name="_____________GBS27" localSheetId="12">#REF!</definedName>
    <definedName name="_____________GBS27" localSheetId="19">#REF!</definedName>
    <definedName name="_____________GBS27">#REF!</definedName>
    <definedName name="_____________GBS28" localSheetId="6">#REF!</definedName>
    <definedName name="_____________GBS28" localSheetId="12">#REF!</definedName>
    <definedName name="_____________GBS28" localSheetId="19">#REF!</definedName>
    <definedName name="_____________GBS28">#REF!</definedName>
    <definedName name="_____________GBS29" localSheetId="6">#REF!</definedName>
    <definedName name="_____________GBS29" localSheetId="12">#REF!</definedName>
    <definedName name="_____________GBS29" localSheetId="19">#REF!</definedName>
    <definedName name="_____________GBS29">#REF!</definedName>
    <definedName name="_____________gus1">#REF!</definedName>
    <definedName name="_____________hpm1">#REF!</definedName>
    <definedName name="_____________knr2" localSheetId="5">#REF!</definedName>
    <definedName name="_____________knr2" localSheetId="14">#REF!</definedName>
    <definedName name="_____________knr2" localSheetId="6">#REF!</definedName>
    <definedName name="_____________knr2" localSheetId="12">#REF!</definedName>
    <definedName name="_____________knr2" localSheetId="19">#REF!</definedName>
    <definedName name="_____________knr2">#REF!</definedName>
    <definedName name="_____________l12" localSheetId="22">#REF!</definedName>
    <definedName name="_____________l12" localSheetId="5">#REF!</definedName>
    <definedName name="_____________l12" localSheetId="6">#REF!</definedName>
    <definedName name="_____________l12" localSheetId="12">#REF!</definedName>
    <definedName name="_____________l12" localSheetId="34">#REF!</definedName>
    <definedName name="_____________l12" localSheetId="19">#REF!</definedName>
    <definedName name="_____________l12" localSheetId="30">#REF!</definedName>
    <definedName name="_____________l12" localSheetId="40">#REF!</definedName>
    <definedName name="_____________l12" localSheetId="26">#REF!</definedName>
    <definedName name="_____________l12">#REF!</definedName>
    <definedName name="_____________l3" localSheetId="22">#REF!</definedName>
    <definedName name="_____________l3" localSheetId="5">#REF!</definedName>
    <definedName name="_____________l3" localSheetId="6">#REF!</definedName>
    <definedName name="_____________l3" localSheetId="12">#REF!</definedName>
    <definedName name="_____________l3" localSheetId="34">#REF!</definedName>
    <definedName name="_____________l3" localSheetId="19">#REF!</definedName>
    <definedName name="_____________l3" localSheetId="30">#REF!</definedName>
    <definedName name="_____________l3" localSheetId="40">#REF!</definedName>
    <definedName name="_____________l3" localSheetId="26">#REF!</definedName>
    <definedName name="_____________l3">#REF!</definedName>
    <definedName name="_____________l5" localSheetId="22">#REF!</definedName>
    <definedName name="_____________l5" localSheetId="5">#REF!</definedName>
    <definedName name="_____________l5" localSheetId="6">#REF!</definedName>
    <definedName name="_____________l5" localSheetId="12">#REF!</definedName>
    <definedName name="_____________l5" localSheetId="34">#REF!</definedName>
    <definedName name="_____________l5" localSheetId="19">#REF!</definedName>
    <definedName name="_____________l5" localSheetId="30">#REF!</definedName>
    <definedName name="_____________l5" localSheetId="40">#REF!</definedName>
    <definedName name="_____________l5" localSheetId="26">#REF!</definedName>
    <definedName name="_____________l5">#REF!</definedName>
    <definedName name="_____________lcn1" localSheetId="27">#REF!</definedName>
    <definedName name="_____________lcn1">#REF!</definedName>
    <definedName name="_____________LI9" localSheetId="6">#REF!</definedName>
    <definedName name="_____________LI9" localSheetId="12">#REF!</definedName>
    <definedName name="_____________LI9" localSheetId="19">#REF!</definedName>
    <definedName name="_____________LI9">#REF!</definedName>
    <definedName name="_____________LII9" localSheetId="6">#REF!</definedName>
    <definedName name="_____________LII9" localSheetId="12">#REF!</definedName>
    <definedName name="_____________LII9" localSheetId="19">#REF!</definedName>
    <definedName name="_____________LII9">#REF!</definedName>
    <definedName name="_____________lm1" localSheetId="19">#REF!</definedName>
    <definedName name="_____________ML11" localSheetId="6">#REF!</definedName>
    <definedName name="_____________ML11" localSheetId="12">#REF!</definedName>
    <definedName name="_____________ML11" localSheetId="19">#REF!</definedName>
    <definedName name="_____________ML11">#REF!</definedName>
    <definedName name="_____________ML110" localSheetId="6">#REF!</definedName>
    <definedName name="_____________ML110" localSheetId="12">#REF!</definedName>
    <definedName name="_____________ML110" localSheetId="19">#REF!</definedName>
    <definedName name="_____________ML110">#REF!</definedName>
    <definedName name="_____________ML111" localSheetId="6">#REF!</definedName>
    <definedName name="_____________ML111" localSheetId="12">#REF!</definedName>
    <definedName name="_____________ML111" localSheetId="19">#REF!</definedName>
    <definedName name="_____________ML111">#REF!</definedName>
    <definedName name="_____________ML112" localSheetId="6">#REF!</definedName>
    <definedName name="_____________ML112" localSheetId="12">#REF!</definedName>
    <definedName name="_____________ML112" localSheetId="19">#REF!</definedName>
    <definedName name="_____________ML112">#REF!</definedName>
    <definedName name="_____________ML113" localSheetId="6">#REF!</definedName>
    <definedName name="_____________ML113" localSheetId="12">#REF!</definedName>
    <definedName name="_____________ML113" localSheetId="19">#REF!</definedName>
    <definedName name="_____________ML113">#REF!</definedName>
    <definedName name="_____________ML114" localSheetId="6">#REF!</definedName>
    <definedName name="_____________ML114" localSheetId="12">#REF!</definedName>
    <definedName name="_____________ML114" localSheetId="19">#REF!</definedName>
    <definedName name="_____________ML114">#REF!</definedName>
    <definedName name="_____________ML115" localSheetId="6">#REF!</definedName>
    <definedName name="_____________ML115" localSheetId="12">#REF!</definedName>
    <definedName name="_____________ML115" localSheetId="19">#REF!</definedName>
    <definedName name="_____________ML115">#REF!</definedName>
    <definedName name="_____________ML12" localSheetId="6">#REF!</definedName>
    <definedName name="_____________ML12" localSheetId="12">#REF!</definedName>
    <definedName name="_____________ML12" localSheetId="19">#REF!</definedName>
    <definedName name="_____________ML12">#REF!</definedName>
    <definedName name="_____________ML13" localSheetId="6">#REF!</definedName>
    <definedName name="_____________ML13" localSheetId="12">#REF!</definedName>
    <definedName name="_____________ML13" localSheetId="19">#REF!</definedName>
    <definedName name="_____________ML13">#REF!</definedName>
    <definedName name="_____________ML14" localSheetId="6">#REF!</definedName>
    <definedName name="_____________ML14" localSheetId="12">#REF!</definedName>
    <definedName name="_____________ML14" localSheetId="19">#REF!</definedName>
    <definedName name="_____________ML14">#REF!</definedName>
    <definedName name="_____________ML15" localSheetId="6">#REF!</definedName>
    <definedName name="_____________ML15" localSheetId="12">#REF!</definedName>
    <definedName name="_____________ML15" localSheetId="19">#REF!</definedName>
    <definedName name="_____________ML15">#REF!</definedName>
    <definedName name="_____________ML16" localSheetId="6">#REF!</definedName>
    <definedName name="_____________ML16" localSheetId="12">#REF!</definedName>
    <definedName name="_____________ML16" localSheetId="19">#REF!</definedName>
    <definedName name="_____________ML16">#REF!</definedName>
    <definedName name="_____________ML17" localSheetId="6">#REF!</definedName>
    <definedName name="_____________ML17" localSheetId="12">#REF!</definedName>
    <definedName name="_____________ML17" localSheetId="19">#REF!</definedName>
    <definedName name="_____________ML17">#REF!</definedName>
    <definedName name="_____________ML18" localSheetId="6">#REF!</definedName>
    <definedName name="_____________ML18" localSheetId="12">#REF!</definedName>
    <definedName name="_____________ML18" localSheetId="19">#REF!</definedName>
    <definedName name="_____________ML18">#REF!</definedName>
    <definedName name="_____________ML19" localSheetId="6">#REF!</definedName>
    <definedName name="_____________ML19" localSheetId="12">#REF!</definedName>
    <definedName name="_____________ML19" localSheetId="19">#REF!</definedName>
    <definedName name="_____________ML19">#REF!</definedName>
    <definedName name="_____________ML21" localSheetId="6">#REF!</definedName>
    <definedName name="_____________ML21" localSheetId="12">#REF!</definedName>
    <definedName name="_____________ML21" localSheetId="19">#REF!</definedName>
    <definedName name="_____________ML21">#REF!</definedName>
    <definedName name="_____________ML210" localSheetId="6">#REF!</definedName>
    <definedName name="_____________ML210" localSheetId="12">#REF!</definedName>
    <definedName name="_____________ML210" localSheetId="19">#REF!</definedName>
    <definedName name="_____________ML210">#REF!</definedName>
    <definedName name="_____________ML211" localSheetId="6">#REF!</definedName>
    <definedName name="_____________ML211" localSheetId="12">#REF!</definedName>
    <definedName name="_____________ML211" localSheetId="19">#REF!</definedName>
    <definedName name="_____________ML211">#REF!</definedName>
    <definedName name="_____________ML212" localSheetId="6">#REF!</definedName>
    <definedName name="_____________ML212" localSheetId="12">#REF!</definedName>
    <definedName name="_____________ML212" localSheetId="19">#REF!</definedName>
    <definedName name="_____________ML212">#REF!</definedName>
    <definedName name="_____________ML213" localSheetId="6">#REF!</definedName>
    <definedName name="_____________ML213" localSheetId="12">#REF!</definedName>
    <definedName name="_____________ML213" localSheetId="19">#REF!</definedName>
    <definedName name="_____________ML213">#REF!</definedName>
    <definedName name="_____________ML214" localSheetId="6">#REF!</definedName>
    <definedName name="_____________ML214" localSheetId="12">#REF!</definedName>
    <definedName name="_____________ML214" localSheetId="19">#REF!</definedName>
    <definedName name="_____________ML214">#REF!</definedName>
    <definedName name="_____________ML215" localSheetId="6">#REF!</definedName>
    <definedName name="_____________ML215" localSheetId="12">#REF!</definedName>
    <definedName name="_____________ML215" localSheetId="19">#REF!</definedName>
    <definedName name="_____________ML215">#REF!</definedName>
    <definedName name="_____________ML22" localSheetId="6">#REF!</definedName>
    <definedName name="_____________ML22" localSheetId="12">#REF!</definedName>
    <definedName name="_____________ML22" localSheetId="19">#REF!</definedName>
    <definedName name="_____________ML22">#REF!</definedName>
    <definedName name="_____________ML23" localSheetId="6">#REF!</definedName>
    <definedName name="_____________ML23" localSheetId="12">#REF!</definedName>
    <definedName name="_____________ML23" localSheetId="19">#REF!</definedName>
    <definedName name="_____________ML23">#REF!</definedName>
    <definedName name="_____________ML24" localSheetId="6">#REF!</definedName>
    <definedName name="_____________ML24" localSheetId="12">#REF!</definedName>
    <definedName name="_____________ML24" localSheetId="19">#REF!</definedName>
    <definedName name="_____________ML24">#REF!</definedName>
    <definedName name="_____________ML25" localSheetId="6">#REF!</definedName>
    <definedName name="_____________ML25" localSheetId="12">#REF!</definedName>
    <definedName name="_____________ML25" localSheetId="19">#REF!</definedName>
    <definedName name="_____________ML25">#REF!</definedName>
    <definedName name="_____________ML26" localSheetId="6">#REF!</definedName>
    <definedName name="_____________ML26" localSheetId="12">#REF!</definedName>
    <definedName name="_____________ML26" localSheetId="19">#REF!</definedName>
    <definedName name="_____________ML26">#REF!</definedName>
    <definedName name="_____________ML27" localSheetId="6">#REF!</definedName>
    <definedName name="_____________ML27" localSheetId="12">#REF!</definedName>
    <definedName name="_____________ML27" localSheetId="19">#REF!</definedName>
    <definedName name="_____________ML27">#REF!</definedName>
    <definedName name="_____________ML28" localSheetId="6">#REF!</definedName>
    <definedName name="_____________ML28" localSheetId="12">#REF!</definedName>
    <definedName name="_____________ML28" localSheetId="19">#REF!</definedName>
    <definedName name="_____________ML28">#REF!</definedName>
    <definedName name="_____________ML29" localSheetId="6">#REF!</definedName>
    <definedName name="_____________ML29" localSheetId="12">#REF!</definedName>
    <definedName name="_____________ML29" localSheetId="19">#REF!</definedName>
    <definedName name="_____________ML29">#REF!</definedName>
    <definedName name="_____________ML31" localSheetId="6">#REF!</definedName>
    <definedName name="_____________ML31" localSheetId="12">#REF!</definedName>
    <definedName name="_____________ML31" localSheetId="19">#REF!</definedName>
    <definedName name="_____________ML31">#REF!</definedName>
    <definedName name="_____________ML310" localSheetId="6">#REF!</definedName>
    <definedName name="_____________ML310" localSheetId="12">#REF!</definedName>
    <definedName name="_____________ML310" localSheetId="19">#REF!</definedName>
    <definedName name="_____________ML310">#REF!</definedName>
    <definedName name="_____________ML311" localSheetId="6">#REF!</definedName>
    <definedName name="_____________ML311" localSheetId="12">#REF!</definedName>
    <definedName name="_____________ML311" localSheetId="19">#REF!</definedName>
    <definedName name="_____________ML311">#REF!</definedName>
    <definedName name="_____________ML312" localSheetId="6">#REF!</definedName>
    <definedName name="_____________ML312" localSheetId="12">#REF!</definedName>
    <definedName name="_____________ML312" localSheetId="19">#REF!</definedName>
    <definedName name="_____________ML312">#REF!</definedName>
    <definedName name="_____________ML313" localSheetId="6">#REF!</definedName>
    <definedName name="_____________ML313" localSheetId="12">#REF!</definedName>
    <definedName name="_____________ML313" localSheetId="19">#REF!</definedName>
    <definedName name="_____________ML313">#REF!</definedName>
    <definedName name="_____________ML314" localSheetId="6">#REF!</definedName>
    <definedName name="_____________ML314" localSheetId="12">#REF!</definedName>
    <definedName name="_____________ML314" localSheetId="19">#REF!</definedName>
    <definedName name="_____________ML314">#REF!</definedName>
    <definedName name="_____________ML315" localSheetId="6">#REF!</definedName>
    <definedName name="_____________ML315" localSheetId="12">#REF!</definedName>
    <definedName name="_____________ML315" localSheetId="19">#REF!</definedName>
    <definedName name="_____________ML315">#REF!</definedName>
    <definedName name="_____________ML32" localSheetId="6">#REF!</definedName>
    <definedName name="_____________ML32" localSheetId="12">#REF!</definedName>
    <definedName name="_____________ML32" localSheetId="19">#REF!</definedName>
    <definedName name="_____________ML32">#REF!</definedName>
    <definedName name="_____________ML33" localSheetId="6">#REF!</definedName>
    <definedName name="_____________ML33" localSheetId="12">#REF!</definedName>
    <definedName name="_____________ML33" localSheetId="19">#REF!</definedName>
    <definedName name="_____________ML33">#REF!</definedName>
    <definedName name="_____________ML34" localSheetId="6">#REF!</definedName>
    <definedName name="_____________ML34" localSheetId="12">#REF!</definedName>
    <definedName name="_____________ML34" localSheetId="19">#REF!</definedName>
    <definedName name="_____________ML34">#REF!</definedName>
    <definedName name="_____________ML35" localSheetId="6">#REF!</definedName>
    <definedName name="_____________ML35" localSheetId="12">#REF!</definedName>
    <definedName name="_____________ML35" localSheetId="19">#REF!</definedName>
    <definedName name="_____________ML35">#REF!</definedName>
    <definedName name="_____________ML36" localSheetId="6">#REF!</definedName>
    <definedName name="_____________ML36" localSheetId="12">#REF!</definedName>
    <definedName name="_____________ML36" localSheetId="19">#REF!</definedName>
    <definedName name="_____________ML36">#REF!</definedName>
    <definedName name="_____________ML37" localSheetId="6">#REF!</definedName>
    <definedName name="_____________ML37" localSheetId="12">#REF!</definedName>
    <definedName name="_____________ML37" localSheetId="19">#REF!</definedName>
    <definedName name="_____________ML37">#REF!</definedName>
    <definedName name="_____________ML38" localSheetId="6">#REF!</definedName>
    <definedName name="_____________ML38" localSheetId="12">#REF!</definedName>
    <definedName name="_____________ML38" localSheetId="19">#REF!</definedName>
    <definedName name="_____________ML38">#REF!</definedName>
    <definedName name="_____________ML39" localSheetId="6">#REF!</definedName>
    <definedName name="_____________ML39" localSheetId="12">#REF!</definedName>
    <definedName name="_____________ML39" localSheetId="19">#REF!</definedName>
    <definedName name="_____________ML39">#REF!</definedName>
    <definedName name="_____________ML7" localSheetId="6">#REF!</definedName>
    <definedName name="_____________ML7" localSheetId="12">#REF!</definedName>
    <definedName name="_____________ML7" localSheetId="19">#REF!</definedName>
    <definedName name="_____________ML7">#REF!</definedName>
    <definedName name="_____________ML8" localSheetId="6">#REF!</definedName>
    <definedName name="_____________ML8" localSheetId="12">#REF!</definedName>
    <definedName name="_____________ML8" localSheetId="19">#REF!</definedName>
    <definedName name="_____________ML8">#REF!</definedName>
    <definedName name="_____________ML9" localSheetId="6">#REF!</definedName>
    <definedName name="_____________ML9" localSheetId="12">#REF!</definedName>
    <definedName name="_____________ML9" localSheetId="19">#REF!</definedName>
    <definedName name="_____________ML9">#REF!</definedName>
    <definedName name="_____________mm20" localSheetId="19">#REF!</definedName>
    <definedName name="_____________mm40" localSheetId="27">#REF!</definedName>
    <definedName name="_____________mm40">#REF!</definedName>
    <definedName name="_____________pc2" localSheetId="22">#REF!</definedName>
    <definedName name="_____________pc2" localSheetId="5">#REF!</definedName>
    <definedName name="_____________pc2" localSheetId="6">#REF!</definedName>
    <definedName name="_____________pc2" localSheetId="12">#REF!</definedName>
    <definedName name="_____________pc2" localSheetId="34">#REF!</definedName>
    <definedName name="_____________pc2" localSheetId="19">#REF!</definedName>
    <definedName name="_____________pc2" localSheetId="30">#REF!</definedName>
    <definedName name="_____________pc2" localSheetId="40">#REF!</definedName>
    <definedName name="_____________pc2" localSheetId="26">#REF!</definedName>
    <definedName name="_____________pc2">#REF!</definedName>
    <definedName name="_____________PMS2" localSheetId="6">#REF!</definedName>
    <definedName name="_____________PMS2" localSheetId="12">#REF!</definedName>
    <definedName name="_____________PMS2" localSheetId="19">#REF!</definedName>
    <definedName name="_____________PMS2">#REF!</definedName>
    <definedName name="_____________pv2" localSheetId="22">#REF!</definedName>
    <definedName name="_____________pv2" localSheetId="5">#REF!</definedName>
    <definedName name="_____________pv2" localSheetId="6">#REF!</definedName>
    <definedName name="_____________pv2" localSheetId="12">#REF!</definedName>
    <definedName name="_____________pv2" localSheetId="34">#REF!</definedName>
    <definedName name="_____________pv2" localSheetId="19">#REF!</definedName>
    <definedName name="_____________pv2" localSheetId="30">#REF!</definedName>
    <definedName name="_____________pv2" localSheetId="40">#REF!</definedName>
    <definedName name="_____________pv2" localSheetId="26">#REF!</definedName>
    <definedName name="_____________pv2">#REF!</definedName>
    <definedName name="_____________sw1" localSheetId="19">#REF!</definedName>
    <definedName name="_____________us1" localSheetId="27">#REF!</definedName>
    <definedName name="_____________us1">#REF!</definedName>
    <definedName name="_____________var1" localSheetId="22">#REF!</definedName>
    <definedName name="_____________var1" localSheetId="5">#REF!</definedName>
    <definedName name="_____________var1" localSheetId="6">#REF!</definedName>
    <definedName name="_____________var1" localSheetId="12">#REF!</definedName>
    <definedName name="_____________var1" localSheetId="34">#REF!</definedName>
    <definedName name="_____________var1" localSheetId="19">#REF!</definedName>
    <definedName name="_____________var1" localSheetId="30">#REF!</definedName>
    <definedName name="_____________var1" localSheetId="40">#REF!</definedName>
    <definedName name="_____________var1" localSheetId="26">#REF!</definedName>
    <definedName name="_____________var1">#REF!</definedName>
    <definedName name="_____________var4" localSheetId="22">#REF!</definedName>
    <definedName name="_____________var4" localSheetId="5">#REF!</definedName>
    <definedName name="_____________var4" localSheetId="6">#REF!</definedName>
    <definedName name="_____________var4" localSheetId="12">#REF!</definedName>
    <definedName name="_____________var4" localSheetId="34">#REF!</definedName>
    <definedName name="_____________var4" localSheetId="19">#REF!</definedName>
    <definedName name="_____________var4" localSheetId="30">#REF!</definedName>
    <definedName name="_____________var4" localSheetId="40">#REF!</definedName>
    <definedName name="_____________var4" localSheetId="26">#REF!</definedName>
    <definedName name="_____________var4">#REF!</definedName>
    <definedName name="_____________vat1">#REF!</definedName>
    <definedName name="_____________vat2">#REF!</definedName>
    <definedName name="_____________xlfn_BAHTTEXT">#N/A</definedName>
    <definedName name="____________abs1" localSheetId="6">#REF!</definedName>
    <definedName name="____________abs1" localSheetId="12">#REF!</definedName>
    <definedName name="____________abs1" localSheetId="19">#REF!</definedName>
    <definedName name="____________abs1">#REF!</definedName>
    <definedName name="____________AUX1" localSheetId="19">#REF!</definedName>
    <definedName name="____________aux2" localSheetId="19">#REF!</definedName>
    <definedName name="____________AUX3">#REF!</definedName>
    <definedName name="____________BSG100" localSheetId="6">#REF!</definedName>
    <definedName name="____________BSG100" localSheetId="12">#REF!</definedName>
    <definedName name="____________BSG100" localSheetId="19">#REF!</definedName>
    <definedName name="____________BSG100">#REF!</definedName>
    <definedName name="____________BSG150" localSheetId="6">#REF!</definedName>
    <definedName name="____________BSG150" localSheetId="12">#REF!</definedName>
    <definedName name="____________BSG150" localSheetId="19">#REF!</definedName>
    <definedName name="____________BSG150">#REF!</definedName>
    <definedName name="____________BSG5" localSheetId="6">#REF!</definedName>
    <definedName name="____________BSG5" localSheetId="12">#REF!</definedName>
    <definedName name="____________BSG5" localSheetId="19">#REF!</definedName>
    <definedName name="____________BSG5">#REF!</definedName>
    <definedName name="____________BSG75" localSheetId="6">#REF!</definedName>
    <definedName name="____________BSG75" localSheetId="12">#REF!</definedName>
    <definedName name="____________BSG75" localSheetId="19">#REF!</definedName>
    <definedName name="____________BSG75">#REF!</definedName>
    <definedName name="____________BTC1" localSheetId="6">#REF!</definedName>
    <definedName name="____________BTC1" localSheetId="12">#REF!</definedName>
    <definedName name="____________BTC1" localSheetId="19">#REF!</definedName>
    <definedName name="____________BTC1">#REF!</definedName>
    <definedName name="____________BTC10" localSheetId="6">#REF!</definedName>
    <definedName name="____________BTC10" localSheetId="12">#REF!</definedName>
    <definedName name="____________BTC10" localSheetId="19">#REF!</definedName>
    <definedName name="____________BTC10">#REF!</definedName>
    <definedName name="____________BTC11" localSheetId="6">#REF!</definedName>
    <definedName name="____________BTC11" localSheetId="12">#REF!</definedName>
    <definedName name="____________BTC11" localSheetId="19">#REF!</definedName>
    <definedName name="____________BTC11">#REF!</definedName>
    <definedName name="____________BTC12" localSheetId="6">#REF!</definedName>
    <definedName name="____________BTC12" localSheetId="12">#REF!</definedName>
    <definedName name="____________BTC12" localSheetId="19">#REF!</definedName>
    <definedName name="____________BTC12">#REF!</definedName>
    <definedName name="____________BTC13" localSheetId="6">#REF!</definedName>
    <definedName name="____________BTC13" localSheetId="12">#REF!</definedName>
    <definedName name="____________BTC13" localSheetId="19">#REF!</definedName>
    <definedName name="____________BTC13">#REF!</definedName>
    <definedName name="____________BTC14" localSheetId="6">#REF!</definedName>
    <definedName name="____________BTC14" localSheetId="12">#REF!</definedName>
    <definedName name="____________BTC14" localSheetId="19">#REF!</definedName>
    <definedName name="____________BTC14">#REF!</definedName>
    <definedName name="____________BTC15" localSheetId="6">#REF!</definedName>
    <definedName name="____________BTC15" localSheetId="12">#REF!</definedName>
    <definedName name="____________BTC15" localSheetId="19">#REF!</definedName>
    <definedName name="____________BTC15">#REF!</definedName>
    <definedName name="____________BTC2" localSheetId="6">#REF!</definedName>
    <definedName name="____________BTC2" localSheetId="12">#REF!</definedName>
    <definedName name="____________BTC2" localSheetId="19">#REF!</definedName>
    <definedName name="____________BTC2">#REF!</definedName>
    <definedName name="____________BTC3" localSheetId="6">#REF!</definedName>
    <definedName name="____________BTC3" localSheetId="12">#REF!</definedName>
    <definedName name="____________BTC3" localSheetId="19">#REF!</definedName>
    <definedName name="____________BTC3">#REF!</definedName>
    <definedName name="____________BTC4" localSheetId="6">#REF!</definedName>
    <definedName name="____________BTC4" localSheetId="12">#REF!</definedName>
    <definedName name="____________BTC4" localSheetId="19">#REF!</definedName>
    <definedName name="____________BTC4">#REF!</definedName>
    <definedName name="____________BTC5" localSheetId="6">#REF!</definedName>
    <definedName name="____________BTC5" localSheetId="12">#REF!</definedName>
    <definedName name="____________BTC5" localSheetId="19">#REF!</definedName>
    <definedName name="____________BTC5">#REF!</definedName>
    <definedName name="____________BTC6" localSheetId="6">#REF!</definedName>
    <definedName name="____________BTC6" localSheetId="12">#REF!</definedName>
    <definedName name="____________BTC6" localSheetId="19">#REF!</definedName>
    <definedName name="____________BTC6">#REF!</definedName>
    <definedName name="____________BTC7" localSheetId="6">#REF!</definedName>
    <definedName name="____________BTC7" localSheetId="12">#REF!</definedName>
    <definedName name="____________BTC7" localSheetId="19">#REF!</definedName>
    <definedName name="____________BTC7">#REF!</definedName>
    <definedName name="____________BTC8" localSheetId="6">#REF!</definedName>
    <definedName name="____________BTC8" localSheetId="12">#REF!</definedName>
    <definedName name="____________BTC8" localSheetId="19">#REF!</definedName>
    <definedName name="____________BTC8">#REF!</definedName>
    <definedName name="____________BTC9" localSheetId="6">#REF!</definedName>
    <definedName name="____________BTC9" localSheetId="12">#REF!</definedName>
    <definedName name="____________BTC9" localSheetId="19">#REF!</definedName>
    <definedName name="____________BTC9">#REF!</definedName>
    <definedName name="____________BTS1" localSheetId="6">#REF!</definedName>
    <definedName name="____________BTS1" localSheetId="12">#REF!</definedName>
    <definedName name="____________BTS1" localSheetId="19">#REF!</definedName>
    <definedName name="____________BTS1">#REF!</definedName>
    <definedName name="____________BTS10" localSheetId="6">#REF!</definedName>
    <definedName name="____________BTS10" localSheetId="12">#REF!</definedName>
    <definedName name="____________BTS10" localSheetId="19">#REF!</definedName>
    <definedName name="____________BTS10">#REF!</definedName>
    <definedName name="____________BTS11" localSheetId="6">#REF!</definedName>
    <definedName name="____________BTS11" localSheetId="12">#REF!</definedName>
    <definedName name="____________BTS11" localSheetId="19">#REF!</definedName>
    <definedName name="____________BTS11">#REF!</definedName>
    <definedName name="____________BTS12" localSheetId="6">#REF!</definedName>
    <definedName name="____________BTS12" localSheetId="12">#REF!</definedName>
    <definedName name="____________BTS12" localSheetId="19">#REF!</definedName>
    <definedName name="____________BTS12">#REF!</definedName>
    <definedName name="____________BTS13" localSheetId="6">#REF!</definedName>
    <definedName name="____________BTS13" localSheetId="12">#REF!</definedName>
    <definedName name="____________BTS13" localSheetId="19">#REF!</definedName>
    <definedName name="____________BTS13">#REF!</definedName>
    <definedName name="____________BTS14" localSheetId="6">#REF!</definedName>
    <definedName name="____________BTS14" localSheetId="12">#REF!</definedName>
    <definedName name="____________BTS14" localSheetId="19">#REF!</definedName>
    <definedName name="____________BTS14">#REF!</definedName>
    <definedName name="____________BTS15" localSheetId="6">#REF!</definedName>
    <definedName name="____________BTS15" localSheetId="12">#REF!</definedName>
    <definedName name="____________BTS15" localSheetId="19">#REF!</definedName>
    <definedName name="____________BTS15">#REF!</definedName>
    <definedName name="____________BTS2" localSheetId="6">#REF!</definedName>
    <definedName name="____________BTS2" localSheetId="12">#REF!</definedName>
    <definedName name="____________BTS2" localSheetId="19">#REF!</definedName>
    <definedName name="____________BTS2">#REF!</definedName>
    <definedName name="____________BTS3" localSheetId="6">#REF!</definedName>
    <definedName name="____________BTS3" localSheetId="12">#REF!</definedName>
    <definedName name="____________BTS3" localSheetId="19">#REF!</definedName>
    <definedName name="____________BTS3">#REF!</definedName>
    <definedName name="____________BTS4" localSheetId="6">#REF!</definedName>
    <definedName name="____________BTS4" localSheetId="12">#REF!</definedName>
    <definedName name="____________BTS4" localSheetId="19">#REF!</definedName>
    <definedName name="____________BTS4">#REF!</definedName>
    <definedName name="____________BTS5" localSheetId="6">#REF!</definedName>
    <definedName name="____________BTS5" localSheetId="12">#REF!</definedName>
    <definedName name="____________BTS5" localSheetId="19">#REF!</definedName>
    <definedName name="____________BTS5">#REF!</definedName>
    <definedName name="____________BTS6" localSheetId="6">#REF!</definedName>
    <definedName name="____________BTS6" localSheetId="12">#REF!</definedName>
    <definedName name="____________BTS6" localSheetId="19">#REF!</definedName>
    <definedName name="____________BTS6">#REF!</definedName>
    <definedName name="____________BTS7" localSheetId="6">#REF!</definedName>
    <definedName name="____________BTS7" localSheetId="12">#REF!</definedName>
    <definedName name="____________BTS7" localSheetId="19">#REF!</definedName>
    <definedName name="____________BTS7">#REF!</definedName>
    <definedName name="____________BTS8" localSheetId="6">#REF!</definedName>
    <definedName name="____________BTS8" localSheetId="12">#REF!</definedName>
    <definedName name="____________BTS8" localSheetId="19">#REF!</definedName>
    <definedName name="____________BTS8">#REF!</definedName>
    <definedName name="____________BTS9" localSheetId="6">#REF!</definedName>
    <definedName name="____________BTS9" localSheetId="12">#REF!</definedName>
    <definedName name="____________BTS9" localSheetId="19">#REF!</definedName>
    <definedName name="____________BTS9">#REF!</definedName>
    <definedName name="____________can430">40.73</definedName>
    <definedName name="____________can435">43.3</definedName>
    <definedName name="____________cbr1" localSheetId="19">#REF!</definedName>
    <definedName name="____________cbr2" localSheetId="27">#REF!</definedName>
    <definedName name="____________cbr2">#REF!</definedName>
    <definedName name="____________cbr3" localSheetId="27">#REF!</definedName>
    <definedName name="____________cbr3">#REF!</definedName>
    <definedName name="____________cbr4">#REF!</definedName>
    <definedName name="____________er1" localSheetId="27">#REF!</definedName>
    <definedName name="____________er1">#REF!</definedName>
    <definedName name="____________ewe1">#REF!</definedName>
    <definedName name="____________f1">#REF!</definedName>
    <definedName name="____________GBS11" localSheetId="6">#REF!</definedName>
    <definedName name="____________GBS11" localSheetId="12">#REF!</definedName>
    <definedName name="____________GBS11" localSheetId="19">#REF!</definedName>
    <definedName name="____________GBS11">#REF!</definedName>
    <definedName name="____________GBS110" localSheetId="6">#REF!</definedName>
    <definedName name="____________GBS110" localSheetId="12">#REF!</definedName>
    <definedName name="____________GBS110" localSheetId="19">#REF!</definedName>
    <definedName name="____________GBS110">#REF!</definedName>
    <definedName name="____________GBS111" localSheetId="6">#REF!</definedName>
    <definedName name="____________GBS111" localSheetId="12">#REF!</definedName>
    <definedName name="____________GBS111" localSheetId="19">#REF!</definedName>
    <definedName name="____________GBS111">#REF!</definedName>
    <definedName name="____________GBS112" localSheetId="6">#REF!</definedName>
    <definedName name="____________GBS112" localSheetId="12">#REF!</definedName>
    <definedName name="____________GBS112" localSheetId="19">#REF!</definedName>
    <definedName name="____________GBS112">#REF!</definedName>
    <definedName name="____________GBS113" localSheetId="6">#REF!</definedName>
    <definedName name="____________GBS113" localSheetId="12">#REF!</definedName>
    <definedName name="____________GBS113" localSheetId="19">#REF!</definedName>
    <definedName name="____________GBS113">#REF!</definedName>
    <definedName name="____________GBS114" localSheetId="6">#REF!</definedName>
    <definedName name="____________GBS114" localSheetId="12">#REF!</definedName>
    <definedName name="____________GBS114" localSheetId="19">#REF!</definedName>
    <definedName name="____________GBS114">#REF!</definedName>
    <definedName name="____________GBS115" localSheetId="6">#REF!</definedName>
    <definedName name="____________GBS115" localSheetId="12">#REF!</definedName>
    <definedName name="____________GBS115" localSheetId="19">#REF!</definedName>
    <definedName name="____________GBS115">#REF!</definedName>
    <definedName name="____________GBS12" localSheetId="6">#REF!</definedName>
    <definedName name="____________GBS12" localSheetId="12">#REF!</definedName>
    <definedName name="____________GBS12" localSheetId="19">#REF!</definedName>
    <definedName name="____________GBS12">#REF!</definedName>
    <definedName name="____________GBS13" localSheetId="6">#REF!</definedName>
    <definedName name="____________GBS13" localSheetId="12">#REF!</definedName>
    <definedName name="____________GBS13" localSheetId="19">#REF!</definedName>
    <definedName name="____________GBS13">#REF!</definedName>
    <definedName name="____________GBS14" localSheetId="6">#REF!</definedName>
    <definedName name="____________GBS14" localSheetId="12">#REF!</definedName>
    <definedName name="____________GBS14" localSheetId="19">#REF!</definedName>
    <definedName name="____________GBS14">#REF!</definedName>
    <definedName name="____________GBS15" localSheetId="6">#REF!</definedName>
    <definedName name="____________GBS15" localSheetId="12">#REF!</definedName>
    <definedName name="____________GBS15" localSheetId="19">#REF!</definedName>
    <definedName name="____________GBS15">#REF!</definedName>
    <definedName name="____________GBS16" localSheetId="6">#REF!</definedName>
    <definedName name="____________GBS16" localSheetId="12">#REF!</definedName>
    <definedName name="____________GBS16" localSheetId="19">#REF!</definedName>
    <definedName name="____________GBS16">#REF!</definedName>
    <definedName name="____________GBS17" localSheetId="6">#REF!</definedName>
    <definedName name="____________GBS17" localSheetId="12">#REF!</definedName>
    <definedName name="____________GBS17" localSheetId="19">#REF!</definedName>
    <definedName name="____________GBS17">#REF!</definedName>
    <definedName name="____________GBS18" localSheetId="6">#REF!</definedName>
    <definedName name="____________GBS18" localSheetId="12">#REF!</definedName>
    <definedName name="____________GBS18" localSheetId="19">#REF!</definedName>
    <definedName name="____________GBS18">#REF!</definedName>
    <definedName name="____________GBS19" localSheetId="6">#REF!</definedName>
    <definedName name="____________GBS19" localSheetId="12">#REF!</definedName>
    <definedName name="____________GBS19" localSheetId="19">#REF!</definedName>
    <definedName name="____________GBS19">#REF!</definedName>
    <definedName name="____________GBS21" localSheetId="6">#REF!</definedName>
    <definedName name="____________GBS21" localSheetId="12">#REF!</definedName>
    <definedName name="____________GBS21" localSheetId="19">#REF!</definedName>
    <definedName name="____________GBS21">#REF!</definedName>
    <definedName name="____________GBS210" localSheetId="6">#REF!</definedName>
    <definedName name="____________GBS210" localSheetId="12">#REF!</definedName>
    <definedName name="____________GBS210" localSheetId="19">#REF!</definedName>
    <definedName name="____________GBS210">#REF!</definedName>
    <definedName name="____________GBS211" localSheetId="6">#REF!</definedName>
    <definedName name="____________GBS211" localSheetId="12">#REF!</definedName>
    <definedName name="____________GBS211" localSheetId="19">#REF!</definedName>
    <definedName name="____________GBS211">#REF!</definedName>
    <definedName name="____________GBS212" localSheetId="6">#REF!</definedName>
    <definedName name="____________GBS212" localSheetId="12">#REF!</definedName>
    <definedName name="____________GBS212" localSheetId="19">#REF!</definedName>
    <definedName name="____________GBS212">#REF!</definedName>
    <definedName name="____________GBS213" localSheetId="6">#REF!</definedName>
    <definedName name="____________GBS213" localSheetId="12">#REF!</definedName>
    <definedName name="____________GBS213" localSheetId="19">#REF!</definedName>
    <definedName name="____________GBS213">#REF!</definedName>
    <definedName name="____________GBS214" localSheetId="6">#REF!</definedName>
    <definedName name="____________GBS214" localSheetId="12">#REF!</definedName>
    <definedName name="____________GBS214" localSheetId="19">#REF!</definedName>
    <definedName name="____________GBS214">#REF!</definedName>
    <definedName name="____________GBS215" localSheetId="6">#REF!</definedName>
    <definedName name="____________GBS215" localSheetId="12">#REF!</definedName>
    <definedName name="____________GBS215" localSheetId="19">#REF!</definedName>
    <definedName name="____________GBS215">#REF!</definedName>
    <definedName name="____________GBS22" localSheetId="6">#REF!</definedName>
    <definedName name="____________GBS22" localSheetId="12">#REF!</definedName>
    <definedName name="____________GBS22" localSheetId="19">#REF!</definedName>
    <definedName name="____________GBS22">#REF!</definedName>
    <definedName name="____________GBS23" localSheetId="6">#REF!</definedName>
    <definedName name="____________GBS23" localSheetId="12">#REF!</definedName>
    <definedName name="____________GBS23" localSheetId="19">#REF!</definedName>
    <definedName name="____________GBS23">#REF!</definedName>
    <definedName name="____________GBS24" localSheetId="6">#REF!</definedName>
    <definedName name="____________GBS24" localSheetId="12">#REF!</definedName>
    <definedName name="____________GBS24" localSheetId="19">#REF!</definedName>
    <definedName name="____________GBS24">#REF!</definedName>
    <definedName name="____________GBS25" localSheetId="6">#REF!</definedName>
    <definedName name="____________GBS25" localSheetId="12">#REF!</definedName>
    <definedName name="____________GBS25" localSheetId="19">#REF!</definedName>
    <definedName name="____________GBS25">#REF!</definedName>
    <definedName name="____________GBS26" localSheetId="6">#REF!</definedName>
    <definedName name="____________GBS26" localSheetId="12">#REF!</definedName>
    <definedName name="____________GBS26" localSheetId="19">#REF!</definedName>
    <definedName name="____________GBS26">#REF!</definedName>
    <definedName name="____________GBS27" localSheetId="6">#REF!</definedName>
    <definedName name="____________GBS27" localSheetId="12">#REF!</definedName>
    <definedName name="____________GBS27" localSheetId="19">#REF!</definedName>
    <definedName name="____________GBS27">#REF!</definedName>
    <definedName name="____________GBS28" localSheetId="6">#REF!</definedName>
    <definedName name="____________GBS28" localSheetId="12">#REF!</definedName>
    <definedName name="____________GBS28" localSheetId="19">#REF!</definedName>
    <definedName name="____________GBS28">#REF!</definedName>
    <definedName name="____________GBS29" localSheetId="6">#REF!</definedName>
    <definedName name="____________GBS29" localSheetId="12">#REF!</definedName>
    <definedName name="____________GBS29" localSheetId="19">#REF!</definedName>
    <definedName name="____________GBS29">#REF!</definedName>
    <definedName name="____________gus1">#REF!</definedName>
    <definedName name="____________hpm1">#REF!</definedName>
    <definedName name="____________knr2" localSheetId="5">#REF!</definedName>
    <definedName name="____________knr2" localSheetId="14">#REF!</definedName>
    <definedName name="____________knr2" localSheetId="6">#REF!</definedName>
    <definedName name="____________knr2" localSheetId="12">#REF!</definedName>
    <definedName name="____________knr2" localSheetId="19">#REF!</definedName>
    <definedName name="____________knr2">#REF!</definedName>
    <definedName name="____________l12" localSheetId="22">#REF!</definedName>
    <definedName name="____________l12" localSheetId="5">#REF!</definedName>
    <definedName name="____________l12" localSheetId="6">#REF!</definedName>
    <definedName name="____________l12" localSheetId="12">#REF!</definedName>
    <definedName name="____________l12" localSheetId="34">#REF!</definedName>
    <definedName name="____________l12" localSheetId="19">#REF!</definedName>
    <definedName name="____________l12" localSheetId="30">#REF!</definedName>
    <definedName name="____________l12" localSheetId="40">#REF!</definedName>
    <definedName name="____________l12" localSheetId="26">#REF!</definedName>
    <definedName name="____________l12">#REF!</definedName>
    <definedName name="____________l3" localSheetId="22">#REF!</definedName>
    <definedName name="____________l3" localSheetId="5">#REF!</definedName>
    <definedName name="____________l3" localSheetId="6">#REF!</definedName>
    <definedName name="____________l3" localSheetId="12">#REF!</definedName>
    <definedName name="____________l3" localSheetId="34">#REF!</definedName>
    <definedName name="____________l3" localSheetId="19">#REF!</definedName>
    <definedName name="____________l3" localSheetId="30">#REF!</definedName>
    <definedName name="____________l3" localSheetId="40">#REF!</definedName>
    <definedName name="____________l3" localSheetId="26">#REF!</definedName>
    <definedName name="____________l3">#REF!</definedName>
    <definedName name="____________l5" localSheetId="22">#REF!</definedName>
    <definedName name="____________l5" localSheetId="5">#REF!</definedName>
    <definedName name="____________l5" localSheetId="6">#REF!</definedName>
    <definedName name="____________l5" localSheetId="12">#REF!</definedName>
    <definedName name="____________l5" localSheetId="34">#REF!</definedName>
    <definedName name="____________l5" localSheetId="19">#REF!</definedName>
    <definedName name="____________l5" localSheetId="30">#REF!</definedName>
    <definedName name="____________l5" localSheetId="40">#REF!</definedName>
    <definedName name="____________l5" localSheetId="26">#REF!</definedName>
    <definedName name="____________l5">#REF!</definedName>
    <definedName name="____________lcn1" localSheetId="27">#REF!</definedName>
    <definedName name="____________lcn1">#REF!</definedName>
    <definedName name="____________LI9" localSheetId="6">#REF!</definedName>
    <definedName name="____________LI9" localSheetId="12">#REF!</definedName>
    <definedName name="____________LI9" localSheetId="19">#REF!</definedName>
    <definedName name="____________LI9">#REF!</definedName>
    <definedName name="____________LII9" localSheetId="6">#REF!</definedName>
    <definedName name="____________LII9" localSheetId="12">#REF!</definedName>
    <definedName name="____________LII9" localSheetId="19">#REF!</definedName>
    <definedName name="____________LII9">#REF!</definedName>
    <definedName name="____________lm1" localSheetId="19">#REF!</definedName>
    <definedName name="____________ML11" localSheetId="6">#REF!</definedName>
    <definedName name="____________ML11" localSheetId="12">#REF!</definedName>
    <definedName name="____________ML11" localSheetId="19">#REF!</definedName>
    <definedName name="____________ML11">#REF!</definedName>
    <definedName name="____________ML110" localSheetId="6">#REF!</definedName>
    <definedName name="____________ML110" localSheetId="12">#REF!</definedName>
    <definedName name="____________ML110" localSheetId="19">#REF!</definedName>
    <definedName name="____________ML110">#REF!</definedName>
    <definedName name="____________ML111" localSheetId="6">#REF!</definedName>
    <definedName name="____________ML111" localSheetId="12">#REF!</definedName>
    <definedName name="____________ML111" localSheetId="19">#REF!</definedName>
    <definedName name="____________ML111">#REF!</definedName>
    <definedName name="____________ML112" localSheetId="6">#REF!</definedName>
    <definedName name="____________ML112" localSheetId="12">#REF!</definedName>
    <definedName name="____________ML112" localSheetId="19">#REF!</definedName>
    <definedName name="____________ML112">#REF!</definedName>
    <definedName name="____________ML113" localSheetId="6">#REF!</definedName>
    <definedName name="____________ML113" localSheetId="12">#REF!</definedName>
    <definedName name="____________ML113" localSheetId="19">#REF!</definedName>
    <definedName name="____________ML113">#REF!</definedName>
    <definedName name="____________ML114" localSheetId="6">#REF!</definedName>
    <definedName name="____________ML114" localSheetId="12">#REF!</definedName>
    <definedName name="____________ML114" localSheetId="19">#REF!</definedName>
    <definedName name="____________ML114">#REF!</definedName>
    <definedName name="____________ML115" localSheetId="6">#REF!</definedName>
    <definedName name="____________ML115" localSheetId="12">#REF!</definedName>
    <definedName name="____________ML115" localSheetId="19">#REF!</definedName>
    <definedName name="____________ML115">#REF!</definedName>
    <definedName name="____________ML12" localSheetId="6">#REF!</definedName>
    <definedName name="____________ML12" localSheetId="12">#REF!</definedName>
    <definedName name="____________ML12" localSheetId="19">#REF!</definedName>
    <definedName name="____________ML12">#REF!</definedName>
    <definedName name="____________ML13" localSheetId="6">#REF!</definedName>
    <definedName name="____________ML13" localSheetId="12">#REF!</definedName>
    <definedName name="____________ML13" localSheetId="19">#REF!</definedName>
    <definedName name="____________ML13">#REF!</definedName>
    <definedName name="____________ML14" localSheetId="6">#REF!</definedName>
    <definedName name="____________ML14" localSheetId="12">#REF!</definedName>
    <definedName name="____________ML14" localSheetId="19">#REF!</definedName>
    <definedName name="____________ML14">#REF!</definedName>
    <definedName name="____________ML15" localSheetId="6">#REF!</definedName>
    <definedName name="____________ML15" localSheetId="12">#REF!</definedName>
    <definedName name="____________ML15" localSheetId="19">#REF!</definedName>
    <definedName name="____________ML15">#REF!</definedName>
    <definedName name="____________ML16" localSheetId="6">#REF!</definedName>
    <definedName name="____________ML16" localSheetId="12">#REF!</definedName>
    <definedName name="____________ML16" localSheetId="19">#REF!</definedName>
    <definedName name="____________ML16">#REF!</definedName>
    <definedName name="____________ML17" localSheetId="6">#REF!</definedName>
    <definedName name="____________ML17" localSheetId="12">#REF!</definedName>
    <definedName name="____________ML17" localSheetId="19">#REF!</definedName>
    <definedName name="____________ML17">#REF!</definedName>
    <definedName name="____________ML18" localSheetId="6">#REF!</definedName>
    <definedName name="____________ML18" localSheetId="12">#REF!</definedName>
    <definedName name="____________ML18" localSheetId="19">#REF!</definedName>
    <definedName name="____________ML18">#REF!</definedName>
    <definedName name="____________ML19" localSheetId="6">#REF!</definedName>
    <definedName name="____________ML19" localSheetId="12">#REF!</definedName>
    <definedName name="____________ML19" localSheetId="19">#REF!</definedName>
    <definedName name="____________ML19">#REF!</definedName>
    <definedName name="____________ML21" localSheetId="6">#REF!</definedName>
    <definedName name="____________ML21" localSheetId="12">#REF!</definedName>
    <definedName name="____________ML21" localSheetId="19">#REF!</definedName>
    <definedName name="____________ML21">#REF!</definedName>
    <definedName name="____________ML210" localSheetId="6">#REF!</definedName>
    <definedName name="____________ML210" localSheetId="12">#REF!</definedName>
    <definedName name="____________ML210" localSheetId="19">#REF!</definedName>
    <definedName name="____________ML210">#REF!</definedName>
    <definedName name="____________ML211" localSheetId="6">#REF!</definedName>
    <definedName name="____________ML211" localSheetId="12">#REF!</definedName>
    <definedName name="____________ML211" localSheetId="19">#REF!</definedName>
    <definedName name="____________ML211">#REF!</definedName>
    <definedName name="____________ML212" localSheetId="6">#REF!</definedName>
    <definedName name="____________ML212" localSheetId="12">#REF!</definedName>
    <definedName name="____________ML212" localSheetId="19">#REF!</definedName>
    <definedName name="____________ML212">#REF!</definedName>
    <definedName name="____________ML213" localSheetId="6">#REF!</definedName>
    <definedName name="____________ML213" localSheetId="12">#REF!</definedName>
    <definedName name="____________ML213" localSheetId="19">#REF!</definedName>
    <definedName name="____________ML213">#REF!</definedName>
    <definedName name="____________ML214" localSheetId="6">#REF!</definedName>
    <definedName name="____________ML214" localSheetId="12">#REF!</definedName>
    <definedName name="____________ML214" localSheetId="19">#REF!</definedName>
    <definedName name="____________ML214">#REF!</definedName>
    <definedName name="____________ML215" localSheetId="6">#REF!</definedName>
    <definedName name="____________ML215" localSheetId="12">#REF!</definedName>
    <definedName name="____________ML215" localSheetId="19">#REF!</definedName>
    <definedName name="____________ML215">#REF!</definedName>
    <definedName name="____________ML22" localSheetId="6">#REF!</definedName>
    <definedName name="____________ML22" localSheetId="12">#REF!</definedName>
    <definedName name="____________ML22" localSheetId="19">#REF!</definedName>
    <definedName name="____________ML22">#REF!</definedName>
    <definedName name="____________ML23" localSheetId="6">#REF!</definedName>
    <definedName name="____________ML23" localSheetId="12">#REF!</definedName>
    <definedName name="____________ML23" localSheetId="19">#REF!</definedName>
    <definedName name="____________ML23">#REF!</definedName>
    <definedName name="____________ML24" localSheetId="6">#REF!</definedName>
    <definedName name="____________ML24" localSheetId="12">#REF!</definedName>
    <definedName name="____________ML24" localSheetId="19">#REF!</definedName>
    <definedName name="____________ML24">#REF!</definedName>
    <definedName name="____________ML25" localSheetId="6">#REF!</definedName>
    <definedName name="____________ML25" localSheetId="12">#REF!</definedName>
    <definedName name="____________ML25" localSheetId="19">#REF!</definedName>
    <definedName name="____________ML25">#REF!</definedName>
    <definedName name="____________ML26" localSheetId="6">#REF!</definedName>
    <definedName name="____________ML26" localSheetId="12">#REF!</definedName>
    <definedName name="____________ML26" localSheetId="19">#REF!</definedName>
    <definedName name="____________ML26">#REF!</definedName>
    <definedName name="____________ML27" localSheetId="6">#REF!</definedName>
    <definedName name="____________ML27" localSheetId="12">#REF!</definedName>
    <definedName name="____________ML27" localSheetId="19">#REF!</definedName>
    <definedName name="____________ML27">#REF!</definedName>
    <definedName name="____________ML28" localSheetId="6">#REF!</definedName>
    <definedName name="____________ML28" localSheetId="12">#REF!</definedName>
    <definedName name="____________ML28" localSheetId="19">#REF!</definedName>
    <definedName name="____________ML28">#REF!</definedName>
    <definedName name="____________ML29" localSheetId="6">#REF!</definedName>
    <definedName name="____________ML29" localSheetId="12">#REF!</definedName>
    <definedName name="____________ML29" localSheetId="19">#REF!</definedName>
    <definedName name="____________ML29">#REF!</definedName>
    <definedName name="____________ML31" localSheetId="6">#REF!</definedName>
    <definedName name="____________ML31" localSheetId="12">#REF!</definedName>
    <definedName name="____________ML31" localSheetId="19">#REF!</definedName>
    <definedName name="____________ML31">#REF!</definedName>
    <definedName name="____________ML310" localSheetId="6">#REF!</definedName>
    <definedName name="____________ML310" localSheetId="12">#REF!</definedName>
    <definedName name="____________ML310" localSheetId="19">#REF!</definedName>
    <definedName name="____________ML310">#REF!</definedName>
    <definedName name="____________ML311" localSheetId="6">#REF!</definedName>
    <definedName name="____________ML311" localSheetId="12">#REF!</definedName>
    <definedName name="____________ML311" localSheetId="19">#REF!</definedName>
    <definedName name="____________ML311">#REF!</definedName>
    <definedName name="____________ML312" localSheetId="6">#REF!</definedName>
    <definedName name="____________ML312" localSheetId="12">#REF!</definedName>
    <definedName name="____________ML312" localSheetId="19">#REF!</definedName>
    <definedName name="____________ML312">#REF!</definedName>
    <definedName name="____________ML313" localSheetId="6">#REF!</definedName>
    <definedName name="____________ML313" localSheetId="12">#REF!</definedName>
    <definedName name="____________ML313" localSheetId="19">#REF!</definedName>
    <definedName name="____________ML313">#REF!</definedName>
    <definedName name="____________ML314" localSheetId="6">#REF!</definedName>
    <definedName name="____________ML314" localSheetId="12">#REF!</definedName>
    <definedName name="____________ML314" localSheetId="19">#REF!</definedName>
    <definedName name="____________ML314">#REF!</definedName>
    <definedName name="____________ML315" localSheetId="6">#REF!</definedName>
    <definedName name="____________ML315" localSheetId="12">#REF!</definedName>
    <definedName name="____________ML315" localSheetId="19">#REF!</definedName>
    <definedName name="____________ML315">#REF!</definedName>
    <definedName name="____________ML32" localSheetId="6">#REF!</definedName>
    <definedName name="____________ML32" localSheetId="12">#REF!</definedName>
    <definedName name="____________ML32" localSheetId="19">#REF!</definedName>
    <definedName name="____________ML32">#REF!</definedName>
    <definedName name="____________ML33" localSheetId="6">#REF!</definedName>
    <definedName name="____________ML33" localSheetId="12">#REF!</definedName>
    <definedName name="____________ML33" localSheetId="19">#REF!</definedName>
    <definedName name="____________ML33">#REF!</definedName>
    <definedName name="____________ML34" localSheetId="6">#REF!</definedName>
    <definedName name="____________ML34" localSheetId="12">#REF!</definedName>
    <definedName name="____________ML34" localSheetId="19">#REF!</definedName>
    <definedName name="____________ML34">#REF!</definedName>
    <definedName name="____________ML35" localSheetId="6">#REF!</definedName>
    <definedName name="____________ML35" localSheetId="12">#REF!</definedName>
    <definedName name="____________ML35" localSheetId="19">#REF!</definedName>
    <definedName name="____________ML35">#REF!</definedName>
    <definedName name="____________ML36" localSheetId="6">#REF!</definedName>
    <definedName name="____________ML36" localSheetId="12">#REF!</definedName>
    <definedName name="____________ML36" localSheetId="19">#REF!</definedName>
    <definedName name="____________ML36">#REF!</definedName>
    <definedName name="____________ML37" localSheetId="6">#REF!</definedName>
    <definedName name="____________ML37" localSheetId="12">#REF!</definedName>
    <definedName name="____________ML37" localSheetId="19">#REF!</definedName>
    <definedName name="____________ML37">#REF!</definedName>
    <definedName name="____________ML38" localSheetId="6">#REF!</definedName>
    <definedName name="____________ML38" localSheetId="12">#REF!</definedName>
    <definedName name="____________ML38" localSheetId="19">#REF!</definedName>
    <definedName name="____________ML38">#REF!</definedName>
    <definedName name="____________ML39" localSheetId="6">#REF!</definedName>
    <definedName name="____________ML39" localSheetId="12">#REF!</definedName>
    <definedName name="____________ML39" localSheetId="19">#REF!</definedName>
    <definedName name="____________ML39">#REF!</definedName>
    <definedName name="____________ML7" localSheetId="6">#REF!</definedName>
    <definedName name="____________ML7" localSheetId="12">#REF!</definedName>
    <definedName name="____________ML7" localSheetId="19">#REF!</definedName>
    <definedName name="____________ML7">#REF!</definedName>
    <definedName name="____________ML8" localSheetId="6">#REF!</definedName>
    <definedName name="____________ML8" localSheetId="12">#REF!</definedName>
    <definedName name="____________ML8" localSheetId="19">#REF!</definedName>
    <definedName name="____________ML8">#REF!</definedName>
    <definedName name="____________ML9" localSheetId="6">#REF!</definedName>
    <definedName name="____________ML9" localSheetId="12">#REF!</definedName>
    <definedName name="____________ML9" localSheetId="19">#REF!</definedName>
    <definedName name="____________ML9">#REF!</definedName>
    <definedName name="____________mm20" localSheetId="19">#REF!</definedName>
    <definedName name="____________mm40" localSheetId="27">#REF!</definedName>
    <definedName name="____________mm40">#REF!</definedName>
    <definedName name="____________pc2" localSheetId="22">#REF!</definedName>
    <definedName name="____________pc2" localSheetId="5">#REF!</definedName>
    <definedName name="____________pc2" localSheetId="6">#REF!</definedName>
    <definedName name="____________pc2" localSheetId="12">#REF!</definedName>
    <definedName name="____________pc2" localSheetId="34">#REF!</definedName>
    <definedName name="____________pc2" localSheetId="19">#REF!</definedName>
    <definedName name="____________pc2" localSheetId="30">#REF!</definedName>
    <definedName name="____________pc2" localSheetId="40">#REF!</definedName>
    <definedName name="____________pc2" localSheetId="26">#REF!</definedName>
    <definedName name="____________pc2">#REF!</definedName>
    <definedName name="____________PMS2" localSheetId="6">#REF!</definedName>
    <definedName name="____________PMS2" localSheetId="12">#REF!</definedName>
    <definedName name="____________PMS2" localSheetId="19">#REF!</definedName>
    <definedName name="____________PMS2">#REF!</definedName>
    <definedName name="____________pv2" localSheetId="22">#REF!</definedName>
    <definedName name="____________pv2" localSheetId="5">#REF!</definedName>
    <definedName name="____________pv2" localSheetId="6">#REF!</definedName>
    <definedName name="____________pv2" localSheetId="12">#REF!</definedName>
    <definedName name="____________pv2" localSheetId="34">#REF!</definedName>
    <definedName name="____________pv2" localSheetId="19">#REF!</definedName>
    <definedName name="____________pv2" localSheetId="30">#REF!</definedName>
    <definedName name="____________pv2" localSheetId="40">#REF!</definedName>
    <definedName name="____________pv2" localSheetId="26">#REF!</definedName>
    <definedName name="____________pv2">#REF!</definedName>
    <definedName name="____________sw1" localSheetId="19">#REF!</definedName>
    <definedName name="____________us1" localSheetId="27">#REF!</definedName>
    <definedName name="____________us1">#REF!</definedName>
    <definedName name="____________var1" localSheetId="22">#REF!</definedName>
    <definedName name="____________var1" localSheetId="5">#REF!</definedName>
    <definedName name="____________var1" localSheetId="6">#REF!</definedName>
    <definedName name="____________var1" localSheetId="12">#REF!</definedName>
    <definedName name="____________var1" localSheetId="34">#REF!</definedName>
    <definedName name="____________var1" localSheetId="19">#REF!</definedName>
    <definedName name="____________var1" localSheetId="30">#REF!</definedName>
    <definedName name="____________var1" localSheetId="40">#REF!</definedName>
    <definedName name="____________var1" localSheetId="26">#REF!</definedName>
    <definedName name="____________var1">#REF!</definedName>
    <definedName name="____________var4" localSheetId="22">#REF!</definedName>
    <definedName name="____________var4" localSheetId="5">#REF!</definedName>
    <definedName name="____________var4" localSheetId="6">#REF!</definedName>
    <definedName name="____________var4" localSheetId="12">#REF!</definedName>
    <definedName name="____________var4" localSheetId="34">#REF!</definedName>
    <definedName name="____________var4" localSheetId="19">#REF!</definedName>
    <definedName name="____________var4" localSheetId="30">#REF!</definedName>
    <definedName name="____________var4" localSheetId="40">#REF!</definedName>
    <definedName name="____________var4" localSheetId="26">#REF!</definedName>
    <definedName name="____________var4">#REF!</definedName>
    <definedName name="____________vat1">#REF!</definedName>
    <definedName name="____________vat2">#REF!</definedName>
    <definedName name="____________xlfn_BAHTTEXT">#N/A</definedName>
    <definedName name="___________abs1" localSheetId="6">#REF!</definedName>
    <definedName name="___________abs1" localSheetId="12">#REF!</definedName>
    <definedName name="___________abs1" localSheetId="19">#REF!</definedName>
    <definedName name="___________abs1">#REF!</definedName>
    <definedName name="___________AUX1" localSheetId="19">#REF!</definedName>
    <definedName name="___________aux2" localSheetId="19">#REF!</definedName>
    <definedName name="___________AUX3">#REF!</definedName>
    <definedName name="___________BSG100" localSheetId="6">#REF!</definedName>
    <definedName name="___________BSG100" localSheetId="12">#REF!</definedName>
    <definedName name="___________BSG100" localSheetId="19">#REF!</definedName>
    <definedName name="___________BSG100">#REF!</definedName>
    <definedName name="___________BSG150" localSheetId="6">#REF!</definedName>
    <definedName name="___________BSG150" localSheetId="12">#REF!</definedName>
    <definedName name="___________BSG150" localSheetId="19">#REF!</definedName>
    <definedName name="___________BSG150">#REF!</definedName>
    <definedName name="___________BSG5" localSheetId="6">#REF!</definedName>
    <definedName name="___________BSG5" localSheetId="12">#REF!</definedName>
    <definedName name="___________BSG5" localSheetId="19">#REF!</definedName>
    <definedName name="___________BSG5">#REF!</definedName>
    <definedName name="___________BSG75" localSheetId="6">#REF!</definedName>
    <definedName name="___________BSG75" localSheetId="12">#REF!</definedName>
    <definedName name="___________BSG75" localSheetId="19">#REF!</definedName>
    <definedName name="___________BSG75">#REF!</definedName>
    <definedName name="___________BTC1" localSheetId="6">#REF!</definedName>
    <definedName name="___________BTC1" localSheetId="12">#REF!</definedName>
    <definedName name="___________BTC1" localSheetId="19">#REF!</definedName>
    <definedName name="___________BTC1">#REF!</definedName>
    <definedName name="___________BTC10" localSheetId="6">#REF!</definedName>
    <definedName name="___________BTC10" localSheetId="12">#REF!</definedName>
    <definedName name="___________BTC10" localSheetId="19">#REF!</definedName>
    <definedName name="___________BTC10">#REF!</definedName>
    <definedName name="___________BTC11" localSheetId="6">#REF!</definedName>
    <definedName name="___________BTC11" localSheetId="12">#REF!</definedName>
    <definedName name="___________BTC11" localSheetId="19">#REF!</definedName>
    <definedName name="___________BTC11">#REF!</definedName>
    <definedName name="___________BTC12" localSheetId="6">#REF!</definedName>
    <definedName name="___________BTC12" localSheetId="12">#REF!</definedName>
    <definedName name="___________BTC12" localSheetId="19">#REF!</definedName>
    <definedName name="___________BTC12">#REF!</definedName>
    <definedName name="___________BTC13" localSheetId="6">#REF!</definedName>
    <definedName name="___________BTC13" localSheetId="12">#REF!</definedName>
    <definedName name="___________BTC13" localSheetId="19">#REF!</definedName>
    <definedName name="___________BTC13">#REF!</definedName>
    <definedName name="___________BTC14" localSheetId="6">#REF!</definedName>
    <definedName name="___________BTC14" localSheetId="12">#REF!</definedName>
    <definedName name="___________BTC14" localSheetId="19">#REF!</definedName>
    <definedName name="___________BTC14">#REF!</definedName>
    <definedName name="___________BTC15" localSheetId="6">#REF!</definedName>
    <definedName name="___________BTC15" localSheetId="12">#REF!</definedName>
    <definedName name="___________BTC15" localSheetId="19">#REF!</definedName>
    <definedName name="___________BTC15">#REF!</definedName>
    <definedName name="___________BTC2" localSheetId="6">#REF!</definedName>
    <definedName name="___________BTC2" localSheetId="12">#REF!</definedName>
    <definedName name="___________BTC2" localSheetId="19">#REF!</definedName>
    <definedName name="___________BTC2">#REF!</definedName>
    <definedName name="___________BTC3" localSheetId="6">#REF!</definedName>
    <definedName name="___________BTC3" localSheetId="12">#REF!</definedName>
    <definedName name="___________BTC3" localSheetId="19">#REF!</definedName>
    <definedName name="___________BTC3">#REF!</definedName>
    <definedName name="___________BTC4" localSheetId="6">#REF!</definedName>
    <definedName name="___________BTC4" localSheetId="12">#REF!</definedName>
    <definedName name="___________BTC4" localSheetId="19">#REF!</definedName>
    <definedName name="___________BTC4">#REF!</definedName>
    <definedName name="___________BTC5" localSheetId="6">#REF!</definedName>
    <definedName name="___________BTC5" localSheetId="12">#REF!</definedName>
    <definedName name="___________BTC5" localSheetId="19">#REF!</definedName>
    <definedName name="___________BTC5">#REF!</definedName>
    <definedName name="___________BTC6" localSheetId="6">#REF!</definedName>
    <definedName name="___________BTC6" localSheetId="12">#REF!</definedName>
    <definedName name="___________BTC6" localSheetId="19">#REF!</definedName>
    <definedName name="___________BTC6">#REF!</definedName>
    <definedName name="___________BTC7" localSheetId="6">#REF!</definedName>
    <definedName name="___________BTC7" localSheetId="12">#REF!</definedName>
    <definedName name="___________BTC7" localSheetId="19">#REF!</definedName>
    <definedName name="___________BTC7">#REF!</definedName>
    <definedName name="___________BTC8" localSheetId="6">#REF!</definedName>
    <definedName name="___________BTC8" localSheetId="12">#REF!</definedName>
    <definedName name="___________BTC8" localSheetId="19">#REF!</definedName>
    <definedName name="___________BTC8">#REF!</definedName>
    <definedName name="___________BTC9" localSheetId="6">#REF!</definedName>
    <definedName name="___________BTC9" localSheetId="12">#REF!</definedName>
    <definedName name="___________BTC9" localSheetId="19">#REF!</definedName>
    <definedName name="___________BTC9">#REF!</definedName>
    <definedName name="___________BTS1" localSheetId="6">#REF!</definedName>
    <definedName name="___________BTS1" localSheetId="12">#REF!</definedName>
    <definedName name="___________BTS1" localSheetId="19">#REF!</definedName>
    <definedName name="___________BTS1">#REF!</definedName>
    <definedName name="___________BTS10" localSheetId="6">#REF!</definedName>
    <definedName name="___________BTS10" localSheetId="12">#REF!</definedName>
    <definedName name="___________BTS10" localSheetId="19">#REF!</definedName>
    <definedName name="___________BTS10">#REF!</definedName>
    <definedName name="___________BTS11" localSheetId="6">#REF!</definedName>
    <definedName name="___________BTS11" localSheetId="12">#REF!</definedName>
    <definedName name="___________BTS11" localSheetId="19">#REF!</definedName>
    <definedName name="___________BTS11">#REF!</definedName>
    <definedName name="___________BTS12" localSheetId="6">#REF!</definedName>
    <definedName name="___________BTS12" localSheetId="12">#REF!</definedName>
    <definedName name="___________BTS12" localSheetId="19">#REF!</definedName>
    <definedName name="___________BTS12">#REF!</definedName>
    <definedName name="___________BTS13" localSheetId="6">#REF!</definedName>
    <definedName name="___________BTS13" localSheetId="12">#REF!</definedName>
    <definedName name="___________BTS13" localSheetId="19">#REF!</definedName>
    <definedName name="___________BTS13">#REF!</definedName>
    <definedName name="___________BTS14" localSheetId="6">#REF!</definedName>
    <definedName name="___________BTS14" localSheetId="12">#REF!</definedName>
    <definedName name="___________BTS14" localSheetId="19">#REF!</definedName>
    <definedName name="___________BTS14">#REF!</definedName>
    <definedName name="___________BTS15" localSheetId="6">#REF!</definedName>
    <definedName name="___________BTS15" localSheetId="12">#REF!</definedName>
    <definedName name="___________BTS15" localSheetId="19">#REF!</definedName>
    <definedName name="___________BTS15">#REF!</definedName>
    <definedName name="___________BTS2" localSheetId="6">#REF!</definedName>
    <definedName name="___________BTS2" localSheetId="12">#REF!</definedName>
    <definedName name="___________BTS2" localSheetId="19">#REF!</definedName>
    <definedName name="___________BTS2">#REF!</definedName>
    <definedName name="___________BTS3" localSheetId="6">#REF!</definedName>
    <definedName name="___________BTS3" localSheetId="12">#REF!</definedName>
    <definedName name="___________BTS3" localSheetId="19">#REF!</definedName>
    <definedName name="___________BTS3">#REF!</definedName>
    <definedName name="___________BTS4" localSheetId="6">#REF!</definedName>
    <definedName name="___________BTS4" localSheetId="12">#REF!</definedName>
    <definedName name="___________BTS4" localSheetId="19">#REF!</definedName>
    <definedName name="___________BTS4">#REF!</definedName>
    <definedName name="___________BTS5" localSheetId="6">#REF!</definedName>
    <definedName name="___________BTS5" localSheetId="12">#REF!</definedName>
    <definedName name="___________BTS5" localSheetId="19">#REF!</definedName>
    <definedName name="___________BTS5">#REF!</definedName>
    <definedName name="___________BTS6" localSheetId="6">#REF!</definedName>
    <definedName name="___________BTS6" localSheetId="12">#REF!</definedName>
    <definedName name="___________BTS6" localSheetId="19">#REF!</definedName>
    <definedName name="___________BTS6">#REF!</definedName>
    <definedName name="___________BTS7" localSheetId="6">#REF!</definedName>
    <definedName name="___________BTS7" localSheetId="12">#REF!</definedName>
    <definedName name="___________BTS7" localSheetId="19">#REF!</definedName>
    <definedName name="___________BTS7">#REF!</definedName>
    <definedName name="___________BTS8" localSheetId="6">#REF!</definedName>
    <definedName name="___________BTS8" localSheetId="12">#REF!</definedName>
    <definedName name="___________BTS8" localSheetId="19">#REF!</definedName>
    <definedName name="___________BTS8">#REF!</definedName>
    <definedName name="___________BTS9" localSheetId="6">#REF!</definedName>
    <definedName name="___________BTS9" localSheetId="12">#REF!</definedName>
    <definedName name="___________BTS9" localSheetId="19">#REF!</definedName>
    <definedName name="___________BTS9">#REF!</definedName>
    <definedName name="___________can430">40.73</definedName>
    <definedName name="___________can435">43.3</definedName>
    <definedName name="___________cbr1" localSheetId="19">#REF!</definedName>
    <definedName name="___________cbr2" localSheetId="27">#REF!</definedName>
    <definedName name="___________cbr2">#REF!</definedName>
    <definedName name="___________cbr3" localSheetId="27">#REF!</definedName>
    <definedName name="___________cbr3">#REF!</definedName>
    <definedName name="___________cbr4">#REF!</definedName>
    <definedName name="___________er1" localSheetId="27">#REF!</definedName>
    <definedName name="___________er1">#REF!</definedName>
    <definedName name="___________ewe1" localSheetId="19">#REF!</definedName>
    <definedName name="___________f1">#REF!</definedName>
    <definedName name="___________GBS11" localSheetId="6">#REF!</definedName>
    <definedName name="___________GBS11" localSheetId="12">#REF!</definedName>
    <definedName name="___________GBS11" localSheetId="19">#REF!</definedName>
    <definedName name="___________GBS11">#REF!</definedName>
    <definedName name="___________GBS110" localSheetId="6">#REF!</definedName>
    <definedName name="___________GBS110" localSheetId="12">#REF!</definedName>
    <definedName name="___________GBS110" localSheetId="19">#REF!</definedName>
    <definedName name="___________GBS110">#REF!</definedName>
    <definedName name="___________GBS111" localSheetId="6">#REF!</definedName>
    <definedName name="___________GBS111" localSheetId="12">#REF!</definedName>
    <definedName name="___________GBS111" localSheetId="19">#REF!</definedName>
    <definedName name="___________GBS111">#REF!</definedName>
    <definedName name="___________GBS112" localSheetId="6">#REF!</definedName>
    <definedName name="___________GBS112" localSheetId="12">#REF!</definedName>
    <definedName name="___________GBS112" localSheetId="19">#REF!</definedName>
    <definedName name="___________GBS112">#REF!</definedName>
    <definedName name="___________GBS113" localSheetId="6">#REF!</definedName>
    <definedName name="___________GBS113" localSheetId="12">#REF!</definedName>
    <definedName name="___________GBS113" localSheetId="19">#REF!</definedName>
    <definedName name="___________GBS113">#REF!</definedName>
    <definedName name="___________GBS114" localSheetId="6">#REF!</definedName>
    <definedName name="___________GBS114" localSheetId="12">#REF!</definedName>
    <definedName name="___________GBS114" localSheetId="19">#REF!</definedName>
    <definedName name="___________GBS114">#REF!</definedName>
    <definedName name="___________GBS115" localSheetId="6">#REF!</definedName>
    <definedName name="___________GBS115" localSheetId="12">#REF!</definedName>
    <definedName name="___________GBS115" localSheetId="19">#REF!</definedName>
    <definedName name="___________GBS115">#REF!</definedName>
    <definedName name="___________GBS12" localSheetId="6">#REF!</definedName>
    <definedName name="___________GBS12" localSheetId="12">#REF!</definedName>
    <definedName name="___________GBS12" localSheetId="19">#REF!</definedName>
    <definedName name="___________GBS12">#REF!</definedName>
    <definedName name="___________GBS13" localSheetId="6">#REF!</definedName>
    <definedName name="___________GBS13" localSheetId="12">#REF!</definedName>
    <definedName name="___________GBS13" localSheetId="19">#REF!</definedName>
    <definedName name="___________GBS13">#REF!</definedName>
    <definedName name="___________GBS14" localSheetId="6">#REF!</definedName>
    <definedName name="___________GBS14" localSheetId="12">#REF!</definedName>
    <definedName name="___________GBS14" localSheetId="19">#REF!</definedName>
    <definedName name="___________GBS14">#REF!</definedName>
    <definedName name="___________GBS15" localSheetId="6">#REF!</definedName>
    <definedName name="___________GBS15" localSheetId="12">#REF!</definedName>
    <definedName name="___________GBS15" localSheetId="19">#REF!</definedName>
    <definedName name="___________GBS15">#REF!</definedName>
    <definedName name="___________GBS16" localSheetId="6">#REF!</definedName>
    <definedName name="___________GBS16" localSheetId="12">#REF!</definedName>
    <definedName name="___________GBS16" localSheetId="19">#REF!</definedName>
    <definedName name="___________GBS16">#REF!</definedName>
    <definedName name="___________GBS17" localSheetId="6">#REF!</definedName>
    <definedName name="___________GBS17" localSheetId="12">#REF!</definedName>
    <definedName name="___________GBS17" localSheetId="19">#REF!</definedName>
    <definedName name="___________GBS17">#REF!</definedName>
    <definedName name="___________GBS18" localSheetId="6">#REF!</definedName>
    <definedName name="___________GBS18" localSheetId="12">#REF!</definedName>
    <definedName name="___________GBS18" localSheetId="19">#REF!</definedName>
    <definedName name="___________GBS18">#REF!</definedName>
    <definedName name="___________GBS19" localSheetId="6">#REF!</definedName>
    <definedName name="___________GBS19" localSheetId="12">#REF!</definedName>
    <definedName name="___________GBS19" localSheetId="19">#REF!</definedName>
    <definedName name="___________GBS19">#REF!</definedName>
    <definedName name="___________GBS21" localSheetId="6">#REF!</definedName>
    <definedName name="___________GBS21" localSheetId="12">#REF!</definedName>
    <definedName name="___________GBS21" localSheetId="19">#REF!</definedName>
    <definedName name="___________GBS21">#REF!</definedName>
    <definedName name="___________GBS210" localSheetId="6">#REF!</definedName>
    <definedName name="___________GBS210" localSheetId="12">#REF!</definedName>
    <definedName name="___________GBS210" localSheetId="19">#REF!</definedName>
    <definedName name="___________GBS210">#REF!</definedName>
    <definedName name="___________GBS211" localSheetId="6">#REF!</definedName>
    <definedName name="___________GBS211" localSheetId="12">#REF!</definedName>
    <definedName name="___________GBS211" localSheetId="19">#REF!</definedName>
    <definedName name="___________GBS211">#REF!</definedName>
    <definedName name="___________GBS212" localSheetId="6">#REF!</definedName>
    <definedName name="___________GBS212" localSheetId="12">#REF!</definedName>
    <definedName name="___________GBS212" localSheetId="19">#REF!</definedName>
    <definedName name="___________GBS212">#REF!</definedName>
    <definedName name="___________GBS213" localSheetId="6">#REF!</definedName>
    <definedName name="___________GBS213" localSheetId="12">#REF!</definedName>
    <definedName name="___________GBS213" localSheetId="19">#REF!</definedName>
    <definedName name="___________GBS213">#REF!</definedName>
    <definedName name="___________GBS214" localSheetId="6">#REF!</definedName>
    <definedName name="___________GBS214" localSheetId="12">#REF!</definedName>
    <definedName name="___________GBS214" localSheetId="19">#REF!</definedName>
    <definedName name="___________GBS214">#REF!</definedName>
    <definedName name="___________GBS215" localSheetId="6">#REF!</definedName>
    <definedName name="___________GBS215" localSheetId="12">#REF!</definedName>
    <definedName name="___________GBS215" localSheetId="19">#REF!</definedName>
    <definedName name="___________GBS215">#REF!</definedName>
    <definedName name="___________GBS22" localSheetId="6">#REF!</definedName>
    <definedName name="___________GBS22" localSheetId="12">#REF!</definedName>
    <definedName name="___________GBS22" localSheetId="19">#REF!</definedName>
    <definedName name="___________GBS22">#REF!</definedName>
    <definedName name="___________GBS23" localSheetId="6">#REF!</definedName>
    <definedName name="___________GBS23" localSheetId="12">#REF!</definedName>
    <definedName name="___________GBS23" localSheetId="19">#REF!</definedName>
    <definedName name="___________GBS23">#REF!</definedName>
    <definedName name="___________GBS24" localSheetId="6">#REF!</definedName>
    <definedName name="___________GBS24" localSheetId="12">#REF!</definedName>
    <definedName name="___________GBS24" localSheetId="19">#REF!</definedName>
    <definedName name="___________GBS24">#REF!</definedName>
    <definedName name="___________GBS25" localSheetId="6">#REF!</definedName>
    <definedName name="___________GBS25" localSheetId="12">#REF!</definedName>
    <definedName name="___________GBS25" localSheetId="19">#REF!</definedName>
    <definedName name="___________GBS25">#REF!</definedName>
    <definedName name="___________GBS26" localSheetId="6">#REF!</definedName>
    <definedName name="___________GBS26" localSheetId="12">#REF!</definedName>
    <definedName name="___________GBS26" localSheetId="19">#REF!</definedName>
    <definedName name="___________GBS26">#REF!</definedName>
    <definedName name="___________GBS27" localSheetId="6">#REF!</definedName>
    <definedName name="___________GBS27" localSheetId="12">#REF!</definedName>
    <definedName name="___________GBS27" localSheetId="19">#REF!</definedName>
    <definedName name="___________GBS27">#REF!</definedName>
    <definedName name="___________GBS28" localSheetId="6">#REF!</definedName>
    <definedName name="___________GBS28" localSheetId="12">#REF!</definedName>
    <definedName name="___________GBS28" localSheetId="19">#REF!</definedName>
    <definedName name="___________GBS28">#REF!</definedName>
    <definedName name="___________GBS29" localSheetId="6">#REF!</definedName>
    <definedName name="___________GBS29" localSheetId="12">#REF!</definedName>
    <definedName name="___________GBS29" localSheetId="19">#REF!</definedName>
    <definedName name="___________GBS29">#REF!</definedName>
    <definedName name="___________gus1">#REF!</definedName>
    <definedName name="___________hpm1">#REF!</definedName>
    <definedName name="___________knr2" localSheetId="5">#REF!</definedName>
    <definedName name="___________knr2" localSheetId="14">#REF!</definedName>
    <definedName name="___________knr2" localSheetId="6">#REF!</definedName>
    <definedName name="___________knr2" localSheetId="12">#REF!</definedName>
    <definedName name="___________knr2" localSheetId="19">#REF!</definedName>
    <definedName name="___________knr2">#REF!</definedName>
    <definedName name="___________l12" localSheetId="22">#REF!</definedName>
    <definedName name="___________l12" localSheetId="5">#REF!</definedName>
    <definedName name="___________l12" localSheetId="6">#REF!</definedName>
    <definedName name="___________l12" localSheetId="12">#REF!</definedName>
    <definedName name="___________l12" localSheetId="34">#REF!</definedName>
    <definedName name="___________l12" localSheetId="19">#REF!</definedName>
    <definedName name="___________l12" localSheetId="30">#REF!</definedName>
    <definedName name="___________l12" localSheetId="40">#REF!</definedName>
    <definedName name="___________l12" localSheetId="26">#REF!</definedName>
    <definedName name="___________l12">#REF!</definedName>
    <definedName name="___________l3" localSheetId="22">#REF!</definedName>
    <definedName name="___________l3" localSheetId="5">#REF!</definedName>
    <definedName name="___________l3" localSheetId="6">#REF!</definedName>
    <definedName name="___________l3" localSheetId="12">#REF!</definedName>
    <definedName name="___________l3" localSheetId="34">#REF!</definedName>
    <definedName name="___________l3" localSheetId="19">#REF!</definedName>
    <definedName name="___________l3" localSheetId="30">#REF!</definedName>
    <definedName name="___________l3" localSheetId="40">#REF!</definedName>
    <definedName name="___________l3" localSheetId="26">#REF!</definedName>
    <definedName name="___________l3">#REF!</definedName>
    <definedName name="___________l5" localSheetId="22">#REF!</definedName>
    <definedName name="___________l5" localSheetId="5">#REF!</definedName>
    <definedName name="___________l5" localSheetId="6">#REF!</definedName>
    <definedName name="___________l5" localSheetId="12">#REF!</definedName>
    <definedName name="___________l5" localSheetId="34">#REF!</definedName>
    <definedName name="___________l5" localSheetId="19">#REF!</definedName>
    <definedName name="___________l5" localSheetId="30">#REF!</definedName>
    <definedName name="___________l5" localSheetId="40">#REF!</definedName>
    <definedName name="___________l5" localSheetId="26">#REF!</definedName>
    <definedName name="___________l5">#REF!</definedName>
    <definedName name="___________lcn1" localSheetId="27">#REF!</definedName>
    <definedName name="___________lcn1">#REF!</definedName>
    <definedName name="___________LI9" localSheetId="6">#REF!</definedName>
    <definedName name="___________LI9" localSheetId="12">#REF!</definedName>
    <definedName name="___________LI9" localSheetId="19">#REF!</definedName>
    <definedName name="___________LI9">#REF!</definedName>
    <definedName name="___________LII9" localSheetId="6">#REF!</definedName>
    <definedName name="___________LII9" localSheetId="12">#REF!</definedName>
    <definedName name="___________LII9" localSheetId="19">#REF!</definedName>
    <definedName name="___________LII9">#REF!</definedName>
    <definedName name="___________lm1" localSheetId="19">#REF!</definedName>
    <definedName name="___________ML11" localSheetId="6">#REF!</definedName>
    <definedName name="___________ML11" localSheetId="12">#REF!</definedName>
    <definedName name="___________ML11" localSheetId="19">#REF!</definedName>
    <definedName name="___________ML11">#REF!</definedName>
    <definedName name="___________ML110" localSheetId="6">#REF!</definedName>
    <definedName name="___________ML110" localSheetId="12">#REF!</definedName>
    <definedName name="___________ML110" localSheetId="19">#REF!</definedName>
    <definedName name="___________ML110">#REF!</definedName>
    <definedName name="___________ML111" localSheetId="6">#REF!</definedName>
    <definedName name="___________ML111" localSheetId="12">#REF!</definedName>
    <definedName name="___________ML111" localSheetId="19">#REF!</definedName>
    <definedName name="___________ML111">#REF!</definedName>
    <definedName name="___________ML112" localSheetId="6">#REF!</definedName>
    <definedName name="___________ML112" localSheetId="12">#REF!</definedName>
    <definedName name="___________ML112" localSheetId="19">#REF!</definedName>
    <definedName name="___________ML112">#REF!</definedName>
    <definedName name="___________ML113" localSheetId="6">#REF!</definedName>
    <definedName name="___________ML113" localSheetId="12">#REF!</definedName>
    <definedName name="___________ML113" localSheetId="19">#REF!</definedName>
    <definedName name="___________ML113">#REF!</definedName>
    <definedName name="___________ML114" localSheetId="6">#REF!</definedName>
    <definedName name="___________ML114" localSheetId="12">#REF!</definedName>
    <definedName name="___________ML114" localSheetId="19">#REF!</definedName>
    <definedName name="___________ML114">#REF!</definedName>
    <definedName name="___________ML115" localSheetId="6">#REF!</definedName>
    <definedName name="___________ML115" localSheetId="12">#REF!</definedName>
    <definedName name="___________ML115" localSheetId="19">#REF!</definedName>
    <definedName name="___________ML115">#REF!</definedName>
    <definedName name="___________ML12" localSheetId="6">#REF!</definedName>
    <definedName name="___________ML12" localSheetId="12">#REF!</definedName>
    <definedName name="___________ML12" localSheetId="19">#REF!</definedName>
    <definedName name="___________ML12">#REF!</definedName>
    <definedName name="___________ML13" localSheetId="6">#REF!</definedName>
    <definedName name="___________ML13" localSheetId="12">#REF!</definedName>
    <definedName name="___________ML13" localSheetId="19">#REF!</definedName>
    <definedName name="___________ML13">#REF!</definedName>
    <definedName name="___________ML14" localSheetId="6">#REF!</definedName>
    <definedName name="___________ML14" localSheetId="12">#REF!</definedName>
    <definedName name="___________ML14" localSheetId="19">#REF!</definedName>
    <definedName name="___________ML14">#REF!</definedName>
    <definedName name="___________ML15" localSheetId="6">#REF!</definedName>
    <definedName name="___________ML15" localSheetId="12">#REF!</definedName>
    <definedName name="___________ML15" localSheetId="19">#REF!</definedName>
    <definedName name="___________ML15">#REF!</definedName>
    <definedName name="___________ML16" localSheetId="6">#REF!</definedName>
    <definedName name="___________ML16" localSheetId="12">#REF!</definedName>
    <definedName name="___________ML16" localSheetId="19">#REF!</definedName>
    <definedName name="___________ML16">#REF!</definedName>
    <definedName name="___________ML17" localSheetId="6">#REF!</definedName>
    <definedName name="___________ML17" localSheetId="12">#REF!</definedName>
    <definedName name="___________ML17" localSheetId="19">#REF!</definedName>
    <definedName name="___________ML17">#REF!</definedName>
    <definedName name="___________ML18" localSheetId="6">#REF!</definedName>
    <definedName name="___________ML18" localSheetId="12">#REF!</definedName>
    <definedName name="___________ML18" localSheetId="19">#REF!</definedName>
    <definedName name="___________ML18">#REF!</definedName>
    <definedName name="___________ML19" localSheetId="6">#REF!</definedName>
    <definedName name="___________ML19" localSheetId="12">#REF!</definedName>
    <definedName name="___________ML19" localSheetId="19">#REF!</definedName>
    <definedName name="___________ML19">#REF!</definedName>
    <definedName name="___________ML21" localSheetId="6">#REF!</definedName>
    <definedName name="___________ML21" localSheetId="12">#REF!</definedName>
    <definedName name="___________ML21" localSheetId="19">#REF!</definedName>
    <definedName name="___________ML21">#REF!</definedName>
    <definedName name="___________ML210" localSheetId="6">#REF!</definedName>
    <definedName name="___________ML210" localSheetId="12">#REF!</definedName>
    <definedName name="___________ML210" localSheetId="19">#REF!</definedName>
    <definedName name="___________ML210">#REF!</definedName>
    <definedName name="___________ML211" localSheetId="6">#REF!</definedName>
    <definedName name="___________ML211" localSheetId="12">#REF!</definedName>
    <definedName name="___________ML211" localSheetId="19">#REF!</definedName>
    <definedName name="___________ML211">#REF!</definedName>
    <definedName name="___________ML212" localSheetId="6">#REF!</definedName>
    <definedName name="___________ML212" localSheetId="12">#REF!</definedName>
    <definedName name="___________ML212" localSheetId="19">#REF!</definedName>
    <definedName name="___________ML212">#REF!</definedName>
    <definedName name="___________ML213" localSheetId="6">#REF!</definedName>
    <definedName name="___________ML213" localSheetId="12">#REF!</definedName>
    <definedName name="___________ML213" localSheetId="19">#REF!</definedName>
    <definedName name="___________ML213">#REF!</definedName>
    <definedName name="___________ML214" localSheetId="6">#REF!</definedName>
    <definedName name="___________ML214" localSheetId="12">#REF!</definedName>
    <definedName name="___________ML214" localSheetId="19">#REF!</definedName>
    <definedName name="___________ML214">#REF!</definedName>
    <definedName name="___________ML215" localSheetId="6">#REF!</definedName>
    <definedName name="___________ML215" localSheetId="12">#REF!</definedName>
    <definedName name="___________ML215" localSheetId="19">#REF!</definedName>
    <definedName name="___________ML215">#REF!</definedName>
    <definedName name="___________ML22" localSheetId="6">#REF!</definedName>
    <definedName name="___________ML22" localSheetId="12">#REF!</definedName>
    <definedName name="___________ML22" localSheetId="19">#REF!</definedName>
    <definedName name="___________ML22">#REF!</definedName>
    <definedName name="___________ML23" localSheetId="6">#REF!</definedName>
    <definedName name="___________ML23" localSheetId="12">#REF!</definedName>
    <definedName name="___________ML23" localSheetId="19">#REF!</definedName>
    <definedName name="___________ML23">#REF!</definedName>
    <definedName name="___________ML24" localSheetId="6">#REF!</definedName>
    <definedName name="___________ML24" localSheetId="12">#REF!</definedName>
    <definedName name="___________ML24" localSheetId="19">#REF!</definedName>
    <definedName name="___________ML24">#REF!</definedName>
    <definedName name="___________ML25" localSheetId="6">#REF!</definedName>
    <definedName name="___________ML25" localSheetId="12">#REF!</definedName>
    <definedName name="___________ML25" localSheetId="19">#REF!</definedName>
    <definedName name="___________ML25">#REF!</definedName>
    <definedName name="___________ML26" localSheetId="6">#REF!</definedName>
    <definedName name="___________ML26" localSheetId="12">#REF!</definedName>
    <definedName name="___________ML26" localSheetId="19">#REF!</definedName>
    <definedName name="___________ML26">#REF!</definedName>
    <definedName name="___________ML27" localSheetId="6">#REF!</definedName>
    <definedName name="___________ML27" localSheetId="12">#REF!</definedName>
    <definedName name="___________ML27" localSheetId="19">#REF!</definedName>
    <definedName name="___________ML27">#REF!</definedName>
    <definedName name="___________ML28" localSheetId="6">#REF!</definedName>
    <definedName name="___________ML28" localSheetId="12">#REF!</definedName>
    <definedName name="___________ML28" localSheetId="19">#REF!</definedName>
    <definedName name="___________ML28">#REF!</definedName>
    <definedName name="___________ML29" localSheetId="6">#REF!</definedName>
    <definedName name="___________ML29" localSheetId="12">#REF!</definedName>
    <definedName name="___________ML29" localSheetId="19">#REF!</definedName>
    <definedName name="___________ML29">#REF!</definedName>
    <definedName name="___________ML31" localSheetId="6">#REF!</definedName>
    <definedName name="___________ML31" localSheetId="12">#REF!</definedName>
    <definedName name="___________ML31" localSheetId="19">#REF!</definedName>
    <definedName name="___________ML31">#REF!</definedName>
    <definedName name="___________ML310" localSheetId="6">#REF!</definedName>
    <definedName name="___________ML310" localSheetId="12">#REF!</definedName>
    <definedName name="___________ML310" localSheetId="19">#REF!</definedName>
    <definedName name="___________ML310">#REF!</definedName>
    <definedName name="___________ML311" localSheetId="6">#REF!</definedName>
    <definedName name="___________ML311" localSheetId="12">#REF!</definedName>
    <definedName name="___________ML311" localSheetId="19">#REF!</definedName>
    <definedName name="___________ML311">#REF!</definedName>
    <definedName name="___________ML312" localSheetId="6">#REF!</definedName>
    <definedName name="___________ML312" localSheetId="12">#REF!</definedName>
    <definedName name="___________ML312" localSheetId="19">#REF!</definedName>
    <definedName name="___________ML312">#REF!</definedName>
    <definedName name="___________ML313" localSheetId="6">#REF!</definedName>
    <definedName name="___________ML313" localSheetId="12">#REF!</definedName>
    <definedName name="___________ML313" localSheetId="19">#REF!</definedName>
    <definedName name="___________ML313">#REF!</definedName>
    <definedName name="___________ML314" localSheetId="6">#REF!</definedName>
    <definedName name="___________ML314" localSheetId="12">#REF!</definedName>
    <definedName name="___________ML314" localSheetId="19">#REF!</definedName>
    <definedName name="___________ML314">#REF!</definedName>
    <definedName name="___________ML315" localSheetId="6">#REF!</definedName>
    <definedName name="___________ML315" localSheetId="12">#REF!</definedName>
    <definedName name="___________ML315" localSheetId="19">#REF!</definedName>
    <definedName name="___________ML315">#REF!</definedName>
    <definedName name="___________ML32" localSheetId="6">#REF!</definedName>
    <definedName name="___________ML32" localSheetId="12">#REF!</definedName>
    <definedName name="___________ML32" localSheetId="19">#REF!</definedName>
    <definedName name="___________ML32">#REF!</definedName>
    <definedName name="___________ML33" localSheetId="6">#REF!</definedName>
    <definedName name="___________ML33" localSheetId="12">#REF!</definedName>
    <definedName name="___________ML33" localSheetId="19">#REF!</definedName>
    <definedName name="___________ML33">#REF!</definedName>
    <definedName name="___________ML34" localSheetId="6">#REF!</definedName>
    <definedName name="___________ML34" localSheetId="12">#REF!</definedName>
    <definedName name="___________ML34" localSheetId="19">#REF!</definedName>
    <definedName name="___________ML34">#REF!</definedName>
    <definedName name="___________ML35" localSheetId="6">#REF!</definedName>
    <definedName name="___________ML35" localSheetId="12">#REF!</definedName>
    <definedName name="___________ML35" localSheetId="19">#REF!</definedName>
    <definedName name="___________ML35">#REF!</definedName>
    <definedName name="___________ML36" localSheetId="6">#REF!</definedName>
    <definedName name="___________ML36" localSheetId="12">#REF!</definedName>
    <definedName name="___________ML36" localSheetId="19">#REF!</definedName>
    <definedName name="___________ML36">#REF!</definedName>
    <definedName name="___________ML37" localSheetId="6">#REF!</definedName>
    <definedName name="___________ML37" localSheetId="12">#REF!</definedName>
    <definedName name="___________ML37" localSheetId="19">#REF!</definedName>
    <definedName name="___________ML37">#REF!</definedName>
    <definedName name="___________ML38" localSheetId="6">#REF!</definedName>
    <definedName name="___________ML38" localSheetId="12">#REF!</definedName>
    <definedName name="___________ML38" localSheetId="19">#REF!</definedName>
    <definedName name="___________ML38">#REF!</definedName>
    <definedName name="___________ML39" localSheetId="6">#REF!</definedName>
    <definedName name="___________ML39" localSheetId="12">#REF!</definedName>
    <definedName name="___________ML39" localSheetId="19">#REF!</definedName>
    <definedName name="___________ML39">#REF!</definedName>
    <definedName name="___________ML7" localSheetId="6">#REF!</definedName>
    <definedName name="___________ML7" localSheetId="12">#REF!</definedName>
    <definedName name="___________ML7" localSheetId="19">#REF!</definedName>
    <definedName name="___________ML7">#REF!</definedName>
    <definedName name="___________ML8" localSheetId="6">#REF!</definedName>
    <definedName name="___________ML8" localSheetId="12">#REF!</definedName>
    <definedName name="___________ML8" localSheetId="19">#REF!</definedName>
    <definedName name="___________ML8">#REF!</definedName>
    <definedName name="___________ML9" localSheetId="6">#REF!</definedName>
    <definedName name="___________ML9" localSheetId="12">#REF!</definedName>
    <definedName name="___________ML9" localSheetId="19">#REF!</definedName>
    <definedName name="___________ML9">#REF!</definedName>
    <definedName name="___________mm20" localSheetId="19">#REF!</definedName>
    <definedName name="___________mm40" localSheetId="27">#REF!</definedName>
    <definedName name="___________mm40">#REF!</definedName>
    <definedName name="___________pc2" localSheetId="22">#REF!</definedName>
    <definedName name="___________pc2" localSheetId="5">#REF!</definedName>
    <definedName name="___________pc2" localSheetId="6">#REF!</definedName>
    <definedName name="___________pc2" localSheetId="12">#REF!</definedName>
    <definedName name="___________pc2" localSheetId="34">#REF!</definedName>
    <definedName name="___________pc2" localSheetId="19">#REF!</definedName>
    <definedName name="___________pc2" localSheetId="30">#REF!</definedName>
    <definedName name="___________pc2" localSheetId="40">#REF!</definedName>
    <definedName name="___________pc2" localSheetId="26">#REF!</definedName>
    <definedName name="___________pc2">#REF!</definedName>
    <definedName name="___________PMS2" localSheetId="6">#REF!</definedName>
    <definedName name="___________PMS2" localSheetId="12">#REF!</definedName>
    <definedName name="___________PMS2" localSheetId="19">#REF!</definedName>
    <definedName name="___________PMS2">#REF!</definedName>
    <definedName name="___________pv2" localSheetId="22">#REF!</definedName>
    <definedName name="___________pv2" localSheetId="5">#REF!</definedName>
    <definedName name="___________pv2" localSheetId="6">#REF!</definedName>
    <definedName name="___________pv2" localSheetId="12">#REF!</definedName>
    <definedName name="___________pv2" localSheetId="34">#REF!</definedName>
    <definedName name="___________pv2" localSheetId="19">#REF!</definedName>
    <definedName name="___________pv2" localSheetId="30">#REF!</definedName>
    <definedName name="___________pv2" localSheetId="40">#REF!</definedName>
    <definedName name="___________pv2" localSheetId="26">#REF!</definedName>
    <definedName name="___________pv2">#REF!</definedName>
    <definedName name="___________sw1" localSheetId="19">#REF!</definedName>
    <definedName name="___________us1" localSheetId="27">#REF!</definedName>
    <definedName name="___________us1">#REF!</definedName>
    <definedName name="___________var1" localSheetId="22">#REF!</definedName>
    <definedName name="___________var1" localSheetId="5">#REF!</definedName>
    <definedName name="___________var1" localSheetId="6">#REF!</definedName>
    <definedName name="___________var1" localSheetId="12">#REF!</definedName>
    <definedName name="___________var1" localSheetId="34">#REF!</definedName>
    <definedName name="___________var1" localSheetId="19">#REF!</definedName>
    <definedName name="___________var1" localSheetId="30">#REF!</definedName>
    <definedName name="___________var1" localSheetId="40">#REF!</definedName>
    <definedName name="___________var1" localSheetId="26">#REF!</definedName>
    <definedName name="___________var1">#REF!</definedName>
    <definedName name="___________var4" localSheetId="22">#REF!</definedName>
    <definedName name="___________var4" localSheetId="5">#REF!</definedName>
    <definedName name="___________var4" localSheetId="6">#REF!</definedName>
    <definedName name="___________var4" localSheetId="12">#REF!</definedName>
    <definedName name="___________var4" localSheetId="34">#REF!</definedName>
    <definedName name="___________var4" localSheetId="19">#REF!</definedName>
    <definedName name="___________var4" localSheetId="30">#REF!</definedName>
    <definedName name="___________var4" localSheetId="40">#REF!</definedName>
    <definedName name="___________var4" localSheetId="26">#REF!</definedName>
    <definedName name="___________var4">#REF!</definedName>
    <definedName name="___________vat1">#REF!</definedName>
    <definedName name="___________vat2">#REF!</definedName>
    <definedName name="___________xlfn_BAHTTEXT">#N/A</definedName>
    <definedName name="__________abs1" localSheetId="6">#REF!</definedName>
    <definedName name="__________abs1" localSheetId="12">#REF!</definedName>
    <definedName name="__________abs1" localSheetId="19">#REF!</definedName>
    <definedName name="__________abs1">#REF!</definedName>
    <definedName name="__________AUX1" localSheetId="19">#REF!</definedName>
    <definedName name="__________aux2" localSheetId="19">#REF!</definedName>
    <definedName name="__________AUX3">#REF!</definedName>
    <definedName name="__________BSG100" localSheetId="6">#REF!</definedName>
    <definedName name="__________BSG100" localSheetId="12">#REF!</definedName>
    <definedName name="__________BSG100" localSheetId="19">#REF!</definedName>
    <definedName name="__________BSG100">#REF!</definedName>
    <definedName name="__________BSG150" localSheetId="6">#REF!</definedName>
    <definedName name="__________BSG150" localSheetId="12">#REF!</definedName>
    <definedName name="__________BSG150" localSheetId="19">#REF!</definedName>
    <definedName name="__________BSG150">#REF!</definedName>
    <definedName name="__________BSG5" localSheetId="6">#REF!</definedName>
    <definedName name="__________BSG5" localSheetId="12">#REF!</definedName>
    <definedName name="__________BSG5" localSheetId="19">#REF!</definedName>
    <definedName name="__________BSG5">#REF!</definedName>
    <definedName name="__________BSG75" localSheetId="6">#REF!</definedName>
    <definedName name="__________BSG75" localSheetId="12">#REF!</definedName>
    <definedName name="__________BSG75" localSheetId="19">#REF!</definedName>
    <definedName name="__________BSG75">#REF!</definedName>
    <definedName name="__________BTC1" localSheetId="6">#REF!</definedName>
    <definedName name="__________BTC1" localSheetId="12">#REF!</definedName>
    <definedName name="__________BTC1" localSheetId="19">#REF!</definedName>
    <definedName name="__________BTC1">#REF!</definedName>
    <definedName name="__________BTC10" localSheetId="6">#REF!</definedName>
    <definedName name="__________BTC10" localSheetId="12">#REF!</definedName>
    <definedName name="__________BTC10" localSheetId="19">#REF!</definedName>
    <definedName name="__________BTC10">#REF!</definedName>
    <definedName name="__________BTC11" localSheetId="6">#REF!</definedName>
    <definedName name="__________BTC11" localSheetId="12">#REF!</definedName>
    <definedName name="__________BTC11" localSheetId="19">#REF!</definedName>
    <definedName name="__________BTC11">#REF!</definedName>
    <definedName name="__________BTC12" localSheetId="6">#REF!</definedName>
    <definedName name="__________BTC12" localSheetId="12">#REF!</definedName>
    <definedName name="__________BTC12" localSheetId="19">#REF!</definedName>
    <definedName name="__________BTC12">#REF!</definedName>
    <definedName name="__________BTC13" localSheetId="6">#REF!</definedName>
    <definedName name="__________BTC13" localSheetId="12">#REF!</definedName>
    <definedName name="__________BTC13" localSheetId="19">#REF!</definedName>
    <definedName name="__________BTC13">#REF!</definedName>
    <definedName name="__________BTC14" localSheetId="6">#REF!</definedName>
    <definedName name="__________BTC14" localSheetId="12">#REF!</definedName>
    <definedName name="__________BTC14" localSheetId="19">#REF!</definedName>
    <definedName name="__________BTC14">#REF!</definedName>
    <definedName name="__________BTC15" localSheetId="6">#REF!</definedName>
    <definedName name="__________BTC15" localSheetId="12">#REF!</definedName>
    <definedName name="__________BTC15" localSheetId="19">#REF!</definedName>
    <definedName name="__________BTC15">#REF!</definedName>
    <definedName name="__________BTC2" localSheetId="6">#REF!</definedName>
    <definedName name="__________BTC2" localSheetId="12">#REF!</definedName>
    <definedName name="__________BTC2" localSheetId="19">#REF!</definedName>
    <definedName name="__________BTC2">#REF!</definedName>
    <definedName name="__________BTC3" localSheetId="6">#REF!</definedName>
    <definedName name="__________BTC3" localSheetId="12">#REF!</definedName>
    <definedName name="__________BTC3" localSheetId="19">#REF!</definedName>
    <definedName name="__________BTC3">#REF!</definedName>
    <definedName name="__________BTC4" localSheetId="6">#REF!</definedName>
    <definedName name="__________BTC4" localSheetId="12">#REF!</definedName>
    <definedName name="__________BTC4" localSheetId="19">#REF!</definedName>
    <definedName name="__________BTC4">#REF!</definedName>
    <definedName name="__________BTC5" localSheetId="6">#REF!</definedName>
    <definedName name="__________BTC5" localSheetId="12">#REF!</definedName>
    <definedName name="__________BTC5" localSheetId="19">#REF!</definedName>
    <definedName name="__________BTC5">#REF!</definedName>
    <definedName name="__________BTC6" localSheetId="6">#REF!</definedName>
    <definedName name="__________BTC6" localSheetId="12">#REF!</definedName>
    <definedName name="__________BTC6" localSheetId="19">#REF!</definedName>
    <definedName name="__________BTC6">#REF!</definedName>
    <definedName name="__________BTC7" localSheetId="6">#REF!</definedName>
    <definedName name="__________BTC7" localSheetId="12">#REF!</definedName>
    <definedName name="__________BTC7" localSheetId="19">#REF!</definedName>
    <definedName name="__________BTC7">#REF!</definedName>
    <definedName name="__________BTC8" localSheetId="6">#REF!</definedName>
    <definedName name="__________BTC8" localSheetId="12">#REF!</definedName>
    <definedName name="__________BTC8" localSheetId="19">#REF!</definedName>
    <definedName name="__________BTC8">#REF!</definedName>
    <definedName name="__________BTC9" localSheetId="6">#REF!</definedName>
    <definedName name="__________BTC9" localSheetId="12">#REF!</definedName>
    <definedName name="__________BTC9" localSheetId="19">#REF!</definedName>
    <definedName name="__________BTC9">#REF!</definedName>
    <definedName name="__________BTS1" localSheetId="6">#REF!</definedName>
    <definedName name="__________BTS1" localSheetId="12">#REF!</definedName>
    <definedName name="__________BTS1" localSheetId="19">#REF!</definedName>
    <definedName name="__________BTS1">#REF!</definedName>
    <definedName name="__________BTS10" localSheetId="6">#REF!</definedName>
    <definedName name="__________BTS10" localSheetId="12">#REF!</definedName>
    <definedName name="__________BTS10" localSheetId="19">#REF!</definedName>
    <definedName name="__________BTS10">#REF!</definedName>
    <definedName name="__________BTS11" localSheetId="6">#REF!</definedName>
    <definedName name="__________BTS11" localSheetId="12">#REF!</definedName>
    <definedName name="__________BTS11" localSheetId="19">#REF!</definedName>
    <definedName name="__________BTS11">#REF!</definedName>
    <definedName name="__________BTS12" localSheetId="6">#REF!</definedName>
    <definedName name="__________BTS12" localSheetId="12">#REF!</definedName>
    <definedName name="__________BTS12" localSheetId="19">#REF!</definedName>
    <definedName name="__________BTS12">#REF!</definedName>
    <definedName name="__________BTS13" localSheetId="6">#REF!</definedName>
    <definedName name="__________BTS13" localSheetId="12">#REF!</definedName>
    <definedName name="__________BTS13" localSheetId="19">#REF!</definedName>
    <definedName name="__________BTS13">#REF!</definedName>
    <definedName name="__________BTS14" localSheetId="6">#REF!</definedName>
    <definedName name="__________BTS14" localSheetId="12">#REF!</definedName>
    <definedName name="__________BTS14" localSheetId="19">#REF!</definedName>
    <definedName name="__________BTS14">#REF!</definedName>
    <definedName name="__________BTS15" localSheetId="6">#REF!</definedName>
    <definedName name="__________BTS15" localSheetId="12">#REF!</definedName>
    <definedName name="__________BTS15" localSheetId="19">#REF!</definedName>
    <definedName name="__________BTS15">#REF!</definedName>
    <definedName name="__________BTS2" localSheetId="6">#REF!</definedName>
    <definedName name="__________BTS2" localSheetId="12">#REF!</definedName>
    <definedName name="__________BTS2" localSheetId="19">#REF!</definedName>
    <definedName name="__________BTS2">#REF!</definedName>
    <definedName name="__________BTS3" localSheetId="6">#REF!</definedName>
    <definedName name="__________BTS3" localSheetId="12">#REF!</definedName>
    <definedName name="__________BTS3" localSheetId="19">#REF!</definedName>
    <definedName name="__________BTS3">#REF!</definedName>
    <definedName name="__________BTS4" localSheetId="6">#REF!</definedName>
    <definedName name="__________BTS4" localSheetId="12">#REF!</definedName>
    <definedName name="__________BTS4" localSheetId="19">#REF!</definedName>
    <definedName name="__________BTS4">#REF!</definedName>
    <definedName name="__________BTS5" localSheetId="6">#REF!</definedName>
    <definedName name="__________BTS5" localSheetId="12">#REF!</definedName>
    <definedName name="__________BTS5" localSheetId="19">#REF!</definedName>
    <definedName name="__________BTS5">#REF!</definedName>
    <definedName name="__________BTS6" localSheetId="6">#REF!</definedName>
    <definedName name="__________BTS6" localSheetId="12">#REF!</definedName>
    <definedName name="__________BTS6" localSheetId="19">#REF!</definedName>
    <definedName name="__________BTS6">#REF!</definedName>
    <definedName name="__________BTS7" localSheetId="6">#REF!</definedName>
    <definedName name="__________BTS7" localSheetId="12">#REF!</definedName>
    <definedName name="__________BTS7" localSheetId="19">#REF!</definedName>
    <definedName name="__________BTS7">#REF!</definedName>
    <definedName name="__________BTS8" localSheetId="6">#REF!</definedName>
    <definedName name="__________BTS8" localSheetId="12">#REF!</definedName>
    <definedName name="__________BTS8" localSheetId="19">#REF!</definedName>
    <definedName name="__________BTS8">#REF!</definedName>
    <definedName name="__________BTS9" localSheetId="6">#REF!</definedName>
    <definedName name="__________BTS9" localSheetId="12">#REF!</definedName>
    <definedName name="__________BTS9" localSheetId="19">#REF!</definedName>
    <definedName name="__________BTS9">#REF!</definedName>
    <definedName name="__________can430">40.73</definedName>
    <definedName name="__________can435">43.3</definedName>
    <definedName name="__________cbr1" localSheetId="27">#REF!</definedName>
    <definedName name="__________cbr1">#REF!</definedName>
    <definedName name="__________cbr2" localSheetId="27">#REF!</definedName>
    <definedName name="__________cbr2">#REF!</definedName>
    <definedName name="__________cbr3" localSheetId="27">#REF!</definedName>
    <definedName name="__________cbr3">#REF!</definedName>
    <definedName name="__________cbr4">#REF!</definedName>
    <definedName name="__________er1" localSheetId="27">#REF!</definedName>
    <definedName name="__________er1">#REF!</definedName>
    <definedName name="__________ewe1" localSheetId="19">#REF!</definedName>
    <definedName name="__________f1">#REF!</definedName>
    <definedName name="__________GBS11" localSheetId="6">#REF!</definedName>
    <definedName name="__________GBS11" localSheetId="12">#REF!</definedName>
    <definedName name="__________GBS11" localSheetId="19">#REF!</definedName>
    <definedName name="__________GBS11">#REF!</definedName>
    <definedName name="__________GBS110" localSheetId="6">#REF!</definedName>
    <definedName name="__________GBS110" localSheetId="12">#REF!</definedName>
    <definedName name="__________GBS110" localSheetId="19">#REF!</definedName>
    <definedName name="__________GBS110">#REF!</definedName>
    <definedName name="__________GBS111" localSheetId="6">#REF!</definedName>
    <definedName name="__________GBS111" localSheetId="12">#REF!</definedName>
    <definedName name="__________GBS111" localSheetId="19">#REF!</definedName>
    <definedName name="__________GBS111">#REF!</definedName>
    <definedName name="__________GBS112" localSheetId="6">#REF!</definedName>
    <definedName name="__________GBS112" localSheetId="12">#REF!</definedName>
    <definedName name="__________GBS112" localSheetId="19">#REF!</definedName>
    <definedName name="__________GBS112">#REF!</definedName>
    <definedName name="__________GBS113" localSheetId="6">#REF!</definedName>
    <definedName name="__________GBS113" localSheetId="12">#REF!</definedName>
    <definedName name="__________GBS113" localSheetId="19">#REF!</definedName>
    <definedName name="__________GBS113">#REF!</definedName>
    <definedName name="__________GBS114" localSheetId="6">#REF!</definedName>
    <definedName name="__________GBS114" localSheetId="12">#REF!</definedName>
    <definedName name="__________GBS114" localSheetId="19">#REF!</definedName>
    <definedName name="__________GBS114">#REF!</definedName>
    <definedName name="__________GBS115" localSheetId="6">#REF!</definedName>
    <definedName name="__________GBS115" localSheetId="12">#REF!</definedName>
    <definedName name="__________GBS115" localSheetId="19">#REF!</definedName>
    <definedName name="__________GBS115">#REF!</definedName>
    <definedName name="__________GBS12" localSheetId="6">#REF!</definedName>
    <definedName name="__________GBS12" localSheetId="12">#REF!</definedName>
    <definedName name="__________GBS12" localSheetId="19">#REF!</definedName>
    <definedName name="__________GBS12">#REF!</definedName>
    <definedName name="__________GBS13" localSheetId="6">#REF!</definedName>
    <definedName name="__________GBS13" localSheetId="12">#REF!</definedName>
    <definedName name="__________GBS13" localSheetId="19">#REF!</definedName>
    <definedName name="__________GBS13">#REF!</definedName>
    <definedName name="__________GBS14" localSheetId="6">#REF!</definedName>
    <definedName name="__________GBS14" localSheetId="12">#REF!</definedName>
    <definedName name="__________GBS14" localSheetId="19">#REF!</definedName>
    <definedName name="__________GBS14">#REF!</definedName>
    <definedName name="__________GBS15" localSheetId="6">#REF!</definedName>
    <definedName name="__________GBS15" localSheetId="12">#REF!</definedName>
    <definedName name="__________GBS15" localSheetId="19">#REF!</definedName>
    <definedName name="__________GBS15">#REF!</definedName>
    <definedName name="__________GBS16" localSheetId="6">#REF!</definedName>
    <definedName name="__________GBS16" localSheetId="12">#REF!</definedName>
    <definedName name="__________GBS16" localSheetId="19">#REF!</definedName>
    <definedName name="__________GBS16">#REF!</definedName>
    <definedName name="__________GBS17" localSheetId="6">#REF!</definedName>
    <definedName name="__________GBS17" localSheetId="12">#REF!</definedName>
    <definedName name="__________GBS17" localSheetId="19">#REF!</definedName>
    <definedName name="__________GBS17">#REF!</definedName>
    <definedName name="__________GBS18" localSheetId="6">#REF!</definedName>
    <definedName name="__________GBS18" localSheetId="12">#REF!</definedName>
    <definedName name="__________GBS18" localSheetId="19">#REF!</definedName>
    <definedName name="__________GBS18">#REF!</definedName>
    <definedName name="__________GBS19" localSheetId="6">#REF!</definedName>
    <definedName name="__________GBS19" localSheetId="12">#REF!</definedName>
    <definedName name="__________GBS19" localSheetId="19">#REF!</definedName>
    <definedName name="__________GBS19">#REF!</definedName>
    <definedName name="__________GBS21" localSheetId="6">#REF!</definedName>
    <definedName name="__________GBS21" localSheetId="12">#REF!</definedName>
    <definedName name="__________GBS21" localSheetId="19">#REF!</definedName>
    <definedName name="__________GBS21">#REF!</definedName>
    <definedName name="__________GBS210" localSheetId="6">#REF!</definedName>
    <definedName name="__________GBS210" localSheetId="12">#REF!</definedName>
    <definedName name="__________GBS210" localSheetId="19">#REF!</definedName>
    <definedName name="__________GBS210">#REF!</definedName>
    <definedName name="__________GBS211" localSheetId="6">#REF!</definedName>
    <definedName name="__________GBS211" localSheetId="12">#REF!</definedName>
    <definedName name="__________GBS211" localSheetId="19">#REF!</definedName>
    <definedName name="__________GBS211">#REF!</definedName>
    <definedName name="__________GBS212" localSheetId="6">#REF!</definedName>
    <definedName name="__________GBS212" localSheetId="12">#REF!</definedName>
    <definedName name="__________GBS212" localSheetId="19">#REF!</definedName>
    <definedName name="__________GBS212">#REF!</definedName>
    <definedName name="__________GBS213" localSheetId="6">#REF!</definedName>
    <definedName name="__________GBS213" localSheetId="12">#REF!</definedName>
    <definedName name="__________GBS213" localSheetId="19">#REF!</definedName>
    <definedName name="__________GBS213">#REF!</definedName>
    <definedName name="__________GBS214" localSheetId="6">#REF!</definedName>
    <definedName name="__________GBS214" localSheetId="12">#REF!</definedName>
    <definedName name="__________GBS214" localSheetId="19">#REF!</definedName>
    <definedName name="__________GBS214">#REF!</definedName>
    <definedName name="__________GBS215" localSheetId="6">#REF!</definedName>
    <definedName name="__________GBS215" localSheetId="12">#REF!</definedName>
    <definedName name="__________GBS215" localSheetId="19">#REF!</definedName>
    <definedName name="__________GBS215">#REF!</definedName>
    <definedName name="__________GBS22" localSheetId="6">#REF!</definedName>
    <definedName name="__________GBS22" localSheetId="12">#REF!</definedName>
    <definedName name="__________GBS22" localSheetId="19">#REF!</definedName>
    <definedName name="__________GBS22">#REF!</definedName>
    <definedName name="__________GBS23" localSheetId="6">#REF!</definedName>
    <definedName name="__________GBS23" localSheetId="12">#REF!</definedName>
    <definedName name="__________GBS23" localSheetId="19">#REF!</definedName>
    <definedName name="__________GBS23">#REF!</definedName>
    <definedName name="__________GBS24" localSheetId="6">#REF!</definedName>
    <definedName name="__________GBS24" localSheetId="12">#REF!</definedName>
    <definedName name="__________GBS24" localSheetId="19">#REF!</definedName>
    <definedName name="__________GBS24">#REF!</definedName>
    <definedName name="__________GBS25" localSheetId="6">#REF!</definedName>
    <definedName name="__________GBS25" localSheetId="12">#REF!</definedName>
    <definedName name="__________GBS25" localSheetId="19">#REF!</definedName>
    <definedName name="__________GBS25">#REF!</definedName>
    <definedName name="__________GBS26" localSheetId="6">#REF!</definedName>
    <definedName name="__________GBS26" localSheetId="12">#REF!</definedName>
    <definedName name="__________GBS26" localSheetId="19">#REF!</definedName>
    <definedName name="__________GBS26">#REF!</definedName>
    <definedName name="__________GBS27" localSheetId="6">#REF!</definedName>
    <definedName name="__________GBS27" localSheetId="12">#REF!</definedName>
    <definedName name="__________GBS27" localSheetId="19">#REF!</definedName>
    <definedName name="__________GBS27">#REF!</definedName>
    <definedName name="__________GBS28" localSheetId="6">#REF!</definedName>
    <definedName name="__________GBS28" localSheetId="12">#REF!</definedName>
    <definedName name="__________GBS28" localSheetId="19">#REF!</definedName>
    <definedName name="__________GBS28">#REF!</definedName>
    <definedName name="__________GBS29" localSheetId="6">#REF!</definedName>
    <definedName name="__________GBS29" localSheetId="12">#REF!</definedName>
    <definedName name="__________GBS29" localSheetId="19">#REF!</definedName>
    <definedName name="__________GBS29">#REF!</definedName>
    <definedName name="__________gus1">#REF!</definedName>
    <definedName name="__________hpm1">#REF!</definedName>
    <definedName name="__________knr2" localSheetId="5">#REF!</definedName>
    <definedName name="__________knr2" localSheetId="14">#REF!</definedName>
    <definedName name="__________knr2" localSheetId="6">#REF!</definedName>
    <definedName name="__________knr2" localSheetId="12">#REF!</definedName>
    <definedName name="__________knr2" localSheetId="19">#REF!</definedName>
    <definedName name="__________knr2">#REF!</definedName>
    <definedName name="__________l12" localSheetId="22">#REF!</definedName>
    <definedName name="__________l12" localSheetId="5">#REF!</definedName>
    <definedName name="__________l12" localSheetId="6">#REF!</definedName>
    <definedName name="__________l12" localSheetId="12">#REF!</definedName>
    <definedName name="__________l12" localSheetId="34">#REF!</definedName>
    <definedName name="__________l12" localSheetId="19">#REF!</definedName>
    <definedName name="__________l12" localSheetId="30">#REF!</definedName>
    <definedName name="__________l12" localSheetId="40">#REF!</definedName>
    <definedName name="__________l12" localSheetId="26">#REF!</definedName>
    <definedName name="__________l12">#REF!</definedName>
    <definedName name="__________l3" localSheetId="22">#REF!</definedName>
    <definedName name="__________l3" localSheetId="5">#REF!</definedName>
    <definedName name="__________l3" localSheetId="6">#REF!</definedName>
    <definedName name="__________l3" localSheetId="12">#REF!</definedName>
    <definedName name="__________l3" localSheetId="34">#REF!</definedName>
    <definedName name="__________l3" localSheetId="19">#REF!</definedName>
    <definedName name="__________l3" localSheetId="30">#REF!</definedName>
    <definedName name="__________l3" localSheetId="40">#REF!</definedName>
    <definedName name="__________l3" localSheetId="26">#REF!</definedName>
    <definedName name="__________l3">#REF!</definedName>
    <definedName name="__________l5" localSheetId="22">#REF!</definedName>
    <definedName name="__________l5" localSheetId="5">#REF!</definedName>
    <definedName name="__________l5" localSheetId="6">#REF!</definedName>
    <definedName name="__________l5" localSheetId="12">#REF!</definedName>
    <definedName name="__________l5" localSheetId="34">#REF!</definedName>
    <definedName name="__________l5" localSheetId="19">#REF!</definedName>
    <definedName name="__________l5" localSheetId="30">#REF!</definedName>
    <definedName name="__________l5" localSheetId="40">#REF!</definedName>
    <definedName name="__________l5" localSheetId="26">#REF!</definedName>
    <definedName name="__________l5">#REF!</definedName>
    <definedName name="__________lcn1" localSheetId="27">#REF!</definedName>
    <definedName name="__________lcn1">#REF!</definedName>
    <definedName name="__________LI9" localSheetId="6">#REF!</definedName>
    <definedName name="__________LI9" localSheetId="12">#REF!</definedName>
    <definedName name="__________LI9" localSheetId="19">#REF!</definedName>
    <definedName name="__________LI9">#REF!</definedName>
    <definedName name="__________LII9" localSheetId="6">#REF!</definedName>
    <definedName name="__________LII9" localSheetId="12">#REF!</definedName>
    <definedName name="__________LII9" localSheetId="19">#REF!</definedName>
    <definedName name="__________LII9">#REF!</definedName>
    <definedName name="__________lm1" localSheetId="19">#REF!</definedName>
    <definedName name="__________ML11" localSheetId="6">#REF!</definedName>
    <definedName name="__________ML11" localSheetId="12">#REF!</definedName>
    <definedName name="__________ML11" localSheetId="19">#REF!</definedName>
    <definedName name="__________ML11">#REF!</definedName>
    <definedName name="__________ML110" localSheetId="6">#REF!</definedName>
    <definedName name="__________ML110" localSheetId="12">#REF!</definedName>
    <definedName name="__________ML110" localSheetId="19">#REF!</definedName>
    <definedName name="__________ML110">#REF!</definedName>
    <definedName name="__________ML111" localSheetId="6">#REF!</definedName>
    <definedName name="__________ML111" localSheetId="12">#REF!</definedName>
    <definedName name="__________ML111" localSheetId="19">#REF!</definedName>
    <definedName name="__________ML111">#REF!</definedName>
    <definedName name="__________ML112" localSheetId="6">#REF!</definedName>
    <definedName name="__________ML112" localSheetId="12">#REF!</definedName>
    <definedName name="__________ML112" localSheetId="19">#REF!</definedName>
    <definedName name="__________ML112">#REF!</definedName>
    <definedName name="__________ML113" localSheetId="6">#REF!</definedName>
    <definedName name="__________ML113" localSheetId="12">#REF!</definedName>
    <definedName name="__________ML113" localSheetId="19">#REF!</definedName>
    <definedName name="__________ML113">#REF!</definedName>
    <definedName name="__________ML114" localSheetId="6">#REF!</definedName>
    <definedName name="__________ML114" localSheetId="12">#REF!</definedName>
    <definedName name="__________ML114" localSheetId="19">#REF!</definedName>
    <definedName name="__________ML114">#REF!</definedName>
    <definedName name="__________ML115" localSheetId="6">#REF!</definedName>
    <definedName name="__________ML115" localSheetId="12">#REF!</definedName>
    <definedName name="__________ML115" localSheetId="19">#REF!</definedName>
    <definedName name="__________ML115">#REF!</definedName>
    <definedName name="__________ML12" localSheetId="6">#REF!</definedName>
    <definedName name="__________ML12" localSheetId="12">#REF!</definedName>
    <definedName name="__________ML12" localSheetId="19">#REF!</definedName>
    <definedName name="__________ML12">#REF!</definedName>
    <definedName name="__________ML13" localSheetId="6">#REF!</definedName>
    <definedName name="__________ML13" localSheetId="12">#REF!</definedName>
    <definedName name="__________ML13" localSheetId="19">#REF!</definedName>
    <definedName name="__________ML13">#REF!</definedName>
    <definedName name="__________ML14" localSheetId="6">#REF!</definedName>
    <definedName name="__________ML14" localSheetId="12">#REF!</definedName>
    <definedName name="__________ML14" localSheetId="19">#REF!</definedName>
    <definedName name="__________ML14">#REF!</definedName>
    <definedName name="__________ML15" localSheetId="6">#REF!</definedName>
    <definedName name="__________ML15" localSheetId="12">#REF!</definedName>
    <definedName name="__________ML15" localSheetId="19">#REF!</definedName>
    <definedName name="__________ML15">#REF!</definedName>
    <definedName name="__________ML16" localSheetId="6">#REF!</definedName>
    <definedName name="__________ML16" localSheetId="12">#REF!</definedName>
    <definedName name="__________ML16" localSheetId="19">#REF!</definedName>
    <definedName name="__________ML16">#REF!</definedName>
    <definedName name="__________ML17" localSheetId="6">#REF!</definedName>
    <definedName name="__________ML17" localSheetId="12">#REF!</definedName>
    <definedName name="__________ML17" localSheetId="19">#REF!</definedName>
    <definedName name="__________ML17">#REF!</definedName>
    <definedName name="__________ML18" localSheetId="6">#REF!</definedName>
    <definedName name="__________ML18" localSheetId="12">#REF!</definedName>
    <definedName name="__________ML18" localSheetId="19">#REF!</definedName>
    <definedName name="__________ML18">#REF!</definedName>
    <definedName name="__________ML19" localSheetId="6">#REF!</definedName>
    <definedName name="__________ML19" localSheetId="12">#REF!</definedName>
    <definedName name="__________ML19" localSheetId="19">#REF!</definedName>
    <definedName name="__________ML19">#REF!</definedName>
    <definedName name="__________ML21" localSheetId="6">#REF!</definedName>
    <definedName name="__________ML21" localSheetId="12">#REF!</definedName>
    <definedName name="__________ML21" localSheetId="19">#REF!</definedName>
    <definedName name="__________ML21">#REF!</definedName>
    <definedName name="__________ML210" localSheetId="6">#REF!</definedName>
    <definedName name="__________ML210" localSheetId="12">#REF!</definedName>
    <definedName name="__________ML210" localSheetId="19">#REF!</definedName>
    <definedName name="__________ML210">#REF!</definedName>
    <definedName name="__________ML211" localSheetId="6">#REF!</definedName>
    <definedName name="__________ML211" localSheetId="12">#REF!</definedName>
    <definedName name="__________ML211" localSheetId="19">#REF!</definedName>
    <definedName name="__________ML211">#REF!</definedName>
    <definedName name="__________ML212" localSheetId="6">#REF!</definedName>
    <definedName name="__________ML212" localSheetId="12">#REF!</definedName>
    <definedName name="__________ML212" localSheetId="19">#REF!</definedName>
    <definedName name="__________ML212">#REF!</definedName>
    <definedName name="__________ML213" localSheetId="6">#REF!</definedName>
    <definedName name="__________ML213" localSheetId="12">#REF!</definedName>
    <definedName name="__________ML213" localSheetId="19">#REF!</definedName>
    <definedName name="__________ML213">#REF!</definedName>
    <definedName name="__________ML214" localSheetId="6">#REF!</definedName>
    <definedName name="__________ML214" localSheetId="12">#REF!</definedName>
    <definedName name="__________ML214" localSheetId="19">#REF!</definedName>
    <definedName name="__________ML214">#REF!</definedName>
    <definedName name="__________ML215" localSheetId="6">#REF!</definedName>
    <definedName name="__________ML215" localSheetId="12">#REF!</definedName>
    <definedName name="__________ML215" localSheetId="19">#REF!</definedName>
    <definedName name="__________ML215">#REF!</definedName>
    <definedName name="__________ML22" localSheetId="6">#REF!</definedName>
    <definedName name="__________ML22" localSheetId="12">#REF!</definedName>
    <definedName name="__________ML22" localSheetId="19">#REF!</definedName>
    <definedName name="__________ML22">#REF!</definedName>
    <definedName name="__________ML23" localSheetId="6">#REF!</definedName>
    <definedName name="__________ML23" localSheetId="12">#REF!</definedName>
    <definedName name="__________ML23" localSheetId="19">#REF!</definedName>
    <definedName name="__________ML23">#REF!</definedName>
    <definedName name="__________ML24" localSheetId="6">#REF!</definedName>
    <definedName name="__________ML24" localSheetId="12">#REF!</definedName>
    <definedName name="__________ML24" localSheetId="19">#REF!</definedName>
    <definedName name="__________ML24">#REF!</definedName>
    <definedName name="__________ML25" localSheetId="6">#REF!</definedName>
    <definedName name="__________ML25" localSheetId="12">#REF!</definedName>
    <definedName name="__________ML25" localSheetId="19">#REF!</definedName>
    <definedName name="__________ML25">#REF!</definedName>
    <definedName name="__________ML26" localSheetId="6">#REF!</definedName>
    <definedName name="__________ML26" localSheetId="12">#REF!</definedName>
    <definedName name="__________ML26" localSheetId="19">#REF!</definedName>
    <definedName name="__________ML26">#REF!</definedName>
    <definedName name="__________ML27" localSheetId="6">#REF!</definedName>
    <definedName name="__________ML27" localSheetId="12">#REF!</definedName>
    <definedName name="__________ML27" localSheetId="19">#REF!</definedName>
    <definedName name="__________ML27">#REF!</definedName>
    <definedName name="__________ML28" localSheetId="6">#REF!</definedName>
    <definedName name="__________ML28" localSheetId="12">#REF!</definedName>
    <definedName name="__________ML28" localSheetId="19">#REF!</definedName>
    <definedName name="__________ML28">#REF!</definedName>
    <definedName name="__________ML29" localSheetId="6">#REF!</definedName>
    <definedName name="__________ML29" localSheetId="12">#REF!</definedName>
    <definedName name="__________ML29" localSheetId="19">#REF!</definedName>
    <definedName name="__________ML29">#REF!</definedName>
    <definedName name="__________ML31" localSheetId="6">#REF!</definedName>
    <definedName name="__________ML31" localSheetId="12">#REF!</definedName>
    <definedName name="__________ML31" localSheetId="19">#REF!</definedName>
    <definedName name="__________ML31">#REF!</definedName>
    <definedName name="__________ML310" localSheetId="6">#REF!</definedName>
    <definedName name="__________ML310" localSheetId="12">#REF!</definedName>
    <definedName name="__________ML310" localSheetId="19">#REF!</definedName>
    <definedName name="__________ML310">#REF!</definedName>
    <definedName name="__________ML311" localSheetId="6">#REF!</definedName>
    <definedName name="__________ML311" localSheetId="12">#REF!</definedName>
    <definedName name="__________ML311" localSheetId="19">#REF!</definedName>
    <definedName name="__________ML311">#REF!</definedName>
    <definedName name="__________ML312" localSheetId="6">#REF!</definedName>
    <definedName name="__________ML312" localSheetId="12">#REF!</definedName>
    <definedName name="__________ML312" localSheetId="19">#REF!</definedName>
    <definedName name="__________ML312">#REF!</definedName>
    <definedName name="__________ML313" localSheetId="6">#REF!</definedName>
    <definedName name="__________ML313" localSheetId="12">#REF!</definedName>
    <definedName name="__________ML313" localSheetId="19">#REF!</definedName>
    <definedName name="__________ML313">#REF!</definedName>
    <definedName name="__________ML314" localSheetId="6">#REF!</definedName>
    <definedName name="__________ML314" localSheetId="12">#REF!</definedName>
    <definedName name="__________ML314" localSheetId="19">#REF!</definedName>
    <definedName name="__________ML314">#REF!</definedName>
    <definedName name="__________ML315" localSheetId="6">#REF!</definedName>
    <definedName name="__________ML315" localSheetId="12">#REF!</definedName>
    <definedName name="__________ML315" localSheetId="19">#REF!</definedName>
    <definedName name="__________ML315">#REF!</definedName>
    <definedName name="__________ML32" localSheetId="6">#REF!</definedName>
    <definedName name="__________ML32" localSheetId="12">#REF!</definedName>
    <definedName name="__________ML32" localSheetId="19">#REF!</definedName>
    <definedName name="__________ML32">#REF!</definedName>
    <definedName name="__________ML33" localSheetId="6">#REF!</definedName>
    <definedName name="__________ML33" localSheetId="12">#REF!</definedName>
    <definedName name="__________ML33" localSheetId="19">#REF!</definedName>
    <definedName name="__________ML33">#REF!</definedName>
    <definedName name="__________ML34" localSheetId="6">#REF!</definedName>
    <definedName name="__________ML34" localSheetId="12">#REF!</definedName>
    <definedName name="__________ML34" localSheetId="19">#REF!</definedName>
    <definedName name="__________ML34">#REF!</definedName>
    <definedName name="__________ML35" localSheetId="6">#REF!</definedName>
    <definedName name="__________ML35" localSheetId="12">#REF!</definedName>
    <definedName name="__________ML35" localSheetId="19">#REF!</definedName>
    <definedName name="__________ML35">#REF!</definedName>
    <definedName name="__________ML36" localSheetId="6">#REF!</definedName>
    <definedName name="__________ML36" localSheetId="12">#REF!</definedName>
    <definedName name="__________ML36" localSheetId="19">#REF!</definedName>
    <definedName name="__________ML36">#REF!</definedName>
    <definedName name="__________ML37" localSheetId="6">#REF!</definedName>
    <definedName name="__________ML37" localSheetId="12">#REF!</definedName>
    <definedName name="__________ML37" localSheetId="19">#REF!</definedName>
    <definedName name="__________ML37">#REF!</definedName>
    <definedName name="__________ML38" localSheetId="6">#REF!</definedName>
    <definedName name="__________ML38" localSheetId="12">#REF!</definedName>
    <definedName name="__________ML38" localSheetId="19">#REF!</definedName>
    <definedName name="__________ML38">#REF!</definedName>
    <definedName name="__________ML39" localSheetId="6">#REF!</definedName>
    <definedName name="__________ML39" localSheetId="12">#REF!</definedName>
    <definedName name="__________ML39" localSheetId="19">#REF!</definedName>
    <definedName name="__________ML39">#REF!</definedName>
    <definedName name="__________ML7" localSheetId="6">#REF!</definedName>
    <definedName name="__________ML7" localSheetId="12">#REF!</definedName>
    <definedName name="__________ML7" localSheetId="19">#REF!</definedName>
    <definedName name="__________ML7">#REF!</definedName>
    <definedName name="__________ML8" localSheetId="6">#REF!</definedName>
    <definedName name="__________ML8" localSheetId="12">#REF!</definedName>
    <definedName name="__________ML8" localSheetId="19">#REF!</definedName>
    <definedName name="__________ML8">#REF!</definedName>
    <definedName name="__________ML9" localSheetId="6">#REF!</definedName>
    <definedName name="__________ML9" localSheetId="12">#REF!</definedName>
    <definedName name="__________ML9" localSheetId="19">#REF!</definedName>
    <definedName name="__________ML9">#REF!</definedName>
    <definedName name="__________mm20" localSheetId="19">#REF!</definedName>
    <definedName name="__________mm40" localSheetId="27">#REF!</definedName>
    <definedName name="__________mm40">#REF!</definedName>
    <definedName name="__________pc2" localSheetId="22">#REF!</definedName>
    <definedName name="__________pc2" localSheetId="5">#REF!</definedName>
    <definedName name="__________pc2" localSheetId="6">#REF!</definedName>
    <definedName name="__________pc2" localSheetId="12">#REF!</definedName>
    <definedName name="__________pc2" localSheetId="34">#REF!</definedName>
    <definedName name="__________pc2" localSheetId="19">#REF!</definedName>
    <definedName name="__________pc2" localSheetId="30">#REF!</definedName>
    <definedName name="__________pc2" localSheetId="40">#REF!</definedName>
    <definedName name="__________pc2" localSheetId="26">#REF!</definedName>
    <definedName name="__________pc2">#REF!</definedName>
    <definedName name="__________PMS2" localSheetId="6">#REF!</definedName>
    <definedName name="__________PMS2" localSheetId="12">#REF!</definedName>
    <definedName name="__________PMS2" localSheetId="19">#REF!</definedName>
    <definedName name="__________PMS2">#REF!</definedName>
    <definedName name="__________pv2" localSheetId="22">#REF!</definedName>
    <definedName name="__________pv2" localSheetId="5">#REF!</definedName>
    <definedName name="__________pv2" localSheetId="6">#REF!</definedName>
    <definedName name="__________pv2" localSheetId="12">#REF!</definedName>
    <definedName name="__________pv2" localSheetId="34">#REF!</definedName>
    <definedName name="__________pv2" localSheetId="19">#REF!</definedName>
    <definedName name="__________pv2" localSheetId="30">#REF!</definedName>
    <definedName name="__________pv2" localSheetId="40">#REF!</definedName>
    <definedName name="__________pv2" localSheetId="26">#REF!</definedName>
    <definedName name="__________pv2">#REF!</definedName>
    <definedName name="__________sw1" localSheetId="19">#REF!</definedName>
    <definedName name="__________us1" localSheetId="27">#REF!</definedName>
    <definedName name="__________us1">#REF!</definedName>
    <definedName name="__________var1" localSheetId="22">#REF!</definedName>
    <definedName name="__________var1" localSheetId="5">#REF!</definedName>
    <definedName name="__________var1" localSheetId="6">#REF!</definedName>
    <definedName name="__________var1" localSheetId="12">#REF!</definedName>
    <definedName name="__________var1" localSheetId="34">#REF!</definedName>
    <definedName name="__________var1" localSheetId="19">#REF!</definedName>
    <definedName name="__________var1" localSheetId="30">#REF!</definedName>
    <definedName name="__________var1" localSheetId="40">#REF!</definedName>
    <definedName name="__________var1" localSheetId="26">#REF!</definedName>
    <definedName name="__________var1">#REF!</definedName>
    <definedName name="__________var4" localSheetId="22">#REF!</definedName>
    <definedName name="__________var4" localSheetId="5">#REF!</definedName>
    <definedName name="__________var4" localSheetId="6">#REF!</definedName>
    <definedName name="__________var4" localSheetId="12">#REF!</definedName>
    <definedName name="__________var4" localSheetId="34">#REF!</definedName>
    <definedName name="__________var4" localSheetId="19">#REF!</definedName>
    <definedName name="__________var4" localSheetId="30">#REF!</definedName>
    <definedName name="__________var4" localSheetId="40">#REF!</definedName>
    <definedName name="__________var4" localSheetId="26">#REF!</definedName>
    <definedName name="__________var4">#REF!</definedName>
    <definedName name="__________vat1">#REF!</definedName>
    <definedName name="__________vat2">#REF!</definedName>
    <definedName name="__________xlfn_BAHTTEXT">#N/A</definedName>
    <definedName name="_________abs1" localSheetId="6">#REF!</definedName>
    <definedName name="_________abs1" localSheetId="12">#REF!</definedName>
    <definedName name="_________abs1" localSheetId="19">#REF!</definedName>
    <definedName name="_________abs1">#REF!</definedName>
    <definedName name="_________AUX1" localSheetId="19">#REF!</definedName>
    <definedName name="_________aux2" localSheetId="19">#REF!</definedName>
    <definedName name="_________AUX3">#REF!</definedName>
    <definedName name="_________BSG100" localSheetId="6">#REF!</definedName>
    <definedName name="_________BSG100" localSheetId="12">#REF!</definedName>
    <definedName name="_________BSG100" localSheetId="19">#REF!</definedName>
    <definedName name="_________BSG100">#REF!</definedName>
    <definedName name="_________BSG150" localSheetId="6">#REF!</definedName>
    <definedName name="_________BSG150" localSheetId="12">#REF!</definedName>
    <definedName name="_________BSG150" localSheetId="19">#REF!</definedName>
    <definedName name="_________BSG150">#REF!</definedName>
    <definedName name="_________BSG5" localSheetId="6">#REF!</definedName>
    <definedName name="_________BSG5" localSheetId="12">#REF!</definedName>
    <definedName name="_________BSG5" localSheetId="19">#REF!</definedName>
    <definedName name="_________BSG5">#REF!</definedName>
    <definedName name="_________BSG75" localSheetId="6">#REF!</definedName>
    <definedName name="_________BSG75" localSheetId="12">#REF!</definedName>
    <definedName name="_________BSG75" localSheetId="19">#REF!</definedName>
    <definedName name="_________BSG75">#REF!</definedName>
    <definedName name="_________BTC1" localSheetId="6">#REF!</definedName>
    <definedName name="_________BTC1" localSheetId="12">#REF!</definedName>
    <definedName name="_________BTC1" localSheetId="19">#REF!</definedName>
    <definedName name="_________BTC1">#REF!</definedName>
    <definedName name="_________BTC10" localSheetId="6">#REF!</definedName>
    <definedName name="_________BTC10" localSheetId="12">#REF!</definedName>
    <definedName name="_________BTC10" localSheetId="19">#REF!</definedName>
    <definedName name="_________BTC10">#REF!</definedName>
    <definedName name="_________BTC11" localSheetId="6">#REF!</definedName>
    <definedName name="_________BTC11" localSheetId="12">#REF!</definedName>
    <definedName name="_________BTC11" localSheetId="19">#REF!</definedName>
    <definedName name="_________BTC11">#REF!</definedName>
    <definedName name="_________BTC12" localSheetId="6">#REF!</definedName>
    <definedName name="_________BTC12" localSheetId="12">#REF!</definedName>
    <definedName name="_________BTC12" localSheetId="19">#REF!</definedName>
    <definedName name="_________BTC12">#REF!</definedName>
    <definedName name="_________BTC13" localSheetId="6">#REF!</definedName>
    <definedName name="_________BTC13" localSheetId="12">#REF!</definedName>
    <definedName name="_________BTC13" localSheetId="19">#REF!</definedName>
    <definedName name="_________BTC13">#REF!</definedName>
    <definedName name="_________BTC14" localSheetId="6">#REF!</definedName>
    <definedName name="_________BTC14" localSheetId="12">#REF!</definedName>
    <definedName name="_________BTC14" localSheetId="19">#REF!</definedName>
    <definedName name="_________BTC14">#REF!</definedName>
    <definedName name="_________BTC15" localSheetId="6">#REF!</definedName>
    <definedName name="_________BTC15" localSheetId="12">#REF!</definedName>
    <definedName name="_________BTC15" localSheetId="19">#REF!</definedName>
    <definedName name="_________BTC15">#REF!</definedName>
    <definedName name="_________BTC2" localSheetId="6">#REF!</definedName>
    <definedName name="_________BTC2" localSheetId="12">#REF!</definedName>
    <definedName name="_________BTC2" localSheetId="19">#REF!</definedName>
    <definedName name="_________BTC2">#REF!</definedName>
    <definedName name="_________BTC3" localSheetId="6">#REF!</definedName>
    <definedName name="_________BTC3" localSheetId="12">#REF!</definedName>
    <definedName name="_________BTC3" localSheetId="19">#REF!</definedName>
    <definedName name="_________BTC3">#REF!</definedName>
    <definedName name="_________BTC4" localSheetId="6">#REF!</definedName>
    <definedName name="_________BTC4" localSheetId="12">#REF!</definedName>
    <definedName name="_________BTC4" localSheetId="19">#REF!</definedName>
    <definedName name="_________BTC4">#REF!</definedName>
    <definedName name="_________BTC5" localSheetId="6">#REF!</definedName>
    <definedName name="_________BTC5" localSheetId="12">#REF!</definedName>
    <definedName name="_________BTC5" localSheetId="19">#REF!</definedName>
    <definedName name="_________BTC5">#REF!</definedName>
    <definedName name="_________BTC6" localSheetId="6">#REF!</definedName>
    <definedName name="_________BTC6" localSheetId="12">#REF!</definedName>
    <definedName name="_________BTC6" localSheetId="19">#REF!</definedName>
    <definedName name="_________BTC6">#REF!</definedName>
    <definedName name="_________BTC7" localSheetId="6">#REF!</definedName>
    <definedName name="_________BTC7" localSheetId="12">#REF!</definedName>
    <definedName name="_________BTC7" localSheetId="19">#REF!</definedName>
    <definedName name="_________BTC7">#REF!</definedName>
    <definedName name="_________BTC8" localSheetId="6">#REF!</definedName>
    <definedName name="_________BTC8" localSheetId="12">#REF!</definedName>
    <definedName name="_________BTC8" localSheetId="19">#REF!</definedName>
    <definedName name="_________BTC8">#REF!</definedName>
    <definedName name="_________BTC9" localSheetId="6">#REF!</definedName>
    <definedName name="_________BTC9" localSheetId="12">#REF!</definedName>
    <definedName name="_________BTC9" localSheetId="19">#REF!</definedName>
    <definedName name="_________BTC9">#REF!</definedName>
    <definedName name="_________BTS1" localSheetId="6">#REF!</definedName>
    <definedName name="_________BTS1" localSheetId="12">#REF!</definedName>
    <definedName name="_________BTS1" localSheetId="19">#REF!</definedName>
    <definedName name="_________BTS1">#REF!</definedName>
    <definedName name="_________BTS10" localSheetId="6">#REF!</definedName>
    <definedName name="_________BTS10" localSheetId="12">#REF!</definedName>
    <definedName name="_________BTS10" localSheetId="19">#REF!</definedName>
    <definedName name="_________BTS10">#REF!</definedName>
    <definedName name="_________BTS11" localSheetId="6">#REF!</definedName>
    <definedName name="_________BTS11" localSheetId="12">#REF!</definedName>
    <definedName name="_________BTS11" localSheetId="19">#REF!</definedName>
    <definedName name="_________BTS11">#REF!</definedName>
    <definedName name="_________BTS12" localSheetId="6">#REF!</definedName>
    <definedName name="_________BTS12" localSheetId="12">#REF!</definedName>
    <definedName name="_________BTS12" localSheetId="19">#REF!</definedName>
    <definedName name="_________BTS12">#REF!</definedName>
    <definedName name="_________BTS13" localSheetId="6">#REF!</definedName>
    <definedName name="_________BTS13" localSheetId="12">#REF!</definedName>
    <definedName name="_________BTS13" localSheetId="19">#REF!</definedName>
    <definedName name="_________BTS13">#REF!</definedName>
    <definedName name="_________BTS14" localSheetId="6">#REF!</definedName>
    <definedName name="_________BTS14" localSheetId="12">#REF!</definedName>
    <definedName name="_________BTS14" localSheetId="19">#REF!</definedName>
    <definedName name="_________BTS14">#REF!</definedName>
    <definedName name="_________BTS15" localSheetId="6">#REF!</definedName>
    <definedName name="_________BTS15" localSheetId="12">#REF!</definedName>
    <definedName name="_________BTS15" localSheetId="19">#REF!</definedName>
    <definedName name="_________BTS15">#REF!</definedName>
    <definedName name="_________BTS2" localSheetId="6">#REF!</definedName>
    <definedName name="_________BTS2" localSheetId="12">#REF!</definedName>
    <definedName name="_________BTS2" localSheetId="19">#REF!</definedName>
    <definedName name="_________BTS2">#REF!</definedName>
    <definedName name="_________BTS3" localSheetId="6">#REF!</definedName>
    <definedName name="_________BTS3" localSheetId="12">#REF!</definedName>
    <definedName name="_________BTS3" localSheetId="19">#REF!</definedName>
    <definedName name="_________BTS3">#REF!</definedName>
    <definedName name="_________BTS4" localSheetId="6">#REF!</definedName>
    <definedName name="_________BTS4" localSheetId="12">#REF!</definedName>
    <definedName name="_________BTS4" localSheetId="19">#REF!</definedName>
    <definedName name="_________BTS4">#REF!</definedName>
    <definedName name="_________BTS5" localSheetId="6">#REF!</definedName>
    <definedName name="_________BTS5" localSheetId="12">#REF!</definedName>
    <definedName name="_________BTS5" localSheetId="19">#REF!</definedName>
    <definedName name="_________BTS5">#REF!</definedName>
    <definedName name="_________BTS6" localSheetId="6">#REF!</definedName>
    <definedName name="_________BTS6" localSheetId="12">#REF!</definedName>
    <definedName name="_________BTS6" localSheetId="19">#REF!</definedName>
    <definedName name="_________BTS6">#REF!</definedName>
    <definedName name="_________BTS7" localSheetId="6">#REF!</definedName>
    <definedName name="_________BTS7" localSheetId="12">#REF!</definedName>
    <definedName name="_________BTS7" localSheetId="19">#REF!</definedName>
    <definedName name="_________BTS7">#REF!</definedName>
    <definedName name="_________BTS8" localSheetId="6">#REF!</definedName>
    <definedName name="_________BTS8" localSheetId="12">#REF!</definedName>
    <definedName name="_________BTS8" localSheetId="19">#REF!</definedName>
    <definedName name="_________BTS8">#REF!</definedName>
    <definedName name="_________BTS9" localSheetId="6">#REF!</definedName>
    <definedName name="_________BTS9" localSheetId="12">#REF!</definedName>
    <definedName name="_________BTS9" localSheetId="19">#REF!</definedName>
    <definedName name="_________BTS9">#REF!</definedName>
    <definedName name="_________can430">40.73</definedName>
    <definedName name="_________can435">43.3</definedName>
    <definedName name="_________cbr1" localSheetId="27">#REF!</definedName>
    <definedName name="_________cbr1">#REF!</definedName>
    <definedName name="_________cbr2" localSheetId="27">#REF!</definedName>
    <definedName name="_________cbr2">#REF!</definedName>
    <definedName name="_________cbr3" localSheetId="27">#REF!</definedName>
    <definedName name="_________cbr3">#REF!</definedName>
    <definedName name="_________cbr4">#REF!</definedName>
    <definedName name="_________er1" localSheetId="27">#REF!</definedName>
    <definedName name="_________er1">#REF!</definedName>
    <definedName name="_________ewe1" localSheetId="19">#REF!</definedName>
    <definedName name="_________f1">#REF!</definedName>
    <definedName name="_________GBS11" localSheetId="6">#REF!</definedName>
    <definedName name="_________GBS11" localSheetId="12">#REF!</definedName>
    <definedName name="_________GBS11" localSheetId="19">#REF!</definedName>
    <definedName name="_________GBS11">#REF!</definedName>
    <definedName name="_________GBS110" localSheetId="6">#REF!</definedName>
    <definedName name="_________GBS110" localSheetId="12">#REF!</definedName>
    <definedName name="_________GBS110" localSheetId="19">#REF!</definedName>
    <definedName name="_________GBS110">#REF!</definedName>
    <definedName name="_________GBS111" localSheetId="6">#REF!</definedName>
    <definedName name="_________GBS111" localSheetId="12">#REF!</definedName>
    <definedName name="_________GBS111" localSheetId="19">#REF!</definedName>
    <definedName name="_________GBS111">#REF!</definedName>
    <definedName name="_________GBS112" localSheetId="6">#REF!</definedName>
    <definedName name="_________GBS112" localSheetId="12">#REF!</definedName>
    <definedName name="_________GBS112" localSheetId="19">#REF!</definedName>
    <definedName name="_________GBS112">#REF!</definedName>
    <definedName name="_________GBS113" localSheetId="6">#REF!</definedName>
    <definedName name="_________GBS113" localSheetId="12">#REF!</definedName>
    <definedName name="_________GBS113" localSheetId="19">#REF!</definedName>
    <definedName name="_________GBS113">#REF!</definedName>
    <definedName name="_________GBS114" localSheetId="6">#REF!</definedName>
    <definedName name="_________GBS114" localSheetId="12">#REF!</definedName>
    <definedName name="_________GBS114" localSheetId="19">#REF!</definedName>
    <definedName name="_________GBS114">#REF!</definedName>
    <definedName name="_________GBS115" localSheetId="6">#REF!</definedName>
    <definedName name="_________GBS115" localSheetId="12">#REF!</definedName>
    <definedName name="_________GBS115" localSheetId="19">#REF!</definedName>
    <definedName name="_________GBS115">#REF!</definedName>
    <definedName name="_________GBS12" localSheetId="6">#REF!</definedName>
    <definedName name="_________GBS12" localSheetId="12">#REF!</definedName>
    <definedName name="_________GBS12" localSheetId="19">#REF!</definedName>
    <definedName name="_________GBS12">#REF!</definedName>
    <definedName name="_________GBS13" localSheetId="6">#REF!</definedName>
    <definedName name="_________GBS13" localSheetId="12">#REF!</definedName>
    <definedName name="_________GBS13" localSheetId="19">#REF!</definedName>
    <definedName name="_________GBS13">#REF!</definedName>
    <definedName name="_________GBS14" localSheetId="6">#REF!</definedName>
    <definedName name="_________GBS14" localSheetId="12">#REF!</definedName>
    <definedName name="_________GBS14" localSheetId="19">#REF!</definedName>
    <definedName name="_________GBS14">#REF!</definedName>
    <definedName name="_________GBS15" localSheetId="6">#REF!</definedName>
    <definedName name="_________GBS15" localSheetId="12">#REF!</definedName>
    <definedName name="_________GBS15" localSheetId="19">#REF!</definedName>
    <definedName name="_________GBS15">#REF!</definedName>
    <definedName name="_________GBS16" localSheetId="6">#REF!</definedName>
    <definedName name="_________GBS16" localSheetId="12">#REF!</definedName>
    <definedName name="_________GBS16" localSheetId="19">#REF!</definedName>
    <definedName name="_________GBS16">#REF!</definedName>
    <definedName name="_________GBS17" localSheetId="6">#REF!</definedName>
    <definedName name="_________GBS17" localSheetId="12">#REF!</definedName>
    <definedName name="_________GBS17" localSheetId="19">#REF!</definedName>
    <definedName name="_________GBS17">#REF!</definedName>
    <definedName name="_________GBS18" localSheetId="6">#REF!</definedName>
    <definedName name="_________GBS18" localSheetId="12">#REF!</definedName>
    <definedName name="_________GBS18" localSheetId="19">#REF!</definedName>
    <definedName name="_________GBS18">#REF!</definedName>
    <definedName name="_________GBS19" localSheetId="6">#REF!</definedName>
    <definedName name="_________GBS19" localSheetId="12">#REF!</definedName>
    <definedName name="_________GBS19" localSheetId="19">#REF!</definedName>
    <definedName name="_________GBS19">#REF!</definedName>
    <definedName name="_________GBS21" localSheetId="6">#REF!</definedName>
    <definedName name="_________GBS21" localSheetId="12">#REF!</definedName>
    <definedName name="_________GBS21" localSheetId="19">#REF!</definedName>
    <definedName name="_________GBS21">#REF!</definedName>
    <definedName name="_________GBS210" localSheetId="6">#REF!</definedName>
    <definedName name="_________GBS210" localSheetId="12">#REF!</definedName>
    <definedName name="_________GBS210" localSheetId="19">#REF!</definedName>
    <definedName name="_________GBS210">#REF!</definedName>
    <definedName name="_________GBS211" localSheetId="6">#REF!</definedName>
    <definedName name="_________GBS211" localSheetId="12">#REF!</definedName>
    <definedName name="_________GBS211" localSheetId="19">#REF!</definedName>
    <definedName name="_________GBS211">#REF!</definedName>
    <definedName name="_________GBS212" localSheetId="6">#REF!</definedName>
    <definedName name="_________GBS212" localSheetId="12">#REF!</definedName>
    <definedName name="_________GBS212" localSheetId="19">#REF!</definedName>
    <definedName name="_________GBS212">#REF!</definedName>
    <definedName name="_________GBS213" localSheetId="6">#REF!</definedName>
    <definedName name="_________GBS213" localSheetId="12">#REF!</definedName>
    <definedName name="_________GBS213" localSheetId="19">#REF!</definedName>
    <definedName name="_________GBS213">#REF!</definedName>
    <definedName name="_________GBS214" localSheetId="6">#REF!</definedName>
    <definedName name="_________GBS214" localSheetId="12">#REF!</definedName>
    <definedName name="_________GBS214" localSheetId="19">#REF!</definedName>
    <definedName name="_________GBS214">#REF!</definedName>
    <definedName name="_________GBS215" localSheetId="6">#REF!</definedName>
    <definedName name="_________GBS215" localSheetId="12">#REF!</definedName>
    <definedName name="_________GBS215" localSheetId="19">#REF!</definedName>
    <definedName name="_________GBS215">#REF!</definedName>
    <definedName name="_________GBS22" localSheetId="6">#REF!</definedName>
    <definedName name="_________GBS22" localSheetId="12">#REF!</definedName>
    <definedName name="_________GBS22" localSheetId="19">#REF!</definedName>
    <definedName name="_________GBS22">#REF!</definedName>
    <definedName name="_________GBS23" localSheetId="6">#REF!</definedName>
    <definedName name="_________GBS23" localSheetId="12">#REF!</definedName>
    <definedName name="_________GBS23" localSheetId="19">#REF!</definedName>
    <definedName name="_________GBS23">#REF!</definedName>
    <definedName name="_________GBS24" localSheetId="6">#REF!</definedName>
    <definedName name="_________GBS24" localSheetId="12">#REF!</definedName>
    <definedName name="_________GBS24" localSheetId="19">#REF!</definedName>
    <definedName name="_________GBS24">#REF!</definedName>
    <definedName name="_________GBS25" localSheetId="6">#REF!</definedName>
    <definedName name="_________GBS25" localSheetId="12">#REF!</definedName>
    <definedName name="_________GBS25" localSheetId="19">#REF!</definedName>
    <definedName name="_________GBS25">#REF!</definedName>
    <definedName name="_________GBS26" localSheetId="6">#REF!</definedName>
    <definedName name="_________GBS26" localSheetId="12">#REF!</definedName>
    <definedName name="_________GBS26" localSheetId="19">#REF!</definedName>
    <definedName name="_________GBS26">#REF!</definedName>
    <definedName name="_________GBS27" localSheetId="6">#REF!</definedName>
    <definedName name="_________GBS27" localSheetId="12">#REF!</definedName>
    <definedName name="_________GBS27" localSheetId="19">#REF!</definedName>
    <definedName name="_________GBS27">#REF!</definedName>
    <definedName name="_________GBS28" localSheetId="6">#REF!</definedName>
    <definedName name="_________GBS28" localSheetId="12">#REF!</definedName>
    <definedName name="_________GBS28" localSheetId="19">#REF!</definedName>
    <definedName name="_________GBS28">#REF!</definedName>
    <definedName name="_________GBS29" localSheetId="6">#REF!</definedName>
    <definedName name="_________GBS29" localSheetId="12">#REF!</definedName>
    <definedName name="_________GBS29" localSheetId="19">#REF!</definedName>
    <definedName name="_________GBS29">#REF!</definedName>
    <definedName name="_________gus1">#REF!</definedName>
    <definedName name="_________hpm1">#REF!</definedName>
    <definedName name="_________knr2" localSheetId="5">#REF!</definedName>
    <definedName name="_________knr2" localSheetId="14">#REF!</definedName>
    <definedName name="_________knr2" localSheetId="6">#REF!</definedName>
    <definedName name="_________knr2" localSheetId="12">#REF!</definedName>
    <definedName name="_________knr2" localSheetId="19">#REF!</definedName>
    <definedName name="_________knr2">#REF!</definedName>
    <definedName name="_________l12" localSheetId="22">#REF!</definedName>
    <definedName name="_________l12" localSheetId="5">#REF!</definedName>
    <definedName name="_________l12" localSheetId="6">#REF!</definedName>
    <definedName name="_________l12" localSheetId="12">#REF!</definedName>
    <definedName name="_________l12" localSheetId="34">#REF!</definedName>
    <definedName name="_________l12" localSheetId="19">#REF!</definedName>
    <definedName name="_________l12" localSheetId="30">#REF!</definedName>
    <definedName name="_________l12" localSheetId="40">#REF!</definedName>
    <definedName name="_________l12" localSheetId="26">#REF!</definedName>
    <definedName name="_________l12">#REF!</definedName>
    <definedName name="_________l3" localSheetId="22">#REF!</definedName>
    <definedName name="_________l3" localSheetId="5">#REF!</definedName>
    <definedName name="_________l3" localSheetId="6">#REF!</definedName>
    <definedName name="_________l3" localSheetId="12">#REF!</definedName>
    <definedName name="_________l3" localSheetId="34">#REF!</definedName>
    <definedName name="_________l3" localSheetId="19">#REF!</definedName>
    <definedName name="_________l3" localSheetId="30">#REF!</definedName>
    <definedName name="_________l3" localSheetId="40">#REF!</definedName>
    <definedName name="_________l3" localSheetId="26">#REF!</definedName>
    <definedName name="_________l3">#REF!</definedName>
    <definedName name="_________l5" localSheetId="22">#REF!</definedName>
    <definedName name="_________l5" localSheetId="5">#REF!</definedName>
    <definedName name="_________l5" localSheetId="6">#REF!</definedName>
    <definedName name="_________l5" localSheetId="12">#REF!</definedName>
    <definedName name="_________l5" localSheetId="34">#REF!</definedName>
    <definedName name="_________l5" localSheetId="19">#REF!</definedName>
    <definedName name="_________l5" localSheetId="30">#REF!</definedName>
    <definedName name="_________l5" localSheetId="40">#REF!</definedName>
    <definedName name="_________l5" localSheetId="26">#REF!</definedName>
    <definedName name="_________l5">#REF!</definedName>
    <definedName name="_________lcn1" localSheetId="27">#REF!</definedName>
    <definedName name="_________lcn1">#REF!</definedName>
    <definedName name="_________LI9" localSheetId="6">#REF!</definedName>
    <definedName name="_________LI9" localSheetId="12">#REF!</definedName>
    <definedName name="_________LI9" localSheetId="19">#REF!</definedName>
    <definedName name="_________LI9">#REF!</definedName>
    <definedName name="_________LII9" localSheetId="6">#REF!</definedName>
    <definedName name="_________LII9" localSheetId="12">#REF!</definedName>
    <definedName name="_________LII9" localSheetId="19">#REF!</definedName>
    <definedName name="_________LII9">#REF!</definedName>
    <definedName name="_________lm1" localSheetId="19">#REF!</definedName>
    <definedName name="_________ML11" localSheetId="6">#REF!</definedName>
    <definedName name="_________ML11" localSheetId="12">#REF!</definedName>
    <definedName name="_________ML11" localSheetId="19">#REF!</definedName>
    <definedName name="_________ML11">#REF!</definedName>
    <definedName name="_________ML110" localSheetId="6">#REF!</definedName>
    <definedName name="_________ML110" localSheetId="12">#REF!</definedName>
    <definedName name="_________ML110" localSheetId="19">#REF!</definedName>
    <definedName name="_________ML110">#REF!</definedName>
    <definedName name="_________ML111" localSheetId="6">#REF!</definedName>
    <definedName name="_________ML111" localSheetId="12">#REF!</definedName>
    <definedName name="_________ML111" localSheetId="19">#REF!</definedName>
    <definedName name="_________ML111">#REF!</definedName>
    <definedName name="_________ML112" localSheetId="6">#REF!</definedName>
    <definedName name="_________ML112" localSheetId="12">#REF!</definedName>
    <definedName name="_________ML112" localSheetId="19">#REF!</definedName>
    <definedName name="_________ML112">#REF!</definedName>
    <definedName name="_________ML113" localSheetId="6">#REF!</definedName>
    <definedName name="_________ML113" localSheetId="12">#REF!</definedName>
    <definedName name="_________ML113" localSheetId="19">#REF!</definedName>
    <definedName name="_________ML113">#REF!</definedName>
    <definedName name="_________ML114" localSheetId="6">#REF!</definedName>
    <definedName name="_________ML114" localSheetId="12">#REF!</definedName>
    <definedName name="_________ML114" localSheetId="19">#REF!</definedName>
    <definedName name="_________ML114">#REF!</definedName>
    <definedName name="_________ML115" localSheetId="6">#REF!</definedName>
    <definedName name="_________ML115" localSheetId="12">#REF!</definedName>
    <definedName name="_________ML115" localSheetId="19">#REF!</definedName>
    <definedName name="_________ML115">#REF!</definedName>
    <definedName name="_________ML12" localSheetId="6">#REF!</definedName>
    <definedName name="_________ML12" localSheetId="12">#REF!</definedName>
    <definedName name="_________ML12" localSheetId="19">#REF!</definedName>
    <definedName name="_________ML12">#REF!</definedName>
    <definedName name="_________ML13" localSheetId="6">#REF!</definedName>
    <definedName name="_________ML13" localSheetId="12">#REF!</definedName>
    <definedName name="_________ML13" localSheetId="19">#REF!</definedName>
    <definedName name="_________ML13">#REF!</definedName>
    <definedName name="_________ML14" localSheetId="6">#REF!</definedName>
    <definedName name="_________ML14" localSheetId="12">#REF!</definedName>
    <definedName name="_________ML14" localSheetId="19">#REF!</definedName>
    <definedName name="_________ML14">#REF!</definedName>
    <definedName name="_________ML15" localSheetId="6">#REF!</definedName>
    <definedName name="_________ML15" localSheetId="12">#REF!</definedName>
    <definedName name="_________ML15" localSheetId="19">#REF!</definedName>
    <definedName name="_________ML15">#REF!</definedName>
    <definedName name="_________ML16" localSheetId="6">#REF!</definedName>
    <definedName name="_________ML16" localSheetId="12">#REF!</definedName>
    <definedName name="_________ML16" localSheetId="19">#REF!</definedName>
    <definedName name="_________ML16">#REF!</definedName>
    <definedName name="_________ML17" localSheetId="6">#REF!</definedName>
    <definedName name="_________ML17" localSheetId="12">#REF!</definedName>
    <definedName name="_________ML17" localSheetId="19">#REF!</definedName>
    <definedName name="_________ML17">#REF!</definedName>
    <definedName name="_________ML18" localSheetId="6">#REF!</definedName>
    <definedName name="_________ML18" localSheetId="12">#REF!</definedName>
    <definedName name="_________ML18" localSheetId="19">#REF!</definedName>
    <definedName name="_________ML18">#REF!</definedName>
    <definedName name="_________ML19" localSheetId="6">#REF!</definedName>
    <definedName name="_________ML19" localSheetId="12">#REF!</definedName>
    <definedName name="_________ML19" localSheetId="19">#REF!</definedName>
    <definedName name="_________ML19">#REF!</definedName>
    <definedName name="_________ML21" localSheetId="6">#REF!</definedName>
    <definedName name="_________ML21" localSheetId="12">#REF!</definedName>
    <definedName name="_________ML21" localSheetId="19">#REF!</definedName>
    <definedName name="_________ML21">#REF!</definedName>
    <definedName name="_________ML210" localSheetId="6">#REF!</definedName>
    <definedName name="_________ML210" localSheetId="12">#REF!</definedName>
    <definedName name="_________ML210" localSheetId="19">#REF!</definedName>
    <definedName name="_________ML210">#REF!</definedName>
    <definedName name="_________ML211" localSheetId="6">#REF!</definedName>
    <definedName name="_________ML211" localSheetId="12">#REF!</definedName>
    <definedName name="_________ML211" localSheetId="19">#REF!</definedName>
    <definedName name="_________ML211">#REF!</definedName>
    <definedName name="_________ML212" localSheetId="6">#REF!</definedName>
    <definedName name="_________ML212" localSheetId="12">#REF!</definedName>
    <definedName name="_________ML212" localSheetId="19">#REF!</definedName>
    <definedName name="_________ML212">#REF!</definedName>
    <definedName name="_________ML213" localSheetId="6">#REF!</definedName>
    <definedName name="_________ML213" localSheetId="12">#REF!</definedName>
    <definedName name="_________ML213" localSheetId="19">#REF!</definedName>
    <definedName name="_________ML213">#REF!</definedName>
    <definedName name="_________ML214" localSheetId="6">#REF!</definedName>
    <definedName name="_________ML214" localSheetId="12">#REF!</definedName>
    <definedName name="_________ML214" localSheetId="19">#REF!</definedName>
    <definedName name="_________ML214">#REF!</definedName>
    <definedName name="_________ML215" localSheetId="6">#REF!</definedName>
    <definedName name="_________ML215" localSheetId="12">#REF!</definedName>
    <definedName name="_________ML215" localSheetId="19">#REF!</definedName>
    <definedName name="_________ML215">#REF!</definedName>
    <definedName name="_________ML22" localSheetId="6">#REF!</definedName>
    <definedName name="_________ML22" localSheetId="12">#REF!</definedName>
    <definedName name="_________ML22" localSheetId="19">#REF!</definedName>
    <definedName name="_________ML22">#REF!</definedName>
    <definedName name="_________ML23" localSheetId="6">#REF!</definedName>
    <definedName name="_________ML23" localSheetId="12">#REF!</definedName>
    <definedName name="_________ML23" localSheetId="19">#REF!</definedName>
    <definedName name="_________ML23">#REF!</definedName>
    <definedName name="_________ML24" localSheetId="6">#REF!</definedName>
    <definedName name="_________ML24" localSheetId="12">#REF!</definedName>
    <definedName name="_________ML24" localSheetId="19">#REF!</definedName>
    <definedName name="_________ML24">#REF!</definedName>
    <definedName name="_________ML25" localSheetId="6">#REF!</definedName>
    <definedName name="_________ML25" localSheetId="12">#REF!</definedName>
    <definedName name="_________ML25" localSheetId="19">#REF!</definedName>
    <definedName name="_________ML25">#REF!</definedName>
    <definedName name="_________ML26" localSheetId="6">#REF!</definedName>
    <definedName name="_________ML26" localSheetId="12">#REF!</definedName>
    <definedName name="_________ML26" localSheetId="19">#REF!</definedName>
    <definedName name="_________ML26">#REF!</definedName>
    <definedName name="_________ML27" localSheetId="6">#REF!</definedName>
    <definedName name="_________ML27" localSheetId="12">#REF!</definedName>
    <definedName name="_________ML27" localSheetId="19">#REF!</definedName>
    <definedName name="_________ML27">#REF!</definedName>
    <definedName name="_________ML28" localSheetId="6">#REF!</definedName>
    <definedName name="_________ML28" localSheetId="12">#REF!</definedName>
    <definedName name="_________ML28" localSheetId="19">#REF!</definedName>
    <definedName name="_________ML28">#REF!</definedName>
    <definedName name="_________ML29" localSheetId="6">#REF!</definedName>
    <definedName name="_________ML29" localSheetId="12">#REF!</definedName>
    <definedName name="_________ML29" localSheetId="19">#REF!</definedName>
    <definedName name="_________ML29">#REF!</definedName>
    <definedName name="_________ML31" localSheetId="6">#REF!</definedName>
    <definedName name="_________ML31" localSheetId="12">#REF!</definedName>
    <definedName name="_________ML31" localSheetId="19">#REF!</definedName>
    <definedName name="_________ML31">#REF!</definedName>
    <definedName name="_________ML310" localSheetId="6">#REF!</definedName>
    <definedName name="_________ML310" localSheetId="12">#REF!</definedName>
    <definedName name="_________ML310" localSheetId="19">#REF!</definedName>
    <definedName name="_________ML310">#REF!</definedName>
    <definedName name="_________ML311" localSheetId="6">#REF!</definedName>
    <definedName name="_________ML311" localSheetId="12">#REF!</definedName>
    <definedName name="_________ML311" localSheetId="19">#REF!</definedName>
    <definedName name="_________ML311">#REF!</definedName>
    <definedName name="_________ML312" localSheetId="6">#REF!</definedName>
    <definedName name="_________ML312" localSheetId="12">#REF!</definedName>
    <definedName name="_________ML312" localSheetId="19">#REF!</definedName>
    <definedName name="_________ML312">#REF!</definedName>
    <definedName name="_________ML313" localSheetId="6">#REF!</definedName>
    <definedName name="_________ML313" localSheetId="12">#REF!</definedName>
    <definedName name="_________ML313" localSheetId="19">#REF!</definedName>
    <definedName name="_________ML313">#REF!</definedName>
    <definedName name="_________ML314" localSheetId="6">#REF!</definedName>
    <definedName name="_________ML314" localSheetId="12">#REF!</definedName>
    <definedName name="_________ML314" localSheetId="19">#REF!</definedName>
    <definedName name="_________ML314">#REF!</definedName>
    <definedName name="_________ML315" localSheetId="6">#REF!</definedName>
    <definedName name="_________ML315" localSheetId="12">#REF!</definedName>
    <definedName name="_________ML315" localSheetId="19">#REF!</definedName>
    <definedName name="_________ML315">#REF!</definedName>
    <definedName name="_________ML32" localSheetId="6">#REF!</definedName>
    <definedName name="_________ML32" localSheetId="12">#REF!</definedName>
    <definedName name="_________ML32" localSheetId="19">#REF!</definedName>
    <definedName name="_________ML32">#REF!</definedName>
    <definedName name="_________ML33" localSheetId="6">#REF!</definedName>
    <definedName name="_________ML33" localSheetId="12">#REF!</definedName>
    <definedName name="_________ML33" localSheetId="19">#REF!</definedName>
    <definedName name="_________ML33">#REF!</definedName>
    <definedName name="_________ML34" localSheetId="6">#REF!</definedName>
    <definedName name="_________ML34" localSheetId="12">#REF!</definedName>
    <definedName name="_________ML34" localSheetId="19">#REF!</definedName>
    <definedName name="_________ML34">#REF!</definedName>
    <definedName name="_________ML35" localSheetId="6">#REF!</definedName>
    <definedName name="_________ML35" localSheetId="12">#REF!</definedName>
    <definedName name="_________ML35" localSheetId="19">#REF!</definedName>
    <definedName name="_________ML35">#REF!</definedName>
    <definedName name="_________ML36" localSheetId="6">#REF!</definedName>
    <definedName name="_________ML36" localSheetId="12">#REF!</definedName>
    <definedName name="_________ML36" localSheetId="19">#REF!</definedName>
    <definedName name="_________ML36">#REF!</definedName>
    <definedName name="_________ML37" localSheetId="6">#REF!</definedName>
    <definedName name="_________ML37" localSheetId="12">#REF!</definedName>
    <definedName name="_________ML37" localSheetId="19">#REF!</definedName>
    <definedName name="_________ML37">#REF!</definedName>
    <definedName name="_________ML38" localSheetId="6">#REF!</definedName>
    <definedName name="_________ML38" localSheetId="12">#REF!</definedName>
    <definedName name="_________ML38" localSheetId="19">#REF!</definedName>
    <definedName name="_________ML38">#REF!</definedName>
    <definedName name="_________ML39" localSheetId="6">#REF!</definedName>
    <definedName name="_________ML39" localSheetId="12">#REF!</definedName>
    <definedName name="_________ML39" localSheetId="19">#REF!</definedName>
    <definedName name="_________ML39">#REF!</definedName>
    <definedName name="_________ML7" localSheetId="6">#REF!</definedName>
    <definedName name="_________ML7" localSheetId="12">#REF!</definedName>
    <definedName name="_________ML7" localSheetId="19">#REF!</definedName>
    <definedName name="_________ML7">#REF!</definedName>
    <definedName name="_________ML8" localSheetId="6">#REF!</definedName>
    <definedName name="_________ML8" localSheetId="12">#REF!</definedName>
    <definedName name="_________ML8" localSheetId="19">#REF!</definedName>
    <definedName name="_________ML8">#REF!</definedName>
    <definedName name="_________ML9" localSheetId="6">#REF!</definedName>
    <definedName name="_________ML9" localSheetId="12">#REF!</definedName>
    <definedName name="_________ML9" localSheetId="19">#REF!</definedName>
    <definedName name="_________ML9">#REF!</definedName>
    <definedName name="_________mm20" localSheetId="19">#REF!</definedName>
    <definedName name="_________mm40" localSheetId="27">#REF!</definedName>
    <definedName name="_________mm40">#REF!</definedName>
    <definedName name="_________pc2" localSheetId="22">#REF!</definedName>
    <definedName name="_________pc2" localSheetId="5">#REF!</definedName>
    <definedName name="_________pc2" localSheetId="6">#REF!</definedName>
    <definedName name="_________pc2" localSheetId="12">#REF!</definedName>
    <definedName name="_________pc2" localSheetId="34">#REF!</definedName>
    <definedName name="_________pc2" localSheetId="19">#REF!</definedName>
    <definedName name="_________pc2" localSheetId="30">#REF!</definedName>
    <definedName name="_________pc2" localSheetId="40">#REF!</definedName>
    <definedName name="_________pc2" localSheetId="26">#REF!</definedName>
    <definedName name="_________pc2">#REF!</definedName>
    <definedName name="_________PMS2" localSheetId="6">#REF!</definedName>
    <definedName name="_________PMS2" localSheetId="12">#REF!</definedName>
    <definedName name="_________PMS2" localSheetId="19">#REF!</definedName>
    <definedName name="_________PMS2">#REF!</definedName>
    <definedName name="_________pv2" localSheetId="22">#REF!</definedName>
    <definedName name="_________pv2" localSheetId="5">#REF!</definedName>
    <definedName name="_________pv2" localSheetId="6">#REF!</definedName>
    <definedName name="_________pv2" localSheetId="12">#REF!</definedName>
    <definedName name="_________pv2" localSheetId="34">#REF!</definedName>
    <definedName name="_________pv2" localSheetId="19">#REF!</definedName>
    <definedName name="_________pv2" localSheetId="30">#REF!</definedName>
    <definedName name="_________pv2" localSheetId="40">#REF!</definedName>
    <definedName name="_________pv2" localSheetId="26">#REF!</definedName>
    <definedName name="_________pv2">#REF!</definedName>
    <definedName name="_________SO016" localSheetId="6">#REF!</definedName>
    <definedName name="_________SO016" localSheetId="12">#REF!</definedName>
    <definedName name="_________SO016" localSheetId="34">#REF!</definedName>
    <definedName name="_________SO016" localSheetId="19">#REF!</definedName>
    <definedName name="_________SO016">#REF!</definedName>
    <definedName name="_________SP001" localSheetId="6">#REF!</definedName>
    <definedName name="_________SP001" localSheetId="12">#REF!</definedName>
    <definedName name="_________SP001" localSheetId="34">#REF!</definedName>
    <definedName name="_________SP001" localSheetId="19">#REF!</definedName>
    <definedName name="_________SP001">#REF!</definedName>
    <definedName name="_________SP002" localSheetId="6">#REF!</definedName>
    <definedName name="_________SP002" localSheetId="12">#REF!</definedName>
    <definedName name="_________SP002" localSheetId="34">#REF!</definedName>
    <definedName name="_________SP002" localSheetId="19">#REF!</definedName>
    <definedName name="_________SP002">#REF!</definedName>
    <definedName name="_________SP003" localSheetId="6">#REF!</definedName>
    <definedName name="_________SP003" localSheetId="12">#REF!</definedName>
    <definedName name="_________SP003" localSheetId="34">#REF!</definedName>
    <definedName name="_________SP003" localSheetId="19">#REF!</definedName>
    <definedName name="_________SP003">#REF!</definedName>
    <definedName name="_________SP004" localSheetId="6">#REF!</definedName>
    <definedName name="_________SP004" localSheetId="12">#REF!</definedName>
    <definedName name="_________SP004" localSheetId="34">#REF!</definedName>
    <definedName name="_________SP004" localSheetId="19">#REF!</definedName>
    <definedName name="_________SP004">#REF!</definedName>
    <definedName name="_________SP005" localSheetId="6">#REF!</definedName>
    <definedName name="_________SP005" localSheetId="12">#REF!</definedName>
    <definedName name="_________SP005" localSheetId="34">#REF!</definedName>
    <definedName name="_________SP005" localSheetId="19">#REF!</definedName>
    <definedName name="_________SP005">#REF!</definedName>
    <definedName name="_________SP006" localSheetId="6">#REF!</definedName>
    <definedName name="_________SP006" localSheetId="12">#REF!</definedName>
    <definedName name="_________SP006" localSheetId="34">#REF!</definedName>
    <definedName name="_________SP006" localSheetId="19">#REF!</definedName>
    <definedName name="_________SP006">#REF!</definedName>
    <definedName name="_________SP007" localSheetId="6">#REF!</definedName>
    <definedName name="_________SP007" localSheetId="12">#REF!</definedName>
    <definedName name="_________SP007" localSheetId="34">#REF!</definedName>
    <definedName name="_________SP007" localSheetId="19">#REF!</definedName>
    <definedName name="_________SP007">#REF!</definedName>
    <definedName name="_________SP008" localSheetId="6">#REF!</definedName>
    <definedName name="_________SP008" localSheetId="12">#REF!</definedName>
    <definedName name="_________SP008" localSheetId="34">#REF!</definedName>
    <definedName name="_________SP008" localSheetId="19">#REF!</definedName>
    <definedName name="_________SP008">#REF!</definedName>
    <definedName name="_________SP009" localSheetId="6">#REF!</definedName>
    <definedName name="_________SP009" localSheetId="12">#REF!</definedName>
    <definedName name="_________SP009" localSheetId="34">#REF!</definedName>
    <definedName name="_________SP009" localSheetId="19">#REF!</definedName>
    <definedName name="_________SP009">#REF!</definedName>
    <definedName name="_________SP010" localSheetId="6">#REF!</definedName>
    <definedName name="_________SP010" localSheetId="12">#REF!</definedName>
    <definedName name="_________SP010" localSheetId="34">#REF!</definedName>
    <definedName name="_________SP010" localSheetId="19">#REF!</definedName>
    <definedName name="_________SP010">#REF!</definedName>
    <definedName name="_________SP011" localSheetId="6">#REF!</definedName>
    <definedName name="_________SP011" localSheetId="12">#REF!</definedName>
    <definedName name="_________SP011" localSheetId="34">#REF!</definedName>
    <definedName name="_________SP011" localSheetId="19">#REF!</definedName>
    <definedName name="_________SP011">#REF!</definedName>
    <definedName name="_________SP012" localSheetId="6">#REF!</definedName>
    <definedName name="_________SP012" localSheetId="12">#REF!</definedName>
    <definedName name="_________SP012" localSheetId="34">#REF!</definedName>
    <definedName name="_________SP012" localSheetId="19">#REF!</definedName>
    <definedName name="_________SP012">#REF!</definedName>
    <definedName name="_________SP013" localSheetId="6">#REF!</definedName>
    <definedName name="_________SP013" localSheetId="12">#REF!</definedName>
    <definedName name="_________SP013" localSheetId="34">#REF!</definedName>
    <definedName name="_________SP013" localSheetId="19">#REF!</definedName>
    <definedName name="_________SP013">#REF!</definedName>
    <definedName name="_________SP014" localSheetId="6">#REF!</definedName>
    <definedName name="_________SP014" localSheetId="12">#REF!</definedName>
    <definedName name="_________SP014" localSheetId="34">#REF!</definedName>
    <definedName name="_________SP014" localSheetId="19">#REF!</definedName>
    <definedName name="_________SP014">#REF!</definedName>
    <definedName name="_________SP015" localSheetId="6">#REF!</definedName>
    <definedName name="_________SP015" localSheetId="12">#REF!</definedName>
    <definedName name="_________SP015" localSheetId="34">#REF!</definedName>
    <definedName name="_________SP015" localSheetId="19">#REF!</definedName>
    <definedName name="_________SP015">#REF!</definedName>
    <definedName name="_________SP016" localSheetId="6">#REF!</definedName>
    <definedName name="_________SP016" localSheetId="12">#REF!</definedName>
    <definedName name="_________SP016" localSheetId="34">#REF!</definedName>
    <definedName name="_________SP016" localSheetId="19">#REF!</definedName>
    <definedName name="_________SP016">#REF!</definedName>
    <definedName name="_________SP017" localSheetId="6">#REF!</definedName>
    <definedName name="_________SP017" localSheetId="12">#REF!</definedName>
    <definedName name="_________SP017" localSheetId="34">#REF!</definedName>
    <definedName name="_________SP017" localSheetId="19">#REF!</definedName>
    <definedName name="_________SP017">#REF!</definedName>
    <definedName name="_________SP018" localSheetId="6">#REF!</definedName>
    <definedName name="_________SP018" localSheetId="12">#REF!</definedName>
    <definedName name="_________SP018" localSheetId="34">#REF!</definedName>
    <definedName name="_________SP018" localSheetId="19">#REF!</definedName>
    <definedName name="_________SP018">#REF!</definedName>
    <definedName name="_________SP019" localSheetId="6">#REF!</definedName>
    <definedName name="_________SP019" localSheetId="12">#REF!</definedName>
    <definedName name="_________SP019" localSheetId="34">#REF!</definedName>
    <definedName name="_________SP019" localSheetId="19">#REF!</definedName>
    <definedName name="_________SP019">#REF!</definedName>
    <definedName name="_________SP020" localSheetId="6">#REF!</definedName>
    <definedName name="_________SP020" localSheetId="12">#REF!</definedName>
    <definedName name="_________SP020" localSheetId="34">#REF!</definedName>
    <definedName name="_________SP020" localSheetId="19">#REF!</definedName>
    <definedName name="_________SP020">#REF!</definedName>
    <definedName name="_________SP021" localSheetId="6">#REF!</definedName>
    <definedName name="_________SP021" localSheetId="12">#REF!</definedName>
    <definedName name="_________SP021" localSheetId="34">#REF!</definedName>
    <definedName name="_________SP021" localSheetId="19">#REF!</definedName>
    <definedName name="_________SP021">#REF!</definedName>
    <definedName name="_________SP022" localSheetId="6">#REF!</definedName>
    <definedName name="_________SP022" localSheetId="12">#REF!</definedName>
    <definedName name="_________SP022" localSheetId="34">#REF!</definedName>
    <definedName name="_________SP022" localSheetId="19">#REF!</definedName>
    <definedName name="_________SP022">#REF!</definedName>
    <definedName name="_________SP023" localSheetId="6">#REF!</definedName>
    <definedName name="_________SP023" localSheetId="12">#REF!</definedName>
    <definedName name="_________SP023" localSheetId="34">#REF!</definedName>
    <definedName name="_________SP023" localSheetId="19">#REF!</definedName>
    <definedName name="_________SP023">#REF!</definedName>
    <definedName name="_________SP024" localSheetId="6">#REF!</definedName>
    <definedName name="_________SP024" localSheetId="12">#REF!</definedName>
    <definedName name="_________SP024" localSheetId="34">#REF!</definedName>
    <definedName name="_________SP024" localSheetId="19">#REF!</definedName>
    <definedName name="_________SP024">#REF!</definedName>
    <definedName name="_________SP025" localSheetId="6">#REF!</definedName>
    <definedName name="_________SP025" localSheetId="12">#REF!</definedName>
    <definedName name="_________SP025" localSheetId="34">#REF!</definedName>
    <definedName name="_________SP025" localSheetId="19">#REF!</definedName>
    <definedName name="_________SP025">#REF!</definedName>
    <definedName name="_________SP026" localSheetId="6">#REF!</definedName>
    <definedName name="_________SP026" localSheetId="12">#REF!</definedName>
    <definedName name="_________SP026" localSheetId="34">#REF!</definedName>
    <definedName name="_________SP026" localSheetId="19">#REF!</definedName>
    <definedName name="_________SP026">#REF!</definedName>
    <definedName name="_________SP027" localSheetId="6">#REF!</definedName>
    <definedName name="_________SP027" localSheetId="12">#REF!</definedName>
    <definedName name="_________SP027" localSheetId="34">#REF!</definedName>
    <definedName name="_________SP027" localSheetId="19">#REF!</definedName>
    <definedName name="_________SP027">#REF!</definedName>
    <definedName name="_________SP028" localSheetId="6">#REF!</definedName>
    <definedName name="_________SP028" localSheetId="12">#REF!</definedName>
    <definedName name="_________SP028" localSheetId="34">#REF!</definedName>
    <definedName name="_________SP028" localSheetId="19">#REF!</definedName>
    <definedName name="_________SP028">#REF!</definedName>
    <definedName name="_________SP029" localSheetId="6">#REF!</definedName>
    <definedName name="_________SP029" localSheetId="12">#REF!</definedName>
    <definedName name="_________SP029" localSheetId="34">#REF!</definedName>
    <definedName name="_________SP029" localSheetId="19">#REF!</definedName>
    <definedName name="_________SP029">#REF!</definedName>
    <definedName name="_________SP030" localSheetId="6">#REF!</definedName>
    <definedName name="_________SP030" localSheetId="12">#REF!</definedName>
    <definedName name="_________SP030" localSheetId="34">#REF!</definedName>
    <definedName name="_________SP030" localSheetId="19">#REF!</definedName>
    <definedName name="_________SP030">#REF!</definedName>
    <definedName name="_________SP031" localSheetId="6">#REF!</definedName>
    <definedName name="_________SP031" localSheetId="12">#REF!</definedName>
    <definedName name="_________SP031" localSheetId="34">#REF!</definedName>
    <definedName name="_________SP031" localSheetId="19">#REF!</definedName>
    <definedName name="_________SP031">#REF!</definedName>
    <definedName name="_________SP032" localSheetId="6">#REF!</definedName>
    <definedName name="_________SP032" localSheetId="12">#REF!</definedName>
    <definedName name="_________SP032" localSheetId="34">#REF!</definedName>
    <definedName name="_________SP032" localSheetId="19">#REF!</definedName>
    <definedName name="_________SP032">#REF!</definedName>
    <definedName name="_________SP033" localSheetId="6">#REF!</definedName>
    <definedName name="_________SP033" localSheetId="12">#REF!</definedName>
    <definedName name="_________SP033" localSheetId="34">#REF!</definedName>
    <definedName name="_________SP033" localSheetId="19">#REF!</definedName>
    <definedName name="_________SP033">#REF!</definedName>
    <definedName name="_________SP034" localSheetId="6">#REF!</definedName>
    <definedName name="_________SP034" localSheetId="12">#REF!</definedName>
    <definedName name="_________SP034" localSheetId="34">#REF!</definedName>
    <definedName name="_________SP034" localSheetId="19">#REF!</definedName>
    <definedName name="_________SP034">#REF!</definedName>
    <definedName name="_________SP035" localSheetId="6">#REF!</definedName>
    <definedName name="_________SP035" localSheetId="12">#REF!</definedName>
    <definedName name="_________SP035" localSheetId="34">#REF!</definedName>
    <definedName name="_________SP035" localSheetId="19">#REF!</definedName>
    <definedName name="_________SP035">#REF!</definedName>
    <definedName name="_________SP036" localSheetId="6">#REF!</definedName>
    <definedName name="_________SP036" localSheetId="12">#REF!</definedName>
    <definedName name="_________SP036" localSheetId="34">#REF!</definedName>
    <definedName name="_________SP036" localSheetId="19">#REF!</definedName>
    <definedName name="_________SP036">#REF!</definedName>
    <definedName name="_________SP037" localSheetId="6">#REF!</definedName>
    <definedName name="_________SP037" localSheetId="12">#REF!</definedName>
    <definedName name="_________SP037" localSheetId="34">#REF!</definedName>
    <definedName name="_________SP037" localSheetId="19">#REF!</definedName>
    <definedName name="_________SP037">#REF!</definedName>
    <definedName name="_________SP038" localSheetId="6">#REF!</definedName>
    <definedName name="_________SP038" localSheetId="12">#REF!</definedName>
    <definedName name="_________SP038" localSheetId="34">#REF!</definedName>
    <definedName name="_________SP038" localSheetId="19">#REF!</definedName>
    <definedName name="_________SP038">#REF!</definedName>
    <definedName name="_________SP039" localSheetId="6">#REF!</definedName>
    <definedName name="_________SP039" localSheetId="12">#REF!</definedName>
    <definedName name="_________SP039" localSheetId="34">#REF!</definedName>
    <definedName name="_________SP039" localSheetId="19">#REF!</definedName>
    <definedName name="_________SP039">#REF!</definedName>
    <definedName name="_________SP040" localSheetId="6">#REF!</definedName>
    <definedName name="_________SP040" localSheetId="12">#REF!</definedName>
    <definedName name="_________SP040" localSheetId="34">#REF!</definedName>
    <definedName name="_________SP040" localSheetId="19">#REF!</definedName>
    <definedName name="_________SP040">#REF!</definedName>
    <definedName name="_________SP041" localSheetId="6">#REF!</definedName>
    <definedName name="_________SP041" localSheetId="12">#REF!</definedName>
    <definedName name="_________SP041" localSheetId="34">#REF!</definedName>
    <definedName name="_________SP041" localSheetId="19">#REF!</definedName>
    <definedName name="_________SP041">#REF!</definedName>
    <definedName name="_________SP042" localSheetId="6">#REF!</definedName>
    <definedName name="_________SP042" localSheetId="12">#REF!</definedName>
    <definedName name="_________SP042" localSheetId="34">#REF!</definedName>
    <definedName name="_________SP042" localSheetId="19">#REF!</definedName>
    <definedName name="_________SP042">#REF!</definedName>
    <definedName name="_________SP043" localSheetId="6">#REF!</definedName>
    <definedName name="_________SP043" localSheetId="12">#REF!</definedName>
    <definedName name="_________SP043" localSheetId="34">#REF!</definedName>
    <definedName name="_________SP043" localSheetId="19">#REF!</definedName>
    <definedName name="_________SP043">#REF!</definedName>
    <definedName name="_________SP044" localSheetId="6">#REF!</definedName>
    <definedName name="_________SP044" localSheetId="12">#REF!</definedName>
    <definedName name="_________SP044" localSheetId="34">#REF!</definedName>
    <definedName name="_________SP044" localSheetId="19">#REF!</definedName>
    <definedName name="_________SP044">#REF!</definedName>
    <definedName name="_________SP045" localSheetId="6">#REF!</definedName>
    <definedName name="_________SP045" localSheetId="12">#REF!</definedName>
    <definedName name="_________SP045" localSheetId="34">#REF!</definedName>
    <definedName name="_________SP045" localSheetId="19">#REF!</definedName>
    <definedName name="_________SP045">#REF!</definedName>
    <definedName name="_________SP046" localSheetId="6">#REF!</definedName>
    <definedName name="_________SP046" localSheetId="12">#REF!</definedName>
    <definedName name="_________SP046" localSheetId="34">#REF!</definedName>
    <definedName name="_________SP046" localSheetId="19">#REF!</definedName>
    <definedName name="_________SP046">#REF!</definedName>
    <definedName name="_________SP047" localSheetId="6">#REF!</definedName>
    <definedName name="_________SP047" localSheetId="12">#REF!</definedName>
    <definedName name="_________SP047" localSheetId="34">#REF!</definedName>
    <definedName name="_________SP047" localSheetId="19">#REF!</definedName>
    <definedName name="_________SP047">#REF!</definedName>
    <definedName name="_________SP048" localSheetId="6">#REF!</definedName>
    <definedName name="_________SP048" localSheetId="12">#REF!</definedName>
    <definedName name="_________SP048" localSheetId="34">#REF!</definedName>
    <definedName name="_________SP048" localSheetId="19">#REF!</definedName>
    <definedName name="_________SP048">#REF!</definedName>
    <definedName name="_________SP049" localSheetId="6">#REF!</definedName>
    <definedName name="_________SP049" localSheetId="12">#REF!</definedName>
    <definedName name="_________SP049" localSheetId="34">#REF!</definedName>
    <definedName name="_________SP049" localSheetId="19">#REF!</definedName>
    <definedName name="_________SP049">#REF!</definedName>
    <definedName name="_________SP050" localSheetId="6">#REF!</definedName>
    <definedName name="_________SP050" localSheetId="12">#REF!</definedName>
    <definedName name="_________SP050" localSheetId="34">#REF!</definedName>
    <definedName name="_________SP050" localSheetId="19">#REF!</definedName>
    <definedName name="_________SP050">#REF!</definedName>
    <definedName name="_________SP051" localSheetId="6">#REF!</definedName>
    <definedName name="_________SP051" localSheetId="12">#REF!</definedName>
    <definedName name="_________SP051" localSheetId="34">#REF!</definedName>
    <definedName name="_________SP051" localSheetId="19">#REF!</definedName>
    <definedName name="_________SP051">#REF!</definedName>
    <definedName name="_________SP052" localSheetId="6">#REF!</definedName>
    <definedName name="_________SP052" localSheetId="12">#REF!</definedName>
    <definedName name="_________SP052" localSheetId="34">#REF!</definedName>
    <definedName name="_________SP052" localSheetId="19">#REF!</definedName>
    <definedName name="_________SP052">#REF!</definedName>
    <definedName name="_________SP053" localSheetId="6">#REF!</definedName>
    <definedName name="_________SP053" localSheetId="12">#REF!</definedName>
    <definedName name="_________SP053" localSheetId="34">#REF!</definedName>
    <definedName name="_________SP053" localSheetId="19">#REF!</definedName>
    <definedName name="_________SP053">#REF!</definedName>
    <definedName name="_________SP054" localSheetId="6">#REF!</definedName>
    <definedName name="_________SP054" localSheetId="12">#REF!</definedName>
    <definedName name="_________SP054" localSheetId="34">#REF!</definedName>
    <definedName name="_________SP054" localSheetId="19">#REF!</definedName>
    <definedName name="_________SP054">#REF!</definedName>
    <definedName name="_________SP055" localSheetId="6">#REF!</definedName>
    <definedName name="_________SP055" localSheetId="12">#REF!</definedName>
    <definedName name="_________SP055" localSheetId="34">#REF!</definedName>
    <definedName name="_________SP055" localSheetId="19">#REF!</definedName>
    <definedName name="_________SP055">#REF!</definedName>
    <definedName name="_________SP056" localSheetId="6">#REF!</definedName>
    <definedName name="_________SP056" localSheetId="12">#REF!</definedName>
    <definedName name="_________SP056" localSheetId="34">#REF!</definedName>
    <definedName name="_________SP056" localSheetId="19">#REF!</definedName>
    <definedName name="_________SP056">#REF!</definedName>
    <definedName name="_________SP057" localSheetId="6">#REF!</definedName>
    <definedName name="_________SP057" localSheetId="12">#REF!</definedName>
    <definedName name="_________SP057" localSheetId="34">#REF!</definedName>
    <definedName name="_________SP057" localSheetId="19">#REF!</definedName>
    <definedName name="_________SP057">#REF!</definedName>
    <definedName name="_________SP058" localSheetId="6">#REF!</definedName>
    <definedName name="_________SP058" localSheetId="12">#REF!</definedName>
    <definedName name="_________SP058" localSheetId="34">#REF!</definedName>
    <definedName name="_________SP058" localSheetId="19">#REF!</definedName>
    <definedName name="_________SP058">#REF!</definedName>
    <definedName name="_________SP059" localSheetId="6">#REF!</definedName>
    <definedName name="_________SP059" localSheetId="12">#REF!</definedName>
    <definedName name="_________SP059" localSheetId="34">#REF!</definedName>
    <definedName name="_________SP059" localSheetId="19">#REF!</definedName>
    <definedName name="_________SP059">#REF!</definedName>
    <definedName name="_________SP060" localSheetId="6">#REF!</definedName>
    <definedName name="_________SP060" localSheetId="12">#REF!</definedName>
    <definedName name="_________SP060" localSheetId="34">#REF!</definedName>
    <definedName name="_________SP060" localSheetId="19">#REF!</definedName>
    <definedName name="_________SP060">#REF!</definedName>
    <definedName name="_________SP061" localSheetId="6">#REF!</definedName>
    <definedName name="_________SP061" localSheetId="12">#REF!</definedName>
    <definedName name="_________SP061" localSheetId="34">#REF!</definedName>
    <definedName name="_________SP061" localSheetId="19">#REF!</definedName>
    <definedName name="_________SP061">#REF!</definedName>
    <definedName name="_________SP062" localSheetId="6">#REF!</definedName>
    <definedName name="_________SP062" localSheetId="12">#REF!</definedName>
    <definedName name="_________SP062" localSheetId="34">#REF!</definedName>
    <definedName name="_________SP062" localSheetId="19">#REF!</definedName>
    <definedName name="_________SP062">#REF!</definedName>
    <definedName name="_________SP063" localSheetId="6">#REF!</definedName>
    <definedName name="_________SP063" localSheetId="12">#REF!</definedName>
    <definedName name="_________SP063" localSheetId="34">#REF!</definedName>
    <definedName name="_________SP063" localSheetId="19">#REF!</definedName>
    <definedName name="_________SP063">#REF!</definedName>
    <definedName name="_________SP064" localSheetId="6">#REF!</definedName>
    <definedName name="_________SP064" localSheetId="12">#REF!</definedName>
    <definedName name="_________SP064" localSheetId="34">#REF!</definedName>
    <definedName name="_________SP064" localSheetId="19">#REF!</definedName>
    <definedName name="_________SP064">#REF!</definedName>
    <definedName name="_________SP065" localSheetId="6">#REF!</definedName>
    <definedName name="_________SP065" localSheetId="12">#REF!</definedName>
    <definedName name="_________SP065" localSheetId="34">#REF!</definedName>
    <definedName name="_________SP065" localSheetId="19">#REF!</definedName>
    <definedName name="_________SP065">#REF!</definedName>
    <definedName name="_________SP066" localSheetId="6">#REF!</definedName>
    <definedName name="_________SP066" localSheetId="12">#REF!</definedName>
    <definedName name="_________SP066" localSheetId="34">#REF!</definedName>
    <definedName name="_________SP066" localSheetId="19">#REF!</definedName>
    <definedName name="_________SP066">#REF!</definedName>
    <definedName name="_________SP067" localSheetId="6">#REF!</definedName>
    <definedName name="_________SP067" localSheetId="12">#REF!</definedName>
    <definedName name="_________SP067" localSheetId="34">#REF!</definedName>
    <definedName name="_________SP067" localSheetId="19">#REF!</definedName>
    <definedName name="_________SP067">#REF!</definedName>
    <definedName name="_________SP068" localSheetId="6">#REF!</definedName>
    <definedName name="_________SP068" localSheetId="12">#REF!</definedName>
    <definedName name="_________SP068" localSheetId="34">#REF!</definedName>
    <definedName name="_________SP068" localSheetId="19">#REF!</definedName>
    <definedName name="_________SP068">#REF!</definedName>
    <definedName name="_________SP069" localSheetId="6">#REF!</definedName>
    <definedName name="_________SP069" localSheetId="12">#REF!</definedName>
    <definedName name="_________SP069" localSheetId="34">#REF!</definedName>
    <definedName name="_________SP069" localSheetId="19">#REF!</definedName>
    <definedName name="_________SP069">#REF!</definedName>
    <definedName name="_________SP070" localSheetId="6">#REF!</definedName>
    <definedName name="_________SP070" localSheetId="12">#REF!</definedName>
    <definedName name="_________SP070" localSheetId="34">#REF!</definedName>
    <definedName name="_________SP070" localSheetId="19">#REF!</definedName>
    <definedName name="_________SP070">#REF!</definedName>
    <definedName name="_________sp071" localSheetId="6">#REF!</definedName>
    <definedName name="_________sp071" localSheetId="12">#REF!</definedName>
    <definedName name="_________sp071" localSheetId="34">#REF!</definedName>
    <definedName name="_________sp071" localSheetId="19">#REF!</definedName>
    <definedName name="_________sp071">#REF!</definedName>
    <definedName name="_________SP072" localSheetId="6">#REF!</definedName>
    <definedName name="_________SP072" localSheetId="12">#REF!</definedName>
    <definedName name="_________SP072" localSheetId="34">#REF!</definedName>
    <definedName name="_________SP072" localSheetId="19">#REF!</definedName>
    <definedName name="_________SP072">#REF!</definedName>
    <definedName name="_________SP073" localSheetId="6">#REF!</definedName>
    <definedName name="_________SP073" localSheetId="12">#REF!</definedName>
    <definedName name="_________SP073" localSheetId="34">#REF!</definedName>
    <definedName name="_________SP073" localSheetId="19">#REF!</definedName>
    <definedName name="_________SP073">#REF!</definedName>
    <definedName name="_________SP074" localSheetId="6">#REF!</definedName>
    <definedName name="_________SP074" localSheetId="12">#REF!</definedName>
    <definedName name="_________SP074" localSheetId="34">#REF!</definedName>
    <definedName name="_________SP074" localSheetId="19">#REF!</definedName>
    <definedName name="_________SP074">#REF!</definedName>
    <definedName name="_________SP075" localSheetId="6">#REF!</definedName>
    <definedName name="_________SP075" localSheetId="12">#REF!</definedName>
    <definedName name="_________SP075" localSheetId="34">#REF!</definedName>
    <definedName name="_________SP075" localSheetId="19">#REF!</definedName>
    <definedName name="_________SP075">#REF!</definedName>
    <definedName name="_________SP076" localSheetId="6">#REF!</definedName>
    <definedName name="_________SP076" localSheetId="12">#REF!</definedName>
    <definedName name="_________SP076" localSheetId="34">#REF!</definedName>
    <definedName name="_________SP076" localSheetId="19">#REF!</definedName>
    <definedName name="_________SP076">#REF!</definedName>
    <definedName name="_________SP077" localSheetId="6">#REF!</definedName>
    <definedName name="_________SP077" localSheetId="12">#REF!</definedName>
    <definedName name="_________SP077" localSheetId="34">#REF!</definedName>
    <definedName name="_________SP077" localSheetId="19">#REF!</definedName>
    <definedName name="_________SP077">#REF!</definedName>
    <definedName name="_________sp078" localSheetId="6">#REF!</definedName>
    <definedName name="_________sp078" localSheetId="12">#REF!</definedName>
    <definedName name="_________sp078" localSheetId="34">#REF!</definedName>
    <definedName name="_________sp078" localSheetId="19">#REF!</definedName>
    <definedName name="_________sp078">#REF!</definedName>
    <definedName name="_________SPO79" localSheetId="6">#REF!</definedName>
    <definedName name="_________SPO79" localSheetId="12">#REF!</definedName>
    <definedName name="_________SPO79" localSheetId="34">#REF!</definedName>
    <definedName name="_________SPO79" localSheetId="19">#REF!</definedName>
    <definedName name="_________SPO79">#REF!</definedName>
    <definedName name="_________sw1" localSheetId="19">#REF!</definedName>
    <definedName name="_________t1" localSheetId="27">#REF!</definedName>
    <definedName name="_________t1">#REF!</definedName>
    <definedName name="_________t2">#REF!</definedName>
    <definedName name="_________tab1">#REF!</definedName>
    <definedName name="_________us1">#REF!</definedName>
    <definedName name="_________var1" localSheetId="22">#REF!</definedName>
    <definedName name="_________var1" localSheetId="5">#REF!</definedName>
    <definedName name="_________var1" localSheetId="6">#REF!</definedName>
    <definedName name="_________var1" localSheetId="12">#REF!</definedName>
    <definedName name="_________var1" localSheetId="34">#REF!</definedName>
    <definedName name="_________var1" localSheetId="19">#REF!</definedName>
    <definedName name="_________var1" localSheetId="30">#REF!</definedName>
    <definedName name="_________var1" localSheetId="40">#REF!</definedName>
    <definedName name="_________var1" localSheetId="26">#REF!</definedName>
    <definedName name="_________var1">#REF!</definedName>
    <definedName name="_________var4" localSheetId="22">#REF!</definedName>
    <definedName name="_________var4" localSheetId="5">#REF!</definedName>
    <definedName name="_________var4" localSheetId="6">#REF!</definedName>
    <definedName name="_________var4" localSheetId="12">#REF!</definedName>
    <definedName name="_________var4" localSheetId="34">#REF!</definedName>
    <definedName name="_________var4" localSheetId="19">#REF!</definedName>
    <definedName name="_________var4" localSheetId="30">#REF!</definedName>
    <definedName name="_________var4" localSheetId="40">#REF!</definedName>
    <definedName name="_________var4" localSheetId="26">#REF!</definedName>
    <definedName name="_________var4">#REF!</definedName>
    <definedName name="_________vat1">#REF!</definedName>
    <definedName name="_________vat2">#REF!</definedName>
    <definedName name="_________xlfn_BAHTTEXT">#N/A</definedName>
    <definedName name="________abs1" localSheetId="5">#REF!</definedName>
    <definedName name="________abs1" localSheetId="6">#REF!</definedName>
    <definedName name="________abs1" localSheetId="12">#REF!</definedName>
    <definedName name="________abs1" localSheetId="19">#REF!</definedName>
    <definedName name="________abs1">#REF!</definedName>
    <definedName name="________AUX1">#REF!</definedName>
    <definedName name="________aux2" localSheetId="19">#REF!</definedName>
    <definedName name="________AUX3">#REF!</definedName>
    <definedName name="________BSG100" localSheetId="6">#REF!</definedName>
    <definedName name="________BSG100" localSheetId="12">#REF!</definedName>
    <definedName name="________BSG100" localSheetId="19">#REF!</definedName>
    <definedName name="________BSG100">#REF!</definedName>
    <definedName name="________BSG150" localSheetId="6">#REF!</definedName>
    <definedName name="________BSG150" localSheetId="12">#REF!</definedName>
    <definedName name="________BSG150" localSheetId="19">#REF!</definedName>
    <definedName name="________BSG150">#REF!</definedName>
    <definedName name="________BSG5" localSheetId="6">#REF!</definedName>
    <definedName name="________BSG5" localSheetId="12">#REF!</definedName>
    <definedName name="________BSG5" localSheetId="19">#REF!</definedName>
    <definedName name="________BSG5">#REF!</definedName>
    <definedName name="________BSG75" localSheetId="6">#REF!</definedName>
    <definedName name="________BSG75" localSheetId="12">#REF!</definedName>
    <definedName name="________BSG75" localSheetId="19">#REF!</definedName>
    <definedName name="________BSG75">#REF!</definedName>
    <definedName name="________BTC1" localSheetId="6">#REF!</definedName>
    <definedName name="________BTC1" localSheetId="12">#REF!</definedName>
    <definedName name="________BTC1" localSheetId="19">#REF!</definedName>
    <definedName name="________BTC1">#REF!</definedName>
    <definedName name="________BTC10" localSheetId="6">#REF!</definedName>
    <definedName name="________BTC10" localSheetId="12">#REF!</definedName>
    <definedName name="________BTC10" localSheetId="19">#REF!</definedName>
    <definedName name="________BTC10">#REF!</definedName>
    <definedName name="________BTC11" localSheetId="6">#REF!</definedName>
    <definedName name="________BTC11" localSheetId="12">#REF!</definedName>
    <definedName name="________BTC11" localSheetId="19">#REF!</definedName>
    <definedName name="________BTC11">#REF!</definedName>
    <definedName name="________BTC12" localSheetId="6">#REF!</definedName>
    <definedName name="________BTC12" localSheetId="12">#REF!</definedName>
    <definedName name="________BTC12" localSheetId="19">#REF!</definedName>
    <definedName name="________BTC12">#REF!</definedName>
    <definedName name="________BTC13" localSheetId="6">#REF!</definedName>
    <definedName name="________BTC13" localSheetId="12">#REF!</definedName>
    <definedName name="________BTC13" localSheetId="19">#REF!</definedName>
    <definedName name="________BTC13">#REF!</definedName>
    <definedName name="________BTC14" localSheetId="6">#REF!</definedName>
    <definedName name="________BTC14" localSheetId="12">#REF!</definedName>
    <definedName name="________BTC14" localSheetId="19">#REF!</definedName>
    <definedName name="________BTC14">#REF!</definedName>
    <definedName name="________BTC15" localSheetId="6">#REF!</definedName>
    <definedName name="________BTC15" localSheetId="12">#REF!</definedName>
    <definedName name="________BTC15" localSheetId="19">#REF!</definedName>
    <definedName name="________BTC15">#REF!</definedName>
    <definedName name="________BTC2" localSheetId="6">#REF!</definedName>
    <definedName name="________BTC2" localSheetId="12">#REF!</definedName>
    <definedName name="________BTC2" localSheetId="19">#REF!</definedName>
    <definedName name="________BTC2">#REF!</definedName>
    <definedName name="________BTC3" localSheetId="6">#REF!</definedName>
    <definedName name="________BTC3" localSheetId="12">#REF!</definedName>
    <definedName name="________BTC3" localSheetId="19">#REF!</definedName>
    <definedName name="________BTC3">#REF!</definedName>
    <definedName name="________BTC4" localSheetId="6">#REF!</definedName>
    <definedName name="________BTC4" localSheetId="12">#REF!</definedName>
    <definedName name="________BTC4" localSheetId="19">#REF!</definedName>
    <definedName name="________BTC4">#REF!</definedName>
    <definedName name="________BTC5" localSheetId="6">#REF!</definedName>
    <definedName name="________BTC5" localSheetId="12">#REF!</definedName>
    <definedName name="________BTC5" localSheetId="19">#REF!</definedName>
    <definedName name="________BTC5">#REF!</definedName>
    <definedName name="________BTC6" localSheetId="6">#REF!</definedName>
    <definedName name="________BTC6" localSheetId="12">#REF!</definedName>
    <definedName name="________BTC6" localSheetId="19">#REF!</definedName>
    <definedName name="________BTC6">#REF!</definedName>
    <definedName name="________BTC7" localSheetId="6">#REF!</definedName>
    <definedName name="________BTC7" localSheetId="12">#REF!</definedName>
    <definedName name="________BTC7" localSheetId="19">#REF!</definedName>
    <definedName name="________BTC7">#REF!</definedName>
    <definedName name="________BTC8" localSheetId="6">#REF!</definedName>
    <definedName name="________BTC8" localSheetId="12">#REF!</definedName>
    <definedName name="________BTC8" localSheetId="19">#REF!</definedName>
    <definedName name="________BTC8">#REF!</definedName>
    <definedName name="________BTC9" localSheetId="6">#REF!</definedName>
    <definedName name="________BTC9" localSheetId="12">#REF!</definedName>
    <definedName name="________BTC9" localSheetId="19">#REF!</definedName>
    <definedName name="________BTC9">#REF!</definedName>
    <definedName name="________BTS1" localSheetId="6">#REF!</definedName>
    <definedName name="________BTS1" localSheetId="12">#REF!</definedName>
    <definedName name="________BTS1" localSheetId="19">#REF!</definedName>
    <definedName name="________BTS1">#REF!</definedName>
    <definedName name="________BTS10" localSheetId="6">#REF!</definedName>
    <definedName name="________BTS10" localSheetId="12">#REF!</definedName>
    <definedName name="________BTS10" localSheetId="19">#REF!</definedName>
    <definedName name="________BTS10">#REF!</definedName>
    <definedName name="________BTS11" localSheetId="6">#REF!</definedName>
    <definedName name="________BTS11" localSheetId="12">#REF!</definedName>
    <definedName name="________BTS11" localSheetId="19">#REF!</definedName>
    <definedName name="________BTS11">#REF!</definedName>
    <definedName name="________BTS12" localSheetId="6">#REF!</definedName>
    <definedName name="________BTS12" localSheetId="12">#REF!</definedName>
    <definedName name="________BTS12" localSheetId="19">#REF!</definedName>
    <definedName name="________BTS12">#REF!</definedName>
    <definedName name="________BTS13" localSheetId="6">#REF!</definedName>
    <definedName name="________BTS13" localSheetId="12">#REF!</definedName>
    <definedName name="________BTS13" localSheetId="19">#REF!</definedName>
    <definedName name="________BTS13">#REF!</definedName>
    <definedName name="________BTS14" localSheetId="6">#REF!</definedName>
    <definedName name="________BTS14" localSheetId="12">#REF!</definedName>
    <definedName name="________BTS14" localSheetId="19">#REF!</definedName>
    <definedName name="________BTS14">#REF!</definedName>
    <definedName name="________BTS15" localSheetId="6">#REF!</definedName>
    <definedName name="________BTS15" localSheetId="12">#REF!</definedName>
    <definedName name="________BTS15" localSheetId="19">#REF!</definedName>
    <definedName name="________BTS15">#REF!</definedName>
    <definedName name="________BTS2" localSheetId="6">#REF!</definedName>
    <definedName name="________BTS2" localSheetId="12">#REF!</definedName>
    <definedName name="________BTS2" localSheetId="19">#REF!</definedName>
    <definedName name="________BTS2">#REF!</definedName>
    <definedName name="________BTS3" localSheetId="6">#REF!</definedName>
    <definedName name="________BTS3" localSheetId="12">#REF!</definedName>
    <definedName name="________BTS3" localSheetId="19">#REF!</definedName>
    <definedName name="________BTS3">#REF!</definedName>
    <definedName name="________BTS4" localSheetId="6">#REF!</definedName>
    <definedName name="________BTS4" localSheetId="12">#REF!</definedName>
    <definedName name="________BTS4" localSheetId="19">#REF!</definedName>
    <definedName name="________BTS4">#REF!</definedName>
    <definedName name="________BTS5" localSheetId="6">#REF!</definedName>
    <definedName name="________BTS5" localSheetId="12">#REF!</definedName>
    <definedName name="________BTS5" localSheetId="19">#REF!</definedName>
    <definedName name="________BTS5">#REF!</definedName>
    <definedName name="________BTS6" localSheetId="6">#REF!</definedName>
    <definedName name="________BTS6" localSheetId="12">#REF!</definedName>
    <definedName name="________BTS6" localSheetId="19">#REF!</definedName>
    <definedName name="________BTS6">#REF!</definedName>
    <definedName name="________BTS7" localSheetId="6">#REF!</definedName>
    <definedName name="________BTS7" localSheetId="12">#REF!</definedName>
    <definedName name="________BTS7" localSheetId="19">#REF!</definedName>
    <definedName name="________BTS7">#REF!</definedName>
    <definedName name="________BTS8" localSheetId="6">#REF!</definedName>
    <definedName name="________BTS8" localSheetId="12">#REF!</definedName>
    <definedName name="________BTS8" localSheetId="19">#REF!</definedName>
    <definedName name="________BTS8">#REF!</definedName>
    <definedName name="________BTS9" localSheetId="6">#REF!</definedName>
    <definedName name="________BTS9" localSheetId="12">#REF!</definedName>
    <definedName name="________BTS9" localSheetId="19">#REF!</definedName>
    <definedName name="________BTS9">#REF!</definedName>
    <definedName name="________can430">40.73</definedName>
    <definedName name="________can435">43.3</definedName>
    <definedName name="________cbr1" localSheetId="27">#REF!</definedName>
    <definedName name="________cbr1">#REF!</definedName>
    <definedName name="________cbr2" localSheetId="27">#REF!</definedName>
    <definedName name="________cbr2">#REF!</definedName>
    <definedName name="________cbr3" localSheetId="27">#REF!</definedName>
    <definedName name="________cbr3">#REF!</definedName>
    <definedName name="________cbr4">#REF!</definedName>
    <definedName name="________er1" localSheetId="27">#REF!</definedName>
    <definedName name="________er1">#REF!</definedName>
    <definedName name="________ewe1" localSheetId="19">#REF!</definedName>
    <definedName name="________f1">#REF!</definedName>
    <definedName name="________GBS11" localSheetId="6">#REF!</definedName>
    <definedName name="________GBS11" localSheetId="12">#REF!</definedName>
    <definedName name="________GBS11" localSheetId="19">#REF!</definedName>
    <definedName name="________GBS11">#REF!</definedName>
    <definedName name="________GBS110" localSheetId="6">#REF!</definedName>
    <definedName name="________GBS110" localSheetId="12">#REF!</definedName>
    <definedName name="________GBS110" localSheetId="19">#REF!</definedName>
    <definedName name="________GBS110">#REF!</definedName>
    <definedName name="________GBS111" localSheetId="6">#REF!</definedName>
    <definedName name="________GBS111" localSheetId="12">#REF!</definedName>
    <definedName name="________GBS111" localSheetId="19">#REF!</definedName>
    <definedName name="________GBS111">#REF!</definedName>
    <definedName name="________GBS112" localSheetId="6">#REF!</definedName>
    <definedName name="________GBS112" localSheetId="12">#REF!</definedName>
    <definedName name="________GBS112" localSheetId="19">#REF!</definedName>
    <definedName name="________GBS112">#REF!</definedName>
    <definedName name="________GBS113" localSheetId="6">#REF!</definedName>
    <definedName name="________GBS113" localSheetId="12">#REF!</definedName>
    <definedName name="________GBS113" localSheetId="19">#REF!</definedName>
    <definedName name="________GBS113">#REF!</definedName>
    <definedName name="________GBS114" localSheetId="6">#REF!</definedName>
    <definedName name="________GBS114" localSheetId="12">#REF!</definedName>
    <definedName name="________GBS114" localSheetId="19">#REF!</definedName>
    <definedName name="________GBS114">#REF!</definedName>
    <definedName name="________GBS115" localSheetId="6">#REF!</definedName>
    <definedName name="________GBS115" localSheetId="12">#REF!</definedName>
    <definedName name="________GBS115" localSheetId="19">#REF!</definedName>
    <definedName name="________GBS115">#REF!</definedName>
    <definedName name="________GBS12" localSheetId="6">#REF!</definedName>
    <definedName name="________GBS12" localSheetId="12">#REF!</definedName>
    <definedName name="________GBS12" localSheetId="19">#REF!</definedName>
    <definedName name="________GBS12">#REF!</definedName>
    <definedName name="________GBS13" localSheetId="6">#REF!</definedName>
    <definedName name="________GBS13" localSheetId="12">#REF!</definedName>
    <definedName name="________GBS13" localSheetId="19">#REF!</definedName>
    <definedName name="________GBS13">#REF!</definedName>
    <definedName name="________GBS14" localSheetId="6">#REF!</definedName>
    <definedName name="________GBS14" localSheetId="12">#REF!</definedName>
    <definedName name="________GBS14" localSheetId="19">#REF!</definedName>
    <definedName name="________GBS14">#REF!</definedName>
    <definedName name="________GBS15" localSheetId="6">#REF!</definedName>
    <definedName name="________GBS15" localSheetId="12">#REF!</definedName>
    <definedName name="________GBS15" localSheetId="19">#REF!</definedName>
    <definedName name="________GBS15">#REF!</definedName>
    <definedName name="________GBS16" localSheetId="6">#REF!</definedName>
    <definedName name="________GBS16" localSheetId="12">#REF!</definedName>
    <definedName name="________GBS16" localSheetId="19">#REF!</definedName>
    <definedName name="________GBS16">#REF!</definedName>
    <definedName name="________GBS17" localSheetId="6">#REF!</definedName>
    <definedName name="________GBS17" localSheetId="12">#REF!</definedName>
    <definedName name="________GBS17" localSheetId="19">#REF!</definedName>
    <definedName name="________GBS17">#REF!</definedName>
    <definedName name="________GBS18" localSheetId="6">#REF!</definedName>
    <definedName name="________GBS18" localSheetId="12">#REF!</definedName>
    <definedName name="________GBS18" localSheetId="19">#REF!</definedName>
    <definedName name="________GBS18">#REF!</definedName>
    <definedName name="________GBS19" localSheetId="6">#REF!</definedName>
    <definedName name="________GBS19" localSheetId="12">#REF!</definedName>
    <definedName name="________GBS19" localSheetId="19">#REF!</definedName>
    <definedName name="________GBS19">#REF!</definedName>
    <definedName name="________GBS21" localSheetId="6">#REF!</definedName>
    <definedName name="________GBS21" localSheetId="12">#REF!</definedName>
    <definedName name="________GBS21" localSheetId="19">#REF!</definedName>
    <definedName name="________GBS21">#REF!</definedName>
    <definedName name="________GBS210" localSheetId="6">#REF!</definedName>
    <definedName name="________GBS210" localSheetId="12">#REF!</definedName>
    <definedName name="________GBS210" localSheetId="19">#REF!</definedName>
    <definedName name="________GBS210">#REF!</definedName>
    <definedName name="________GBS211" localSheetId="6">#REF!</definedName>
    <definedName name="________GBS211" localSheetId="12">#REF!</definedName>
    <definedName name="________GBS211" localSheetId="19">#REF!</definedName>
    <definedName name="________GBS211">#REF!</definedName>
    <definedName name="________GBS212" localSheetId="6">#REF!</definedName>
    <definedName name="________GBS212" localSheetId="12">#REF!</definedName>
    <definedName name="________GBS212" localSheetId="19">#REF!</definedName>
    <definedName name="________GBS212">#REF!</definedName>
    <definedName name="________GBS213" localSheetId="6">#REF!</definedName>
    <definedName name="________GBS213" localSheetId="12">#REF!</definedName>
    <definedName name="________GBS213" localSheetId="19">#REF!</definedName>
    <definedName name="________GBS213">#REF!</definedName>
    <definedName name="________GBS214" localSheetId="6">#REF!</definedName>
    <definedName name="________GBS214" localSheetId="12">#REF!</definedName>
    <definedName name="________GBS214" localSheetId="19">#REF!</definedName>
    <definedName name="________GBS214">#REF!</definedName>
    <definedName name="________GBS215" localSheetId="6">#REF!</definedName>
    <definedName name="________GBS215" localSheetId="12">#REF!</definedName>
    <definedName name="________GBS215" localSheetId="19">#REF!</definedName>
    <definedName name="________GBS215">#REF!</definedName>
    <definedName name="________GBS22" localSheetId="6">#REF!</definedName>
    <definedName name="________GBS22" localSheetId="12">#REF!</definedName>
    <definedName name="________GBS22" localSheetId="19">#REF!</definedName>
    <definedName name="________GBS22">#REF!</definedName>
    <definedName name="________GBS23" localSheetId="6">#REF!</definedName>
    <definedName name="________GBS23" localSheetId="12">#REF!</definedName>
    <definedName name="________GBS23" localSheetId="19">#REF!</definedName>
    <definedName name="________GBS23">#REF!</definedName>
    <definedName name="________GBS24" localSheetId="6">#REF!</definedName>
    <definedName name="________GBS24" localSheetId="12">#REF!</definedName>
    <definedName name="________GBS24" localSheetId="19">#REF!</definedName>
    <definedName name="________GBS24">#REF!</definedName>
    <definedName name="________GBS25" localSheetId="6">#REF!</definedName>
    <definedName name="________GBS25" localSheetId="12">#REF!</definedName>
    <definedName name="________GBS25" localSheetId="19">#REF!</definedName>
    <definedName name="________GBS25">#REF!</definedName>
    <definedName name="________GBS26" localSheetId="6">#REF!</definedName>
    <definedName name="________GBS26" localSheetId="12">#REF!</definedName>
    <definedName name="________GBS26" localSheetId="19">#REF!</definedName>
    <definedName name="________GBS26">#REF!</definedName>
    <definedName name="________GBS27" localSheetId="6">#REF!</definedName>
    <definedName name="________GBS27" localSheetId="12">#REF!</definedName>
    <definedName name="________GBS27" localSheetId="19">#REF!</definedName>
    <definedName name="________GBS27">#REF!</definedName>
    <definedName name="________GBS28" localSheetId="6">#REF!</definedName>
    <definedName name="________GBS28" localSheetId="12">#REF!</definedName>
    <definedName name="________GBS28" localSheetId="19">#REF!</definedName>
    <definedName name="________GBS28">#REF!</definedName>
    <definedName name="________GBS29" localSheetId="6">#REF!</definedName>
    <definedName name="________GBS29" localSheetId="12">#REF!</definedName>
    <definedName name="________GBS29" localSheetId="19">#REF!</definedName>
    <definedName name="________GBS29">#REF!</definedName>
    <definedName name="________gus1">#REF!</definedName>
    <definedName name="________hpm1">#REF!</definedName>
    <definedName name="________knr2" localSheetId="5">#REF!</definedName>
    <definedName name="________knr2" localSheetId="14">#REF!</definedName>
    <definedName name="________knr2" localSheetId="6">#REF!</definedName>
    <definedName name="________knr2" localSheetId="12">#REF!</definedName>
    <definedName name="________knr2" localSheetId="19">#REF!</definedName>
    <definedName name="________knr2">#REF!</definedName>
    <definedName name="________l12" localSheetId="22">#REF!</definedName>
    <definedName name="________l12" localSheetId="5">#REF!</definedName>
    <definedName name="________l12" localSheetId="6">#REF!</definedName>
    <definedName name="________l12" localSheetId="12">#REF!</definedName>
    <definedName name="________l12" localSheetId="34">#REF!</definedName>
    <definedName name="________l12" localSheetId="19">#REF!</definedName>
    <definedName name="________l12" localSheetId="30">#REF!</definedName>
    <definedName name="________l12" localSheetId="40">#REF!</definedName>
    <definedName name="________l12" localSheetId="26">#REF!</definedName>
    <definedName name="________l12">#REF!</definedName>
    <definedName name="________l3" localSheetId="22">#REF!</definedName>
    <definedName name="________l3" localSheetId="5">#REF!</definedName>
    <definedName name="________l3" localSheetId="6">#REF!</definedName>
    <definedName name="________l3" localSheetId="12">#REF!</definedName>
    <definedName name="________l3" localSheetId="34">#REF!</definedName>
    <definedName name="________l3" localSheetId="19">#REF!</definedName>
    <definedName name="________l3" localSheetId="30">#REF!</definedName>
    <definedName name="________l3" localSheetId="40">#REF!</definedName>
    <definedName name="________l3" localSheetId="26">#REF!</definedName>
    <definedName name="________l3">#REF!</definedName>
    <definedName name="________l5" localSheetId="22">#REF!</definedName>
    <definedName name="________l5" localSheetId="5">#REF!</definedName>
    <definedName name="________l5" localSheetId="6">#REF!</definedName>
    <definedName name="________l5" localSheetId="12">#REF!</definedName>
    <definedName name="________l5" localSheetId="34">#REF!</definedName>
    <definedName name="________l5" localSheetId="19">#REF!</definedName>
    <definedName name="________l5" localSheetId="30">#REF!</definedName>
    <definedName name="________l5" localSheetId="40">#REF!</definedName>
    <definedName name="________l5" localSheetId="26">#REF!</definedName>
    <definedName name="________l5">#REF!</definedName>
    <definedName name="________lcn1" localSheetId="27">#REF!</definedName>
    <definedName name="________lcn1">#REF!</definedName>
    <definedName name="________LI9" localSheetId="6">#REF!</definedName>
    <definedName name="________LI9" localSheetId="12">#REF!</definedName>
    <definedName name="________LI9" localSheetId="19">#REF!</definedName>
    <definedName name="________LI9">#REF!</definedName>
    <definedName name="________LII9" localSheetId="6">#REF!</definedName>
    <definedName name="________LII9" localSheetId="12">#REF!</definedName>
    <definedName name="________LII9" localSheetId="19">#REF!</definedName>
    <definedName name="________LII9">#REF!</definedName>
    <definedName name="________lm1" localSheetId="19">#REF!</definedName>
    <definedName name="________ML11" localSheetId="6">#REF!</definedName>
    <definedName name="________ML11" localSheetId="12">#REF!</definedName>
    <definedName name="________ML11" localSheetId="19">#REF!</definedName>
    <definedName name="________ML11">#REF!</definedName>
    <definedName name="________ML110" localSheetId="6">#REF!</definedName>
    <definedName name="________ML110" localSheetId="12">#REF!</definedName>
    <definedName name="________ML110" localSheetId="19">#REF!</definedName>
    <definedName name="________ML110">#REF!</definedName>
    <definedName name="________ML111" localSheetId="6">#REF!</definedName>
    <definedName name="________ML111" localSheetId="12">#REF!</definedName>
    <definedName name="________ML111" localSheetId="19">#REF!</definedName>
    <definedName name="________ML111">#REF!</definedName>
    <definedName name="________ML112" localSheetId="6">#REF!</definedName>
    <definedName name="________ML112" localSheetId="12">#REF!</definedName>
    <definedName name="________ML112" localSheetId="19">#REF!</definedName>
    <definedName name="________ML112">#REF!</definedName>
    <definedName name="________ML113" localSheetId="6">#REF!</definedName>
    <definedName name="________ML113" localSheetId="12">#REF!</definedName>
    <definedName name="________ML113" localSheetId="19">#REF!</definedName>
    <definedName name="________ML113">#REF!</definedName>
    <definedName name="________ML114" localSheetId="6">#REF!</definedName>
    <definedName name="________ML114" localSheetId="12">#REF!</definedName>
    <definedName name="________ML114" localSheetId="19">#REF!</definedName>
    <definedName name="________ML114">#REF!</definedName>
    <definedName name="________ML115" localSheetId="6">#REF!</definedName>
    <definedName name="________ML115" localSheetId="12">#REF!</definedName>
    <definedName name="________ML115" localSheetId="19">#REF!</definedName>
    <definedName name="________ML115">#REF!</definedName>
    <definedName name="________ML12" localSheetId="6">#REF!</definedName>
    <definedName name="________ML12" localSheetId="12">#REF!</definedName>
    <definedName name="________ML12" localSheetId="19">#REF!</definedName>
    <definedName name="________ML12">#REF!</definedName>
    <definedName name="________ML13" localSheetId="6">#REF!</definedName>
    <definedName name="________ML13" localSheetId="12">#REF!</definedName>
    <definedName name="________ML13" localSheetId="19">#REF!</definedName>
    <definedName name="________ML13">#REF!</definedName>
    <definedName name="________ML14" localSheetId="6">#REF!</definedName>
    <definedName name="________ML14" localSheetId="12">#REF!</definedName>
    <definedName name="________ML14" localSheetId="19">#REF!</definedName>
    <definedName name="________ML14">#REF!</definedName>
    <definedName name="________ML15" localSheetId="6">#REF!</definedName>
    <definedName name="________ML15" localSheetId="12">#REF!</definedName>
    <definedName name="________ML15" localSheetId="19">#REF!</definedName>
    <definedName name="________ML15">#REF!</definedName>
    <definedName name="________ML16" localSheetId="6">#REF!</definedName>
    <definedName name="________ML16" localSheetId="12">#REF!</definedName>
    <definedName name="________ML16" localSheetId="19">#REF!</definedName>
    <definedName name="________ML16">#REF!</definedName>
    <definedName name="________ML17" localSheetId="6">#REF!</definedName>
    <definedName name="________ML17" localSheetId="12">#REF!</definedName>
    <definedName name="________ML17" localSheetId="19">#REF!</definedName>
    <definedName name="________ML17">#REF!</definedName>
    <definedName name="________ML18" localSheetId="6">#REF!</definedName>
    <definedName name="________ML18" localSheetId="12">#REF!</definedName>
    <definedName name="________ML18" localSheetId="19">#REF!</definedName>
    <definedName name="________ML18">#REF!</definedName>
    <definedName name="________ML19" localSheetId="6">#REF!</definedName>
    <definedName name="________ML19" localSheetId="12">#REF!</definedName>
    <definedName name="________ML19" localSheetId="19">#REF!</definedName>
    <definedName name="________ML19">#REF!</definedName>
    <definedName name="________ML21" localSheetId="6">#REF!</definedName>
    <definedName name="________ML21" localSheetId="12">#REF!</definedName>
    <definedName name="________ML21" localSheetId="19">#REF!</definedName>
    <definedName name="________ML21">#REF!</definedName>
    <definedName name="________ML210" localSheetId="6">#REF!</definedName>
    <definedName name="________ML210" localSheetId="12">#REF!</definedName>
    <definedName name="________ML210" localSheetId="19">#REF!</definedName>
    <definedName name="________ML210">#REF!</definedName>
    <definedName name="________ML211" localSheetId="6">#REF!</definedName>
    <definedName name="________ML211" localSheetId="12">#REF!</definedName>
    <definedName name="________ML211" localSheetId="19">#REF!</definedName>
    <definedName name="________ML211">#REF!</definedName>
    <definedName name="________ML212" localSheetId="6">#REF!</definedName>
    <definedName name="________ML212" localSheetId="12">#REF!</definedName>
    <definedName name="________ML212" localSheetId="19">#REF!</definedName>
    <definedName name="________ML212">#REF!</definedName>
    <definedName name="________ML213" localSheetId="6">#REF!</definedName>
    <definedName name="________ML213" localSheetId="12">#REF!</definedName>
    <definedName name="________ML213" localSheetId="19">#REF!</definedName>
    <definedName name="________ML213">#REF!</definedName>
    <definedName name="________ML214" localSheetId="6">#REF!</definedName>
    <definedName name="________ML214" localSheetId="12">#REF!</definedName>
    <definedName name="________ML214" localSheetId="19">#REF!</definedName>
    <definedName name="________ML214">#REF!</definedName>
    <definedName name="________ML215" localSheetId="6">#REF!</definedName>
    <definedName name="________ML215" localSheetId="12">#REF!</definedName>
    <definedName name="________ML215" localSheetId="19">#REF!</definedName>
    <definedName name="________ML215">#REF!</definedName>
    <definedName name="________ML22" localSheetId="6">#REF!</definedName>
    <definedName name="________ML22" localSheetId="12">#REF!</definedName>
    <definedName name="________ML22" localSheetId="19">#REF!</definedName>
    <definedName name="________ML22">#REF!</definedName>
    <definedName name="________ML23" localSheetId="6">#REF!</definedName>
    <definedName name="________ML23" localSheetId="12">#REF!</definedName>
    <definedName name="________ML23" localSheetId="19">#REF!</definedName>
    <definedName name="________ML23">#REF!</definedName>
    <definedName name="________ML24" localSheetId="6">#REF!</definedName>
    <definedName name="________ML24" localSheetId="12">#REF!</definedName>
    <definedName name="________ML24" localSheetId="19">#REF!</definedName>
    <definedName name="________ML24">#REF!</definedName>
    <definedName name="________ML25" localSheetId="6">#REF!</definedName>
    <definedName name="________ML25" localSheetId="12">#REF!</definedName>
    <definedName name="________ML25" localSheetId="19">#REF!</definedName>
    <definedName name="________ML25">#REF!</definedName>
    <definedName name="________ML26" localSheetId="6">#REF!</definedName>
    <definedName name="________ML26" localSheetId="12">#REF!</definedName>
    <definedName name="________ML26" localSheetId="19">#REF!</definedName>
    <definedName name="________ML26">#REF!</definedName>
    <definedName name="________ML27" localSheetId="6">#REF!</definedName>
    <definedName name="________ML27" localSheetId="12">#REF!</definedName>
    <definedName name="________ML27" localSheetId="19">#REF!</definedName>
    <definedName name="________ML27">#REF!</definedName>
    <definedName name="________ML28" localSheetId="6">#REF!</definedName>
    <definedName name="________ML28" localSheetId="12">#REF!</definedName>
    <definedName name="________ML28" localSheetId="19">#REF!</definedName>
    <definedName name="________ML28">#REF!</definedName>
    <definedName name="________ML29" localSheetId="6">#REF!</definedName>
    <definedName name="________ML29" localSheetId="12">#REF!</definedName>
    <definedName name="________ML29" localSheetId="19">#REF!</definedName>
    <definedName name="________ML29">#REF!</definedName>
    <definedName name="________ML31" localSheetId="6">#REF!</definedName>
    <definedName name="________ML31" localSheetId="12">#REF!</definedName>
    <definedName name="________ML31" localSheetId="19">#REF!</definedName>
    <definedName name="________ML31">#REF!</definedName>
    <definedName name="________ML310" localSheetId="6">#REF!</definedName>
    <definedName name="________ML310" localSheetId="12">#REF!</definedName>
    <definedName name="________ML310" localSheetId="19">#REF!</definedName>
    <definedName name="________ML310">#REF!</definedName>
    <definedName name="________ML311" localSheetId="6">#REF!</definedName>
    <definedName name="________ML311" localSheetId="12">#REF!</definedName>
    <definedName name="________ML311" localSheetId="19">#REF!</definedName>
    <definedName name="________ML311">#REF!</definedName>
    <definedName name="________ML312" localSheetId="6">#REF!</definedName>
    <definedName name="________ML312" localSheetId="12">#REF!</definedName>
    <definedName name="________ML312" localSheetId="19">#REF!</definedName>
    <definedName name="________ML312">#REF!</definedName>
    <definedName name="________ML313" localSheetId="6">#REF!</definedName>
    <definedName name="________ML313" localSheetId="12">#REF!</definedName>
    <definedName name="________ML313" localSheetId="19">#REF!</definedName>
    <definedName name="________ML313">#REF!</definedName>
    <definedName name="________ML314" localSheetId="6">#REF!</definedName>
    <definedName name="________ML314" localSheetId="12">#REF!</definedName>
    <definedName name="________ML314" localSheetId="19">#REF!</definedName>
    <definedName name="________ML314">#REF!</definedName>
    <definedName name="________ML315" localSheetId="6">#REF!</definedName>
    <definedName name="________ML315" localSheetId="12">#REF!</definedName>
    <definedName name="________ML315" localSheetId="19">#REF!</definedName>
    <definedName name="________ML315">#REF!</definedName>
    <definedName name="________ML32" localSheetId="6">#REF!</definedName>
    <definedName name="________ML32" localSheetId="12">#REF!</definedName>
    <definedName name="________ML32" localSheetId="19">#REF!</definedName>
    <definedName name="________ML32">#REF!</definedName>
    <definedName name="________ML33" localSheetId="6">#REF!</definedName>
    <definedName name="________ML33" localSheetId="12">#REF!</definedName>
    <definedName name="________ML33" localSheetId="19">#REF!</definedName>
    <definedName name="________ML33">#REF!</definedName>
    <definedName name="________ML34" localSheetId="6">#REF!</definedName>
    <definedName name="________ML34" localSheetId="12">#REF!</definedName>
    <definedName name="________ML34" localSheetId="19">#REF!</definedName>
    <definedName name="________ML34">#REF!</definedName>
    <definedName name="________ML35" localSheetId="6">#REF!</definedName>
    <definedName name="________ML35" localSheetId="12">#REF!</definedName>
    <definedName name="________ML35" localSheetId="19">#REF!</definedName>
    <definedName name="________ML35">#REF!</definedName>
    <definedName name="________ML36" localSheetId="6">#REF!</definedName>
    <definedName name="________ML36" localSheetId="12">#REF!</definedName>
    <definedName name="________ML36" localSheetId="19">#REF!</definedName>
    <definedName name="________ML36">#REF!</definedName>
    <definedName name="________ML37" localSheetId="6">#REF!</definedName>
    <definedName name="________ML37" localSheetId="12">#REF!</definedName>
    <definedName name="________ML37" localSheetId="19">#REF!</definedName>
    <definedName name="________ML37">#REF!</definedName>
    <definedName name="________ML38" localSheetId="6">#REF!</definedName>
    <definedName name="________ML38" localSheetId="12">#REF!</definedName>
    <definedName name="________ML38" localSheetId="19">#REF!</definedName>
    <definedName name="________ML38">#REF!</definedName>
    <definedName name="________ML39" localSheetId="6">#REF!</definedName>
    <definedName name="________ML39" localSheetId="12">#REF!</definedName>
    <definedName name="________ML39" localSheetId="19">#REF!</definedName>
    <definedName name="________ML39">#REF!</definedName>
    <definedName name="________ML7" localSheetId="6">#REF!</definedName>
    <definedName name="________ML7" localSheetId="12">#REF!</definedName>
    <definedName name="________ML7" localSheetId="19">#REF!</definedName>
    <definedName name="________ML7">#REF!</definedName>
    <definedName name="________ML8" localSheetId="6">#REF!</definedName>
    <definedName name="________ML8" localSheetId="12">#REF!</definedName>
    <definedName name="________ML8" localSheetId="19">#REF!</definedName>
    <definedName name="________ML8">#REF!</definedName>
    <definedName name="________ML9" localSheetId="6">#REF!</definedName>
    <definedName name="________ML9" localSheetId="12">#REF!</definedName>
    <definedName name="________ML9" localSheetId="19">#REF!</definedName>
    <definedName name="________ML9">#REF!</definedName>
    <definedName name="________mm20" localSheetId="19">#REF!</definedName>
    <definedName name="________mm20">#REF!</definedName>
    <definedName name="________mm40">#REF!</definedName>
    <definedName name="________pc2" localSheetId="22">#REF!</definedName>
    <definedName name="________pc2" localSheetId="5">#REF!</definedName>
    <definedName name="________pc2" localSheetId="6">#REF!</definedName>
    <definedName name="________pc2" localSheetId="12">#REF!</definedName>
    <definedName name="________pc2" localSheetId="34">#REF!</definedName>
    <definedName name="________pc2" localSheetId="19">#REF!</definedName>
    <definedName name="________pc2" localSheetId="30">#REF!</definedName>
    <definedName name="________pc2" localSheetId="40">#REF!</definedName>
    <definedName name="________pc2" localSheetId="26">#REF!</definedName>
    <definedName name="________pc2">#REF!</definedName>
    <definedName name="________PMS2" localSheetId="6">#REF!</definedName>
    <definedName name="________PMS2" localSheetId="12">#REF!</definedName>
    <definedName name="________PMS2" localSheetId="19">#REF!</definedName>
    <definedName name="________PMS2">#REF!</definedName>
    <definedName name="________pv2" localSheetId="22">#REF!</definedName>
    <definedName name="________pv2" localSheetId="5">#REF!</definedName>
    <definedName name="________pv2" localSheetId="6">#REF!</definedName>
    <definedName name="________pv2" localSheetId="12">#REF!</definedName>
    <definedName name="________pv2" localSheetId="34">#REF!</definedName>
    <definedName name="________pv2" localSheetId="19">#REF!</definedName>
    <definedName name="________pv2" localSheetId="30">#REF!</definedName>
    <definedName name="________pv2" localSheetId="40">#REF!</definedName>
    <definedName name="________pv2" localSheetId="26">#REF!</definedName>
    <definedName name="________pv2">#REF!</definedName>
    <definedName name="________SO016" localSheetId="6">#REF!</definedName>
    <definedName name="________SO016" localSheetId="12">#REF!</definedName>
    <definedName name="________SO016" localSheetId="34">#REF!</definedName>
    <definedName name="________SO016" localSheetId="19">#REF!</definedName>
    <definedName name="________SO016">#REF!</definedName>
    <definedName name="________SP001" localSheetId="6">#REF!</definedName>
    <definedName name="________SP001" localSheetId="12">#REF!</definedName>
    <definedName name="________SP001" localSheetId="34">#REF!</definedName>
    <definedName name="________SP001" localSheetId="19">#REF!</definedName>
    <definedName name="________SP001">#REF!</definedName>
    <definedName name="________SP002" localSheetId="6">#REF!</definedName>
    <definedName name="________SP002" localSheetId="12">#REF!</definedName>
    <definedName name="________SP002" localSheetId="34">#REF!</definedName>
    <definedName name="________SP002" localSheetId="19">#REF!</definedName>
    <definedName name="________SP002">#REF!</definedName>
    <definedName name="________SP003" localSheetId="6">#REF!</definedName>
    <definedName name="________SP003" localSheetId="12">#REF!</definedName>
    <definedName name="________SP003" localSheetId="34">#REF!</definedName>
    <definedName name="________SP003" localSheetId="19">#REF!</definedName>
    <definedName name="________SP003">#REF!</definedName>
    <definedName name="________SP004" localSheetId="6">#REF!</definedName>
    <definedName name="________SP004" localSheetId="12">#REF!</definedName>
    <definedName name="________SP004" localSheetId="34">#REF!</definedName>
    <definedName name="________SP004" localSheetId="19">#REF!</definedName>
    <definedName name="________SP004">#REF!</definedName>
    <definedName name="________SP005" localSheetId="6">#REF!</definedName>
    <definedName name="________SP005" localSheetId="12">#REF!</definedName>
    <definedName name="________SP005" localSheetId="34">#REF!</definedName>
    <definedName name="________SP005" localSheetId="19">#REF!</definedName>
    <definedName name="________SP005">#REF!</definedName>
    <definedName name="________SP006" localSheetId="27">#REF!</definedName>
    <definedName name="________SP006" localSheetId="6">#REF!</definedName>
    <definedName name="________SP006" localSheetId="12">#REF!</definedName>
    <definedName name="________SP006" localSheetId="34">#REF!</definedName>
    <definedName name="________SP006" localSheetId="19">#REF!</definedName>
    <definedName name="________SP006">#REF!</definedName>
    <definedName name="________SP007" localSheetId="6">#REF!</definedName>
    <definedName name="________SP007" localSheetId="12">#REF!</definedName>
    <definedName name="________SP007" localSheetId="34">#REF!</definedName>
    <definedName name="________SP007" localSheetId="19">#REF!</definedName>
    <definedName name="________SP007">#REF!</definedName>
    <definedName name="________SP008" localSheetId="6">#REF!</definedName>
    <definedName name="________SP008" localSheetId="12">#REF!</definedName>
    <definedName name="________SP008" localSheetId="34">#REF!</definedName>
    <definedName name="________SP008" localSheetId="19">#REF!</definedName>
    <definedName name="________SP008">#REF!</definedName>
    <definedName name="________SP009" localSheetId="6">#REF!</definedName>
    <definedName name="________SP009" localSheetId="12">#REF!</definedName>
    <definedName name="________SP009" localSheetId="34">#REF!</definedName>
    <definedName name="________SP009" localSheetId="19">#REF!</definedName>
    <definedName name="________SP009">#REF!</definedName>
    <definedName name="________SP010" localSheetId="6">#REF!</definedName>
    <definedName name="________SP010" localSheetId="12">#REF!</definedName>
    <definedName name="________SP010" localSheetId="34">#REF!</definedName>
    <definedName name="________SP010" localSheetId="19">#REF!</definedName>
    <definedName name="________SP010">#REF!</definedName>
    <definedName name="________SP011" localSheetId="6">#REF!</definedName>
    <definedName name="________SP011" localSheetId="12">#REF!</definedName>
    <definedName name="________SP011" localSheetId="34">#REF!</definedName>
    <definedName name="________SP011" localSheetId="19">#REF!</definedName>
    <definedName name="________SP011">#REF!</definedName>
    <definedName name="________SP012" localSheetId="6">#REF!</definedName>
    <definedName name="________SP012" localSheetId="12">#REF!</definedName>
    <definedName name="________SP012" localSheetId="34">#REF!</definedName>
    <definedName name="________SP012" localSheetId="19">#REF!</definedName>
    <definedName name="________SP012">#REF!</definedName>
    <definedName name="________SP013" localSheetId="6">#REF!</definedName>
    <definedName name="________SP013" localSheetId="12">#REF!</definedName>
    <definedName name="________SP013" localSheetId="34">#REF!</definedName>
    <definedName name="________SP013" localSheetId="19">#REF!</definedName>
    <definedName name="________SP013">#REF!</definedName>
    <definedName name="________SP014" localSheetId="6">#REF!</definedName>
    <definedName name="________SP014" localSheetId="12">#REF!</definedName>
    <definedName name="________SP014" localSheetId="34">#REF!</definedName>
    <definedName name="________SP014" localSheetId="19">#REF!</definedName>
    <definedName name="________SP014">#REF!</definedName>
    <definedName name="________SP015" localSheetId="6">#REF!</definedName>
    <definedName name="________SP015" localSheetId="12">#REF!</definedName>
    <definedName name="________SP015" localSheetId="34">#REF!</definedName>
    <definedName name="________SP015" localSheetId="19">#REF!</definedName>
    <definedName name="________SP015">#REF!</definedName>
    <definedName name="________SP016" localSheetId="6">#REF!</definedName>
    <definedName name="________SP016" localSheetId="12">#REF!</definedName>
    <definedName name="________SP016" localSheetId="34">#REF!</definedName>
    <definedName name="________SP016" localSheetId="19">#REF!</definedName>
    <definedName name="________SP016">#REF!</definedName>
    <definedName name="________SP017" localSheetId="6">#REF!</definedName>
    <definedName name="________SP017" localSheetId="12">#REF!</definedName>
    <definedName name="________SP017" localSheetId="34">#REF!</definedName>
    <definedName name="________SP017" localSheetId="19">#REF!</definedName>
    <definedName name="________SP017">#REF!</definedName>
    <definedName name="________SP018" localSheetId="6">#REF!</definedName>
    <definedName name="________SP018" localSheetId="12">#REF!</definedName>
    <definedName name="________SP018" localSheetId="34">#REF!</definedName>
    <definedName name="________SP018" localSheetId="19">#REF!</definedName>
    <definedName name="________SP018">#REF!</definedName>
    <definedName name="________SP019" localSheetId="6">#REF!</definedName>
    <definedName name="________SP019" localSheetId="12">#REF!</definedName>
    <definedName name="________SP019" localSheetId="34">#REF!</definedName>
    <definedName name="________SP019" localSheetId="19">#REF!</definedName>
    <definedName name="________SP019">#REF!</definedName>
    <definedName name="________SP020" localSheetId="6">#REF!</definedName>
    <definedName name="________SP020" localSheetId="12">#REF!</definedName>
    <definedName name="________SP020" localSheetId="34">#REF!</definedName>
    <definedName name="________SP020" localSheetId="19">#REF!</definedName>
    <definedName name="________SP020">#REF!</definedName>
    <definedName name="________SP021" localSheetId="6">#REF!</definedName>
    <definedName name="________SP021" localSheetId="12">#REF!</definedName>
    <definedName name="________SP021" localSheetId="34">#REF!</definedName>
    <definedName name="________SP021" localSheetId="19">#REF!</definedName>
    <definedName name="________SP021">#REF!</definedName>
    <definedName name="________SP022" localSheetId="6">#REF!</definedName>
    <definedName name="________SP022" localSheetId="12">#REF!</definedName>
    <definedName name="________SP022" localSheetId="34">#REF!</definedName>
    <definedName name="________SP022" localSheetId="19">#REF!</definedName>
    <definedName name="________SP022">#REF!</definedName>
    <definedName name="________SP023" localSheetId="6">#REF!</definedName>
    <definedName name="________SP023" localSheetId="12">#REF!</definedName>
    <definedName name="________SP023" localSheetId="34">#REF!</definedName>
    <definedName name="________SP023" localSheetId="19">#REF!</definedName>
    <definedName name="________SP023">#REF!</definedName>
    <definedName name="________SP024" localSheetId="6">#REF!</definedName>
    <definedName name="________SP024" localSheetId="12">#REF!</definedName>
    <definedName name="________SP024" localSheetId="34">#REF!</definedName>
    <definedName name="________SP024" localSheetId="19">#REF!</definedName>
    <definedName name="________SP024">#REF!</definedName>
    <definedName name="________SP025" localSheetId="6">#REF!</definedName>
    <definedName name="________SP025" localSheetId="12">#REF!</definedName>
    <definedName name="________SP025" localSheetId="34">#REF!</definedName>
    <definedName name="________SP025" localSheetId="19">#REF!</definedName>
    <definedName name="________SP025">#REF!</definedName>
    <definedName name="________SP026" localSheetId="6">#REF!</definedName>
    <definedName name="________SP026" localSheetId="12">#REF!</definedName>
    <definedName name="________SP026" localSheetId="34">#REF!</definedName>
    <definedName name="________SP026" localSheetId="19">#REF!</definedName>
    <definedName name="________SP026">#REF!</definedName>
    <definedName name="________SP027" localSheetId="6">#REF!</definedName>
    <definedName name="________SP027" localSheetId="12">#REF!</definedName>
    <definedName name="________SP027" localSheetId="34">#REF!</definedName>
    <definedName name="________SP027" localSheetId="19">#REF!</definedName>
    <definedName name="________SP027">#REF!</definedName>
    <definedName name="________SP028" localSheetId="6">#REF!</definedName>
    <definedName name="________SP028" localSheetId="12">#REF!</definedName>
    <definedName name="________SP028" localSheetId="34">#REF!</definedName>
    <definedName name="________SP028" localSheetId="19">#REF!</definedName>
    <definedName name="________SP028">#REF!</definedName>
    <definedName name="________SP029" localSheetId="6">#REF!</definedName>
    <definedName name="________SP029" localSheetId="12">#REF!</definedName>
    <definedName name="________SP029" localSheetId="34">#REF!</definedName>
    <definedName name="________SP029" localSheetId="19">#REF!</definedName>
    <definedName name="________SP029">#REF!</definedName>
    <definedName name="________SP030" localSheetId="6">#REF!</definedName>
    <definedName name="________SP030" localSheetId="12">#REF!</definedName>
    <definedName name="________SP030" localSheetId="34">#REF!</definedName>
    <definedName name="________SP030" localSheetId="19">#REF!</definedName>
    <definedName name="________SP030">#REF!</definedName>
    <definedName name="________SP031" localSheetId="6">#REF!</definedName>
    <definedName name="________SP031" localSheetId="12">#REF!</definedName>
    <definedName name="________SP031" localSheetId="34">#REF!</definedName>
    <definedName name="________SP031" localSheetId="19">#REF!</definedName>
    <definedName name="________SP031">#REF!</definedName>
    <definedName name="________SP032" localSheetId="6">#REF!</definedName>
    <definedName name="________SP032" localSheetId="12">#REF!</definedName>
    <definedName name="________SP032" localSheetId="34">#REF!</definedName>
    <definedName name="________SP032" localSheetId="19">#REF!</definedName>
    <definedName name="________SP032">#REF!</definedName>
    <definedName name="________SP033" localSheetId="6">#REF!</definedName>
    <definedName name="________SP033" localSheetId="12">#REF!</definedName>
    <definedName name="________SP033" localSheetId="34">#REF!</definedName>
    <definedName name="________SP033" localSheetId="19">#REF!</definedName>
    <definedName name="________SP033">#REF!</definedName>
    <definedName name="________SP034" localSheetId="6">#REF!</definedName>
    <definedName name="________SP034" localSheetId="12">#REF!</definedName>
    <definedName name="________SP034" localSheetId="34">#REF!</definedName>
    <definedName name="________SP034" localSheetId="19">#REF!</definedName>
    <definedName name="________SP034">#REF!</definedName>
    <definedName name="________SP035" localSheetId="6">#REF!</definedName>
    <definedName name="________SP035" localSheetId="12">#REF!</definedName>
    <definedName name="________SP035" localSheetId="34">#REF!</definedName>
    <definedName name="________SP035" localSheetId="19">#REF!</definedName>
    <definedName name="________SP035">#REF!</definedName>
    <definedName name="________SP036" localSheetId="6">#REF!</definedName>
    <definedName name="________SP036" localSheetId="12">#REF!</definedName>
    <definedName name="________SP036" localSheetId="34">#REF!</definedName>
    <definedName name="________SP036" localSheetId="19">#REF!</definedName>
    <definedName name="________SP036">#REF!</definedName>
    <definedName name="________SP037" localSheetId="6">#REF!</definedName>
    <definedName name="________SP037" localSheetId="12">#REF!</definedName>
    <definedName name="________SP037" localSheetId="34">#REF!</definedName>
    <definedName name="________SP037" localSheetId="19">#REF!</definedName>
    <definedName name="________SP037">#REF!</definedName>
    <definedName name="________SP038" localSheetId="6">#REF!</definedName>
    <definedName name="________SP038" localSheetId="12">#REF!</definedName>
    <definedName name="________SP038" localSheetId="34">#REF!</definedName>
    <definedName name="________SP038" localSheetId="19">#REF!</definedName>
    <definedName name="________SP038">#REF!</definedName>
    <definedName name="________SP039" localSheetId="6">#REF!</definedName>
    <definedName name="________SP039" localSheetId="12">#REF!</definedName>
    <definedName name="________SP039" localSheetId="34">#REF!</definedName>
    <definedName name="________SP039" localSheetId="19">#REF!</definedName>
    <definedName name="________SP039">#REF!</definedName>
    <definedName name="________SP040" localSheetId="6">#REF!</definedName>
    <definedName name="________SP040" localSheetId="12">#REF!</definedName>
    <definedName name="________SP040" localSheetId="34">#REF!</definedName>
    <definedName name="________SP040" localSheetId="19">#REF!</definedName>
    <definedName name="________SP040">#REF!</definedName>
    <definedName name="________SP041" localSheetId="6">#REF!</definedName>
    <definedName name="________SP041" localSheetId="12">#REF!</definedName>
    <definedName name="________SP041" localSheetId="34">#REF!</definedName>
    <definedName name="________SP041" localSheetId="19">#REF!</definedName>
    <definedName name="________SP041">#REF!</definedName>
    <definedName name="________SP042" localSheetId="6">#REF!</definedName>
    <definedName name="________SP042" localSheetId="12">#REF!</definedName>
    <definedName name="________SP042" localSheetId="34">#REF!</definedName>
    <definedName name="________SP042" localSheetId="19">#REF!</definedName>
    <definedName name="________SP042">#REF!</definedName>
    <definedName name="________SP043" localSheetId="6">#REF!</definedName>
    <definedName name="________SP043" localSheetId="12">#REF!</definedName>
    <definedName name="________SP043" localSheetId="34">#REF!</definedName>
    <definedName name="________SP043" localSheetId="19">#REF!</definedName>
    <definedName name="________SP043">#REF!</definedName>
    <definedName name="________SP044" localSheetId="6">#REF!</definedName>
    <definedName name="________SP044" localSheetId="12">#REF!</definedName>
    <definedName name="________SP044" localSheetId="34">#REF!</definedName>
    <definedName name="________SP044" localSheetId="19">#REF!</definedName>
    <definedName name="________SP044">#REF!</definedName>
    <definedName name="________SP045" localSheetId="6">#REF!</definedName>
    <definedName name="________SP045" localSheetId="12">#REF!</definedName>
    <definedName name="________SP045" localSheetId="34">#REF!</definedName>
    <definedName name="________SP045" localSheetId="19">#REF!</definedName>
    <definedName name="________SP045">#REF!</definedName>
    <definedName name="________SP046" localSheetId="6">#REF!</definedName>
    <definedName name="________SP046" localSheetId="12">#REF!</definedName>
    <definedName name="________SP046" localSheetId="34">#REF!</definedName>
    <definedName name="________SP046" localSheetId="19">#REF!</definedName>
    <definedName name="________SP046">#REF!</definedName>
    <definedName name="________SP047" localSheetId="6">#REF!</definedName>
    <definedName name="________SP047" localSheetId="12">#REF!</definedName>
    <definedName name="________SP047" localSheetId="34">#REF!</definedName>
    <definedName name="________SP047" localSheetId="19">#REF!</definedName>
    <definedName name="________SP047">#REF!</definedName>
    <definedName name="________SP048" localSheetId="6">#REF!</definedName>
    <definedName name="________SP048" localSheetId="12">#REF!</definedName>
    <definedName name="________SP048" localSheetId="34">#REF!</definedName>
    <definedName name="________SP048" localSheetId="19">#REF!</definedName>
    <definedName name="________SP048">#REF!</definedName>
    <definedName name="________SP049" localSheetId="6">#REF!</definedName>
    <definedName name="________SP049" localSheetId="12">#REF!</definedName>
    <definedName name="________SP049" localSheetId="34">#REF!</definedName>
    <definedName name="________SP049" localSheetId="19">#REF!</definedName>
    <definedName name="________SP049">#REF!</definedName>
    <definedName name="________SP050" localSheetId="6">#REF!</definedName>
    <definedName name="________SP050" localSheetId="12">#REF!</definedName>
    <definedName name="________SP050" localSheetId="34">#REF!</definedName>
    <definedName name="________SP050" localSheetId="19">#REF!</definedName>
    <definedName name="________SP050">#REF!</definedName>
    <definedName name="________SP051" localSheetId="6">#REF!</definedName>
    <definedName name="________SP051" localSheetId="12">#REF!</definedName>
    <definedName name="________SP051" localSheetId="34">#REF!</definedName>
    <definedName name="________SP051" localSheetId="19">#REF!</definedName>
    <definedName name="________SP051">#REF!</definedName>
    <definedName name="________SP052" localSheetId="6">#REF!</definedName>
    <definedName name="________SP052" localSheetId="12">#REF!</definedName>
    <definedName name="________SP052" localSheetId="34">#REF!</definedName>
    <definedName name="________SP052" localSheetId="19">#REF!</definedName>
    <definedName name="________SP052">#REF!</definedName>
    <definedName name="________SP053" localSheetId="6">#REF!</definedName>
    <definedName name="________SP053" localSheetId="12">#REF!</definedName>
    <definedName name="________SP053" localSheetId="34">#REF!</definedName>
    <definedName name="________SP053" localSheetId="19">#REF!</definedName>
    <definedName name="________SP053">#REF!</definedName>
    <definedName name="________SP054" localSheetId="6">#REF!</definedName>
    <definedName name="________SP054" localSheetId="12">#REF!</definedName>
    <definedName name="________SP054" localSheetId="34">#REF!</definedName>
    <definedName name="________SP054" localSheetId="19">#REF!</definedName>
    <definedName name="________SP054">#REF!</definedName>
    <definedName name="________SP055" localSheetId="6">#REF!</definedName>
    <definedName name="________SP055" localSheetId="12">#REF!</definedName>
    <definedName name="________SP055" localSheetId="34">#REF!</definedName>
    <definedName name="________SP055" localSheetId="19">#REF!</definedName>
    <definedName name="________SP055">#REF!</definedName>
    <definedName name="________SP056" localSheetId="6">#REF!</definedName>
    <definedName name="________SP056" localSheetId="12">#REF!</definedName>
    <definedName name="________SP056" localSheetId="34">#REF!</definedName>
    <definedName name="________SP056" localSheetId="19">#REF!</definedName>
    <definedName name="________SP056">#REF!</definedName>
    <definedName name="________SP057" localSheetId="6">#REF!</definedName>
    <definedName name="________SP057" localSheetId="12">#REF!</definedName>
    <definedName name="________SP057" localSheetId="34">#REF!</definedName>
    <definedName name="________SP057" localSheetId="19">#REF!</definedName>
    <definedName name="________SP057">#REF!</definedName>
    <definedName name="________SP058" localSheetId="6">#REF!</definedName>
    <definedName name="________SP058" localSheetId="12">#REF!</definedName>
    <definedName name="________SP058" localSheetId="34">#REF!</definedName>
    <definedName name="________SP058" localSheetId="19">#REF!</definedName>
    <definedName name="________SP058">#REF!</definedName>
    <definedName name="________SP059" localSheetId="6">#REF!</definedName>
    <definedName name="________SP059" localSheetId="12">#REF!</definedName>
    <definedName name="________SP059" localSheetId="34">#REF!</definedName>
    <definedName name="________SP059" localSheetId="19">#REF!</definedName>
    <definedName name="________SP059">#REF!</definedName>
    <definedName name="________SP060" localSheetId="6">#REF!</definedName>
    <definedName name="________SP060" localSheetId="12">#REF!</definedName>
    <definedName name="________SP060" localSheetId="34">#REF!</definedName>
    <definedName name="________SP060" localSheetId="19">#REF!</definedName>
    <definedName name="________SP060">#REF!</definedName>
    <definedName name="________SP061" localSheetId="6">#REF!</definedName>
    <definedName name="________SP061" localSheetId="12">#REF!</definedName>
    <definedName name="________SP061" localSheetId="34">#REF!</definedName>
    <definedName name="________SP061" localSheetId="19">#REF!</definedName>
    <definedName name="________SP061">#REF!</definedName>
    <definedName name="________SP062" localSheetId="6">#REF!</definedName>
    <definedName name="________SP062" localSheetId="12">#REF!</definedName>
    <definedName name="________SP062" localSheetId="34">#REF!</definedName>
    <definedName name="________SP062" localSheetId="19">#REF!</definedName>
    <definedName name="________SP062">#REF!</definedName>
    <definedName name="________SP063" localSheetId="6">#REF!</definedName>
    <definedName name="________SP063" localSheetId="12">#REF!</definedName>
    <definedName name="________SP063" localSheetId="34">#REF!</definedName>
    <definedName name="________SP063" localSheetId="19">#REF!</definedName>
    <definedName name="________SP063">#REF!</definedName>
    <definedName name="________SP064" localSheetId="6">#REF!</definedName>
    <definedName name="________SP064" localSheetId="12">#REF!</definedName>
    <definedName name="________SP064" localSheetId="34">#REF!</definedName>
    <definedName name="________SP064" localSheetId="19">#REF!</definedName>
    <definedName name="________SP064">#REF!</definedName>
    <definedName name="________SP065" localSheetId="6">#REF!</definedName>
    <definedName name="________SP065" localSheetId="12">#REF!</definedName>
    <definedName name="________SP065" localSheetId="34">#REF!</definedName>
    <definedName name="________SP065" localSheetId="19">#REF!</definedName>
    <definedName name="________SP065">#REF!</definedName>
    <definedName name="________SP066" localSheetId="6">#REF!</definedName>
    <definedName name="________SP066" localSheetId="12">#REF!</definedName>
    <definedName name="________SP066" localSheetId="34">#REF!</definedName>
    <definedName name="________SP066" localSheetId="19">#REF!</definedName>
    <definedName name="________SP066">#REF!</definedName>
    <definedName name="________SP067" localSheetId="6">#REF!</definedName>
    <definedName name="________SP067" localSheetId="12">#REF!</definedName>
    <definedName name="________SP067" localSheetId="34">#REF!</definedName>
    <definedName name="________SP067" localSheetId="19">#REF!</definedName>
    <definedName name="________SP067">#REF!</definedName>
    <definedName name="________SP068" localSheetId="6">#REF!</definedName>
    <definedName name="________SP068" localSheetId="12">#REF!</definedName>
    <definedName name="________SP068" localSheetId="34">#REF!</definedName>
    <definedName name="________SP068" localSheetId="19">#REF!</definedName>
    <definedName name="________SP068">#REF!</definedName>
    <definedName name="________SP069" localSheetId="6">#REF!</definedName>
    <definedName name="________SP069" localSheetId="12">#REF!</definedName>
    <definedName name="________SP069" localSheetId="34">#REF!</definedName>
    <definedName name="________SP069" localSheetId="19">#REF!</definedName>
    <definedName name="________SP069">#REF!</definedName>
    <definedName name="________SP070" localSheetId="6">#REF!</definedName>
    <definedName name="________SP070" localSheetId="12">#REF!</definedName>
    <definedName name="________SP070" localSheetId="34">#REF!</definedName>
    <definedName name="________SP070" localSheetId="19">#REF!</definedName>
    <definedName name="________SP070">#REF!</definedName>
    <definedName name="________sp071" localSheetId="6">#REF!</definedName>
    <definedName name="________sp071" localSheetId="12">#REF!</definedName>
    <definedName name="________sp071" localSheetId="34">#REF!</definedName>
    <definedName name="________sp071" localSheetId="19">#REF!</definedName>
    <definedName name="________sp071">#REF!</definedName>
    <definedName name="________SP072" localSheetId="6">#REF!</definedName>
    <definedName name="________SP072" localSheetId="12">#REF!</definedName>
    <definedName name="________SP072" localSheetId="34">#REF!</definedName>
    <definedName name="________SP072" localSheetId="19">#REF!</definedName>
    <definedName name="________SP072">#REF!</definedName>
    <definedName name="________SP073" localSheetId="6">#REF!</definedName>
    <definedName name="________SP073" localSheetId="12">#REF!</definedName>
    <definedName name="________SP073" localSheetId="34">#REF!</definedName>
    <definedName name="________SP073" localSheetId="19">#REF!</definedName>
    <definedName name="________SP073">#REF!</definedName>
    <definedName name="________SP074" localSheetId="6">#REF!</definedName>
    <definedName name="________SP074" localSheetId="12">#REF!</definedName>
    <definedName name="________SP074" localSheetId="34">#REF!</definedName>
    <definedName name="________SP074" localSheetId="19">#REF!</definedName>
    <definedName name="________SP074">#REF!</definedName>
    <definedName name="________SP075" localSheetId="6">#REF!</definedName>
    <definedName name="________SP075" localSheetId="12">#REF!</definedName>
    <definedName name="________SP075" localSheetId="34">#REF!</definedName>
    <definedName name="________SP075" localSheetId="19">#REF!</definedName>
    <definedName name="________SP075">#REF!</definedName>
    <definedName name="________SP076" localSheetId="6">#REF!</definedName>
    <definedName name="________SP076" localSheetId="12">#REF!</definedName>
    <definedName name="________SP076" localSheetId="34">#REF!</definedName>
    <definedName name="________SP076" localSheetId="19">#REF!</definedName>
    <definedName name="________SP076">#REF!</definedName>
    <definedName name="________SP077" localSheetId="6">#REF!</definedName>
    <definedName name="________SP077" localSheetId="12">#REF!</definedName>
    <definedName name="________SP077" localSheetId="34">#REF!</definedName>
    <definedName name="________SP077" localSheetId="19">#REF!</definedName>
    <definedName name="________SP077">#REF!</definedName>
    <definedName name="________sp078" localSheetId="6">#REF!</definedName>
    <definedName name="________sp078" localSheetId="12">#REF!</definedName>
    <definedName name="________sp078" localSheetId="34">#REF!</definedName>
    <definedName name="________sp078" localSheetId="19">#REF!</definedName>
    <definedName name="________sp078">#REF!</definedName>
    <definedName name="________SPO79" localSheetId="6">#REF!</definedName>
    <definedName name="________SPO79" localSheetId="12">#REF!</definedName>
    <definedName name="________SPO79" localSheetId="34">#REF!</definedName>
    <definedName name="________SPO79" localSheetId="19">#REF!</definedName>
    <definedName name="________SPO79">#REF!</definedName>
    <definedName name="________sw1" localSheetId="19">#REF!</definedName>
    <definedName name="________us1" localSheetId="27">#REF!</definedName>
    <definedName name="________us1">#REF!</definedName>
    <definedName name="________var1" localSheetId="22">#REF!</definedName>
    <definedName name="________var1" localSheetId="5">#REF!</definedName>
    <definedName name="________var1" localSheetId="6">#REF!</definedName>
    <definedName name="________var1" localSheetId="12">#REF!</definedName>
    <definedName name="________var1" localSheetId="34">#REF!</definedName>
    <definedName name="________var1" localSheetId="19">#REF!</definedName>
    <definedName name="________var1" localSheetId="30">#REF!</definedName>
    <definedName name="________var1" localSheetId="40">#REF!</definedName>
    <definedName name="________var1" localSheetId="26">#REF!</definedName>
    <definedName name="________var1">#REF!</definedName>
    <definedName name="________var4" localSheetId="22">#REF!</definedName>
    <definedName name="________var4" localSheetId="5">#REF!</definedName>
    <definedName name="________var4" localSheetId="6">#REF!</definedName>
    <definedName name="________var4" localSheetId="12">#REF!</definedName>
    <definedName name="________var4" localSheetId="34">#REF!</definedName>
    <definedName name="________var4" localSheetId="19">#REF!</definedName>
    <definedName name="________var4" localSheetId="30">#REF!</definedName>
    <definedName name="________var4" localSheetId="40">#REF!</definedName>
    <definedName name="________var4" localSheetId="26">#REF!</definedName>
    <definedName name="________var4">#REF!</definedName>
    <definedName name="________vat1">#REF!</definedName>
    <definedName name="________vat2">#REF!</definedName>
    <definedName name="________xlfn_BAHTTEXT">#N/A</definedName>
    <definedName name="_______abs1" localSheetId="5">#REF!</definedName>
    <definedName name="_______abs1" localSheetId="14">#REF!</definedName>
    <definedName name="_______abs1" localSheetId="6">#REF!</definedName>
    <definedName name="_______abs1" localSheetId="12">#REF!</definedName>
    <definedName name="_______abs1" localSheetId="19">#REF!</definedName>
    <definedName name="_______abs1">#REF!</definedName>
    <definedName name="_______AUX1">#REF!</definedName>
    <definedName name="_______aux2" localSheetId="19">#REF!</definedName>
    <definedName name="_______AUX3">#REF!</definedName>
    <definedName name="_______BSG100" localSheetId="6">#REF!</definedName>
    <definedName name="_______BSG100" localSheetId="12">#REF!</definedName>
    <definedName name="_______BSG100" localSheetId="19">#REF!</definedName>
    <definedName name="_______BSG100">#REF!</definedName>
    <definedName name="_______BSG150" localSheetId="6">#REF!</definedName>
    <definedName name="_______BSG150" localSheetId="12">#REF!</definedName>
    <definedName name="_______BSG150" localSheetId="19">#REF!</definedName>
    <definedName name="_______BSG150">#REF!</definedName>
    <definedName name="_______BSG5" localSheetId="6">#REF!</definedName>
    <definedName name="_______BSG5" localSheetId="12">#REF!</definedName>
    <definedName name="_______BSG5" localSheetId="19">#REF!</definedName>
    <definedName name="_______BSG5">#REF!</definedName>
    <definedName name="_______BSG75" localSheetId="6">#REF!</definedName>
    <definedName name="_______BSG75" localSheetId="12">#REF!</definedName>
    <definedName name="_______BSG75" localSheetId="19">#REF!</definedName>
    <definedName name="_______BSG75">#REF!</definedName>
    <definedName name="_______BTC1" localSheetId="6">#REF!</definedName>
    <definedName name="_______BTC1" localSheetId="12">#REF!</definedName>
    <definedName name="_______BTC1" localSheetId="19">#REF!</definedName>
    <definedName name="_______BTC1">#REF!</definedName>
    <definedName name="_______BTC10" localSheetId="6">#REF!</definedName>
    <definedName name="_______BTC10" localSheetId="12">#REF!</definedName>
    <definedName name="_______BTC10" localSheetId="19">#REF!</definedName>
    <definedName name="_______BTC10">#REF!</definedName>
    <definedName name="_______BTC11" localSheetId="6">#REF!</definedName>
    <definedName name="_______BTC11" localSheetId="12">#REF!</definedName>
    <definedName name="_______BTC11" localSheetId="19">#REF!</definedName>
    <definedName name="_______BTC11">#REF!</definedName>
    <definedName name="_______BTC12" localSheetId="6">#REF!</definedName>
    <definedName name="_______BTC12" localSheetId="12">#REF!</definedName>
    <definedName name="_______BTC12" localSheetId="19">#REF!</definedName>
    <definedName name="_______BTC12">#REF!</definedName>
    <definedName name="_______BTC13" localSheetId="6">#REF!</definedName>
    <definedName name="_______BTC13" localSheetId="12">#REF!</definedName>
    <definedName name="_______BTC13" localSheetId="19">#REF!</definedName>
    <definedName name="_______BTC13">#REF!</definedName>
    <definedName name="_______BTC14" localSheetId="6">#REF!</definedName>
    <definedName name="_______BTC14" localSheetId="12">#REF!</definedName>
    <definedName name="_______BTC14" localSheetId="19">#REF!</definedName>
    <definedName name="_______BTC14">#REF!</definedName>
    <definedName name="_______BTC15" localSheetId="6">#REF!</definedName>
    <definedName name="_______BTC15" localSheetId="12">#REF!</definedName>
    <definedName name="_______BTC15" localSheetId="19">#REF!</definedName>
    <definedName name="_______BTC15">#REF!</definedName>
    <definedName name="_______BTC2" localSheetId="6">#REF!</definedName>
    <definedName name="_______BTC2" localSheetId="12">#REF!</definedName>
    <definedName name="_______BTC2" localSheetId="19">#REF!</definedName>
    <definedName name="_______BTC2">#REF!</definedName>
    <definedName name="_______BTC3" localSheetId="6">#REF!</definedName>
    <definedName name="_______BTC3" localSheetId="12">#REF!</definedName>
    <definedName name="_______BTC3" localSheetId="19">#REF!</definedName>
    <definedName name="_______BTC3">#REF!</definedName>
    <definedName name="_______BTC4" localSheetId="6">#REF!</definedName>
    <definedName name="_______BTC4" localSheetId="12">#REF!</definedName>
    <definedName name="_______BTC4" localSheetId="19">#REF!</definedName>
    <definedName name="_______BTC4">#REF!</definedName>
    <definedName name="_______BTC5" localSheetId="6">#REF!</definedName>
    <definedName name="_______BTC5" localSheetId="12">#REF!</definedName>
    <definedName name="_______BTC5" localSheetId="19">#REF!</definedName>
    <definedName name="_______BTC5">#REF!</definedName>
    <definedName name="_______BTC6" localSheetId="6">#REF!</definedName>
    <definedName name="_______BTC6" localSheetId="12">#REF!</definedName>
    <definedName name="_______BTC6" localSheetId="19">#REF!</definedName>
    <definedName name="_______BTC6">#REF!</definedName>
    <definedName name="_______BTC7" localSheetId="6">#REF!</definedName>
    <definedName name="_______BTC7" localSheetId="12">#REF!</definedName>
    <definedName name="_______BTC7" localSheetId="19">#REF!</definedName>
    <definedName name="_______BTC7">#REF!</definedName>
    <definedName name="_______BTC8" localSheetId="6">#REF!</definedName>
    <definedName name="_______BTC8" localSheetId="12">#REF!</definedName>
    <definedName name="_______BTC8" localSheetId="19">#REF!</definedName>
    <definedName name="_______BTC8">#REF!</definedName>
    <definedName name="_______BTC9" localSheetId="6">#REF!</definedName>
    <definedName name="_______BTC9" localSheetId="12">#REF!</definedName>
    <definedName name="_______BTC9" localSheetId="19">#REF!</definedName>
    <definedName name="_______BTC9">#REF!</definedName>
    <definedName name="_______BTS1" localSheetId="6">#REF!</definedName>
    <definedName name="_______BTS1" localSheetId="12">#REF!</definedName>
    <definedName name="_______BTS1" localSheetId="19">#REF!</definedName>
    <definedName name="_______BTS1">#REF!</definedName>
    <definedName name="_______BTS10" localSheetId="6">#REF!</definedName>
    <definedName name="_______BTS10" localSheetId="12">#REF!</definedName>
    <definedName name="_______BTS10" localSheetId="19">#REF!</definedName>
    <definedName name="_______BTS10">#REF!</definedName>
    <definedName name="_______BTS11" localSheetId="6">#REF!</definedName>
    <definedName name="_______BTS11" localSheetId="12">#REF!</definedName>
    <definedName name="_______BTS11" localSheetId="19">#REF!</definedName>
    <definedName name="_______BTS11">#REF!</definedName>
    <definedName name="_______BTS12" localSheetId="6">#REF!</definedName>
    <definedName name="_______BTS12" localSheetId="12">#REF!</definedName>
    <definedName name="_______BTS12" localSheetId="19">#REF!</definedName>
    <definedName name="_______BTS12">#REF!</definedName>
    <definedName name="_______BTS13" localSheetId="6">#REF!</definedName>
    <definedName name="_______BTS13" localSheetId="12">#REF!</definedName>
    <definedName name="_______BTS13" localSheetId="19">#REF!</definedName>
    <definedName name="_______BTS13">#REF!</definedName>
    <definedName name="_______BTS14" localSheetId="6">#REF!</definedName>
    <definedName name="_______BTS14" localSheetId="12">#REF!</definedName>
    <definedName name="_______BTS14" localSheetId="19">#REF!</definedName>
    <definedName name="_______BTS14">#REF!</definedName>
    <definedName name="_______BTS15" localSheetId="6">#REF!</definedName>
    <definedName name="_______BTS15" localSheetId="12">#REF!</definedName>
    <definedName name="_______BTS15" localSheetId="19">#REF!</definedName>
    <definedName name="_______BTS15">#REF!</definedName>
    <definedName name="_______BTS2" localSheetId="6">#REF!</definedName>
    <definedName name="_______BTS2" localSheetId="12">#REF!</definedName>
    <definedName name="_______BTS2" localSheetId="19">#REF!</definedName>
    <definedName name="_______BTS2">#REF!</definedName>
    <definedName name="_______BTS3" localSheetId="6">#REF!</definedName>
    <definedName name="_______BTS3" localSheetId="12">#REF!</definedName>
    <definedName name="_______BTS3" localSheetId="19">#REF!</definedName>
    <definedName name="_______BTS3">#REF!</definedName>
    <definedName name="_______BTS4" localSheetId="6">#REF!</definedName>
    <definedName name="_______BTS4" localSheetId="12">#REF!</definedName>
    <definedName name="_______BTS4" localSheetId="19">#REF!</definedName>
    <definedName name="_______BTS4">#REF!</definedName>
    <definedName name="_______BTS5" localSheetId="6">#REF!</definedName>
    <definedName name="_______BTS5" localSheetId="12">#REF!</definedName>
    <definedName name="_______BTS5" localSheetId="19">#REF!</definedName>
    <definedName name="_______BTS5">#REF!</definedName>
    <definedName name="_______BTS6" localSheetId="6">#REF!</definedName>
    <definedName name="_______BTS6" localSheetId="12">#REF!</definedName>
    <definedName name="_______BTS6" localSheetId="19">#REF!</definedName>
    <definedName name="_______BTS6">#REF!</definedName>
    <definedName name="_______BTS7" localSheetId="6">#REF!</definedName>
    <definedName name="_______BTS7" localSheetId="12">#REF!</definedName>
    <definedName name="_______BTS7" localSheetId="19">#REF!</definedName>
    <definedName name="_______BTS7">#REF!</definedName>
    <definedName name="_______BTS8" localSheetId="6">#REF!</definedName>
    <definedName name="_______BTS8" localSheetId="12">#REF!</definedName>
    <definedName name="_______BTS8" localSheetId="19">#REF!</definedName>
    <definedName name="_______BTS8">#REF!</definedName>
    <definedName name="_______BTS9" localSheetId="6">#REF!</definedName>
    <definedName name="_______BTS9" localSheetId="12">#REF!</definedName>
    <definedName name="_______BTS9" localSheetId="19">#REF!</definedName>
    <definedName name="_______BTS9">#REF!</definedName>
    <definedName name="_______can430">40.73</definedName>
    <definedName name="_______can435">43.3</definedName>
    <definedName name="_______cbr1" localSheetId="27">#REF!</definedName>
    <definedName name="_______cbr1">#REF!</definedName>
    <definedName name="_______cbr2" localSheetId="27">#REF!</definedName>
    <definedName name="_______cbr2">#REF!</definedName>
    <definedName name="_______cbr3" localSheetId="27">#REF!</definedName>
    <definedName name="_______cbr3">#REF!</definedName>
    <definedName name="_______cbr4">#REF!</definedName>
    <definedName name="_______er1" localSheetId="27">#REF!</definedName>
    <definedName name="_______er1">#REF!</definedName>
    <definedName name="_______ewe1" localSheetId="6">#REF!</definedName>
    <definedName name="_______ewe1" localSheetId="12">#REF!</definedName>
    <definedName name="_______ewe1" localSheetId="19">#REF!</definedName>
    <definedName name="_______ewe1">#REF!</definedName>
    <definedName name="_______f1">#REF!</definedName>
    <definedName name="_______GBS11" localSheetId="6">#REF!</definedName>
    <definedName name="_______GBS11" localSheetId="12">#REF!</definedName>
    <definedName name="_______GBS11" localSheetId="19">#REF!</definedName>
    <definedName name="_______GBS11">#REF!</definedName>
    <definedName name="_______GBS110" localSheetId="6">#REF!</definedName>
    <definedName name="_______GBS110" localSheetId="12">#REF!</definedName>
    <definedName name="_______GBS110" localSheetId="19">#REF!</definedName>
    <definedName name="_______GBS110">#REF!</definedName>
    <definedName name="_______GBS111" localSheetId="6">#REF!</definedName>
    <definedName name="_______GBS111" localSheetId="12">#REF!</definedName>
    <definedName name="_______GBS111" localSheetId="19">#REF!</definedName>
    <definedName name="_______GBS111">#REF!</definedName>
    <definedName name="_______GBS112" localSheetId="6">#REF!</definedName>
    <definedName name="_______GBS112" localSheetId="12">#REF!</definedName>
    <definedName name="_______GBS112" localSheetId="19">#REF!</definedName>
    <definedName name="_______GBS112">#REF!</definedName>
    <definedName name="_______GBS113" localSheetId="6">#REF!</definedName>
    <definedName name="_______GBS113" localSheetId="12">#REF!</definedName>
    <definedName name="_______GBS113" localSheetId="19">#REF!</definedName>
    <definedName name="_______GBS113">#REF!</definedName>
    <definedName name="_______GBS114" localSheetId="6">#REF!</definedName>
    <definedName name="_______GBS114" localSheetId="12">#REF!</definedName>
    <definedName name="_______GBS114" localSheetId="19">#REF!</definedName>
    <definedName name="_______GBS114">#REF!</definedName>
    <definedName name="_______GBS115" localSheetId="6">#REF!</definedName>
    <definedName name="_______GBS115" localSheetId="12">#REF!</definedName>
    <definedName name="_______GBS115" localSheetId="19">#REF!</definedName>
    <definedName name="_______GBS115">#REF!</definedName>
    <definedName name="_______GBS12" localSheetId="6">#REF!</definedName>
    <definedName name="_______GBS12" localSheetId="12">#REF!</definedName>
    <definedName name="_______GBS12" localSheetId="19">#REF!</definedName>
    <definedName name="_______GBS12">#REF!</definedName>
    <definedName name="_______GBS13" localSheetId="6">#REF!</definedName>
    <definedName name="_______GBS13" localSheetId="12">#REF!</definedName>
    <definedName name="_______GBS13" localSheetId="19">#REF!</definedName>
    <definedName name="_______GBS13">#REF!</definedName>
    <definedName name="_______GBS14" localSheetId="6">#REF!</definedName>
    <definedName name="_______GBS14" localSheetId="12">#REF!</definedName>
    <definedName name="_______GBS14" localSheetId="19">#REF!</definedName>
    <definedName name="_______GBS14">#REF!</definedName>
    <definedName name="_______GBS15" localSheetId="6">#REF!</definedName>
    <definedName name="_______GBS15" localSheetId="12">#REF!</definedName>
    <definedName name="_______GBS15" localSheetId="19">#REF!</definedName>
    <definedName name="_______GBS15">#REF!</definedName>
    <definedName name="_______GBS16" localSheetId="6">#REF!</definedName>
    <definedName name="_______GBS16" localSheetId="12">#REF!</definedName>
    <definedName name="_______GBS16" localSheetId="19">#REF!</definedName>
    <definedName name="_______GBS16">#REF!</definedName>
    <definedName name="_______GBS17" localSheetId="6">#REF!</definedName>
    <definedName name="_______GBS17" localSheetId="12">#REF!</definedName>
    <definedName name="_______GBS17" localSheetId="19">#REF!</definedName>
    <definedName name="_______GBS17">#REF!</definedName>
    <definedName name="_______GBS18" localSheetId="6">#REF!</definedName>
    <definedName name="_______GBS18" localSheetId="12">#REF!</definedName>
    <definedName name="_______GBS18" localSheetId="19">#REF!</definedName>
    <definedName name="_______GBS18">#REF!</definedName>
    <definedName name="_______GBS19" localSheetId="6">#REF!</definedName>
    <definedName name="_______GBS19" localSheetId="12">#REF!</definedName>
    <definedName name="_______GBS19" localSheetId="19">#REF!</definedName>
    <definedName name="_______GBS19">#REF!</definedName>
    <definedName name="_______GBS21" localSheetId="6">#REF!</definedName>
    <definedName name="_______GBS21" localSheetId="12">#REF!</definedName>
    <definedName name="_______GBS21" localSheetId="19">#REF!</definedName>
    <definedName name="_______GBS21">#REF!</definedName>
    <definedName name="_______GBS210" localSheetId="6">#REF!</definedName>
    <definedName name="_______GBS210" localSheetId="12">#REF!</definedName>
    <definedName name="_______GBS210" localSheetId="19">#REF!</definedName>
    <definedName name="_______GBS210">#REF!</definedName>
    <definedName name="_______GBS211" localSheetId="6">#REF!</definedName>
    <definedName name="_______GBS211" localSheetId="12">#REF!</definedName>
    <definedName name="_______GBS211" localSheetId="19">#REF!</definedName>
    <definedName name="_______GBS211">#REF!</definedName>
    <definedName name="_______GBS212" localSheetId="6">#REF!</definedName>
    <definedName name="_______GBS212" localSheetId="12">#REF!</definedName>
    <definedName name="_______GBS212" localSheetId="19">#REF!</definedName>
    <definedName name="_______GBS212">#REF!</definedName>
    <definedName name="_______GBS213" localSheetId="6">#REF!</definedName>
    <definedName name="_______GBS213" localSheetId="12">#REF!</definedName>
    <definedName name="_______GBS213" localSheetId="19">#REF!</definedName>
    <definedName name="_______GBS213">#REF!</definedName>
    <definedName name="_______GBS214" localSheetId="6">#REF!</definedName>
    <definedName name="_______GBS214" localSheetId="12">#REF!</definedName>
    <definedName name="_______GBS214" localSheetId="19">#REF!</definedName>
    <definedName name="_______GBS214">#REF!</definedName>
    <definedName name="_______GBS215" localSheetId="6">#REF!</definedName>
    <definedName name="_______GBS215" localSheetId="12">#REF!</definedName>
    <definedName name="_______GBS215" localSheetId="19">#REF!</definedName>
    <definedName name="_______GBS215">#REF!</definedName>
    <definedName name="_______GBS22" localSheetId="6">#REF!</definedName>
    <definedName name="_______GBS22" localSheetId="12">#REF!</definedName>
    <definedName name="_______GBS22" localSheetId="19">#REF!</definedName>
    <definedName name="_______GBS22">#REF!</definedName>
    <definedName name="_______GBS23" localSheetId="6">#REF!</definedName>
    <definedName name="_______GBS23" localSheetId="12">#REF!</definedName>
    <definedName name="_______GBS23" localSheetId="19">#REF!</definedName>
    <definedName name="_______GBS23">#REF!</definedName>
    <definedName name="_______GBS24" localSheetId="6">#REF!</definedName>
    <definedName name="_______GBS24" localSheetId="12">#REF!</definedName>
    <definedName name="_______GBS24" localSheetId="19">#REF!</definedName>
    <definedName name="_______GBS24">#REF!</definedName>
    <definedName name="_______GBS25" localSheetId="6">#REF!</definedName>
    <definedName name="_______GBS25" localSheetId="12">#REF!</definedName>
    <definedName name="_______GBS25" localSheetId="19">#REF!</definedName>
    <definedName name="_______GBS25">#REF!</definedName>
    <definedName name="_______GBS26" localSheetId="6">#REF!</definedName>
    <definedName name="_______GBS26" localSheetId="12">#REF!</definedName>
    <definedName name="_______GBS26" localSheetId="19">#REF!</definedName>
    <definedName name="_______GBS26">#REF!</definedName>
    <definedName name="_______GBS27" localSheetId="6">#REF!</definedName>
    <definedName name="_______GBS27" localSheetId="12">#REF!</definedName>
    <definedName name="_______GBS27" localSheetId="19">#REF!</definedName>
    <definedName name="_______GBS27">#REF!</definedName>
    <definedName name="_______GBS28" localSheetId="6">#REF!</definedName>
    <definedName name="_______GBS28" localSheetId="12">#REF!</definedName>
    <definedName name="_______GBS28" localSheetId="19">#REF!</definedName>
    <definedName name="_______GBS28">#REF!</definedName>
    <definedName name="_______GBS29" localSheetId="6">#REF!</definedName>
    <definedName name="_______GBS29" localSheetId="12">#REF!</definedName>
    <definedName name="_______GBS29" localSheetId="19">#REF!</definedName>
    <definedName name="_______GBS29">#REF!</definedName>
    <definedName name="_______gus1">#REF!</definedName>
    <definedName name="_______hpm1">#REF!</definedName>
    <definedName name="_______knr2" localSheetId="5">#REF!</definedName>
    <definedName name="_______knr2" localSheetId="14">#REF!</definedName>
    <definedName name="_______knr2" localSheetId="6">#REF!</definedName>
    <definedName name="_______knr2" localSheetId="12">#REF!</definedName>
    <definedName name="_______knr2" localSheetId="19">#REF!</definedName>
    <definedName name="_______knr2">#REF!</definedName>
    <definedName name="_______l12" localSheetId="22">#REF!</definedName>
    <definedName name="_______l12" localSheetId="5">#REF!</definedName>
    <definedName name="_______l12" localSheetId="6">#REF!</definedName>
    <definedName name="_______l12" localSheetId="12">#REF!</definedName>
    <definedName name="_______l12" localSheetId="34">#REF!</definedName>
    <definedName name="_______l12" localSheetId="19">#REF!</definedName>
    <definedName name="_______l12" localSheetId="30">#REF!</definedName>
    <definedName name="_______l12" localSheetId="40">#REF!</definedName>
    <definedName name="_______l12" localSheetId="26">#REF!</definedName>
    <definedName name="_______l12">#REF!</definedName>
    <definedName name="_______l12_33">"$#REF!.$#REF!$#REF!"</definedName>
    <definedName name="_______l12_38">"$#REF!.$#REF!$#REF!"</definedName>
    <definedName name="_______l12_41">"$#REF!.$#REF!$#REF!"</definedName>
    <definedName name="_______l12_7">"$#REF!.$#REF!$#REF!"</definedName>
    <definedName name="_______l12_8">"$#REF!.$#REF!$#REF!"</definedName>
    <definedName name="_______l3" localSheetId="22">#REF!</definedName>
    <definedName name="_______l3" localSheetId="5">#REF!</definedName>
    <definedName name="_______l3" localSheetId="6">#REF!</definedName>
    <definedName name="_______l3" localSheetId="12">#REF!</definedName>
    <definedName name="_______l3" localSheetId="34">#REF!</definedName>
    <definedName name="_______l3" localSheetId="19">#REF!</definedName>
    <definedName name="_______l3" localSheetId="30">#REF!</definedName>
    <definedName name="_______l3" localSheetId="40">#REF!</definedName>
    <definedName name="_______l3" localSheetId="26">#REF!</definedName>
    <definedName name="_______l3">#REF!</definedName>
    <definedName name="_______l3_33">"$#REF!.$#REF!$#REF!"</definedName>
    <definedName name="_______l3_38">"$#REF!.$#REF!$#REF!"</definedName>
    <definedName name="_______l3_41">"$#REF!.$#REF!$#REF!"</definedName>
    <definedName name="_______l3_7">"$#REF!.$#REF!$#REF!"</definedName>
    <definedName name="_______l3_8">"$#REF!.$#REF!$#REF!"</definedName>
    <definedName name="_______l5" localSheetId="22">#REF!</definedName>
    <definedName name="_______l5" localSheetId="5">#REF!</definedName>
    <definedName name="_______l5" localSheetId="6">#REF!</definedName>
    <definedName name="_______l5" localSheetId="12">#REF!</definedName>
    <definedName name="_______l5" localSheetId="34">#REF!</definedName>
    <definedName name="_______l5" localSheetId="19">#REF!</definedName>
    <definedName name="_______l5" localSheetId="30">#REF!</definedName>
    <definedName name="_______l5" localSheetId="40">#REF!</definedName>
    <definedName name="_______l5" localSheetId="26">#REF!</definedName>
    <definedName name="_______l5">#REF!</definedName>
    <definedName name="_______l5_33">"$#REF!.$#REF!$#REF!"</definedName>
    <definedName name="_______l5_38">"$#REF!.$#REF!$#REF!"</definedName>
    <definedName name="_______l5_41">"$#REF!.$#REF!$#REF!"</definedName>
    <definedName name="_______l5_7">"$#REF!.$#REF!$#REF!"</definedName>
    <definedName name="_______l5_8">"$#REF!.$#REF!$#REF!"</definedName>
    <definedName name="_______lcn1" localSheetId="27">#REF!</definedName>
    <definedName name="_______lcn1">#REF!</definedName>
    <definedName name="_______LI9" localSheetId="6">#REF!</definedName>
    <definedName name="_______LI9" localSheetId="12">#REF!</definedName>
    <definedName name="_______LI9" localSheetId="19">#REF!</definedName>
    <definedName name="_______LI9">#REF!</definedName>
    <definedName name="_______LII9" localSheetId="6">#REF!</definedName>
    <definedName name="_______LII9" localSheetId="12">#REF!</definedName>
    <definedName name="_______LII9" localSheetId="19">#REF!</definedName>
    <definedName name="_______LII9">#REF!</definedName>
    <definedName name="_______lm1" localSheetId="27">#REF!</definedName>
    <definedName name="_______lm1">#REF!</definedName>
    <definedName name="_______ML11" localSheetId="6">#REF!</definedName>
    <definedName name="_______ML11" localSheetId="12">#REF!</definedName>
    <definedName name="_______ML11" localSheetId="19">#REF!</definedName>
    <definedName name="_______ML11">#REF!</definedName>
    <definedName name="_______ML110" localSheetId="6">#REF!</definedName>
    <definedName name="_______ML110" localSheetId="12">#REF!</definedName>
    <definedName name="_______ML110" localSheetId="19">#REF!</definedName>
    <definedName name="_______ML110">#REF!</definedName>
    <definedName name="_______ML111" localSheetId="6">#REF!</definedName>
    <definedName name="_______ML111" localSheetId="12">#REF!</definedName>
    <definedName name="_______ML111" localSheetId="19">#REF!</definedName>
    <definedName name="_______ML111">#REF!</definedName>
    <definedName name="_______ML112" localSheetId="6">#REF!</definedName>
    <definedName name="_______ML112" localSheetId="12">#REF!</definedName>
    <definedName name="_______ML112" localSheetId="19">#REF!</definedName>
    <definedName name="_______ML112">#REF!</definedName>
    <definedName name="_______ML113" localSheetId="6">#REF!</definedName>
    <definedName name="_______ML113" localSheetId="12">#REF!</definedName>
    <definedName name="_______ML113" localSheetId="19">#REF!</definedName>
    <definedName name="_______ML113">#REF!</definedName>
    <definedName name="_______ML114" localSheetId="6">#REF!</definedName>
    <definedName name="_______ML114" localSheetId="12">#REF!</definedName>
    <definedName name="_______ML114" localSheetId="19">#REF!</definedName>
    <definedName name="_______ML114">#REF!</definedName>
    <definedName name="_______ML115" localSheetId="6">#REF!</definedName>
    <definedName name="_______ML115" localSheetId="12">#REF!</definedName>
    <definedName name="_______ML115" localSheetId="19">#REF!</definedName>
    <definedName name="_______ML115">#REF!</definedName>
    <definedName name="_______ML12" localSheetId="6">#REF!</definedName>
    <definedName name="_______ML12" localSheetId="12">#REF!</definedName>
    <definedName name="_______ML12" localSheetId="19">#REF!</definedName>
    <definedName name="_______ML12">#REF!</definedName>
    <definedName name="_______ML13" localSheetId="6">#REF!</definedName>
    <definedName name="_______ML13" localSheetId="12">#REF!</definedName>
    <definedName name="_______ML13" localSheetId="19">#REF!</definedName>
    <definedName name="_______ML13">#REF!</definedName>
    <definedName name="_______ML14" localSheetId="6">#REF!</definedName>
    <definedName name="_______ML14" localSheetId="12">#REF!</definedName>
    <definedName name="_______ML14" localSheetId="19">#REF!</definedName>
    <definedName name="_______ML14">#REF!</definedName>
    <definedName name="_______ML15" localSheetId="6">#REF!</definedName>
    <definedName name="_______ML15" localSheetId="12">#REF!</definedName>
    <definedName name="_______ML15" localSheetId="19">#REF!</definedName>
    <definedName name="_______ML15">#REF!</definedName>
    <definedName name="_______ML16" localSheetId="6">#REF!</definedName>
    <definedName name="_______ML16" localSheetId="12">#REF!</definedName>
    <definedName name="_______ML16" localSheetId="19">#REF!</definedName>
    <definedName name="_______ML16">#REF!</definedName>
    <definedName name="_______ML17" localSheetId="6">#REF!</definedName>
    <definedName name="_______ML17" localSheetId="12">#REF!</definedName>
    <definedName name="_______ML17" localSheetId="19">#REF!</definedName>
    <definedName name="_______ML17">#REF!</definedName>
    <definedName name="_______ML18" localSheetId="6">#REF!</definedName>
    <definedName name="_______ML18" localSheetId="12">#REF!</definedName>
    <definedName name="_______ML18" localSheetId="19">#REF!</definedName>
    <definedName name="_______ML18">#REF!</definedName>
    <definedName name="_______ML19" localSheetId="6">#REF!</definedName>
    <definedName name="_______ML19" localSheetId="12">#REF!</definedName>
    <definedName name="_______ML19" localSheetId="19">#REF!</definedName>
    <definedName name="_______ML19">#REF!</definedName>
    <definedName name="_______ML21" localSheetId="6">#REF!</definedName>
    <definedName name="_______ML21" localSheetId="12">#REF!</definedName>
    <definedName name="_______ML21" localSheetId="19">#REF!</definedName>
    <definedName name="_______ML21">#REF!</definedName>
    <definedName name="_______ML210" localSheetId="6">#REF!</definedName>
    <definedName name="_______ML210" localSheetId="12">#REF!</definedName>
    <definedName name="_______ML210" localSheetId="19">#REF!</definedName>
    <definedName name="_______ML210">#REF!</definedName>
    <definedName name="_______ML211" localSheetId="6">#REF!</definedName>
    <definedName name="_______ML211" localSheetId="12">#REF!</definedName>
    <definedName name="_______ML211" localSheetId="19">#REF!</definedName>
    <definedName name="_______ML211">#REF!</definedName>
    <definedName name="_______ML212" localSheetId="6">#REF!</definedName>
    <definedName name="_______ML212" localSheetId="12">#REF!</definedName>
    <definedName name="_______ML212" localSheetId="19">#REF!</definedName>
    <definedName name="_______ML212">#REF!</definedName>
    <definedName name="_______ML213" localSheetId="6">#REF!</definedName>
    <definedName name="_______ML213" localSheetId="12">#REF!</definedName>
    <definedName name="_______ML213" localSheetId="19">#REF!</definedName>
    <definedName name="_______ML213">#REF!</definedName>
    <definedName name="_______ML214" localSheetId="6">#REF!</definedName>
    <definedName name="_______ML214" localSheetId="12">#REF!</definedName>
    <definedName name="_______ML214" localSheetId="19">#REF!</definedName>
    <definedName name="_______ML214">#REF!</definedName>
    <definedName name="_______ML215" localSheetId="6">#REF!</definedName>
    <definedName name="_______ML215" localSheetId="12">#REF!</definedName>
    <definedName name="_______ML215" localSheetId="19">#REF!</definedName>
    <definedName name="_______ML215">#REF!</definedName>
    <definedName name="_______ML22" localSheetId="6">#REF!</definedName>
    <definedName name="_______ML22" localSheetId="12">#REF!</definedName>
    <definedName name="_______ML22" localSheetId="19">#REF!</definedName>
    <definedName name="_______ML22">#REF!</definedName>
    <definedName name="_______ML23" localSheetId="6">#REF!</definedName>
    <definedName name="_______ML23" localSheetId="12">#REF!</definedName>
    <definedName name="_______ML23" localSheetId="19">#REF!</definedName>
    <definedName name="_______ML23">#REF!</definedName>
    <definedName name="_______ML24" localSheetId="6">#REF!</definedName>
    <definedName name="_______ML24" localSheetId="12">#REF!</definedName>
    <definedName name="_______ML24" localSheetId="19">#REF!</definedName>
    <definedName name="_______ML24">#REF!</definedName>
    <definedName name="_______ML25" localSheetId="6">#REF!</definedName>
    <definedName name="_______ML25" localSheetId="12">#REF!</definedName>
    <definedName name="_______ML25" localSheetId="19">#REF!</definedName>
    <definedName name="_______ML25">#REF!</definedName>
    <definedName name="_______ML26" localSheetId="6">#REF!</definedName>
    <definedName name="_______ML26" localSheetId="12">#REF!</definedName>
    <definedName name="_______ML26" localSheetId="19">#REF!</definedName>
    <definedName name="_______ML26">#REF!</definedName>
    <definedName name="_______ML27" localSheetId="6">#REF!</definedName>
    <definedName name="_______ML27" localSheetId="12">#REF!</definedName>
    <definedName name="_______ML27" localSheetId="19">#REF!</definedName>
    <definedName name="_______ML27">#REF!</definedName>
    <definedName name="_______ML28" localSheetId="6">#REF!</definedName>
    <definedName name="_______ML28" localSheetId="12">#REF!</definedName>
    <definedName name="_______ML28" localSheetId="19">#REF!</definedName>
    <definedName name="_______ML28">#REF!</definedName>
    <definedName name="_______ML29" localSheetId="6">#REF!</definedName>
    <definedName name="_______ML29" localSheetId="12">#REF!</definedName>
    <definedName name="_______ML29" localSheetId="19">#REF!</definedName>
    <definedName name="_______ML29">#REF!</definedName>
    <definedName name="_______ML31" localSheetId="6">#REF!</definedName>
    <definedName name="_______ML31" localSheetId="12">#REF!</definedName>
    <definedName name="_______ML31" localSheetId="19">#REF!</definedName>
    <definedName name="_______ML31">#REF!</definedName>
    <definedName name="_______ML310" localSheetId="6">#REF!</definedName>
    <definedName name="_______ML310" localSheetId="12">#REF!</definedName>
    <definedName name="_______ML310" localSheetId="19">#REF!</definedName>
    <definedName name="_______ML310">#REF!</definedName>
    <definedName name="_______ML311" localSheetId="6">#REF!</definedName>
    <definedName name="_______ML311" localSheetId="12">#REF!</definedName>
    <definedName name="_______ML311" localSheetId="19">#REF!</definedName>
    <definedName name="_______ML311">#REF!</definedName>
    <definedName name="_______ML312" localSheetId="6">#REF!</definedName>
    <definedName name="_______ML312" localSheetId="12">#REF!</definedName>
    <definedName name="_______ML312" localSheetId="19">#REF!</definedName>
    <definedName name="_______ML312">#REF!</definedName>
    <definedName name="_______ML313" localSheetId="6">#REF!</definedName>
    <definedName name="_______ML313" localSheetId="12">#REF!</definedName>
    <definedName name="_______ML313" localSheetId="19">#REF!</definedName>
    <definedName name="_______ML313">#REF!</definedName>
    <definedName name="_______ML314" localSheetId="6">#REF!</definedName>
    <definedName name="_______ML314" localSheetId="12">#REF!</definedName>
    <definedName name="_______ML314" localSheetId="19">#REF!</definedName>
    <definedName name="_______ML314">#REF!</definedName>
    <definedName name="_______ML315" localSheetId="6">#REF!</definedName>
    <definedName name="_______ML315" localSheetId="12">#REF!</definedName>
    <definedName name="_______ML315" localSheetId="19">#REF!</definedName>
    <definedName name="_______ML315">#REF!</definedName>
    <definedName name="_______ML32" localSheetId="6">#REF!</definedName>
    <definedName name="_______ML32" localSheetId="12">#REF!</definedName>
    <definedName name="_______ML32" localSheetId="19">#REF!</definedName>
    <definedName name="_______ML32">#REF!</definedName>
    <definedName name="_______ML33" localSheetId="6">#REF!</definedName>
    <definedName name="_______ML33" localSheetId="12">#REF!</definedName>
    <definedName name="_______ML33" localSheetId="19">#REF!</definedName>
    <definedName name="_______ML33">#REF!</definedName>
    <definedName name="_______ML34" localSheetId="6">#REF!</definedName>
    <definedName name="_______ML34" localSheetId="12">#REF!</definedName>
    <definedName name="_______ML34" localSheetId="19">#REF!</definedName>
    <definedName name="_______ML34">#REF!</definedName>
    <definedName name="_______ML35" localSheetId="6">#REF!</definedName>
    <definedName name="_______ML35" localSheetId="12">#REF!</definedName>
    <definedName name="_______ML35" localSheetId="19">#REF!</definedName>
    <definedName name="_______ML35">#REF!</definedName>
    <definedName name="_______ML36" localSheetId="6">#REF!</definedName>
    <definedName name="_______ML36" localSheetId="12">#REF!</definedName>
    <definedName name="_______ML36" localSheetId="19">#REF!</definedName>
    <definedName name="_______ML36">#REF!</definedName>
    <definedName name="_______ML37" localSheetId="6">#REF!</definedName>
    <definedName name="_______ML37" localSheetId="12">#REF!</definedName>
    <definedName name="_______ML37" localSheetId="19">#REF!</definedName>
    <definedName name="_______ML37">#REF!</definedName>
    <definedName name="_______ML38" localSheetId="6">#REF!</definedName>
    <definedName name="_______ML38" localSheetId="12">#REF!</definedName>
    <definedName name="_______ML38" localSheetId="19">#REF!</definedName>
    <definedName name="_______ML38">#REF!</definedName>
    <definedName name="_______ML39" localSheetId="6">#REF!</definedName>
    <definedName name="_______ML39" localSheetId="12">#REF!</definedName>
    <definedName name="_______ML39" localSheetId="19">#REF!</definedName>
    <definedName name="_______ML39">#REF!</definedName>
    <definedName name="_______ML7" localSheetId="6">#REF!</definedName>
    <definedName name="_______ML7" localSheetId="12">#REF!</definedName>
    <definedName name="_______ML7" localSheetId="19">#REF!</definedName>
    <definedName name="_______ML7">#REF!</definedName>
    <definedName name="_______ML8" localSheetId="6">#REF!</definedName>
    <definedName name="_______ML8" localSheetId="12">#REF!</definedName>
    <definedName name="_______ML8" localSheetId="19">#REF!</definedName>
    <definedName name="_______ML8">#REF!</definedName>
    <definedName name="_______ML9" localSheetId="6">#REF!</definedName>
    <definedName name="_______ML9" localSheetId="12">#REF!</definedName>
    <definedName name="_______ML9" localSheetId="19">#REF!</definedName>
    <definedName name="_______ML9">#REF!</definedName>
    <definedName name="_______mm20" localSheetId="19">#REF!</definedName>
    <definedName name="_______mm20">#REF!</definedName>
    <definedName name="_______mm40">#REF!</definedName>
    <definedName name="_______pc2" localSheetId="22">#REF!</definedName>
    <definedName name="_______pc2" localSheetId="5">#REF!</definedName>
    <definedName name="_______pc2" localSheetId="6">#REF!</definedName>
    <definedName name="_______pc2" localSheetId="12">#REF!</definedName>
    <definedName name="_______pc2" localSheetId="34">#REF!</definedName>
    <definedName name="_______pc2" localSheetId="19">#REF!</definedName>
    <definedName name="_______pc2" localSheetId="30">#REF!</definedName>
    <definedName name="_______pc2" localSheetId="40">#REF!</definedName>
    <definedName name="_______pc2" localSheetId="26">#REF!</definedName>
    <definedName name="_______pc2">#REF!</definedName>
    <definedName name="_______PMS2" localSheetId="6">#REF!</definedName>
    <definedName name="_______PMS2" localSheetId="12">#REF!</definedName>
    <definedName name="_______PMS2" localSheetId="19">#REF!</definedName>
    <definedName name="_______PMS2">#REF!</definedName>
    <definedName name="_______pv2" localSheetId="22">#REF!</definedName>
    <definedName name="_______pv2" localSheetId="5">#REF!</definedName>
    <definedName name="_______pv2" localSheetId="6">#REF!</definedName>
    <definedName name="_______pv2" localSheetId="12">#REF!</definedName>
    <definedName name="_______pv2" localSheetId="34">#REF!</definedName>
    <definedName name="_______pv2" localSheetId="19">#REF!</definedName>
    <definedName name="_______pv2" localSheetId="30">#REF!</definedName>
    <definedName name="_______pv2" localSheetId="40">#REF!</definedName>
    <definedName name="_______pv2" localSheetId="26">#REF!</definedName>
    <definedName name="_______pv2">#REF!</definedName>
    <definedName name="_______SO016" localSheetId="6">#REF!</definedName>
    <definedName name="_______SO016" localSheetId="12">#REF!</definedName>
    <definedName name="_______SO016" localSheetId="34">#REF!</definedName>
    <definedName name="_______SO016" localSheetId="19">#REF!</definedName>
    <definedName name="_______SO016">#REF!</definedName>
    <definedName name="_______SP001" localSheetId="6">#REF!</definedName>
    <definedName name="_______SP001" localSheetId="12">#REF!</definedName>
    <definedName name="_______SP001" localSheetId="34">#REF!</definedName>
    <definedName name="_______SP001" localSheetId="19">#REF!</definedName>
    <definedName name="_______SP001">#REF!</definedName>
    <definedName name="_______SP002" localSheetId="6">#REF!</definedName>
    <definedName name="_______SP002" localSheetId="12">#REF!</definedName>
    <definedName name="_______SP002" localSheetId="34">#REF!</definedName>
    <definedName name="_______SP002" localSheetId="19">#REF!</definedName>
    <definedName name="_______SP002">#REF!</definedName>
    <definedName name="_______SP003" localSheetId="6">#REF!</definedName>
    <definedName name="_______SP003" localSheetId="12">#REF!</definedName>
    <definedName name="_______SP003" localSheetId="34">#REF!</definedName>
    <definedName name="_______SP003" localSheetId="19">#REF!</definedName>
    <definedName name="_______SP003">#REF!</definedName>
    <definedName name="_______SP004" localSheetId="6">#REF!</definedName>
    <definedName name="_______SP004" localSheetId="12">#REF!</definedName>
    <definedName name="_______SP004" localSheetId="34">#REF!</definedName>
    <definedName name="_______SP004" localSheetId="19">#REF!</definedName>
    <definedName name="_______SP004">#REF!</definedName>
    <definedName name="_______SP005" localSheetId="6">#REF!</definedName>
    <definedName name="_______SP005" localSheetId="12">#REF!</definedName>
    <definedName name="_______SP005" localSheetId="34">#REF!</definedName>
    <definedName name="_______SP005" localSheetId="19">#REF!</definedName>
    <definedName name="_______SP005">#REF!</definedName>
    <definedName name="_______SP006" localSheetId="6">#REF!</definedName>
    <definedName name="_______SP006" localSheetId="12">#REF!</definedName>
    <definedName name="_______SP006" localSheetId="34">#REF!</definedName>
    <definedName name="_______SP006" localSheetId="19">#REF!</definedName>
    <definedName name="_______SP006">#REF!</definedName>
    <definedName name="_______SP007" localSheetId="6">#REF!</definedName>
    <definedName name="_______SP007" localSheetId="12">#REF!</definedName>
    <definedName name="_______SP007" localSheetId="34">#REF!</definedName>
    <definedName name="_______SP007" localSheetId="19">#REF!</definedName>
    <definedName name="_______SP007">#REF!</definedName>
    <definedName name="_______SP008" localSheetId="6">#REF!</definedName>
    <definedName name="_______SP008" localSheetId="12">#REF!</definedName>
    <definedName name="_______SP008" localSheetId="34">#REF!</definedName>
    <definedName name="_______SP008" localSheetId="19">#REF!</definedName>
    <definedName name="_______SP008">#REF!</definedName>
    <definedName name="_______SP009" localSheetId="6">#REF!</definedName>
    <definedName name="_______SP009" localSheetId="12">#REF!</definedName>
    <definedName name="_______SP009" localSheetId="34">#REF!</definedName>
    <definedName name="_______SP009" localSheetId="19">#REF!</definedName>
    <definedName name="_______SP009">#REF!</definedName>
    <definedName name="_______SP010" localSheetId="6">#REF!</definedName>
    <definedName name="_______SP010" localSheetId="12">#REF!</definedName>
    <definedName name="_______SP010" localSheetId="34">#REF!</definedName>
    <definedName name="_______SP010" localSheetId="19">#REF!</definedName>
    <definedName name="_______SP010">#REF!</definedName>
    <definedName name="_______SP011" localSheetId="6">#REF!</definedName>
    <definedName name="_______SP011" localSheetId="12">#REF!</definedName>
    <definedName name="_______SP011" localSheetId="34">#REF!</definedName>
    <definedName name="_______SP011" localSheetId="19">#REF!</definedName>
    <definedName name="_______SP011">#REF!</definedName>
    <definedName name="_______SP012" localSheetId="6">#REF!</definedName>
    <definedName name="_______SP012" localSheetId="12">#REF!</definedName>
    <definedName name="_______SP012" localSheetId="34">#REF!</definedName>
    <definedName name="_______SP012" localSheetId="19">#REF!</definedName>
    <definedName name="_______SP012">#REF!</definedName>
    <definedName name="_______SP013" localSheetId="6">#REF!</definedName>
    <definedName name="_______SP013" localSheetId="12">#REF!</definedName>
    <definedName name="_______SP013" localSheetId="34">#REF!</definedName>
    <definedName name="_______SP013" localSheetId="19">#REF!</definedName>
    <definedName name="_______SP013">#REF!</definedName>
    <definedName name="_______SP014" localSheetId="6">#REF!</definedName>
    <definedName name="_______SP014" localSheetId="12">#REF!</definedName>
    <definedName name="_______SP014" localSheetId="34">#REF!</definedName>
    <definedName name="_______SP014" localSheetId="19">#REF!</definedName>
    <definedName name="_______SP014">#REF!</definedName>
    <definedName name="_______SP015" localSheetId="6">#REF!</definedName>
    <definedName name="_______SP015" localSheetId="12">#REF!</definedName>
    <definedName name="_______SP015" localSheetId="34">#REF!</definedName>
    <definedName name="_______SP015" localSheetId="19">#REF!</definedName>
    <definedName name="_______SP015">#REF!</definedName>
    <definedName name="_______SP016" localSheetId="6">#REF!</definedName>
    <definedName name="_______SP016" localSheetId="12">#REF!</definedName>
    <definedName name="_______SP016" localSheetId="34">#REF!</definedName>
    <definedName name="_______SP016" localSheetId="19">#REF!</definedName>
    <definedName name="_______SP016">#REF!</definedName>
    <definedName name="_______SP017" localSheetId="6">#REF!</definedName>
    <definedName name="_______SP017" localSheetId="12">#REF!</definedName>
    <definedName name="_______SP017" localSheetId="34">#REF!</definedName>
    <definedName name="_______SP017" localSheetId="19">#REF!</definedName>
    <definedName name="_______SP017">#REF!</definedName>
    <definedName name="_______SP018" localSheetId="6">#REF!</definedName>
    <definedName name="_______SP018" localSheetId="12">#REF!</definedName>
    <definedName name="_______SP018" localSheetId="34">#REF!</definedName>
    <definedName name="_______SP018" localSheetId="19">#REF!</definedName>
    <definedName name="_______SP018">#REF!</definedName>
    <definedName name="_______SP019" localSheetId="6">#REF!</definedName>
    <definedName name="_______SP019" localSheetId="12">#REF!</definedName>
    <definedName name="_______SP019" localSheetId="34">#REF!</definedName>
    <definedName name="_______SP019" localSheetId="19">#REF!</definedName>
    <definedName name="_______SP019">#REF!</definedName>
    <definedName name="_______SP020" localSheetId="6">#REF!</definedName>
    <definedName name="_______SP020" localSheetId="12">#REF!</definedName>
    <definedName name="_______SP020" localSheetId="34">#REF!</definedName>
    <definedName name="_______SP020" localSheetId="19">#REF!</definedName>
    <definedName name="_______SP020">#REF!</definedName>
    <definedName name="_______SP021" localSheetId="6">#REF!</definedName>
    <definedName name="_______SP021" localSheetId="12">#REF!</definedName>
    <definedName name="_______SP021" localSheetId="34">#REF!</definedName>
    <definedName name="_______SP021" localSheetId="19">#REF!</definedName>
    <definedName name="_______SP021">#REF!</definedName>
    <definedName name="_______SP022" localSheetId="6">#REF!</definedName>
    <definedName name="_______SP022" localSheetId="12">#REF!</definedName>
    <definedName name="_______SP022" localSheetId="34">#REF!</definedName>
    <definedName name="_______SP022" localSheetId="19">#REF!</definedName>
    <definedName name="_______SP022">#REF!</definedName>
    <definedName name="_______SP023" localSheetId="6">#REF!</definedName>
    <definedName name="_______SP023" localSheetId="12">#REF!</definedName>
    <definedName name="_______SP023" localSheetId="34">#REF!</definedName>
    <definedName name="_______SP023" localSheetId="19">#REF!</definedName>
    <definedName name="_______SP023">#REF!</definedName>
    <definedName name="_______SP024" localSheetId="6">#REF!</definedName>
    <definedName name="_______SP024" localSheetId="12">#REF!</definedName>
    <definedName name="_______SP024" localSheetId="34">#REF!</definedName>
    <definedName name="_______SP024" localSheetId="19">#REF!</definedName>
    <definedName name="_______SP024">#REF!</definedName>
    <definedName name="_______SP025" localSheetId="6">#REF!</definedName>
    <definedName name="_______SP025" localSheetId="12">#REF!</definedName>
    <definedName name="_______SP025" localSheetId="34">#REF!</definedName>
    <definedName name="_______SP025" localSheetId="19">#REF!</definedName>
    <definedName name="_______SP025">#REF!</definedName>
    <definedName name="_______SP026" localSheetId="6">#REF!</definedName>
    <definedName name="_______SP026" localSheetId="12">#REF!</definedName>
    <definedName name="_______SP026" localSheetId="34">#REF!</definedName>
    <definedName name="_______SP026" localSheetId="19">#REF!</definedName>
    <definedName name="_______SP026">#REF!</definedName>
    <definedName name="_______SP027" localSheetId="6">#REF!</definedName>
    <definedName name="_______SP027" localSheetId="12">#REF!</definedName>
    <definedName name="_______SP027" localSheetId="34">#REF!</definedName>
    <definedName name="_______SP027" localSheetId="19">#REF!</definedName>
    <definedName name="_______SP027">#REF!</definedName>
    <definedName name="_______SP028" localSheetId="6">#REF!</definedName>
    <definedName name="_______SP028" localSheetId="12">#REF!</definedName>
    <definedName name="_______SP028" localSheetId="34">#REF!</definedName>
    <definedName name="_______SP028" localSheetId="19">#REF!</definedName>
    <definedName name="_______SP028">#REF!</definedName>
    <definedName name="_______SP029" localSheetId="6">#REF!</definedName>
    <definedName name="_______SP029" localSheetId="12">#REF!</definedName>
    <definedName name="_______SP029" localSheetId="34">#REF!</definedName>
    <definedName name="_______SP029" localSheetId="19">#REF!</definedName>
    <definedName name="_______SP029">#REF!</definedName>
    <definedName name="_______SP030" localSheetId="6">#REF!</definedName>
    <definedName name="_______SP030" localSheetId="12">#REF!</definedName>
    <definedName name="_______SP030" localSheetId="34">#REF!</definedName>
    <definedName name="_______SP030" localSheetId="19">#REF!</definedName>
    <definedName name="_______SP030">#REF!</definedName>
    <definedName name="_______SP031" localSheetId="6">#REF!</definedName>
    <definedName name="_______SP031" localSheetId="12">#REF!</definedName>
    <definedName name="_______SP031" localSheetId="34">#REF!</definedName>
    <definedName name="_______SP031" localSheetId="19">#REF!</definedName>
    <definedName name="_______SP031">#REF!</definedName>
    <definedName name="_______SP032" localSheetId="6">#REF!</definedName>
    <definedName name="_______SP032" localSheetId="12">#REF!</definedName>
    <definedName name="_______SP032" localSheetId="34">#REF!</definedName>
    <definedName name="_______SP032" localSheetId="19">#REF!</definedName>
    <definedName name="_______SP032">#REF!</definedName>
    <definedName name="_______SP033" localSheetId="6">#REF!</definedName>
    <definedName name="_______SP033" localSheetId="12">#REF!</definedName>
    <definedName name="_______SP033" localSheetId="34">#REF!</definedName>
    <definedName name="_______SP033" localSheetId="19">#REF!</definedName>
    <definedName name="_______SP033">#REF!</definedName>
    <definedName name="_______SP034" localSheetId="6">#REF!</definedName>
    <definedName name="_______SP034" localSheetId="12">#REF!</definedName>
    <definedName name="_______SP034" localSheetId="34">#REF!</definedName>
    <definedName name="_______SP034" localSheetId="19">#REF!</definedName>
    <definedName name="_______SP034">#REF!</definedName>
    <definedName name="_______SP035" localSheetId="6">#REF!</definedName>
    <definedName name="_______SP035" localSheetId="12">#REF!</definedName>
    <definedName name="_______SP035" localSheetId="34">#REF!</definedName>
    <definedName name="_______SP035" localSheetId="19">#REF!</definedName>
    <definedName name="_______SP035">#REF!</definedName>
    <definedName name="_______SP036" localSheetId="6">#REF!</definedName>
    <definedName name="_______SP036" localSheetId="12">#REF!</definedName>
    <definedName name="_______SP036" localSheetId="34">#REF!</definedName>
    <definedName name="_______SP036" localSheetId="19">#REF!</definedName>
    <definedName name="_______SP036">#REF!</definedName>
    <definedName name="_______SP037" localSheetId="6">#REF!</definedName>
    <definedName name="_______SP037" localSheetId="12">#REF!</definedName>
    <definedName name="_______SP037" localSheetId="34">#REF!</definedName>
    <definedName name="_______SP037" localSheetId="19">#REF!</definedName>
    <definedName name="_______SP037">#REF!</definedName>
    <definedName name="_______SP038" localSheetId="6">#REF!</definedName>
    <definedName name="_______SP038" localSheetId="12">#REF!</definedName>
    <definedName name="_______SP038" localSheetId="34">#REF!</definedName>
    <definedName name="_______SP038" localSheetId="19">#REF!</definedName>
    <definedName name="_______SP038">#REF!</definedName>
    <definedName name="_______SP039" localSheetId="6">#REF!</definedName>
    <definedName name="_______SP039" localSheetId="12">#REF!</definedName>
    <definedName name="_______SP039" localSheetId="34">#REF!</definedName>
    <definedName name="_______SP039" localSheetId="19">#REF!</definedName>
    <definedName name="_______SP039">#REF!</definedName>
    <definedName name="_______SP040" localSheetId="6">#REF!</definedName>
    <definedName name="_______SP040" localSheetId="12">#REF!</definedName>
    <definedName name="_______SP040" localSheetId="34">#REF!</definedName>
    <definedName name="_______SP040" localSheetId="19">#REF!</definedName>
    <definedName name="_______SP040">#REF!</definedName>
    <definedName name="_______SP041" localSheetId="6">#REF!</definedName>
    <definedName name="_______SP041" localSheetId="12">#REF!</definedName>
    <definedName name="_______SP041" localSheetId="34">#REF!</definedName>
    <definedName name="_______SP041" localSheetId="19">#REF!</definedName>
    <definedName name="_______SP041">#REF!</definedName>
    <definedName name="_______SP042" localSheetId="6">#REF!</definedName>
    <definedName name="_______SP042" localSheetId="12">#REF!</definedName>
    <definedName name="_______SP042" localSheetId="34">#REF!</definedName>
    <definedName name="_______SP042" localSheetId="19">#REF!</definedName>
    <definedName name="_______SP042">#REF!</definedName>
    <definedName name="_______SP043" localSheetId="6">#REF!</definedName>
    <definedName name="_______SP043" localSheetId="12">#REF!</definedName>
    <definedName name="_______SP043" localSheetId="34">#REF!</definedName>
    <definedName name="_______SP043" localSheetId="19">#REF!</definedName>
    <definedName name="_______SP043">#REF!</definedName>
    <definedName name="_______SP044" localSheetId="6">#REF!</definedName>
    <definedName name="_______SP044" localSheetId="12">#REF!</definedName>
    <definedName name="_______SP044" localSheetId="34">#REF!</definedName>
    <definedName name="_______SP044" localSheetId="19">#REF!</definedName>
    <definedName name="_______SP044">#REF!</definedName>
    <definedName name="_______SP045" localSheetId="6">#REF!</definedName>
    <definedName name="_______SP045" localSheetId="12">#REF!</definedName>
    <definedName name="_______SP045" localSheetId="34">#REF!</definedName>
    <definedName name="_______SP045" localSheetId="19">#REF!</definedName>
    <definedName name="_______SP045">#REF!</definedName>
    <definedName name="_______SP046" localSheetId="6">#REF!</definedName>
    <definedName name="_______SP046" localSheetId="12">#REF!</definedName>
    <definedName name="_______SP046" localSheetId="34">#REF!</definedName>
    <definedName name="_______SP046" localSheetId="19">#REF!</definedName>
    <definedName name="_______SP046">#REF!</definedName>
    <definedName name="_______SP047" localSheetId="6">#REF!</definedName>
    <definedName name="_______SP047" localSheetId="12">#REF!</definedName>
    <definedName name="_______SP047" localSheetId="34">#REF!</definedName>
    <definedName name="_______SP047" localSheetId="19">#REF!</definedName>
    <definedName name="_______SP047">#REF!</definedName>
    <definedName name="_______SP048" localSheetId="6">#REF!</definedName>
    <definedName name="_______SP048" localSheetId="12">#REF!</definedName>
    <definedName name="_______SP048" localSheetId="34">#REF!</definedName>
    <definedName name="_______SP048" localSheetId="19">#REF!</definedName>
    <definedName name="_______SP048">#REF!</definedName>
    <definedName name="_______SP049" localSheetId="6">#REF!</definedName>
    <definedName name="_______SP049" localSheetId="12">#REF!</definedName>
    <definedName name="_______SP049" localSheetId="34">#REF!</definedName>
    <definedName name="_______SP049" localSheetId="19">#REF!</definedName>
    <definedName name="_______SP049">#REF!</definedName>
    <definedName name="_______SP050" localSheetId="6">#REF!</definedName>
    <definedName name="_______SP050" localSheetId="12">#REF!</definedName>
    <definedName name="_______SP050" localSheetId="34">#REF!</definedName>
    <definedName name="_______SP050" localSheetId="19">#REF!</definedName>
    <definedName name="_______SP050">#REF!</definedName>
    <definedName name="_______SP051" localSheetId="6">#REF!</definedName>
    <definedName name="_______SP051" localSheetId="12">#REF!</definedName>
    <definedName name="_______SP051" localSheetId="34">#REF!</definedName>
    <definedName name="_______SP051" localSheetId="19">#REF!</definedName>
    <definedName name="_______SP051">#REF!</definedName>
    <definedName name="_______SP052" localSheetId="6">#REF!</definedName>
    <definedName name="_______SP052" localSheetId="12">#REF!</definedName>
    <definedName name="_______SP052" localSheetId="34">#REF!</definedName>
    <definedName name="_______SP052" localSheetId="19">#REF!</definedName>
    <definedName name="_______SP052">#REF!</definedName>
    <definedName name="_______SP053" localSheetId="6">#REF!</definedName>
    <definedName name="_______SP053" localSheetId="12">#REF!</definedName>
    <definedName name="_______SP053" localSheetId="34">#REF!</definedName>
    <definedName name="_______SP053" localSheetId="19">#REF!</definedName>
    <definedName name="_______SP053">#REF!</definedName>
    <definedName name="_______SP054" localSheetId="6">#REF!</definedName>
    <definedName name="_______SP054" localSheetId="12">#REF!</definedName>
    <definedName name="_______SP054" localSheetId="34">#REF!</definedName>
    <definedName name="_______SP054" localSheetId="19">#REF!</definedName>
    <definedName name="_______SP054">#REF!</definedName>
    <definedName name="_______SP055" localSheetId="6">#REF!</definedName>
    <definedName name="_______SP055" localSheetId="12">#REF!</definedName>
    <definedName name="_______SP055" localSheetId="34">#REF!</definedName>
    <definedName name="_______SP055" localSheetId="19">#REF!</definedName>
    <definedName name="_______SP055">#REF!</definedName>
    <definedName name="_______SP056" localSheetId="6">#REF!</definedName>
    <definedName name="_______SP056" localSheetId="12">#REF!</definedName>
    <definedName name="_______SP056" localSheetId="34">#REF!</definedName>
    <definedName name="_______SP056" localSheetId="19">#REF!</definedName>
    <definedName name="_______SP056">#REF!</definedName>
    <definedName name="_______SP057" localSheetId="6">#REF!</definedName>
    <definedName name="_______SP057" localSheetId="12">#REF!</definedName>
    <definedName name="_______SP057" localSheetId="34">#REF!</definedName>
    <definedName name="_______SP057" localSheetId="19">#REF!</definedName>
    <definedName name="_______SP057">#REF!</definedName>
    <definedName name="_______SP058" localSheetId="6">#REF!</definedName>
    <definedName name="_______SP058" localSheetId="12">#REF!</definedName>
    <definedName name="_______SP058" localSheetId="34">#REF!</definedName>
    <definedName name="_______SP058" localSheetId="19">#REF!</definedName>
    <definedName name="_______SP058">#REF!</definedName>
    <definedName name="_______SP059" localSheetId="6">#REF!</definedName>
    <definedName name="_______SP059" localSheetId="12">#REF!</definedName>
    <definedName name="_______SP059" localSheetId="34">#REF!</definedName>
    <definedName name="_______SP059" localSheetId="19">#REF!</definedName>
    <definedName name="_______SP059">#REF!</definedName>
    <definedName name="_______SP060" localSheetId="6">#REF!</definedName>
    <definedName name="_______SP060" localSheetId="12">#REF!</definedName>
    <definedName name="_______SP060" localSheetId="34">#REF!</definedName>
    <definedName name="_______SP060" localSheetId="19">#REF!</definedName>
    <definedName name="_______SP060">#REF!</definedName>
    <definedName name="_______SP061" localSheetId="6">#REF!</definedName>
    <definedName name="_______SP061" localSheetId="12">#REF!</definedName>
    <definedName name="_______SP061" localSheetId="34">#REF!</definedName>
    <definedName name="_______SP061" localSheetId="19">#REF!</definedName>
    <definedName name="_______SP061">#REF!</definedName>
    <definedName name="_______SP062" localSheetId="6">#REF!</definedName>
    <definedName name="_______SP062" localSheetId="12">#REF!</definedName>
    <definedName name="_______SP062" localSheetId="34">#REF!</definedName>
    <definedName name="_______SP062" localSheetId="19">#REF!</definedName>
    <definedName name="_______SP062">#REF!</definedName>
    <definedName name="_______SP063" localSheetId="6">#REF!</definedName>
    <definedName name="_______SP063" localSheetId="12">#REF!</definedName>
    <definedName name="_______SP063" localSheetId="34">#REF!</definedName>
    <definedName name="_______SP063" localSheetId="19">#REF!</definedName>
    <definedName name="_______SP063">#REF!</definedName>
    <definedName name="_______SP064" localSheetId="6">#REF!</definedName>
    <definedName name="_______SP064" localSheetId="12">#REF!</definedName>
    <definedName name="_______SP064" localSheetId="34">#REF!</definedName>
    <definedName name="_______SP064" localSheetId="19">#REF!</definedName>
    <definedName name="_______SP064">#REF!</definedName>
    <definedName name="_______SP065" localSheetId="6">#REF!</definedName>
    <definedName name="_______SP065" localSheetId="12">#REF!</definedName>
    <definedName name="_______SP065" localSheetId="34">#REF!</definedName>
    <definedName name="_______SP065" localSheetId="19">#REF!</definedName>
    <definedName name="_______SP065">#REF!</definedName>
    <definedName name="_______SP066" localSheetId="6">#REF!</definedName>
    <definedName name="_______SP066" localSheetId="12">#REF!</definedName>
    <definedName name="_______SP066" localSheetId="34">#REF!</definedName>
    <definedName name="_______SP066" localSheetId="19">#REF!</definedName>
    <definedName name="_______SP066">#REF!</definedName>
    <definedName name="_______SP067" localSheetId="6">#REF!</definedName>
    <definedName name="_______SP067" localSheetId="12">#REF!</definedName>
    <definedName name="_______SP067" localSheetId="34">#REF!</definedName>
    <definedName name="_______SP067" localSheetId="19">#REF!</definedName>
    <definedName name="_______SP067">#REF!</definedName>
    <definedName name="_______SP068" localSheetId="6">#REF!</definedName>
    <definedName name="_______SP068" localSheetId="12">#REF!</definedName>
    <definedName name="_______SP068" localSheetId="34">#REF!</definedName>
    <definedName name="_______SP068" localSheetId="19">#REF!</definedName>
    <definedName name="_______SP068">#REF!</definedName>
    <definedName name="_______SP069" localSheetId="6">#REF!</definedName>
    <definedName name="_______SP069" localSheetId="12">#REF!</definedName>
    <definedName name="_______SP069" localSheetId="34">#REF!</definedName>
    <definedName name="_______SP069" localSheetId="19">#REF!</definedName>
    <definedName name="_______SP069">#REF!</definedName>
    <definedName name="_______SP070" localSheetId="6">#REF!</definedName>
    <definedName name="_______SP070" localSheetId="12">#REF!</definedName>
    <definedName name="_______SP070" localSheetId="34">#REF!</definedName>
    <definedName name="_______SP070" localSheetId="19">#REF!</definedName>
    <definedName name="_______SP070">#REF!</definedName>
    <definedName name="_______sp071" localSheetId="6">#REF!</definedName>
    <definedName name="_______sp071" localSheetId="12">#REF!</definedName>
    <definedName name="_______sp071" localSheetId="34">#REF!</definedName>
    <definedName name="_______sp071" localSheetId="19">#REF!</definedName>
    <definedName name="_______sp071">#REF!</definedName>
    <definedName name="_______SP072" localSheetId="6">#REF!</definedName>
    <definedName name="_______SP072" localSheetId="12">#REF!</definedName>
    <definedName name="_______SP072" localSheetId="34">#REF!</definedName>
    <definedName name="_______SP072" localSheetId="19">#REF!</definedName>
    <definedName name="_______SP072">#REF!</definedName>
    <definedName name="_______SP073" localSheetId="6">#REF!</definedName>
    <definedName name="_______SP073" localSheetId="12">#REF!</definedName>
    <definedName name="_______SP073" localSheetId="34">#REF!</definedName>
    <definedName name="_______SP073" localSheetId="19">#REF!</definedName>
    <definedName name="_______SP073">#REF!</definedName>
    <definedName name="_______SP074" localSheetId="6">#REF!</definedName>
    <definedName name="_______SP074" localSheetId="12">#REF!</definedName>
    <definedName name="_______SP074" localSheetId="34">#REF!</definedName>
    <definedName name="_______SP074" localSheetId="19">#REF!</definedName>
    <definedName name="_______SP074">#REF!</definedName>
    <definedName name="_______SP075" localSheetId="6">#REF!</definedName>
    <definedName name="_______SP075" localSheetId="12">#REF!</definedName>
    <definedName name="_______SP075" localSheetId="34">#REF!</definedName>
    <definedName name="_______SP075" localSheetId="19">#REF!</definedName>
    <definedName name="_______SP075">#REF!</definedName>
    <definedName name="_______SP076" localSheetId="6">#REF!</definedName>
    <definedName name="_______SP076" localSheetId="12">#REF!</definedName>
    <definedName name="_______SP076" localSheetId="34">#REF!</definedName>
    <definedName name="_______SP076" localSheetId="19">#REF!</definedName>
    <definedName name="_______SP076">#REF!</definedName>
    <definedName name="_______SP077" localSheetId="6">#REF!</definedName>
    <definedName name="_______SP077" localSheetId="12">#REF!</definedName>
    <definedName name="_______SP077" localSheetId="34">#REF!</definedName>
    <definedName name="_______SP077" localSheetId="19">#REF!</definedName>
    <definedName name="_______SP077">#REF!</definedName>
    <definedName name="_______sp078" localSheetId="6">#REF!</definedName>
    <definedName name="_______sp078" localSheetId="12">#REF!</definedName>
    <definedName name="_______sp078" localSheetId="34">#REF!</definedName>
    <definedName name="_______sp078" localSheetId="19">#REF!</definedName>
    <definedName name="_______sp078">#REF!</definedName>
    <definedName name="_______SPO79" localSheetId="6">#REF!</definedName>
    <definedName name="_______SPO79" localSheetId="12">#REF!</definedName>
    <definedName name="_______SPO79" localSheetId="34">#REF!</definedName>
    <definedName name="_______SPO79" localSheetId="19">#REF!</definedName>
    <definedName name="_______SPO79">#REF!</definedName>
    <definedName name="_______sw1" localSheetId="19">#REF!</definedName>
    <definedName name="_______t1" localSheetId="27">#REF!</definedName>
    <definedName name="_______t1">#REF!</definedName>
    <definedName name="_______t2">#REF!</definedName>
    <definedName name="_______tab1">#REF!</definedName>
    <definedName name="_______us1">#REF!</definedName>
    <definedName name="_______var1" localSheetId="22">#REF!</definedName>
    <definedName name="_______var1" localSheetId="5">#REF!</definedName>
    <definedName name="_______var1" localSheetId="6">#REF!</definedName>
    <definedName name="_______var1" localSheetId="12">#REF!</definedName>
    <definedName name="_______var1" localSheetId="34">#REF!</definedName>
    <definedName name="_______var1" localSheetId="19">#REF!</definedName>
    <definedName name="_______var1" localSheetId="30">#REF!</definedName>
    <definedName name="_______var1" localSheetId="40">#REF!</definedName>
    <definedName name="_______var1" localSheetId="26">#REF!</definedName>
    <definedName name="_______var1">#REF!</definedName>
    <definedName name="_______var1_33">"$#REF!.$#REF!$#REF!"</definedName>
    <definedName name="_______var1_38">"$#REF!.$#REF!$#REF!"</definedName>
    <definedName name="_______var1_41">"$#REF!.$#REF!$#REF!"</definedName>
    <definedName name="_______var1_7">"$#REF!.$#REF!$#REF!"</definedName>
    <definedName name="_______var1_8">"$#REF!.$#REF!$#REF!"</definedName>
    <definedName name="_______var4" localSheetId="22">#REF!</definedName>
    <definedName name="_______var4" localSheetId="5">#REF!</definedName>
    <definedName name="_______var4" localSheetId="6">#REF!</definedName>
    <definedName name="_______var4" localSheetId="12">#REF!</definedName>
    <definedName name="_______var4" localSheetId="34">#REF!</definedName>
    <definedName name="_______var4" localSheetId="19">#REF!</definedName>
    <definedName name="_______var4" localSheetId="30">#REF!</definedName>
    <definedName name="_______var4" localSheetId="40">#REF!</definedName>
    <definedName name="_______var4" localSheetId="26">#REF!</definedName>
    <definedName name="_______var4">#REF!</definedName>
    <definedName name="_______var4_33">"$#REF!.$#REF!$#REF!"</definedName>
    <definedName name="_______var4_38">"$#REF!.$#REF!$#REF!"</definedName>
    <definedName name="_______var4_41">"$#REF!.$#REF!$#REF!"</definedName>
    <definedName name="_______var4_7">"$#REF!.$#REF!$#REF!"</definedName>
    <definedName name="_______var4_8">"$#REF!.$#REF!$#REF!"</definedName>
    <definedName name="_______vat1" localSheetId="27">#REF!</definedName>
    <definedName name="_______vat1">#REF!</definedName>
    <definedName name="_______vat2" localSheetId="27">#REF!</definedName>
    <definedName name="_______vat2">#REF!</definedName>
    <definedName name="_______xlfn_BAHTTEXT">#N/A</definedName>
    <definedName name="______abs1" localSheetId="5">#REF!</definedName>
    <definedName name="______abs1" localSheetId="14">#REF!</definedName>
    <definedName name="______abs1" localSheetId="6">#REF!</definedName>
    <definedName name="______abs1" localSheetId="12">#REF!</definedName>
    <definedName name="______abs1" localSheetId="19">#REF!</definedName>
    <definedName name="______abs1">#REF!</definedName>
    <definedName name="______AUX1">#REF!</definedName>
    <definedName name="______aux2" localSheetId="19">#REF!</definedName>
    <definedName name="______AUX3">#REF!</definedName>
    <definedName name="______BSG100" localSheetId="6">#REF!</definedName>
    <definedName name="______BSG100" localSheetId="12">#REF!</definedName>
    <definedName name="______BSG100" localSheetId="19">#REF!</definedName>
    <definedName name="______BSG100">#REF!</definedName>
    <definedName name="______BSG150" localSheetId="6">#REF!</definedName>
    <definedName name="______BSG150" localSheetId="12">#REF!</definedName>
    <definedName name="______BSG150" localSheetId="19">#REF!</definedName>
    <definedName name="______BSG150">#REF!</definedName>
    <definedName name="______BSG5" localSheetId="6">#REF!</definedName>
    <definedName name="______BSG5" localSheetId="12">#REF!</definedName>
    <definedName name="______BSG5" localSheetId="19">#REF!</definedName>
    <definedName name="______BSG5">#REF!</definedName>
    <definedName name="______BSG75" localSheetId="6">#REF!</definedName>
    <definedName name="______BSG75" localSheetId="12">#REF!</definedName>
    <definedName name="______BSG75" localSheetId="19">#REF!</definedName>
    <definedName name="______BSG75">#REF!</definedName>
    <definedName name="______BTC1" localSheetId="6">#REF!</definedName>
    <definedName name="______BTC1" localSheetId="12">#REF!</definedName>
    <definedName name="______BTC1" localSheetId="19">#REF!</definedName>
    <definedName name="______BTC1">#REF!</definedName>
    <definedName name="______BTC10" localSheetId="6">#REF!</definedName>
    <definedName name="______BTC10" localSheetId="12">#REF!</definedName>
    <definedName name="______BTC10" localSheetId="19">#REF!</definedName>
    <definedName name="______BTC10">#REF!</definedName>
    <definedName name="______BTC11" localSheetId="6">#REF!</definedName>
    <definedName name="______BTC11" localSheetId="12">#REF!</definedName>
    <definedName name="______BTC11" localSheetId="19">#REF!</definedName>
    <definedName name="______BTC11">#REF!</definedName>
    <definedName name="______BTC12" localSheetId="6">#REF!</definedName>
    <definedName name="______BTC12" localSheetId="12">#REF!</definedName>
    <definedName name="______BTC12" localSheetId="19">#REF!</definedName>
    <definedName name="______BTC12">#REF!</definedName>
    <definedName name="______BTC13" localSheetId="6">#REF!</definedName>
    <definedName name="______BTC13" localSheetId="12">#REF!</definedName>
    <definedName name="______BTC13" localSheetId="19">#REF!</definedName>
    <definedName name="______BTC13">#REF!</definedName>
    <definedName name="______BTC14" localSheetId="6">#REF!</definedName>
    <definedName name="______BTC14" localSheetId="12">#REF!</definedName>
    <definedName name="______BTC14" localSheetId="19">#REF!</definedName>
    <definedName name="______BTC14">#REF!</definedName>
    <definedName name="______BTC15" localSheetId="6">#REF!</definedName>
    <definedName name="______BTC15" localSheetId="12">#REF!</definedName>
    <definedName name="______BTC15" localSheetId="19">#REF!</definedName>
    <definedName name="______BTC15">#REF!</definedName>
    <definedName name="______BTC2" localSheetId="6">#REF!</definedName>
    <definedName name="______BTC2" localSheetId="12">#REF!</definedName>
    <definedName name="______BTC2" localSheetId="19">#REF!</definedName>
    <definedName name="______BTC2">#REF!</definedName>
    <definedName name="______BTC3" localSheetId="6">#REF!</definedName>
    <definedName name="______BTC3" localSheetId="12">#REF!</definedName>
    <definedName name="______BTC3" localSheetId="19">#REF!</definedName>
    <definedName name="______BTC3">#REF!</definedName>
    <definedName name="______BTC4" localSheetId="6">#REF!</definedName>
    <definedName name="______BTC4" localSheetId="12">#REF!</definedName>
    <definedName name="______BTC4" localSheetId="19">#REF!</definedName>
    <definedName name="______BTC4">#REF!</definedName>
    <definedName name="______BTC5" localSheetId="6">#REF!</definedName>
    <definedName name="______BTC5" localSheetId="12">#REF!</definedName>
    <definedName name="______BTC5" localSheetId="19">#REF!</definedName>
    <definedName name="______BTC5">#REF!</definedName>
    <definedName name="______BTC6" localSheetId="6">#REF!</definedName>
    <definedName name="______BTC6" localSheetId="12">#REF!</definedName>
    <definedName name="______BTC6" localSheetId="19">#REF!</definedName>
    <definedName name="______BTC6">#REF!</definedName>
    <definedName name="______BTC7" localSheetId="6">#REF!</definedName>
    <definedName name="______BTC7" localSheetId="12">#REF!</definedName>
    <definedName name="______BTC7" localSheetId="19">#REF!</definedName>
    <definedName name="______BTC7">#REF!</definedName>
    <definedName name="______BTC8" localSheetId="6">#REF!</definedName>
    <definedName name="______BTC8" localSheetId="12">#REF!</definedName>
    <definedName name="______BTC8" localSheetId="19">#REF!</definedName>
    <definedName name="______BTC8">#REF!</definedName>
    <definedName name="______BTC9" localSheetId="6">#REF!</definedName>
    <definedName name="______BTC9" localSheetId="12">#REF!</definedName>
    <definedName name="______BTC9" localSheetId="19">#REF!</definedName>
    <definedName name="______BTC9">#REF!</definedName>
    <definedName name="______BTS1" localSheetId="6">#REF!</definedName>
    <definedName name="______BTS1" localSheetId="12">#REF!</definedName>
    <definedName name="______BTS1" localSheetId="19">#REF!</definedName>
    <definedName name="______BTS1">#REF!</definedName>
    <definedName name="______BTS10" localSheetId="6">#REF!</definedName>
    <definedName name="______BTS10" localSheetId="12">#REF!</definedName>
    <definedName name="______BTS10" localSheetId="19">#REF!</definedName>
    <definedName name="______BTS10">#REF!</definedName>
    <definedName name="______BTS11" localSheetId="6">#REF!</definedName>
    <definedName name="______BTS11" localSheetId="12">#REF!</definedName>
    <definedName name="______BTS11" localSheetId="19">#REF!</definedName>
    <definedName name="______BTS11">#REF!</definedName>
    <definedName name="______BTS12" localSheetId="6">#REF!</definedName>
    <definedName name="______BTS12" localSheetId="12">#REF!</definedName>
    <definedName name="______BTS12" localSheetId="19">#REF!</definedName>
    <definedName name="______BTS12">#REF!</definedName>
    <definedName name="______BTS13" localSheetId="6">#REF!</definedName>
    <definedName name="______BTS13" localSheetId="12">#REF!</definedName>
    <definedName name="______BTS13" localSheetId="19">#REF!</definedName>
    <definedName name="______BTS13">#REF!</definedName>
    <definedName name="______BTS14" localSheetId="6">#REF!</definedName>
    <definedName name="______BTS14" localSheetId="12">#REF!</definedName>
    <definedName name="______BTS14" localSheetId="19">#REF!</definedName>
    <definedName name="______BTS14">#REF!</definedName>
    <definedName name="______BTS15" localSheetId="6">#REF!</definedName>
    <definedName name="______BTS15" localSheetId="12">#REF!</definedName>
    <definedName name="______BTS15" localSheetId="19">#REF!</definedName>
    <definedName name="______BTS15">#REF!</definedName>
    <definedName name="______BTS2" localSheetId="6">#REF!</definedName>
    <definedName name="______BTS2" localSheetId="12">#REF!</definedName>
    <definedName name="______BTS2" localSheetId="19">#REF!</definedName>
    <definedName name="______BTS2">#REF!</definedName>
    <definedName name="______BTS3" localSheetId="6">#REF!</definedName>
    <definedName name="______BTS3" localSheetId="12">#REF!</definedName>
    <definedName name="______BTS3" localSheetId="19">#REF!</definedName>
    <definedName name="______BTS3">#REF!</definedName>
    <definedName name="______BTS4" localSheetId="6">#REF!</definedName>
    <definedName name="______BTS4" localSheetId="12">#REF!</definedName>
    <definedName name="______BTS4" localSheetId="19">#REF!</definedName>
    <definedName name="______BTS4">#REF!</definedName>
    <definedName name="______BTS5" localSheetId="6">#REF!</definedName>
    <definedName name="______BTS5" localSheetId="12">#REF!</definedName>
    <definedName name="______BTS5" localSheetId="19">#REF!</definedName>
    <definedName name="______BTS5">#REF!</definedName>
    <definedName name="______BTS6" localSheetId="6">#REF!</definedName>
    <definedName name="______BTS6" localSheetId="12">#REF!</definedName>
    <definedName name="______BTS6" localSheetId="19">#REF!</definedName>
    <definedName name="______BTS6">#REF!</definedName>
    <definedName name="______BTS7" localSheetId="6">#REF!</definedName>
    <definedName name="______BTS7" localSheetId="12">#REF!</definedName>
    <definedName name="______BTS7" localSheetId="19">#REF!</definedName>
    <definedName name="______BTS7">#REF!</definedName>
    <definedName name="______BTS8" localSheetId="6">#REF!</definedName>
    <definedName name="______BTS8" localSheetId="12">#REF!</definedName>
    <definedName name="______BTS8" localSheetId="19">#REF!</definedName>
    <definedName name="______BTS8">#REF!</definedName>
    <definedName name="______BTS9" localSheetId="6">#REF!</definedName>
    <definedName name="______BTS9" localSheetId="12">#REF!</definedName>
    <definedName name="______BTS9" localSheetId="19">#REF!</definedName>
    <definedName name="______BTS9">#REF!</definedName>
    <definedName name="______can430">40.73</definedName>
    <definedName name="______can435">43.3</definedName>
    <definedName name="______cbr1" localSheetId="6">#REF!</definedName>
    <definedName name="______cbr1" localSheetId="12">#REF!</definedName>
    <definedName name="______cbr1" localSheetId="19">#REF!</definedName>
    <definedName name="______cbr1">#REF!</definedName>
    <definedName name="______cbr2" localSheetId="6">#REF!</definedName>
    <definedName name="______cbr2" localSheetId="12">#REF!</definedName>
    <definedName name="______cbr2" localSheetId="19">#REF!</definedName>
    <definedName name="______cbr2">#REF!</definedName>
    <definedName name="______cbr3" localSheetId="6">#REF!</definedName>
    <definedName name="______cbr3" localSheetId="12">#REF!</definedName>
    <definedName name="______cbr3" localSheetId="19">#REF!</definedName>
    <definedName name="______cbr3">#REF!</definedName>
    <definedName name="______cbr4" localSheetId="6">#REF!</definedName>
    <definedName name="______cbr4" localSheetId="12">#REF!</definedName>
    <definedName name="______cbr4" localSheetId="19">#REF!</definedName>
    <definedName name="______cbr4">#REF!</definedName>
    <definedName name="______er1" localSheetId="27">#REF!</definedName>
    <definedName name="______er1">#REF!</definedName>
    <definedName name="______ewe1" localSheetId="19">#REF!</definedName>
    <definedName name="______f1" localSheetId="6">#REF!</definedName>
    <definedName name="______f1" localSheetId="12">#REF!</definedName>
    <definedName name="______f1" localSheetId="34">#REF!</definedName>
    <definedName name="______f1" localSheetId="19">#REF!</definedName>
    <definedName name="______f1">#REF!</definedName>
    <definedName name="______GBS11" localSheetId="6">#REF!</definedName>
    <definedName name="______GBS11" localSheetId="12">#REF!</definedName>
    <definedName name="______GBS11" localSheetId="19">#REF!</definedName>
    <definedName name="______GBS11">#REF!</definedName>
    <definedName name="______GBS110" localSheetId="6">#REF!</definedName>
    <definedName name="______GBS110" localSheetId="12">#REF!</definedName>
    <definedName name="______GBS110" localSheetId="19">#REF!</definedName>
    <definedName name="______GBS110">#REF!</definedName>
    <definedName name="______GBS111" localSheetId="6">#REF!</definedName>
    <definedName name="______GBS111" localSheetId="12">#REF!</definedName>
    <definedName name="______GBS111" localSheetId="19">#REF!</definedName>
    <definedName name="______GBS111">#REF!</definedName>
    <definedName name="______GBS112" localSheetId="6">#REF!</definedName>
    <definedName name="______GBS112" localSheetId="12">#REF!</definedName>
    <definedName name="______GBS112" localSheetId="19">#REF!</definedName>
    <definedName name="______GBS112">#REF!</definedName>
    <definedName name="______GBS113" localSheetId="6">#REF!</definedName>
    <definedName name="______GBS113" localSheetId="12">#REF!</definedName>
    <definedName name="______GBS113" localSheetId="19">#REF!</definedName>
    <definedName name="______GBS113">#REF!</definedName>
    <definedName name="______GBS114" localSheetId="6">#REF!</definedName>
    <definedName name="______GBS114" localSheetId="12">#REF!</definedName>
    <definedName name="______GBS114" localSheetId="19">#REF!</definedName>
    <definedName name="______GBS114">#REF!</definedName>
    <definedName name="______GBS115" localSheetId="6">#REF!</definedName>
    <definedName name="______GBS115" localSheetId="12">#REF!</definedName>
    <definedName name="______GBS115" localSheetId="19">#REF!</definedName>
    <definedName name="______GBS115">#REF!</definedName>
    <definedName name="______GBS12" localSheetId="6">#REF!</definedName>
    <definedName name="______GBS12" localSheetId="12">#REF!</definedName>
    <definedName name="______GBS12" localSheetId="19">#REF!</definedName>
    <definedName name="______GBS12">#REF!</definedName>
    <definedName name="______GBS13" localSheetId="6">#REF!</definedName>
    <definedName name="______GBS13" localSheetId="12">#REF!</definedName>
    <definedName name="______GBS13" localSheetId="19">#REF!</definedName>
    <definedName name="______GBS13">#REF!</definedName>
    <definedName name="______GBS14" localSheetId="6">#REF!</definedName>
    <definedName name="______GBS14" localSheetId="12">#REF!</definedName>
    <definedName name="______GBS14" localSheetId="19">#REF!</definedName>
    <definedName name="______GBS14">#REF!</definedName>
    <definedName name="______GBS15" localSheetId="6">#REF!</definedName>
    <definedName name="______GBS15" localSheetId="12">#REF!</definedName>
    <definedName name="______GBS15" localSheetId="19">#REF!</definedName>
    <definedName name="______GBS15">#REF!</definedName>
    <definedName name="______GBS16" localSheetId="6">#REF!</definedName>
    <definedName name="______GBS16" localSheetId="12">#REF!</definedName>
    <definedName name="______GBS16" localSheetId="19">#REF!</definedName>
    <definedName name="______GBS16">#REF!</definedName>
    <definedName name="______GBS17" localSheetId="6">#REF!</definedName>
    <definedName name="______GBS17" localSheetId="12">#REF!</definedName>
    <definedName name="______GBS17" localSheetId="19">#REF!</definedName>
    <definedName name="______GBS17">#REF!</definedName>
    <definedName name="______GBS18" localSheetId="6">#REF!</definedName>
    <definedName name="______GBS18" localSheetId="12">#REF!</definedName>
    <definedName name="______GBS18" localSheetId="19">#REF!</definedName>
    <definedName name="______GBS18">#REF!</definedName>
    <definedName name="______GBS19" localSheetId="6">#REF!</definedName>
    <definedName name="______GBS19" localSheetId="12">#REF!</definedName>
    <definedName name="______GBS19" localSheetId="19">#REF!</definedName>
    <definedName name="______GBS19">#REF!</definedName>
    <definedName name="______GBS21" localSheetId="6">#REF!</definedName>
    <definedName name="______GBS21" localSheetId="12">#REF!</definedName>
    <definedName name="______GBS21" localSheetId="19">#REF!</definedName>
    <definedName name="______GBS21">#REF!</definedName>
    <definedName name="______GBS210" localSheetId="6">#REF!</definedName>
    <definedName name="______GBS210" localSheetId="12">#REF!</definedName>
    <definedName name="______GBS210" localSheetId="19">#REF!</definedName>
    <definedName name="______GBS210">#REF!</definedName>
    <definedName name="______GBS211" localSheetId="6">#REF!</definedName>
    <definedName name="______GBS211" localSheetId="12">#REF!</definedName>
    <definedName name="______GBS211" localSheetId="19">#REF!</definedName>
    <definedName name="______GBS211">#REF!</definedName>
    <definedName name="______GBS212" localSheetId="6">#REF!</definedName>
    <definedName name="______GBS212" localSheetId="12">#REF!</definedName>
    <definedName name="______GBS212" localSheetId="19">#REF!</definedName>
    <definedName name="______GBS212">#REF!</definedName>
    <definedName name="______GBS213" localSheetId="6">#REF!</definedName>
    <definedName name="______GBS213" localSheetId="12">#REF!</definedName>
    <definedName name="______GBS213" localSheetId="19">#REF!</definedName>
    <definedName name="______GBS213">#REF!</definedName>
    <definedName name="______GBS214" localSheetId="6">#REF!</definedName>
    <definedName name="______GBS214" localSheetId="12">#REF!</definedName>
    <definedName name="______GBS214" localSheetId="19">#REF!</definedName>
    <definedName name="______GBS214">#REF!</definedName>
    <definedName name="______GBS215" localSheetId="6">#REF!</definedName>
    <definedName name="______GBS215" localSheetId="12">#REF!</definedName>
    <definedName name="______GBS215" localSheetId="19">#REF!</definedName>
    <definedName name="______GBS215">#REF!</definedName>
    <definedName name="______GBS22" localSheetId="6">#REF!</definedName>
    <definedName name="______GBS22" localSheetId="12">#REF!</definedName>
    <definedName name="______GBS22" localSheetId="19">#REF!</definedName>
    <definedName name="______GBS22">#REF!</definedName>
    <definedName name="______GBS23" localSheetId="6">#REF!</definedName>
    <definedName name="______GBS23" localSheetId="12">#REF!</definedName>
    <definedName name="______GBS23" localSheetId="19">#REF!</definedName>
    <definedName name="______GBS23">#REF!</definedName>
    <definedName name="______GBS24" localSheetId="6">#REF!</definedName>
    <definedName name="______GBS24" localSheetId="12">#REF!</definedName>
    <definedName name="______GBS24" localSheetId="19">#REF!</definedName>
    <definedName name="______GBS24">#REF!</definedName>
    <definedName name="______GBS25" localSheetId="6">#REF!</definedName>
    <definedName name="______GBS25" localSheetId="12">#REF!</definedName>
    <definedName name="______GBS25" localSheetId="19">#REF!</definedName>
    <definedName name="______GBS25">#REF!</definedName>
    <definedName name="______GBS26" localSheetId="6">#REF!</definedName>
    <definedName name="______GBS26" localSheetId="12">#REF!</definedName>
    <definedName name="______GBS26" localSheetId="19">#REF!</definedName>
    <definedName name="______GBS26">#REF!</definedName>
    <definedName name="______GBS27" localSheetId="6">#REF!</definedName>
    <definedName name="______GBS27" localSheetId="12">#REF!</definedName>
    <definedName name="______GBS27" localSheetId="19">#REF!</definedName>
    <definedName name="______GBS27">#REF!</definedName>
    <definedName name="______GBS28" localSheetId="6">#REF!</definedName>
    <definedName name="______GBS28" localSheetId="12">#REF!</definedName>
    <definedName name="______GBS28" localSheetId="19">#REF!</definedName>
    <definedName name="______GBS28">#REF!</definedName>
    <definedName name="______GBS29" localSheetId="6">#REF!</definedName>
    <definedName name="______GBS29" localSheetId="12">#REF!</definedName>
    <definedName name="______GBS29" localSheetId="19">#REF!</definedName>
    <definedName name="______GBS29">#REF!</definedName>
    <definedName name="______gus1">#REF!</definedName>
    <definedName name="______hpm1">#REF!</definedName>
    <definedName name="______knr2" localSheetId="5">#REF!</definedName>
    <definedName name="______knr2" localSheetId="14">#REF!</definedName>
    <definedName name="______knr2" localSheetId="6">#REF!</definedName>
    <definedName name="______knr2" localSheetId="12">#REF!</definedName>
    <definedName name="______knr2" localSheetId="19">#REF!</definedName>
    <definedName name="______knr2">#REF!</definedName>
    <definedName name="______l12" localSheetId="22">#REF!</definedName>
    <definedName name="______l12" localSheetId="5">#REF!</definedName>
    <definedName name="______l12" localSheetId="6">#REF!</definedName>
    <definedName name="______l12" localSheetId="12">#REF!</definedName>
    <definedName name="______l12" localSheetId="34">#REF!</definedName>
    <definedName name="______l12" localSheetId="19">#REF!</definedName>
    <definedName name="______l12" localSheetId="30">#REF!</definedName>
    <definedName name="______l12" localSheetId="40">#REF!</definedName>
    <definedName name="______l12" localSheetId="26">#REF!</definedName>
    <definedName name="______l12">#REF!</definedName>
    <definedName name="______l12_33">"$#REF!.$#REF!$#REF!"</definedName>
    <definedName name="______l12_38">"$#REF!.$#REF!$#REF!"</definedName>
    <definedName name="______l12_41">"$#REF!.$#REF!$#REF!"</definedName>
    <definedName name="______l12_7">"$#REF!.$#REF!$#REF!"</definedName>
    <definedName name="______l12_8">"$#REF!.$#REF!$#REF!"</definedName>
    <definedName name="______l3" localSheetId="22">#REF!</definedName>
    <definedName name="______l3" localSheetId="5">#REF!</definedName>
    <definedName name="______l3" localSheetId="6">#REF!</definedName>
    <definedName name="______l3" localSheetId="12">#REF!</definedName>
    <definedName name="______l3" localSheetId="34">#REF!</definedName>
    <definedName name="______l3" localSheetId="19">#REF!</definedName>
    <definedName name="______l3" localSheetId="30">#REF!</definedName>
    <definedName name="______l3" localSheetId="40">#REF!</definedName>
    <definedName name="______l3" localSheetId="26">#REF!</definedName>
    <definedName name="______l3">#REF!</definedName>
    <definedName name="______l3_33">"$#REF!.$#REF!$#REF!"</definedName>
    <definedName name="______l3_38">"$#REF!.$#REF!$#REF!"</definedName>
    <definedName name="______l3_41">"$#REF!.$#REF!$#REF!"</definedName>
    <definedName name="______l3_7">"$#REF!.$#REF!$#REF!"</definedName>
    <definedName name="______l3_8">"$#REF!.$#REF!$#REF!"</definedName>
    <definedName name="______l5" localSheetId="22">#REF!</definedName>
    <definedName name="______l5" localSheetId="5">#REF!</definedName>
    <definedName name="______l5" localSheetId="6">#REF!</definedName>
    <definedName name="______l5" localSheetId="12">#REF!</definedName>
    <definedName name="______l5" localSheetId="34">#REF!</definedName>
    <definedName name="______l5" localSheetId="19">#REF!</definedName>
    <definedName name="______l5" localSheetId="30">#REF!</definedName>
    <definedName name="______l5" localSheetId="40">#REF!</definedName>
    <definedName name="______l5" localSheetId="26">#REF!</definedName>
    <definedName name="______l5">#REF!</definedName>
    <definedName name="______l5_33">"$#REF!.$#REF!$#REF!"</definedName>
    <definedName name="______l5_38">"$#REF!.$#REF!$#REF!"</definedName>
    <definedName name="______l5_41">"$#REF!.$#REF!$#REF!"</definedName>
    <definedName name="______l5_7">"$#REF!.$#REF!$#REF!"</definedName>
    <definedName name="______l5_8">"$#REF!.$#REF!$#REF!"</definedName>
    <definedName name="______lcn1" localSheetId="27">#REF!</definedName>
    <definedName name="______lcn1">#REF!</definedName>
    <definedName name="______LI9" localSheetId="6">#REF!</definedName>
    <definedName name="______LI9" localSheetId="12">#REF!</definedName>
    <definedName name="______LI9" localSheetId="19">#REF!</definedName>
    <definedName name="______LI9">#REF!</definedName>
    <definedName name="______LII9" localSheetId="6">#REF!</definedName>
    <definedName name="______LII9" localSheetId="12">#REF!</definedName>
    <definedName name="______LII9" localSheetId="19">#REF!</definedName>
    <definedName name="______LII9">#REF!</definedName>
    <definedName name="______lm1" localSheetId="27">#REF!</definedName>
    <definedName name="______lm1">#REF!</definedName>
    <definedName name="______ML11" localSheetId="6">#REF!</definedName>
    <definedName name="______ML11" localSheetId="12">#REF!</definedName>
    <definedName name="______ML11" localSheetId="19">#REF!</definedName>
    <definedName name="______ML11">#REF!</definedName>
    <definedName name="______ML110" localSheetId="6">#REF!</definedName>
    <definedName name="______ML110" localSheetId="12">#REF!</definedName>
    <definedName name="______ML110" localSheetId="19">#REF!</definedName>
    <definedName name="______ML110">#REF!</definedName>
    <definedName name="______ML111" localSheetId="6">#REF!</definedName>
    <definedName name="______ML111" localSheetId="12">#REF!</definedName>
    <definedName name="______ML111" localSheetId="19">#REF!</definedName>
    <definedName name="______ML111">#REF!</definedName>
    <definedName name="______ML112" localSheetId="6">#REF!</definedName>
    <definedName name="______ML112" localSheetId="12">#REF!</definedName>
    <definedName name="______ML112" localSheetId="19">#REF!</definedName>
    <definedName name="______ML112">#REF!</definedName>
    <definedName name="______ML113" localSheetId="6">#REF!</definedName>
    <definedName name="______ML113" localSheetId="12">#REF!</definedName>
    <definedName name="______ML113" localSheetId="19">#REF!</definedName>
    <definedName name="______ML113">#REF!</definedName>
    <definedName name="______ML114" localSheetId="6">#REF!</definedName>
    <definedName name="______ML114" localSheetId="12">#REF!</definedName>
    <definedName name="______ML114" localSheetId="19">#REF!</definedName>
    <definedName name="______ML114">#REF!</definedName>
    <definedName name="______ML115" localSheetId="6">#REF!</definedName>
    <definedName name="______ML115" localSheetId="12">#REF!</definedName>
    <definedName name="______ML115" localSheetId="19">#REF!</definedName>
    <definedName name="______ML115">#REF!</definedName>
    <definedName name="______ML12" localSheetId="6">#REF!</definedName>
    <definedName name="______ML12" localSheetId="12">#REF!</definedName>
    <definedName name="______ML12" localSheetId="19">#REF!</definedName>
    <definedName name="______ML12">#REF!</definedName>
    <definedName name="______ML13" localSheetId="6">#REF!</definedName>
    <definedName name="______ML13" localSheetId="12">#REF!</definedName>
    <definedName name="______ML13" localSheetId="19">#REF!</definedName>
    <definedName name="______ML13">#REF!</definedName>
    <definedName name="______ML14" localSheetId="6">#REF!</definedName>
    <definedName name="______ML14" localSheetId="12">#REF!</definedName>
    <definedName name="______ML14" localSheetId="19">#REF!</definedName>
    <definedName name="______ML14">#REF!</definedName>
    <definedName name="______ML15" localSheetId="6">#REF!</definedName>
    <definedName name="______ML15" localSheetId="12">#REF!</definedName>
    <definedName name="______ML15" localSheetId="19">#REF!</definedName>
    <definedName name="______ML15">#REF!</definedName>
    <definedName name="______ML16" localSheetId="6">#REF!</definedName>
    <definedName name="______ML16" localSheetId="12">#REF!</definedName>
    <definedName name="______ML16" localSheetId="19">#REF!</definedName>
    <definedName name="______ML16">#REF!</definedName>
    <definedName name="______ML17" localSheetId="6">#REF!</definedName>
    <definedName name="______ML17" localSheetId="12">#REF!</definedName>
    <definedName name="______ML17" localSheetId="19">#REF!</definedName>
    <definedName name="______ML17">#REF!</definedName>
    <definedName name="______ML18" localSheetId="6">#REF!</definedName>
    <definedName name="______ML18" localSheetId="12">#REF!</definedName>
    <definedName name="______ML18" localSheetId="19">#REF!</definedName>
    <definedName name="______ML18">#REF!</definedName>
    <definedName name="______ML19" localSheetId="6">#REF!</definedName>
    <definedName name="______ML19" localSheetId="12">#REF!</definedName>
    <definedName name="______ML19" localSheetId="19">#REF!</definedName>
    <definedName name="______ML19">#REF!</definedName>
    <definedName name="______ML21" localSheetId="6">#REF!</definedName>
    <definedName name="______ML21" localSheetId="12">#REF!</definedName>
    <definedName name="______ML21" localSheetId="19">#REF!</definedName>
    <definedName name="______ML21">#REF!</definedName>
    <definedName name="______ML210" localSheetId="6">#REF!</definedName>
    <definedName name="______ML210" localSheetId="12">#REF!</definedName>
    <definedName name="______ML210" localSheetId="19">#REF!</definedName>
    <definedName name="______ML210">#REF!</definedName>
    <definedName name="______ML211" localSheetId="6">#REF!</definedName>
    <definedName name="______ML211" localSheetId="12">#REF!</definedName>
    <definedName name="______ML211" localSheetId="19">#REF!</definedName>
    <definedName name="______ML211">#REF!</definedName>
    <definedName name="______ML212" localSheetId="6">#REF!</definedName>
    <definedName name="______ML212" localSheetId="12">#REF!</definedName>
    <definedName name="______ML212" localSheetId="19">#REF!</definedName>
    <definedName name="______ML212">#REF!</definedName>
    <definedName name="______ML213" localSheetId="6">#REF!</definedName>
    <definedName name="______ML213" localSheetId="12">#REF!</definedName>
    <definedName name="______ML213" localSheetId="19">#REF!</definedName>
    <definedName name="______ML213">#REF!</definedName>
    <definedName name="______ML214" localSheetId="6">#REF!</definedName>
    <definedName name="______ML214" localSheetId="12">#REF!</definedName>
    <definedName name="______ML214" localSheetId="19">#REF!</definedName>
    <definedName name="______ML214">#REF!</definedName>
    <definedName name="______ML215" localSheetId="6">#REF!</definedName>
    <definedName name="______ML215" localSheetId="12">#REF!</definedName>
    <definedName name="______ML215" localSheetId="19">#REF!</definedName>
    <definedName name="______ML215">#REF!</definedName>
    <definedName name="______ML22" localSheetId="6">#REF!</definedName>
    <definedName name="______ML22" localSheetId="12">#REF!</definedName>
    <definedName name="______ML22" localSheetId="19">#REF!</definedName>
    <definedName name="______ML22">#REF!</definedName>
    <definedName name="______ML23" localSheetId="6">#REF!</definedName>
    <definedName name="______ML23" localSheetId="12">#REF!</definedName>
    <definedName name="______ML23" localSheetId="19">#REF!</definedName>
    <definedName name="______ML23">#REF!</definedName>
    <definedName name="______ML24" localSheetId="6">#REF!</definedName>
    <definedName name="______ML24" localSheetId="12">#REF!</definedName>
    <definedName name="______ML24" localSheetId="19">#REF!</definedName>
    <definedName name="______ML24">#REF!</definedName>
    <definedName name="______ML25" localSheetId="6">#REF!</definedName>
    <definedName name="______ML25" localSheetId="12">#REF!</definedName>
    <definedName name="______ML25" localSheetId="19">#REF!</definedName>
    <definedName name="______ML25">#REF!</definedName>
    <definedName name="______ML26" localSheetId="6">#REF!</definedName>
    <definedName name="______ML26" localSheetId="12">#REF!</definedName>
    <definedName name="______ML26" localSheetId="19">#REF!</definedName>
    <definedName name="______ML26">#REF!</definedName>
    <definedName name="______ML27" localSheetId="6">#REF!</definedName>
    <definedName name="______ML27" localSheetId="12">#REF!</definedName>
    <definedName name="______ML27" localSheetId="19">#REF!</definedName>
    <definedName name="______ML27">#REF!</definedName>
    <definedName name="______ML28" localSheetId="6">#REF!</definedName>
    <definedName name="______ML28" localSheetId="12">#REF!</definedName>
    <definedName name="______ML28" localSheetId="19">#REF!</definedName>
    <definedName name="______ML28">#REF!</definedName>
    <definedName name="______ML29" localSheetId="6">#REF!</definedName>
    <definedName name="______ML29" localSheetId="12">#REF!</definedName>
    <definedName name="______ML29" localSheetId="19">#REF!</definedName>
    <definedName name="______ML29">#REF!</definedName>
    <definedName name="______ML31" localSheetId="6">#REF!</definedName>
    <definedName name="______ML31" localSheetId="12">#REF!</definedName>
    <definedName name="______ML31" localSheetId="19">#REF!</definedName>
    <definedName name="______ML31">#REF!</definedName>
    <definedName name="______ML310" localSheetId="6">#REF!</definedName>
    <definedName name="______ML310" localSheetId="12">#REF!</definedName>
    <definedName name="______ML310" localSheetId="19">#REF!</definedName>
    <definedName name="______ML310">#REF!</definedName>
    <definedName name="______ML311" localSheetId="6">#REF!</definedName>
    <definedName name="______ML311" localSheetId="12">#REF!</definedName>
    <definedName name="______ML311" localSheetId="19">#REF!</definedName>
    <definedName name="______ML311">#REF!</definedName>
    <definedName name="______ML312" localSheetId="6">#REF!</definedName>
    <definedName name="______ML312" localSheetId="12">#REF!</definedName>
    <definedName name="______ML312" localSheetId="19">#REF!</definedName>
    <definedName name="______ML312">#REF!</definedName>
    <definedName name="______ML313" localSheetId="6">#REF!</definedName>
    <definedName name="______ML313" localSheetId="12">#REF!</definedName>
    <definedName name="______ML313" localSheetId="19">#REF!</definedName>
    <definedName name="______ML313">#REF!</definedName>
    <definedName name="______ML314" localSheetId="6">#REF!</definedName>
    <definedName name="______ML314" localSheetId="12">#REF!</definedName>
    <definedName name="______ML314" localSheetId="19">#REF!</definedName>
    <definedName name="______ML314">#REF!</definedName>
    <definedName name="______ML315" localSheetId="6">#REF!</definedName>
    <definedName name="______ML315" localSheetId="12">#REF!</definedName>
    <definedName name="______ML315" localSheetId="19">#REF!</definedName>
    <definedName name="______ML315">#REF!</definedName>
    <definedName name="______ML32" localSheetId="6">#REF!</definedName>
    <definedName name="______ML32" localSheetId="12">#REF!</definedName>
    <definedName name="______ML32" localSheetId="19">#REF!</definedName>
    <definedName name="______ML32">#REF!</definedName>
    <definedName name="______ML33" localSheetId="6">#REF!</definedName>
    <definedName name="______ML33" localSheetId="12">#REF!</definedName>
    <definedName name="______ML33" localSheetId="19">#REF!</definedName>
    <definedName name="______ML33">#REF!</definedName>
    <definedName name="______ML34" localSheetId="6">#REF!</definedName>
    <definedName name="______ML34" localSheetId="12">#REF!</definedName>
    <definedName name="______ML34" localSheetId="19">#REF!</definedName>
    <definedName name="______ML34">#REF!</definedName>
    <definedName name="______ML35" localSheetId="6">#REF!</definedName>
    <definedName name="______ML35" localSheetId="12">#REF!</definedName>
    <definedName name="______ML35" localSheetId="19">#REF!</definedName>
    <definedName name="______ML35">#REF!</definedName>
    <definedName name="______ML36" localSheetId="6">#REF!</definedName>
    <definedName name="______ML36" localSheetId="12">#REF!</definedName>
    <definedName name="______ML36" localSheetId="19">#REF!</definedName>
    <definedName name="______ML36">#REF!</definedName>
    <definedName name="______ML37" localSheetId="6">#REF!</definedName>
    <definedName name="______ML37" localSheetId="12">#REF!</definedName>
    <definedName name="______ML37" localSheetId="19">#REF!</definedName>
    <definedName name="______ML37">#REF!</definedName>
    <definedName name="______ML38" localSheetId="6">#REF!</definedName>
    <definedName name="______ML38" localSheetId="12">#REF!</definedName>
    <definedName name="______ML38" localSheetId="19">#REF!</definedName>
    <definedName name="______ML38">#REF!</definedName>
    <definedName name="______ML39" localSheetId="6">#REF!</definedName>
    <definedName name="______ML39" localSheetId="12">#REF!</definedName>
    <definedName name="______ML39" localSheetId="19">#REF!</definedName>
    <definedName name="______ML39">#REF!</definedName>
    <definedName name="______ML7" localSheetId="6">#REF!</definedName>
    <definedName name="______ML7" localSheetId="12">#REF!</definedName>
    <definedName name="______ML7" localSheetId="19">#REF!</definedName>
    <definedName name="______ML7">#REF!</definedName>
    <definedName name="______ML8" localSheetId="6">#REF!</definedName>
    <definedName name="______ML8" localSheetId="12">#REF!</definedName>
    <definedName name="______ML8" localSheetId="19">#REF!</definedName>
    <definedName name="______ML8">#REF!</definedName>
    <definedName name="______ML9" localSheetId="6">#REF!</definedName>
    <definedName name="______ML9" localSheetId="12">#REF!</definedName>
    <definedName name="______ML9" localSheetId="19">#REF!</definedName>
    <definedName name="______ML9">#REF!</definedName>
    <definedName name="______mm20" localSheetId="6">#REF!</definedName>
    <definedName name="______mm20" localSheetId="12">#REF!</definedName>
    <definedName name="______mm20" localSheetId="19">#REF!</definedName>
    <definedName name="______mm20">#REF!</definedName>
    <definedName name="______mm40" localSheetId="6">#REF!</definedName>
    <definedName name="______mm40" localSheetId="12">#REF!</definedName>
    <definedName name="______mm40" localSheetId="19">#REF!</definedName>
    <definedName name="______mm40">#REF!</definedName>
    <definedName name="______pc2" localSheetId="22">#REF!</definedName>
    <definedName name="______pc2" localSheetId="5">#REF!</definedName>
    <definedName name="______pc2" localSheetId="6">#REF!</definedName>
    <definedName name="______pc2" localSheetId="12">#REF!</definedName>
    <definedName name="______pc2" localSheetId="34">#REF!</definedName>
    <definedName name="______pc2" localSheetId="19">#REF!</definedName>
    <definedName name="______pc2" localSheetId="30">#REF!</definedName>
    <definedName name="______pc2" localSheetId="40">#REF!</definedName>
    <definedName name="______pc2" localSheetId="26">#REF!</definedName>
    <definedName name="______pc2">#REF!</definedName>
    <definedName name="______pc2_33">"$#REF!.$#REF!$#REF!"</definedName>
    <definedName name="______pc2_38">"$#REF!.$#REF!$#REF!"</definedName>
    <definedName name="______pc2_41">"$#REF!.$#REF!$#REF!"</definedName>
    <definedName name="______pc2_7">"$#REF!.$#REF!$#REF!"</definedName>
    <definedName name="______pc2_8">"$#REF!.$#REF!$#REF!"</definedName>
    <definedName name="______PMS2" localSheetId="6">#REF!</definedName>
    <definedName name="______PMS2" localSheetId="12">#REF!</definedName>
    <definedName name="______PMS2" localSheetId="19">#REF!</definedName>
    <definedName name="______PMS2">#REF!</definedName>
    <definedName name="______pv2" localSheetId="22">#REF!</definedName>
    <definedName name="______pv2" localSheetId="5">#REF!</definedName>
    <definedName name="______pv2" localSheetId="6">#REF!</definedName>
    <definedName name="______pv2" localSheetId="12">#REF!</definedName>
    <definedName name="______pv2" localSheetId="34">#REF!</definedName>
    <definedName name="______pv2" localSheetId="19">#REF!</definedName>
    <definedName name="______pv2" localSheetId="30">#REF!</definedName>
    <definedName name="______pv2" localSheetId="40">#REF!</definedName>
    <definedName name="______pv2" localSheetId="26">#REF!</definedName>
    <definedName name="______pv2">#REF!</definedName>
    <definedName name="______pv2_33">"$#REF!.$#REF!$#REF!"</definedName>
    <definedName name="______pv2_38">"$#REF!.$#REF!$#REF!"</definedName>
    <definedName name="______pv2_41">"$#REF!.$#REF!$#REF!"</definedName>
    <definedName name="______pv2_7">"$#REF!.$#REF!$#REF!"</definedName>
    <definedName name="______pv2_8">"$#REF!.$#REF!$#REF!"</definedName>
    <definedName name="______SO016" localSheetId="6">#REF!</definedName>
    <definedName name="______SO016" localSheetId="12">#REF!</definedName>
    <definedName name="______SO016" localSheetId="34">#REF!</definedName>
    <definedName name="______SO016" localSheetId="19">#REF!</definedName>
    <definedName name="______SO016">#REF!</definedName>
    <definedName name="______SP001" localSheetId="6">#REF!</definedName>
    <definedName name="______SP001" localSheetId="12">#REF!</definedName>
    <definedName name="______SP001" localSheetId="34">#REF!</definedName>
    <definedName name="______SP001" localSheetId="19">#REF!</definedName>
    <definedName name="______SP001">#REF!</definedName>
    <definedName name="______SP002" localSheetId="6">#REF!</definedName>
    <definedName name="______SP002" localSheetId="12">#REF!</definedName>
    <definedName name="______SP002" localSheetId="34">#REF!</definedName>
    <definedName name="______SP002" localSheetId="19">#REF!</definedName>
    <definedName name="______SP002">#REF!</definedName>
    <definedName name="______SP003" localSheetId="6">#REF!</definedName>
    <definedName name="______SP003" localSheetId="12">#REF!</definedName>
    <definedName name="______SP003" localSheetId="34">#REF!</definedName>
    <definedName name="______SP003" localSheetId="19">#REF!</definedName>
    <definedName name="______SP003">#REF!</definedName>
    <definedName name="______SP004" localSheetId="6">#REF!</definedName>
    <definedName name="______SP004" localSheetId="12">#REF!</definedName>
    <definedName name="______SP004" localSheetId="34">#REF!</definedName>
    <definedName name="______SP004" localSheetId="19">#REF!</definedName>
    <definedName name="______SP004">#REF!</definedName>
    <definedName name="______SP005" localSheetId="6">#REF!</definedName>
    <definedName name="______SP005" localSheetId="12">#REF!</definedName>
    <definedName name="______SP005" localSheetId="34">#REF!</definedName>
    <definedName name="______SP005" localSheetId="19">#REF!</definedName>
    <definedName name="______SP005">#REF!</definedName>
    <definedName name="______SP006" localSheetId="6">#REF!</definedName>
    <definedName name="______SP006" localSheetId="12">#REF!</definedName>
    <definedName name="______SP006" localSheetId="34">#REF!</definedName>
    <definedName name="______SP006" localSheetId="19">#REF!</definedName>
    <definedName name="______SP006">#REF!</definedName>
    <definedName name="______SP007" localSheetId="6">#REF!</definedName>
    <definedName name="______SP007" localSheetId="12">#REF!</definedName>
    <definedName name="______SP007" localSheetId="34">#REF!</definedName>
    <definedName name="______SP007" localSheetId="19">#REF!</definedName>
    <definedName name="______SP007">#REF!</definedName>
    <definedName name="______SP008" localSheetId="6">#REF!</definedName>
    <definedName name="______SP008" localSheetId="12">#REF!</definedName>
    <definedName name="______SP008" localSheetId="34">#REF!</definedName>
    <definedName name="______SP008" localSheetId="19">#REF!</definedName>
    <definedName name="______SP008">#REF!</definedName>
    <definedName name="______SP009" localSheetId="6">#REF!</definedName>
    <definedName name="______SP009" localSheetId="12">#REF!</definedName>
    <definedName name="______SP009" localSheetId="34">#REF!</definedName>
    <definedName name="______SP009" localSheetId="19">#REF!</definedName>
    <definedName name="______SP009">#REF!</definedName>
    <definedName name="______SP010" localSheetId="6">#REF!</definedName>
    <definedName name="______SP010" localSheetId="12">#REF!</definedName>
    <definedName name="______SP010" localSheetId="34">#REF!</definedName>
    <definedName name="______SP010" localSheetId="19">#REF!</definedName>
    <definedName name="______SP010">#REF!</definedName>
    <definedName name="______SP011" localSheetId="6">#REF!</definedName>
    <definedName name="______SP011" localSheetId="12">#REF!</definedName>
    <definedName name="______SP011" localSheetId="34">#REF!</definedName>
    <definedName name="______SP011" localSheetId="19">#REF!</definedName>
    <definedName name="______SP011">#REF!</definedName>
    <definedName name="______SP012" localSheetId="6">#REF!</definedName>
    <definedName name="______SP012" localSheetId="12">#REF!</definedName>
    <definedName name="______SP012" localSheetId="34">#REF!</definedName>
    <definedName name="______SP012" localSheetId="19">#REF!</definedName>
    <definedName name="______SP012">#REF!</definedName>
    <definedName name="______SP013" localSheetId="6">#REF!</definedName>
    <definedName name="______SP013" localSheetId="12">#REF!</definedName>
    <definedName name="______SP013" localSheetId="34">#REF!</definedName>
    <definedName name="______SP013" localSheetId="19">#REF!</definedName>
    <definedName name="______SP013">#REF!</definedName>
    <definedName name="______SP014" localSheetId="6">#REF!</definedName>
    <definedName name="______SP014" localSheetId="12">#REF!</definedName>
    <definedName name="______SP014" localSheetId="34">#REF!</definedName>
    <definedName name="______SP014" localSheetId="19">#REF!</definedName>
    <definedName name="______SP014">#REF!</definedName>
    <definedName name="______SP015" localSheetId="6">#REF!</definedName>
    <definedName name="______SP015" localSheetId="12">#REF!</definedName>
    <definedName name="______SP015" localSheetId="34">#REF!</definedName>
    <definedName name="______SP015" localSheetId="19">#REF!</definedName>
    <definedName name="______SP015">#REF!</definedName>
    <definedName name="______SP016" localSheetId="6">#REF!</definedName>
    <definedName name="______SP016" localSheetId="12">#REF!</definedName>
    <definedName name="______SP016" localSheetId="34">#REF!</definedName>
    <definedName name="______SP016" localSheetId="19">#REF!</definedName>
    <definedName name="______SP016">#REF!</definedName>
    <definedName name="______SP017" localSheetId="6">#REF!</definedName>
    <definedName name="______SP017" localSheetId="12">#REF!</definedName>
    <definedName name="______SP017" localSheetId="34">#REF!</definedName>
    <definedName name="______SP017" localSheetId="19">#REF!</definedName>
    <definedName name="______SP017">#REF!</definedName>
    <definedName name="______SP018" localSheetId="6">#REF!</definedName>
    <definedName name="______SP018" localSheetId="12">#REF!</definedName>
    <definedName name="______SP018" localSheetId="34">#REF!</definedName>
    <definedName name="______SP018" localSheetId="19">#REF!</definedName>
    <definedName name="______SP018">#REF!</definedName>
    <definedName name="______SP019" localSheetId="6">#REF!</definedName>
    <definedName name="______SP019" localSheetId="12">#REF!</definedName>
    <definedName name="______SP019" localSheetId="34">#REF!</definedName>
    <definedName name="______SP019" localSheetId="19">#REF!</definedName>
    <definedName name="______SP019">#REF!</definedName>
    <definedName name="______SP020" localSheetId="6">#REF!</definedName>
    <definedName name="______SP020" localSheetId="12">#REF!</definedName>
    <definedName name="______SP020" localSheetId="34">#REF!</definedName>
    <definedName name="______SP020" localSheetId="19">#REF!</definedName>
    <definedName name="______SP020">#REF!</definedName>
    <definedName name="______SP021" localSheetId="6">#REF!</definedName>
    <definedName name="______SP021" localSheetId="12">#REF!</definedName>
    <definedName name="______SP021" localSheetId="34">#REF!</definedName>
    <definedName name="______SP021" localSheetId="19">#REF!</definedName>
    <definedName name="______SP021">#REF!</definedName>
    <definedName name="______SP022" localSheetId="6">#REF!</definedName>
    <definedName name="______SP022" localSheetId="12">#REF!</definedName>
    <definedName name="______SP022" localSheetId="34">#REF!</definedName>
    <definedName name="______SP022" localSheetId="19">#REF!</definedName>
    <definedName name="______SP022">#REF!</definedName>
    <definedName name="______SP023" localSheetId="6">#REF!</definedName>
    <definedName name="______SP023" localSheetId="12">#REF!</definedName>
    <definedName name="______SP023" localSheetId="34">#REF!</definedName>
    <definedName name="______SP023" localSheetId="19">#REF!</definedName>
    <definedName name="______SP023">#REF!</definedName>
    <definedName name="______SP024" localSheetId="6">#REF!</definedName>
    <definedName name="______SP024" localSheetId="12">#REF!</definedName>
    <definedName name="______SP024" localSheetId="34">#REF!</definedName>
    <definedName name="______SP024" localSheetId="19">#REF!</definedName>
    <definedName name="______SP024">#REF!</definedName>
    <definedName name="______SP025" localSheetId="6">#REF!</definedName>
    <definedName name="______SP025" localSheetId="12">#REF!</definedName>
    <definedName name="______SP025" localSheetId="34">#REF!</definedName>
    <definedName name="______SP025" localSheetId="19">#REF!</definedName>
    <definedName name="______SP025">#REF!</definedName>
    <definedName name="______SP026" localSheetId="6">#REF!</definedName>
    <definedName name="______SP026" localSheetId="12">#REF!</definedName>
    <definedName name="______SP026" localSheetId="34">#REF!</definedName>
    <definedName name="______SP026" localSheetId="19">#REF!</definedName>
    <definedName name="______SP026">#REF!</definedName>
    <definedName name="______SP027" localSheetId="6">#REF!</definedName>
    <definedName name="______SP027" localSheetId="12">#REF!</definedName>
    <definedName name="______SP027" localSheetId="34">#REF!</definedName>
    <definedName name="______SP027" localSheetId="19">#REF!</definedName>
    <definedName name="______SP027">#REF!</definedName>
    <definedName name="______SP028" localSheetId="6">#REF!</definedName>
    <definedName name="______SP028" localSheetId="12">#REF!</definedName>
    <definedName name="______SP028" localSheetId="34">#REF!</definedName>
    <definedName name="______SP028" localSheetId="19">#REF!</definedName>
    <definedName name="______SP028">#REF!</definedName>
    <definedName name="______SP029" localSheetId="6">#REF!</definedName>
    <definedName name="______SP029" localSheetId="12">#REF!</definedName>
    <definedName name="______SP029" localSheetId="34">#REF!</definedName>
    <definedName name="______SP029" localSheetId="19">#REF!</definedName>
    <definedName name="______SP029">#REF!</definedName>
    <definedName name="______SP030" localSheetId="6">#REF!</definedName>
    <definedName name="______SP030" localSheetId="12">#REF!</definedName>
    <definedName name="______SP030" localSheetId="34">#REF!</definedName>
    <definedName name="______SP030" localSheetId="19">#REF!</definedName>
    <definedName name="______SP030">#REF!</definedName>
    <definedName name="______SP031" localSheetId="6">#REF!</definedName>
    <definedName name="______SP031" localSheetId="12">#REF!</definedName>
    <definedName name="______SP031" localSheetId="34">#REF!</definedName>
    <definedName name="______SP031" localSheetId="19">#REF!</definedName>
    <definedName name="______SP031">#REF!</definedName>
    <definedName name="______SP032" localSheetId="6">#REF!</definedName>
    <definedName name="______SP032" localSheetId="12">#REF!</definedName>
    <definedName name="______SP032" localSheetId="34">#REF!</definedName>
    <definedName name="______SP032" localSheetId="19">#REF!</definedName>
    <definedName name="______SP032">#REF!</definedName>
    <definedName name="______SP033" localSheetId="6">#REF!</definedName>
    <definedName name="______SP033" localSheetId="12">#REF!</definedName>
    <definedName name="______SP033" localSheetId="34">#REF!</definedName>
    <definedName name="______SP033" localSheetId="19">#REF!</definedName>
    <definedName name="______SP033">#REF!</definedName>
    <definedName name="______SP034" localSheetId="6">#REF!</definedName>
    <definedName name="______SP034" localSheetId="12">#REF!</definedName>
    <definedName name="______SP034" localSheetId="34">#REF!</definedName>
    <definedName name="______SP034" localSheetId="19">#REF!</definedName>
    <definedName name="______SP034">#REF!</definedName>
    <definedName name="______SP035" localSheetId="6">#REF!</definedName>
    <definedName name="______SP035" localSheetId="12">#REF!</definedName>
    <definedName name="______SP035" localSheetId="34">#REF!</definedName>
    <definedName name="______SP035" localSheetId="19">#REF!</definedName>
    <definedName name="______SP035">#REF!</definedName>
    <definedName name="______SP036" localSheetId="6">#REF!</definedName>
    <definedName name="______SP036" localSheetId="12">#REF!</definedName>
    <definedName name="______SP036" localSheetId="34">#REF!</definedName>
    <definedName name="______SP036" localSheetId="19">#REF!</definedName>
    <definedName name="______SP036">#REF!</definedName>
    <definedName name="______SP037" localSheetId="6">#REF!</definedName>
    <definedName name="______SP037" localSheetId="12">#REF!</definedName>
    <definedName name="______SP037" localSheetId="34">#REF!</definedName>
    <definedName name="______SP037" localSheetId="19">#REF!</definedName>
    <definedName name="______SP037">#REF!</definedName>
    <definedName name="______SP038" localSheetId="6">#REF!</definedName>
    <definedName name="______SP038" localSheetId="12">#REF!</definedName>
    <definedName name="______SP038" localSheetId="34">#REF!</definedName>
    <definedName name="______SP038" localSheetId="19">#REF!</definedName>
    <definedName name="______SP038">#REF!</definedName>
    <definedName name="______SP039" localSheetId="6">#REF!</definedName>
    <definedName name="______SP039" localSheetId="12">#REF!</definedName>
    <definedName name="______SP039" localSheetId="34">#REF!</definedName>
    <definedName name="______SP039" localSheetId="19">#REF!</definedName>
    <definedName name="______SP039">#REF!</definedName>
    <definedName name="______SP040" localSheetId="6">#REF!</definedName>
    <definedName name="______SP040" localSheetId="12">#REF!</definedName>
    <definedName name="______SP040" localSheetId="34">#REF!</definedName>
    <definedName name="______SP040" localSheetId="19">#REF!</definedName>
    <definedName name="______SP040">#REF!</definedName>
    <definedName name="______SP041" localSheetId="6">#REF!</definedName>
    <definedName name="______SP041" localSheetId="12">#REF!</definedName>
    <definedName name="______SP041" localSheetId="34">#REF!</definedName>
    <definedName name="______SP041" localSheetId="19">#REF!</definedName>
    <definedName name="______SP041">#REF!</definedName>
    <definedName name="______SP042" localSheetId="6">#REF!</definedName>
    <definedName name="______SP042" localSheetId="12">#REF!</definedName>
    <definedName name="______SP042" localSheetId="34">#REF!</definedName>
    <definedName name="______SP042" localSheetId="19">#REF!</definedName>
    <definedName name="______SP042">#REF!</definedName>
    <definedName name="______SP043" localSheetId="6">#REF!</definedName>
    <definedName name="______SP043" localSheetId="12">#REF!</definedName>
    <definedName name="______SP043" localSheetId="34">#REF!</definedName>
    <definedName name="______SP043" localSheetId="19">#REF!</definedName>
    <definedName name="______SP043">#REF!</definedName>
    <definedName name="______SP044" localSheetId="6">#REF!</definedName>
    <definedName name="______SP044" localSheetId="12">#REF!</definedName>
    <definedName name="______SP044" localSheetId="34">#REF!</definedName>
    <definedName name="______SP044" localSheetId="19">#REF!</definedName>
    <definedName name="______SP044">#REF!</definedName>
    <definedName name="______SP045" localSheetId="6">#REF!</definedName>
    <definedName name="______SP045" localSheetId="12">#REF!</definedName>
    <definedName name="______SP045" localSheetId="34">#REF!</definedName>
    <definedName name="______SP045" localSheetId="19">#REF!</definedName>
    <definedName name="______SP045">#REF!</definedName>
    <definedName name="______SP046" localSheetId="6">#REF!</definedName>
    <definedName name="______SP046" localSheetId="12">#REF!</definedName>
    <definedName name="______SP046" localSheetId="34">#REF!</definedName>
    <definedName name="______SP046" localSheetId="19">#REF!</definedName>
    <definedName name="______SP046">#REF!</definedName>
    <definedName name="______SP047" localSheetId="6">#REF!</definedName>
    <definedName name="______SP047" localSheetId="12">#REF!</definedName>
    <definedName name="______SP047" localSheetId="34">#REF!</definedName>
    <definedName name="______SP047" localSheetId="19">#REF!</definedName>
    <definedName name="______SP047">#REF!</definedName>
    <definedName name="______SP048" localSheetId="6">#REF!</definedName>
    <definedName name="______SP048" localSheetId="12">#REF!</definedName>
    <definedName name="______SP048" localSheetId="34">#REF!</definedName>
    <definedName name="______SP048" localSheetId="19">#REF!</definedName>
    <definedName name="______SP048">#REF!</definedName>
    <definedName name="______SP049" localSheetId="6">#REF!</definedName>
    <definedName name="______SP049" localSheetId="12">#REF!</definedName>
    <definedName name="______SP049" localSheetId="34">#REF!</definedName>
    <definedName name="______SP049" localSheetId="19">#REF!</definedName>
    <definedName name="______SP049">#REF!</definedName>
    <definedName name="______SP050" localSheetId="6">#REF!</definedName>
    <definedName name="______SP050" localSheetId="12">#REF!</definedName>
    <definedName name="______SP050" localSheetId="34">#REF!</definedName>
    <definedName name="______SP050" localSheetId="19">#REF!</definedName>
    <definedName name="______SP050">#REF!</definedName>
    <definedName name="______SP051" localSheetId="6">#REF!</definedName>
    <definedName name="______SP051" localSheetId="12">#REF!</definedName>
    <definedName name="______SP051" localSheetId="34">#REF!</definedName>
    <definedName name="______SP051" localSheetId="19">#REF!</definedName>
    <definedName name="______SP051">#REF!</definedName>
    <definedName name="______SP052" localSheetId="6">#REF!</definedName>
    <definedName name="______SP052" localSheetId="12">#REF!</definedName>
    <definedName name="______SP052" localSheetId="34">#REF!</definedName>
    <definedName name="______SP052" localSheetId="19">#REF!</definedName>
    <definedName name="______SP052">#REF!</definedName>
    <definedName name="______SP053" localSheetId="6">#REF!</definedName>
    <definedName name="______SP053" localSheetId="12">#REF!</definedName>
    <definedName name="______SP053" localSheetId="34">#REF!</definedName>
    <definedName name="______SP053" localSheetId="19">#REF!</definedName>
    <definedName name="______SP053">#REF!</definedName>
    <definedName name="______SP054" localSheetId="6">#REF!</definedName>
    <definedName name="______SP054" localSheetId="12">#REF!</definedName>
    <definedName name="______SP054" localSheetId="34">#REF!</definedName>
    <definedName name="______SP054" localSheetId="19">#REF!</definedName>
    <definedName name="______SP054">#REF!</definedName>
    <definedName name="______SP055" localSheetId="6">#REF!</definedName>
    <definedName name="______SP055" localSheetId="12">#REF!</definedName>
    <definedName name="______SP055" localSheetId="34">#REF!</definedName>
    <definedName name="______SP055" localSheetId="19">#REF!</definedName>
    <definedName name="______SP055">#REF!</definedName>
    <definedName name="______SP056" localSheetId="6">#REF!</definedName>
    <definedName name="______SP056" localSheetId="12">#REF!</definedName>
    <definedName name="______SP056" localSheetId="34">#REF!</definedName>
    <definedName name="______SP056" localSheetId="19">#REF!</definedName>
    <definedName name="______SP056">#REF!</definedName>
    <definedName name="______SP057" localSheetId="6">#REF!</definedName>
    <definedName name="______SP057" localSheetId="12">#REF!</definedName>
    <definedName name="______SP057" localSheetId="34">#REF!</definedName>
    <definedName name="______SP057" localSheetId="19">#REF!</definedName>
    <definedName name="______SP057">#REF!</definedName>
    <definedName name="______SP058" localSheetId="6">#REF!</definedName>
    <definedName name="______SP058" localSheetId="12">#REF!</definedName>
    <definedName name="______SP058" localSheetId="34">#REF!</definedName>
    <definedName name="______SP058" localSheetId="19">#REF!</definedName>
    <definedName name="______SP058">#REF!</definedName>
    <definedName name="______SP059" localSheetId="6">#REF!</definedName>
    <definedName name="______SP059" localSheetId="12">#REF!</definedName>
    <definedName name="______SP059" localSheetId="34">#REF!</definedName>
    <definedName name="______SP059" localSheetId="19">#REF!</definedName>
    <definedName name="______SP059">#REF!</definedName>
    <definedName name="______SP060" localSheetId="6">#REF!</definedName>
    <definedName name="______SP060" localSheetId="12">#REF!</definedName>
    <definedName name="______SP060" localSheetId="34">#REF!</definedName>
    <definedName name="______SP060" localSheetId="19">#REF!</definedName>
    <definedName name="______SP060">#REF!</definedName>
    <definedName name="______SP061" localSheetId="6">#REF!</definedName>
    <definedName name="______SP061" localSheetId="12">#REF!</definedName>
    <definedName name="______SP061" localSheetId="34">#REF!</definedName>
    <definedName name="______SP061" localSheetId="19">#REF!</definedName>
    <definedName name="______SP061">#REF!</definedName>
    <definedName name="______SP062" localSheetId="6">#REF!</definedName>
    <definedName name="______SP062" localSheetId="12">#REF!</definedName>
    <definedName name="______SP062" localSheetId="34">#REF!</definedName>
    <definedName name="______SP062" localSheetId="19">#REF!</definedName>
    <definedName name="______SP062">#REF!</definedName>
    <definedName name="______SP063" localSheetId="6">#REF!</definedName>
    <definedName name="______SP063" localSheetId="12">#REF!</definedName>
    <definedName name="______SP063" localSheetId="34">#REF!</definedName>
    <definedName name="______SP063" localSheetId="19">#REF!</definedName>
    <definedName name="______SP063">#REF!</definedName>
    <definedName name="______SP064" localSheetId="6">#REF!</definedName>
    <definedName name="______SP064" localSheetId="12">#REF!</definedName>
    <definedName name="______SP064" localSheetId="34">#REF!</definedName>
    <definedName name="______SP064" localSheetId="19">#REF!</definedName>
    <definedName name="______SP064">#REF!</definedName>
    <definedName name="______SP065" localSheetId="6">#REF!</definedName>
    <definedName name="______SP065" localSheetId="12">#REF!</definedName>
    <definedName name="______SP065" localSheetId="34">#REF!</definedName>
    <definedName name="______SP065" localSheetId="19">#REF!</definedName>
    <definedName name="______SP065">#REF!</definedName>
    <definedName name="______SP066" localSheetId="6">#REF!</definedName>
    <definedName name="______SP066" localSheetId="12">#REF!</definedName>
    <definedName name="______SP066" localSheetId="34">#REF!</definedName>
    <definedName name="______SP066" localSheetId="19">#REF!</definedName>
    <definedName name="______SP066">#REF!</definedName>
    <definedName name="______SP067" localSheetId="6">#REF!</definedName>
    <definedName name="______SP067" localSheetId="12">#REF!</definedName>
    <definedName name="______SP067" localSheetId="34">#REF!</definedName>
    <definedName name="______SP067" localSheetId="19">#REF!</definedName>
    <definedName name="______SP067">#REF!</definedName>
    <definedName name="______SP068" localSheetId="6">#REF!</definedName>
    <definedName name="______SP068" localSheetId="12">#REF!</definedName>
    <definedName name="______SP068" localSheetId="34">#REF!</definedName>
    <definedName name="______SP068" localSheetId="19">#REF!</definedName>
    <definedName name="______SP068">#REF!</definedName>
    <definedName name="______SP069" localSheetId="6">#REF!</definedName>
    <definedName name="______SP069" localSheetId="12">#REF!</definedName>
    <definedName name="______SP069" localSheetId="34">#REF!</definedName>
    <definedName name="______SP069" localSheetId="19">#REF!</definedName>
    <definedName name="______SP069">#REF!</definedName>
    <definedName name="______SP070" localSheetId="6">#REF!</definedName>
    <definedName name="______SP070" localSheetId="12">#REF!</definedName>
    <definedName name="______SP070" localSheetId="34">#REF!</definedName>
    <definedName name="______SP070" localSheetId="19">#REF!</definedName>
    <definedName name="______SP070">#REF!</definedName>
    <definedName name="______sp071" localSheetId="6">#REF!</definedName>
    <definedName name="______sp071" localSheetId="12">#REF!</definedName>
    <definedName name="______sp071" localSheetId="34">#REF!</definedName>
    <definedName name="______sp071" localSheetId="19">#REF!</definedName>
    <definedName name="______sp071">#REF!</definedName>
    <definedName name="______SP072" localSheetId="6">#REF!</definedName>
    <definedName name="______SP072" localSheetId="12">#REF!</definedName>
    <definedName name="______SP072" localSheetId="34">#REF!</definedName>
    <definedName name="______SP072" localSheetId="19">#REF!</definedName>
    <definedName name="______SP072">#REF!</definedName>
    <definedName name="______SP073" localSheetId="6">#REF!</definedName>
    <definedName name="______SP073" localSheetId="12">#REF!</definedName>
    <definedName name="______SP073" localSheetId="34">#REF!</definedName>
    <definedName name="______SP073" localSheetId="19">#REF!</definedName>
    <definedName name="______SP073">#REF!</definedName>
    <definedName name="______SP074" localSheetId="6">#REF!</definedName>
    <definedName name="______SP074" localSheetId="12">#REF!</definedName>
    <definedName name="______SP074" localSheetId="34">#REF!</definedName>
    <definedName name="______SP074" localSheetId="19">#REF!</definedName>
    <definedName name="______SP074">#REF!</definedName>
    <definedName name="______SP075" localSheetId="6">#REF!</definedName>
    <definedName name="______SP075" localSheetId="12">#REF!</definedName>
    <definedName name="______SP075" localSheetId="34">#REF!</definedName>
    <definedName name="______SP075" localSheetId="19">#REF!</definedName>
    <definedName name="______SP075">#REF!</definedName>
    <definedName name="______SP076" localSheetId="6">#REF!</definedName>
    <definedName name="______SP076" localSheetId="12">#REF!</definedName>
    <definedName name="______SP076" localSheetId="34">#REF!</definedName>
    <definedName name="______SP076" localSheetId="19">#REF!</definedName>
    <definedName name="______SP076">#REF!</definedName>
    <definedName name="______SP077" localSheetId="6">#REF!</definedName>
    <definedName name="______SP077" localSheetId="12">#REF!</definedName>
    <definedName name="______SP077" localSheetId="34">#REF!</definedName>
    <definedName name="______SP077" localSheetId="19">#REF!</definedName>
    <definedName name="______SP077">#REF!</definedName>
    <definedName name="______sp078" localSheetId="6">#REF!</definedName>
    <definedName name="______sp078" localSheetId="12">#REF!</definedName>
    <definedName name="______sp078" localSheetId="34">#REF!</definedName>
    <definedName name="______sp078" localSheetId="19">#REF!</definedName>
    <definedName name="______sp078">#REF!</definedName>
    <definedName name="______SPO79" localSheetId="6">#REF!</definedName>
    <definedName name="______SPO79" localSheetId="12">#REF!</definedName>
    <definedName name="______SPO79" localSheetId="34">#REF!</definedName>
    <definedName name="______SPO79" localSheetId="19">#REF!</definedName>
    <definedName name="______SPO79">#REF!</definedName>
    <definedName name="______sw1" localSheetId="19">#REF!</definedName>
    <definedName name="______t1" localSheetId="27">#REF!</definedName>
    <definedName name="______t1">#REF!</definedName>
    <definedName name="______t2">#REF!</definedName>
    <definedName name="______tab1">#REF!</definedName>
    <definedName name="______us1">#REF!</definedName>
    <definedName name="______var1" localSheetId="22">#REF!</definedName>
    <definedName name="______var1" localSheetId="5">#REF!</definedName>
    <definedName name="______var1" localSheetId="6">#REF!</definedName>
    <definedName name="______var1" localSheetId="12">#REF!</definedName>
    <definedName name="______var1" localSheetId="34">#REF!</definedName>
    <definedName name="______var1" localSheetId="19">#REF!</definedName>
    <definedName name="______var1" localSheetId="30">#REF!</definedName>
    <definedName name="______var1" localSheetId="40">#REF!</definedName>
    <definedName name="______var1" localSheetId="26">#REF!</definedName>
    <definedName name="______var1">#REF!</definedName>
    <definedName name="______var1_33">"$#REF!.$#REF!$#REF!"</definedName>
    <definedName name="______var1_38">"$#REF!.$#REF!$#REF!"</definedName>
    <definedName name="______var1_41">"$#REF!.$#REF!$#REF!"</definedName>
    <definedName name="______var1_7">"$#REF!.$#REF!$#REF!"</definedName>
    <definedName name="______var1_8">"$#REF!.$#REF!$#REF!"</definedName>
    <definedName name="______var4" localSheetId="22">#REF!</definedName>
    <definedName name="______var4" localSheetId="5">#REF!</definedName>
    <definedName name="______var4" localSheetId="6">#REF!</definedName>
    <definedName name="______var4" localSheetId="12">#REF!</definedName>
    <definedName name="______var4" localSheetId="34">#REF!</definedName>
    <definedName name="______var4" localSheetId="19">#REF!</definedName>
    <definedName name="______var4" localSheetId="30">#REF!</definedName>
    <definedName name="______var4" localSheetId="40">#REF!</definedName>
    <definedName name="______var4" localSheetId="26">#REF!</definedName>
    <definedName name="______var4">#REF!</definedName>
    <definedName name="______var4_33">"$#REF!.$#REF!$#REF!"</definedName>
    <definedName name="______var4_38">"$#REF!.$#REF!$#REF!"</definedName>
    <definedName name="______var4_41">"$#REF!.$#REF!$#REF!"</definedName>
    <definedName name="______var4_7">"$#REF!.$#REF!$#REF!"</definedName>
    <definedName name="______var4_8">"$#REF!.$#REF!$#REF!"</definedName>
    <definedName name="______vat1" localSheetId="6">#REF!</definedName>
    <definedName name="______vat1" localSheetId="12">#REF!</definedName>
    <definedName name="______vat1" localSheetId="19">#REF!</definedName>
    <definedName name="______vat1">#REF!</definedName>
    <definedName name="______vat2" localSheetId="6">#REF!</definedName>
    <definedName name="______vat2" localSheetId="12">#REF!</definedName>
    <definedName name="______vat2" localSheetId="19">#REF!</definedName>
    <definedName name="______vat2">#REF!</definedName>
    <definedName name="______xlfn_BAHTTEXT">#N/A</definedName>
    <definedName name="_____abs1" localSheetId="5">#REF!</definedName>
    <definedName name="_____abs1" localSheetId="14">#REF!</definedName>
    <definedName name="_____abs1" localSheetId="6">#REF!</definedName>
    <definedName name="_____abs1" localSheetId="12">#REF!</definedName>
    <definedName name="_____abs1" localSheetId="19">#REF!</definedName>
    <definedName name="_____abs1">#REF!</definedName>
    <definedName name="_____AUX1">#REF!</definedName>
    <definedName name="_____aux2" localSheetId="19">#REF!</definedName>
    <definedName name="_____AUX3">#REF!</definedName>
    <definedName name="_____BSG100" localSheetId="6">#REF!</definedName>
    <definedName name="_____BSG100" localSheetId="12">#REF!</definedName>
    <definedName name="_____BSG100" localSheetId="19">#REF!</definedName>
    <definedName name="_____BSG100">#REF!</definedName>
    <definedName name="_____BSG150" localSheetId="6">#REF!</definedName>
    <definedName name="_____BSG150" localSheetId="12">#REF!</definedName>
    <definedName name="_____BSG150" localSheetId="19">#REF!</definedName>
    <definedName name="_____BSG150">#REF!</definedName>
    <definedName name="_____BSG5" localSheetId="6">#REF!</definedName>
    <definedName name="_____BSG5" localSheetId="12">#REF!</definedName>
    <definedName name="_____BSG5" localSheetId="19">#REF!</definedName>
    <definedName name="_____BSG5">#REF!</definedName>
    <definedName name="_____BSG75" localSheetId="6">#REF!</definedName>
    <definedName name="_____BSG75" localSheetId="12">#REF!</definedName>
    <definedName name="_____BSG75" localSheetId="19">#REF!</definedName>
    <definedName name="_____BSG75">#REF!</definedName>
    <definedName name="_____BTC1" localSheetId="6">#REF!</definedName>
    <definedName name="_____BTC1" localSheetId="12">#REF!</definedName>
    <definedName name="_____BTC1" localSheetId="19">#REF!</definedName>
    <definedName name="_____BTC1">#REF!</definedName>
    <definedName name="_____BTC10" localSheetId="6">#REF!</definedName>
    <definedName name="_____BTC10" localSheetId="12">#REF!</definedName>
    <definedName name="_____BTC10" localSheetId="19">#REF!</definedName>
    <definedName name="_____BTC10">#REF!</definedName>
    <definedName name="_____BTC11" localSheetId="6">#REF!</definedName>
    <definedName name="_____BTC11" localSheetId="12">#REF!</definedName>
    <definedName name="_____BTC11" localSheetId="19">#REF!</definedName>
    <definedName name="_____BTC11">#REF!</definedName>
    <definedName name="_____BTC12" localSheetId="6">#REF!</definedName>
    <definedName name="_____BTC12" localSheetId="12">#REF!</definedName>
    <definedName name="_____BTC12" localSheetId="19">#REF!</definedName>
    <definedName name="_____BTC12">#REF!</definedName>
    <definedName name="_____BTC13" localSheetId="6">#REF!</definedName>
    <definedName name="_____BTC13" localSheetId="12">#REF!</definedName>
    <definedName name="_____BTC13" localSheetId="19">#REF!</definedName>
    <definedName name="_____BTC13">#REF!</definedName>
    <definedName name="_____BTC14" localSheetId="6">#REF!</definedName>
    <definedName name="_____BTC14" localSheetId="12">#REF!</definedName>
    <definedName name="_____BTC14" localSheetId="19">#REF!</definedName>
    <definedName name="_____BTC14">#REF!</definedName>
    <definedName name="_____BTC15" localSheetId="6">#REF!</definedName>
    <definedName name="_____BTC15" localSheetId="12">#REF!</definedName>
    <definedName name="_____BTC15" localSheetId="19">#REF!</definedName>
    <definedName name="_____BTC15">#REF!</definedName>
    <definedName name="_____BTC16">#REF!</definedName>
    <definedName name="_____BTC17">#REF!</definedName>
    <definedName name="_____BTC18">#REF!</definedName>
    <definedName name="_____BTC19">#REF!</definedName>
    <definedName name="_____BTC2" localSheetId="6">#REF!</definedName>
    <definedName name="_____BTC2" localSheetId="12">#REF!</definedName>
    <definedName name="_____BTC2" localSheetId="19">#REF!</definedName>
    <definedName name="_____BTC2">#REF!</definedName>
    <definedName name="_____BTC20">#REF!</definedName>
    <definedName name="_____BTC21">#REF!</definedName>
    <definedName name="_____BTC22">#REF!</definedName>
    <definedName name="_____BTC23">#REF!</definedName>
    <definedName name="_____BTC24">#REF!</definedName>
    <definedName name="_____BTC3" localSheetId="6">#REF!</definedName>
    <definedName name="_____BTC3" localSheetId="12">#REF!</definedName>
    <definedName name="_____BTC3" localSheetId="19">#REF!</definedName>
    <definedName name="_____BTC3">#REF!</definedName>
    <definedName name="_____BTC4" localSheetId="6">#REF!</definedName>
    <definedName name="_____BTC4" localSheetId="12">#REF!</definedName>
    <definedName name="_____BTC4" localSheetId="19">#REF!</definedName>
    <definedName name="_____BTC4">#REF!</definedName>
    <definedName name="_____BTC5" localSheetId="6">#REF!</definedName>
    <definedName name="_____BTC5" localSheetId="12">#REF!</definedName>
    <definedName name="_____BTC5" localSheetId="19">#REF!</definedName>
    <definedName name="_____BTC5">#REF!</definedName>
    <definedName name="_____BTC6" localSheetId="6">#REF!</definedName>
    <definedName name="_____BTC6" localSheetId="12">#REF!</definedName>
    <definedName name="_____BTC6" localSheetId="19">#REF!</definedName>
    <definedName name="_____BTC6">#REF!</definedName>
    <definedName name="_____BTC7" localSheetId="6">#REF!</definedName>
    <definedName name="_____BTC7" localSheetId="12">#REF!</definedName>
    <definedName name="_____BTC7" localSheetId="19">#REF!</definedName>
    <definedName name="_____BTC7">#REF!</definedName>
    <definedName name="_____BTC8" localSheetId="6">#REF!</definedName>
    <definedName name="_____BTC8" localSheetId="12">#REF!</definedName>
    <definedName name="_____BTC8" localSheetId="19">#REF!</definedName>
    <definedName name="_____BTC8">#REF!</definedName>
    <definedName name="_____BTC9" localSheetId="6">#REF!</definedName>
    <definedName name="_____BTC9" localSheetId="12">#REF!</definedName>
    <definedName name="_____BTC9" localSheetId="19">#REF!</definedName>
    <definedName name="_____BTC9">#REF!</definedName>
    <definedName name="_____BTR1">#REF!</definedName>
    <definedName name="_____BTR10">#REF!</definedName>
    <definedName name="_____BTR11">#REF!</definedName>
    <definedName name="_____BTR12">#REF!</definedName>
    <definedName name="_____BTR13">#REF!</definedName>
    <definedName name="_____BTR14">#REF!</definedName>
    <definedName name="_____BTR15">#REF!</definedName>
    <definedName name="_____BTR16">#REF!</definedName>
    <definedName name="_____BTR17">#REF!</definedName>
    <definedName name="_____BTR18">#REF!</definedName>
    <definedName name="_____BTR19">#REF!</definedName>
    <definedName name="_____BTR2">#REF!</definedName>
    <definedName name="_____BTR20">#REF!</definedName>
    <definedName name="_____BTR21">#REF!</definedName>
    <definedName name="_____BTR22">#REF!</definedName>
    <definedName name="_____BTR23">#REF!</definedName>
    <definedName name="_____BTR24">#REF!</definedName>
    <definedName name="_____BTR3">#REF!</definedName>
    <definedName name="_____BTR4">#REF!</definedName>
    <definedName name="_____BTR5">#REF!</definedName>
    <definedName name="_____BTR6">#REF!</definedName>
    <definedName name="_____BTR7">#REF!</definedName>
    <definedName name="_____BTR8">#REF!</definedName>
    <definedName name="_____BTR9">#REF!</definedName>
    <definedName name="_____BTS1" localSheetId="6">#REF!</definedName>
    <definedName name="_____BTS1" localSheetId="12">#REF!</definedName>
    <definedName name="_____BTS1" localSheetId="19">#REF!</definedName>
    <definedName name="_____BTS1">#REF!</definedName>
    <definedName name="_____BTS10" localSheetId="6">#REF!</definedName>
    <definedName name="_____BTS10" localSheetId="12">#REF!</definedName>
    <definedName name="_____BTS10" localSheetId="19">#REF!</definedName>
    <definedName name="_____BTS10">#REF!</definedName>
    <definedName name="_____BTS11" localSheetId="6">#REF!</definedName>
    <definedName name="_____BTS11" localSheetId="12">#REF!</definedName>
    <definedName name="_____BTS11" localSheetId="19">#REF!</definedName>
    <definedName name="_____BTS11">#REF!</definedName>
    <definedName name="_____BTS12" localSheetId="6">#REF!</definedName>
    <definedName name="_____BTS12" localSheetId="12">#REF!</definedName>
    <definedName name="_____BTS12" localSheetId="19">#REF!</definedName>
    <definedName name="_____BTS12">#REF!</definedName>
    <definedName name="_____BTS13" localSheetId="6">#REF!</definedName>
    <definedName name="_____BTS13" localSheetId="12">#REF!</definedName>
    <definedName name="_____BTS13" localSheetId="19">#REF!</definedName>
    <definedName name="_____BTS13">#REF!</definedName>
    <definedName name="_____BTS14" localSheetId="6">#REF!</definedName>
    <definedName name="_____BTS14" localSheetId="12">#REF!</definedName>
    <definedName name="_____BTS14" localSheetId="19">#REF!</definedName>
    <definedName name="_____BTS14">#REF!</definedName>
    <definedName name="_____BTS15" localSheetId="6">#REF!</definedName>
    <definedName name="_____BTS15" localSheetId="12">#REF!</definedName>
    <definedName name="_____BTS15" localSheetId="19">#REF!</definedName>
    <definedName name="_____BTS15">#REF!</definedName>
    <definedName name="_____BTS16">#REF!</definedName>
    <definedName name="_____BTS17">#REF!</definedName>
    <definedName name="_____BTS18">#REF!</definedName>
    <definedName name="_____BTS19">#REF!</definedName>
    <definedName name="_____BTS2" localSheetId="6">#REF!</definedName>
    <definedName name="_____BTS2" localSheetId="12">#REF!</definedName>
    <definedName name="_____BTS2" localSheetId="19">#REF!</definedName>
    <definedName name="_____BTS2">#REF!</definedName>
    <definedName name="_____BTS20">#REF!</definedName>
    <definedName name="_____BTS21">#REF!</definedName>
    <definedName name="_____BTS22">#REF!</definedName>
    <definedName name="_____BTS23">#REF!</definedName>
    <definedName name="_____BTS24">#REF!</definedName>
    <definedName name="_____BTS3" localSheetId="6">#REF!</definedName>
    <definedName name="_____BTS3" localSheetId="12">#REF!</definedName>
    <definedName name="_____BTS3" localSheetId="19">#REF!</definedName>
    <definedName name="_____BTS3">#REF!</definedName>
    <definedName name="_____BTS4" localSheetId="6">#REF!</definedName>
    <definedName name="_____BTS4" localSheetId="12">#REF!</definedName>
    <definedName name="_____BTS4" localSheetId="19">#REF!</definedName>
    <definedName name="_____BTS4">#REF!</definedName>
    <definedName name="_____BTS5" localSheetId="6">#REF!</definedName>
    <definedName name="_____BTS5" localSheetId="12">#REF!</definedName>
    <definedName name="_____BTS5" localSheetId="19">#REF!</definedName>
    <definedName name="_____BTS5">#REF!</definedName>
    <definedName name="_____BTS6" localSheetId="6">#REF!</definedName>
    <definedName name="_____BTS6" localSheetId="12">#REF!</definedName>
    <definedName name="_____BTS6" localSheetId="19">#REF!</definedName>
    <definedName name="_____BTS6">#REF!</definedName>
    <definedName name="_____BTS7" localSheetId="6">#REF!</definedName>
    <definedName name="_____BTS7" localSheetId="12">#REF!</definedName>
    <definedName name="_____BTS7" localSheetId="19">#REF!</definedName>
    <definedName name="_____BTS7">#REF!</definedName>
    <definedName name="_____BTS8" localSheetId="6">#REF!</definedName>
    <definedName name="_____BTS8" localSheetId="12">#REF!</definedName>
    <definedName name="_____BTS8" localSheetId="19">#REF!</definedName>
    <definedName name="_____BTS8">#REF!</definedName>
    <definedName name="_____BTS9" localSheetId="6">#REF!</definedName>
    <definedName name="_____BTS9" localSheetId="12">#REF!</definedName>
    <definedName name="_____BTS9" localSheetId="19">#REF!</definedName>
    <definedName name="_____BTS9">#REF!</definedName>
    <definedName name="_____can430">40.73</definedName>
    <definedName name="_____can435">43.3</definedName>
    <definedName name="_____cbr1" localSheetId="6">#REF!</definedName>
    <definedName name="_____cbr1" localSheetId="12">#REF!</definedName>
    <definedName name="_____cbr1" localSheetId="19">#REF!</definedName>
    <definedName name="_____cbr1">#REF!</definedName>
    <definedName name="_____cbr2" localSheetId="6">#REF!</definedName>
    <definedName name="_____cbr2" localSheetId="12">#REF!</definedName>
    <definedName name="_____cbr2" localSheetId="19">#REF!</definedName>
    <definedName name="_____cbr2">#REF!</definedName>
    <definedName name="_____cbr3" localSheetId="6">#REF!</definedName>
    <definedName name="_____cbr3" localSheetId="12">#REF!</definedName>
    <definedName name="_____cbr3" localSheetId="19">#REF!</definedName>
    <definedName name="_____cbr3">#REF!</definedName>
    <definedName name="_____cbr4" localSheetId="6">#REF!</definedName>
    <definedName name="_____cbr4" localSheetId="12">#REF!</definedName>
    <definedName name="_____cbr4" localSheetId="19">#REF!</definedName>
    <definedName name="_____cbr4">#REF!</definedName>
    <definedName name="_____er1" localSheetId="27">#REF!</definedName>
    <definedName name="_____er1">#REF!</definedName>
    <definedName name="_____ewe1" localSheetId="19">#REF!</definedName>
    <definedName name="_____ewe1">#REF!</definedName>
    <definedName name="_____f1" localSheetId="6">#REF!</definedName>
    <definedName name="_____f1" localSheetId="12">#REF!</definedName>
    <definedName name="_____f1" localSheetId="34">#REF!</definedName>
    <definedName name="_____f1" localSheetId="19">#REF!</definedName>
    <definedName name="_____f1">#REF!</definedName>
    <definedName name="_____GBS11" localSheetId="6">#REF!</definedName>
    <definedName name="_____GBS11" localSheetId="12">#REF!</definedName>
    <definedName name="_____GBS11" localSheetId="19">#REF!</definedName>
    <definedName name="_____GBS11">#REF!</definedName>
    <definedName name="_____GBS110" localSheetId="6">#REF!</definedName>
    <definedName name="_____GBS110" localSheetId="12">#REF!</definedName>
    <definedName name="_____GBS110" localSheetId="19">#REF!</definedName>
    <definedName name="_____GBS110">#REF!</definedName>
    <definedName name="_____GBS111" localSheetId="6">#REF!</definedName>
    <definedName name="_____GBS111" localSheetId="12">#REF!</definedName>
    <definedName name="_____GBS111" localSheetId="19">#REF!</definedName>
    <definedName name="_____GBS111">#REF!</definedName>
    <definedName name="_____GBS112" localSheetId="6">#REF!</definedName>
    <definedName name="_____GBS112" localSheetId="12">#REF!</definedName>
    <definedName name="_____GBS112" localSheetId="19">#REF!</definedName>
    <definedName name="_____GBS112">#REF!</definedName>
    <definedName name="_____GBS113" localSheetId="6">#REF!</definedName>
    <definedName name="_____GBS113" localSheetId="12">#REF!</definedName>
    <definedName name="_____GBS113" localSheetId="19">#REF!</definedName>
    <definedName name="_____GBS113">#REF!</definedName>
    <definedName name="_____GBS114" localSheetId="6">#REF!</definedName>
    <definedName name="_____GBS114" localSheetId="12">#REF!</definedName>
    <definedName name="_____GBS114" localSheetId="19">#REF!</definedName>
    <definedName name="_____GBS114">#REF!</definedName>
    <definedName name="_____GBS115" localSheetId="6">#REF!</definedName>
    <definedName name="_____GBS115" localSheetId="12">#REF!</definedName>
    <definedName name="_____GBS115" localSheetId="19">#REF!</definedName>
    <definedName name="_____GBS115">#REF!</definedName>
    <definedName name="_____GBS116">#REF!</definedName>
    <definedName name="_____GBS117">#REF!</definedName>
    <definedName name="_____GBS118">#REF!</definedName>
    <definedName name="_____GBS119">#REF!</definedName>
    <definedName name="_____GBS12" localSheetId="6">#REF!</definedName>
    <definedName name="_____GBS12" localSheetId="12">#REF!</definedName>
    <definedName name="_____GBS12" localSheetId="19">#REF!</definedName>
    <definedName name="_____GBS12">#REF!</definedName>
    <definedName name="_____GBS120">#REF!</definedName>
    <definedName name="_____GBS121">#REF!</definedName>
    <definedName name="_____GBS122">#REF!</definedName>
    <definedName name="_____GBS123">#REF!</definedName>
    <definedName name="_____GBS124">#REF!</definedName>
    <definedName name="_____GBS13" localSheetId="6">#REF!</definedName>
    <definedName name="_____GBS13" localSheetId="12">#REF!</definedName>
    <definedName name="_____GBS13" localSheetId="19">#REF!</definedName>
    <definedName name="_____GBS13">#REF!</definedName>
    <definedName name="_____GBS14" localSheetId="6">#REF!</definedName>
    <definedName name="_____GBS14" localSheetId="12">#REF!</definedName>
    <definedName name="_____GBS14" localSheetId="19">#REF!</definedName>
    <definedName name="_____GBS14">#REF!</definedName>
    <definedName name="_____GBS15" localSheetId="6">#REF!</definedName>
    <definedName name="_____GBS15" localSheetId="12">#REF!</definedName>
    <definedName name="_____GBS15" localSheetId="19">#REF!</definedName>
    <definedName name="_____GBS15">#REF!</definedName>
    <definedName name="_____GBS16" localSheetId="6">#REF!</definedName>
    <definedName name="_____GBS16" localSheetId="12">#REF!</definedName>
    <definedName name="_____GBS16" localSheetId="19">#REF!</definedName>
    <definedName name="_____GBS16">#REF!</definedName>
    <definedName name="_____GBS17" localSheetId="6">#REF!</definedName>
    <definedName name="_____GBS17" localSheetId="12">#REF!</definedName>
    <definedName name="_____GBS17" localSheetId="19">#REF!</definedName>
    <definedName name="_____GBS17">#REF!</definedName>
    <definedName name="_____GBS18" localSheetId="6">#REF!</definedName>
    <definedName name="_____GBS18" localSheetId="12">#REF!</definedName>
    <definedName name="_____GBS18" localSheetId="19">#REF!</definedName>
    <definedName name="_____GBS18">#REF!</definedName>
    <definedName name="_____GBS19" localSheetId="6">#REF!</definedName>
    <definedName name="_____GBS19" localSheetId="12">#REF!</definedName>
    <definedName name="_____GBS19" localSheetId="19">#REF!</definedName>
    <definedName name="_____GBS19">#REF!</definedName>
    <definedName name="_____GBS21" localSheetId="6">#REF!</definedName>
    <definedName name="_____GBS21" localSheetId="12">#REF!</definedName>
    <definedName name="_____GBS21" localSheetId="19">#REF!</definedName>
    <definedName name="_____GBS21">#REF!</definedName>
    <definedName name="_____GBS210" localSheetId="6">#REF!</definedName>
    <definedName name="_____GBS210" localSheetId="12">#REF!</definedName>
    <definedName name="_____GBS210" localSheetId="19">#REF!</definedName>
    <definedName name="_____GBS210">#REF!</definedName>
    <definedName name="_____GBS211" localSheetId="6">#REF!</definedName>
    <definedName name="_____GBS211" localSheetId="12">#REF!</definedName>
    <definedName name="_____GBS211" localSheetId="19">#REF!</definedName>
    <definedName name="_____GBS211">#REF!</definedName>
    <definedName name="_____GBS212" localSheetId="6">#REF!</definedName>
    <definedName name="_____GBS212" localSheetId="12">#REF!</definedName>
    <definedName name="_____GBS212" localSheetId="19">#REF!</definedName>
    <definedName name="_____GBS212">#REF!</definedName>
    <definedName name="_____GBS213" localSheetId="6">#REF!</definedName>
    <definedName name="_____GBS213" localSheetId="12">#REF!</definedName>
    <definedName name="_____GBS213" localSheetId="19">#REF!</definedName>
    <definedName name="_____GBS213">#REF!</definedName>
    <definedName name="_____GBS214" localSheetId="6">#REF!</definedName>
    <definedName name="_____GBS214" localSheetId="12">#REF!</definedName>
    <definedName name="_____GBS214" localSheetId="19">#REF!</definedName>
    <definedName name="_____GBS214">#REF!</definedName>
    <definedName name="_____GBS215" localSheetId="6">#REF!</definedName>
    <definedName name="_____GBS215" localSheetId="12">#REF!</definedName>
    <definedName name="_____GBS215" localSheetId="19">#REF!</definedName>
    <definedName name="_____GBS215">#REF!</definedName>
    <definedName name="_____GBS216">#REF!</definedName>
    <definedName name="_____GBS217">#REF!</definedName>
    <definedName name="_____GBS218">#REF!</definedName>
    <definedName name="_____GBS219">#REF!</definedName>
    <definedName name="_____GBS22" localSheetId="6">#REF!</definedName>
    <definedName name="_____GBS22" localSheetId="12">#REF!</definedName>
    <definedName name="_____GBS22" localSheetId="19">#REF!</definedName>
    <definedName name="_____GBS22">#REF!</definedName>
    <definedName name="_____GBS220">#REF!</definedName>
    <definedName name="_____GBS221">#REF!</definedName>
    <definedName name="_____GBS222">#REF!</definedName>
    <definedName name="_____GBS223">#REF!</definedName>
    <definedName name="_____GBS224">#REF!</definedName>
    <definedName name="_____GBS23" localSheetId="6">#REF!</definedName>
    <definedName name="_____GBS23" localSheetId="12">#REF!</definedName>
    <definedName name="_____GBS23" localSheetId="19">#REF!</definedName>
    <definedName name="_____GBS23">#REF!</definedName>
    <definedName name="_____GBS24" localSheetId="6">#REF!</definedName>
    <definedName name="_____GBS24" localSheetId="12">#REF!</definedName>
    <definedName name="_____GBS24" localSheetId="19">#REF!</definedName>
    <definedName name="_____GBS24">#REF!</definedName>
    <definedName name="_____GBS25" localSheetId="6">#REF!</definedName>
    <definedName name="_____GBS25" localSheetId="12">#REF!</definedName>
    <definedName name="_____GBS25" localSheetId="19">#REF!</definedName>
    <definedName name="_____GBS25">#REF!</definedName>
    <definedName name="_____GBS26" localSheetId="6">#REF!</definedName>
    <definedName name="_____GBS26" localSheetId="12">#REF!</definedName>
    <definedName name="_____GBS26" localSheetId="19">#REF!</definedName>
    <definedName name="_____GBS26">#REF!</definedName>
    <definedName name="_____GBS27" localSheetId="6">#REF!</definedName>
    <definedName name="_____GBS27" localSheetId="12">#REF!</definedName>
    <definedName name="_____GBS27" localSheetId="19">#REF!</definedName>
    <definedName name="_____GBS27">#REF!</definedName>
    <definedName name="_____GBS28" localSheetId="6">#REF!</definedName>
    <definedName name="_____GBS28" localSheetId="12">#REF!</definedName>
    <definedName name="_____GBS28" localSheetId="19">#REF!</definedName>
    <definedName name="_____GBS28">#REF!</definedName>
    <definedName name="_____GBS29" localSheetId="6">#REF!</definedName>
    <definedName name="_____GBS29" localSheetId="12">#REF!</definedName>
    <definedName name="_____GBS29" localSheetId="19">#REF!</definedName>
    <definedName name="_____GBS29">#REF!</definedName>
    <definedName name="_____gus1">#REF!</definedName>
    <definedName name="_____hpm1">#REF!</definedName>
    <definedName name="_____I12" localSheetId="5">#REF!</definedName>
    <definedName name="_____I12" localSheetId="6">#REF!</definedName>
    <definedName name="_____I12" localSheetId="12">#REF!</definedName>
    <definedName name="_____I12" localSheetId="34">#REF!</definedName>
    <definedName name="_____I12" localSheetId="19">#REF!</definedName>
    <definedName name="_____I12" localSheetId="40">#REF!</definedName>
    <definedName name="_____I12" localSheetId="26">#REF!</definedName>
    <definedName name="_____I12">#REF!</definedName>
    <definedName name="_____knr2" localSheetId="5">#REF!</definedName>
    <definedName name="_____knr2" localSheetId="6">#REF!</definedName>
    <definedName name="_____knr2" localSheetId="12">#REF!</definedName>
    <definedName name="_____knr2" localSheetId="19">#REF!</definedName>
    <definedName name="_____knr2">#REF!</definedName>
    <definedName name="_____l12" localSheetId="22">#REF!</definedName>
    <definedName name="_____l12" localSheetId="5">#REF!</definedName>
    <definedName name="_____l12" localSheetId="6">#REF!</definedName>
    <definedName name="_____l12" localSheetId="12">#REF!</definedName>
    <definedName name="_____l12" localSheetId="34">#REF!</definedName>
    <definedName name="_____l12" localSheetId="19">#REF!</definedName>
    <definedName name="_____l12" localSheetId="30">#REF!</definedName>
    <definedName name="_____l12" localSheetId="40">#REF!</definedName>
    <definedName name="_____l12" localSheetId="26">#REF!</definedName>
    <definedName name="_____l12">#REF!</definedName>
    <definedName name="_____l12_33">"$#REF!.$#REF!$#REF!"</definedName>
    <definedName name="_____l12_38">"$#REF!.$#REF!$#REF!"</definedName>
    <definedName name="_____l12_41">"$#REF!.$#REF!$#REF!"</definedName>
    <definedName name="_____l12_7">"$#REF!.$#REF!$#REF!"</definedName>
    <definedName name="_____l12_8">"$#REF!.$#REF!$#REF!"</definedName>
    <definedName name="_____l3" localSheetId="22">#REF!</definedName>
    <definedName name="_____l3" localSheetId="5">#REF!</definedName>
    <definedName name="_____l3" localSheetId="6">#REF!</definedName>
    <definedName name="_____l3" localSheetId="12">#REF!</definedName>
    <definedName name="_____l3" localSheetId="34">#REF!</definedName>
    <definedName name="_____l3" localSheetId="19">#REF!</definedName>
    <definedName name="_____l3" localSheetId="30">#REF!</definedName>
    <definedName name="_____l3" localSheetId="40">#REF!</definedName>
    <definedName name="_____l3" localSheetId="26">#REF!</definedName>
    <definedName name="_____l3">#REF!</definedName>
    <definedName name="_____l3_33">"$#REF!.$#REF!$#REF!"</definedName>
    <definedName name="_____l3_38">"$#REF!.$#REF!$#REF!"</definedName>
    <definedName name="_____l3_41">"$#REF!.$#REF!$#REF!"</definedName>
    <definedName name="_____l3_7">"$#REF!.$#REF!$#REF!"</definedName>
    <definedName name="_____l3_8">"$#REF!.$#REF!$#REF!"</definedName>
    <definedName name="_____l5" localSheetId="22">#REF!</definedName>
    <definedName name="_____l5" localSheetId="5">#REF!</definedName>
    <definedName name="_____l5" localSheetId="6">#REF!</definedName>
    <definedName name="_____l5" localSheetId="12">#REF!</definedName>
    <definedName name="_____l5" localSheetId="34">#REF!</definedName>
    <definedName name="_____l5" localSheetId="19">#REF!</definedName>
    <definedName name="_____l5" localSheetId="30">#REF!</definedName>
    <definedName name="_____l5" localSheetId="40">#REF!</definedName>
    <definedName name="_____l5" localSheetId="26">#REF!</definedName>
    <definedName name="_____l5">#REF!</definedName>
    <definedName name="_____l5_33">"$#REF!.$#REF!$#REF!"</definedName>
    <definedName name="_____l5_38">"$#REF!.$#REF!$#REF!"</definedName>
    <definedName name="_____l5_41">"$#REF!.$#REF!$#REF!"</definedName>
    <definedName name="_____l5_7">"$#REF!.$#REF!$#REF!"</definedName>
    <definedName name="_____l5_8">"$#REF!.$#REF!$#REF!"</definedName>
    <definedName name="_____lcn1" localSheetId="27">#REF!</definedName>
    <definedName name="_____lcn1">#REF!</definedName>
    <definedName name="_____LI9" localSheetId="6">#REF!</definedName>
    <definedName name="_____LI9" localSheetId="12">#REF!</definedName>
    <definedName name="_____LI9" localSheetId="19">#REF!</definedName>
    <definedName name="_____LI9">#REF!</definedName>
    <definedName name="_____LII9" localSheetId="6">#REF!</definedName>
    <definedName name="_____LII9" localSheetId="12">#REF!</definedName>
    <definedName name="_____LII9" localSheetId="19">#REF!</definedName>
    <definedName name="_____LII9">#REF!</definedName>
    <definedName name="_____lj600" localSheetId="19">#REF!</definedName>
    <definedName name="_____lj900" localSheetId="27">#REF!</definedName>
    <definedName name="_____lj900">#REF!</definedName>
    <definedName name="_____LL3">#REF!</definedName>
    <definedName name="_____lm1">#REF!</definedName>
    <definedName name="_____MA1">#REF!</definedName>
    <definedName name="_____MA2">#REF!</definedName>
    <definedName name="_____ML11" localSheetId="6">#REF!</definedName>
    <definedName name="_____ML11" localSheetId="12">#REF!</definedName>
    <definedName name="_____ML11" localSheetId="19">#REF!</definedName>
    <definedName name="_____ML11">#REF!</definedName>
    <definedName name="_____ML110" localSheetId="6">#REF!</definedName>
    <definedName name="_____ML110" localSheetId="12">#REF!</definedName>
    <definedName name="_____ML110" localSheetId="19">#REF!</definedName>
    <definedName name="_____ML110">#REF!</definedName>
    <definedName name="_____ML111" localSheetId="6">#REF!</definedName>
    <definedName name="_____ML111" localSheetId="12">#REF!</definedName>
    <definedName name="_____ML111" localSheetId="19">#REF!</definedName>
    <definedName name="_____ML111">#REF!</definedName>
    <definedName name="_____ML112" localSheetId="6">#REF!</definedName>
    <definedName name="_____ML112" localSheetId="12">#REF!</definedName>
    <definedName name="_____ML112" localSheetId="19">#REF!</definedName>
    <definedName name="_____ML112">#REF!</definedName>
    <definedName name="_____ML113" localSheetId="6">#REF!</definedName>
    <definedName name="_____ML113" localSheetId="12">#REF!</definedName>
    <definedName name="_____ML113" localSheetId="19">#REF!</definedName>
    <definedName name="_____ML113">#REF!</definedName>
    <definedName name="_____ML114" localSheetId="6">#REF!</definedName>
    <definedName name="_____ML114" localSheetId="12">#REF!</definedName>
    <definedName name="_____ML114" localSheetId="19">#REF!</definedName>
    <definedName name="_____ML114">#REF!</definedName>
    <definedName name="_____ML115" localSheetId="6">#REF!</definedName>
    <definedName name="_____ML115" localSheetId="12">#REF!</definedName>
    <definedName name="_____ML115" localSheetId="19">#REF!</definedName>
    <definedName name="_____ML115">#REF!</definedName>
    <definedName name="_____ML12" localSheetId="6">#REF!</definedName>
    <definedName name="_____ML12" localSheetId="12">#REF!</definedName>
    <definedName name="_____ML12" localSheetId="19">#REF!</definedName>
    <definedName name="_____ML12">#REF!</definedName>
    <definedName name="_____ML13" localSheetId="6">#REF!</definedName>
    <definedName name="_____ML13" localSheetId="12">#REF!</definedName>
    <definedName name="_____ML13" localSheetId="19">#REF!</definedName>
    <definedName name="_____ML13">#REF!</definedName>
    <definedName name="_____ML14" localSheetId="6">#REF!</definedName>
    <definedName name="_____ML14" localSheetId="12">#REF!</definedName>
    <definedName name="_____ML14" localSheetId="19">#REF!</definedName>
    <definedName name="_____ML14">#REF!</definedName>
    <definedName name="_____ML15" localSheetId="6">#REF!</definedName>
    <definedName name="_____ML15" localSheetId="12">#REF!</definedName>
    <definedName name="_____ML15" localSheetId="19">#REF!</definedName>
    <definedName name="_____ML15">#REF!</definedName>
    <definedName name="_____ML16" localSheetId="6">#REF!</definedName>
    <definedName name="_____ML16" localSheetId="12">#REF!</definedName>
    <definedName name="_____ML16" localSheetId="19">#REF!</definedName>
    <definedName name="_____ML16">#REF!</definedName>
    <definedName name="_____ML17" localSheetId="6">#REF!</definedName>
    <definedName name="_____ML17" localSheetId="12">#REF!</definedName>
    <definedName name="_____ML17" localSheetId="19">#REF!</definedName>
    <definedName name="_____ML17">#REF!</definedName>
    <definedName name="_____ML18" localSheetId="6">#REF!</definedName>
    <definedName name="_____ML18" localSheetId="12">#REF!</definedName>
    <definedName name="_____ML18" localSheetId="19">#REF!</definedName>
    <definedName name="_____ML18">#REF!</definedName>
    <definedName name="_____ML19" localSheetId="6">#REF!</definedName>
    <definedName name="_____ML19" localSheetId="12">#REF!</definedName>
    <definedName name="_____ML19" localSheetId="19">#REF!</definedName>
    <definedName name="_____ML19">#REF!</definedName>
    <definedName name="_____ML21" localSheetId="6">#REF!</definedName>
    <definedName name="_____ML21" localSheetId="12">#REF!</definedName>
    <definedName name="_____ML21" localSheetId="19">#REF!</definedName>
    <definedName name="_____ML21">#REF!</definedName>
    <definedName name="_____ML210" localSheetId="6">#REF!</definedName>
    <definedName name="_____ML210" localSheetId="12">#REF!</definedName>
    <definedName name="_____ML210" localSheetId="19">#REF!</definedName>
    <definedName name="_____ML210">#REF!</definedName>
    <definedName name="_____ML211" localSheetId="6">#REF!</definedName>
    <definedName name="_____ML211" localSheetId="12">#REF!</definedName>
    <definedName name="_____ML211" localSheetId="19">#REF!</definedName>
    <definedName name="_____ML211">#REF!</definedName>
    <definedName name="_____ML212" localSheetId="6">#REF!</definedName>
    <definedName name="_____ML212" localSheetId="12">#REF!</definedName>
    <definedName name="_____ML212" localSheetId="19">#REF!</definedName>
    <definedName name="_____ML212">#REF!</definedName>
    <definedName name="_____ML213" localSheetId="6">#REF!</definedName>
    <definedName name="_____ML213" localSheetId="12">#REF!</definedName>
    <definedName name="_____ML213" localSheetId="19">#REF!</definedName>
    <definedName name="_____ML213">#REF!</definedName>
    <definedName name="_____ML214" localSheetId="6">#REF!</definedName>
    <definedName name="_____ML214" localSheetId="12">#REF!</definedName>
    <definedName name="_____ML214" localSheetId="19">#REF!</definedName>
    <definedName name="_____ML214">#REF!</definedName>
    <definedName name="_____ML215" localSheetId="6">#REF!</definedName>
    <definedName name="_____ML215" localSheetId="12">#REF!</definedName>
    <definedName name="_____ML215" localSheetId="19">#REF!</definedName>
    <definedName name="_____ML215">#REF!</definedName>
    <definedName name="_____ML216">#REF!</definedName>
    <definedName name="_____ML217">#REF!</definedName>
    <definedName name="_____ML218">#REF!</definedName>
    <definedName name="_____ML219">#REF!</definedName>
    <definedName name="_____ML22" localSheetId="6">#REF!</definedName>
    <definedName name="_____ML22" localSheetId="12">#REF!</definedName>
    <definedName name="_____ML22" localSheetId="19">#REF!</definedName>
    <definedName name="_____ML22">#REF!</definedName>
    <definedName name="_____ML220">#REF!</definedName>
    <definedName name="_____ML221">#REF!</definedName>
    <definedName name="_____ML222">#REF!</definedName>
    <definedName name="_____ML223">#REF!</definedName>
    <definedName name="_____ML224">#REF!</definedName>
    <definedName name="_____ML23" localSheetId="6">#REF!</definedName>
    <definedName name="_____ML23" localSheetId="12">#REF!</definedName>
    <definedName name="_____ML23" localSheetId="19">#REF!</definedName>
    <definedName name="_____ML23">#REF!</definedName>
    <definedName name="_____ML24" localSheetId="6">#REF!</definedName>
    <definedName name="_____ML24" localSheetId="12">#REF!</definedName>
    <definedName name="_____ML24" localSheetId="19">#REF!</definedName>
    <definedName name="_____ML24">#REF!</definedName>
    <definedName name="_____ML25" localSheetId="6">#REF!</definedName>
    <definedName name="_____ML25" localSheetId="12">#REF!</definedName>
    <definedName name="_____ML25" localSheetId="19">#REF!</definedName>
    <definedName name="_____ML25">#REF!</definedName>
    <definedName name="_____ML26" localSheetId="6">#REF!</definedName>
    <definedName name="_____ML26" localSheetId="12">#REF!</definedName>
    <definedName name="_____ML26" localSheetId="19">#REF!</definedName>
    <definedName name="_____ML26">#REF!</definedName>
    <definedName name="_____ML27" localSheetId="6">#REF!</definedName>
    <definedName name="_____ML27" localSheetId="12">#REF!</definedName>
    <definedName name="_____ML27" localSheetId="19">#REF!</definedName>
    <definedName name="_____ML27">#REF!</definedName>
    <definedName name="_____ML28" localSheetId="6">#REF!</definedName>
    <definedName name="_____ML28" localSheetId="12">#REF!</definedName>
    <definedName name="_____ML28" localSheetId="19">#REF!</definedName>
    <definedName name="_____ML28">#REF!</definedName>
    <definedName name="_____ML29" localSheetId="6">#REF!</definedName>
    <definedName name="_____ML29" localSheetId="12">#REF!</definedName>
    <definedName name="_____ML29" localSheetId="19">#REF!</definedName>
    <definedName name="_____ML29">#REF!</definedName>
    <definedName name="_____ML31" localSheetId="6">#REF!</definedName>
    <definedName name="_____ML31" localSheetId="12">#REF!</definedName>
    <definedName name="_____ML31" localSheetId="19">#REF!</definedName>
    <definedName name="_____ML31">#REF!</definedName>
    <definedName name="_____ML310" localSheetId="6">#REF!</definedName>
    <definedName name="_____ML310" localSheetId="12">#REF!</definedName>
    <definedName name="_____ML310" localSheetId="19">#REF!</definedName>
    <definedName name="_____ML310">#REF!</definedName>
    <definedName name="_____ML311" localSheetId="6">#REF!</definedName>
    <definedName name="_____ML311" localSheetId="12">#REF!</definedName>
    <definedName name="_____ML311" localSheetId="19">#REF!</definedName>
    <definedName name="_____ML311">#REF!</definedName>
    <definedName name="_____ML312" localSheetId="6">#REF!</definedName>
    <definedName name="_____ML312" localSheetId="12">#REF!</definedName>
    <definedName name="_____ML312" localSheetId="19">#REF!</definedName>
    <definedName name="_____ML312">#REF!</definedName>
    <definedName name="_____ML313" localSheetId="6">#REF!</definedName>
    <definedName name="_____ML313" localSheetId="12">#REF!</definedName>
    <definedName name="_____ML313" localSheetId="19">#REF!</definedName>
    <definedName name="_____ML313">#REF!</definedName>
    <definedName name="_____ML314" localSheetId="6">#REF!</definedName>
    <definedName name="_____ML314" localSheetId="12">#REF!</definedName>
    <definedName name="_____ML314" localSheetId="19">#REF!</definedName>
    <definedName name="_____ML314">#REF!</definedName>
    <definedName name="_____ML315" localSheetId="6">#REF!</definedName>
    <definedName name="_____ML315" localSheetId="12">#REF!</definedName>
    <definedName name="_____ML315" localSheetId="19">#REF!</definedName>
    <definedName name="_____ML315">#REF!</definedName>
    <definedName name="_____ML316">#REF!</definedName>
    <definedName name="_____ML317">#REF!</definedName>
    <definedName name="_____ML318">#REF!</definedName>
    <definedName name="_____ML319">#REF!</definedName>
    <definedName name="_____ML32" localSheetId="6">#REF!</definedName>
    <definedName name="_____ML32" localSheetId="12">#REF!</definedName>
    <definedName name="_____ML32" localSheetId="19">#REF!</definedName>
    <definedName name="_____ML32">#REF!</definedName>
    <definedName name="_____ML320">#REF!</definedName>
    <definedName name="_____ML321">#REF!</definedName>
    <definedName name="_____ML322">#REF!</definedName>
    <definedName name="_____ML323">#REF!</definedName>
    <definedName name="_____ML324">#REF!</definedName>
    <definedName name="_____ML33" localSheetId="6">#REF!</definedName>
    <definedName name="_____ML33" localSheetId="12">#REF!</definedName>
    <definedName name="_____ML33" localSheetId="19">#REF!</definedName>
    <definedName name="_____ML33">#REF!</definedName>
    <definedName name="_____ML34" localSheetId="6">#REF!</definedName>
    <definedName name="_____ML34" localSheetId="12">#REF!</definedName>
    <definedName name="_____ML34" localSheetId="19">#REF!</definedName>
    <definedName name="_____ML34">#REF!</definedName>
    <definedName name="_____ML35" localSheetId="6">#REF!</definedName>
    <definedName name="_____ML35" localSheetId="12">#REF!</definedName>
    <definedName name="_____ML35" localSheetId="19">#REF!</definedName>
    <definedName name="_____ML35">#REF!</definedName>
    <definedName name="_____ML36" localSheetId="6">#REF!</definedName>
    <definedName name="_____ML36" localSheetId="12">#REF!</definedName>
    <definedName name="_____ML36" localSheetId="19">#REF!</definedName>
    <definedName name="_____ML36">#REF!</definedName>
    <definedName name="_____ML37" localSheetId="6">#REF!</definedName>
    <definedName name="_____ML37" localSheetId="12">#REF!</definedName>
    <definedName name="_____ML37" localSheetId="19">#REF!</definedName>
    <definedName name="_____ML37">#REF!</definedName>
    <definedName name="_____ML38" localSheetId="6">#REF!</definedName>
    <definedName name="_____ML38" localSheetId="12">#REF!</definedName>
    <definedName name="_____ML38" localSheetId="19">#REF!</definedName>
    <definedName name="_____ML38">#REF!</definedName>
    <definedName name="_____ML39" localSheetId="6">#REF!</definedName>
    <definedName name="_____ML39" localSheetId="12">#REF!</definedName>
    <definedName name="_____ML39" localSheetId="19">#REF!</definedName>
    <definedName name="_____ML39">#REF!</definedName>
    <definedName name="_____ML7" localSheetId="6">#REF!</definedName>
    <definedName name="_____ML7" localSheetId="12">#REF!</definedName>
    <definedName name="_____ML7" localSheetId="19">#REF!</definedName>
    <definedName name="_____ML7">#REF!</definedName>
    <definedName name="_____ML8" localSheetId="6">#REF!</definedName>
    <definedName name="_____ML8" localSheetId="12">#REF!</definedName>
    <definedName name="_____ML8" localSheetId="19">#REF!</definedName>
    <definedName name="_____ML8">#REF!</definedName>
    <definedName name="_____ML9" localSheetId="6">#REF!</definedName>
    <definedName name="_____ML9" localSheetId="12">#REF!</definedName>
    <definedName name="_____ML9" localSheetId="19">#REF!</definedName>
    <definedName name="_____ML9">#REF!</definedName>
    <definedName name="_____mm20" localSheetId="6">#REF!</definedName>
    <definedName name="_____mm20" localSheetId="12">#REF!</definedName>
    <definedName name="_____mm20" localSheetId="19">#REF!</definedName>
    <definedName name="_____mm20">#REF!</definedName>
    <definedName name="_____mm40" localSheetId="6">#REF!</definedName>
    <definedName name="_____mm40" localSheetId="12">#REF!</definedName>
    <definedName name="_____mm40" localSheetId="19">#REF!</definedName>
    <definedName name="_____mm40">#REF!</definedName>
    <definedName name="_____o3" localSheetId="19">#REF!</definedName>
    <definedName name="_____PC1" localSheetId="19">#REF!</definedName>
    <definedName name="_____PC10">#REF!</definedName>
    <definedName name="_____PC11">#REF!</definedName>
    <definedName name="_____PC12">#REF!</definedName>
    <definedName name="_____PC13">#REF!</definedName>
    <definedName name="_____PC14">#REF!</definedName>
    <definedName name="_____PC15">#REF!</definedName>
    <definedName name="_____PC16">#REF!</definedName>
    <definedName name="_____PC17">#REF!</definedName>
    <definedName name="_____PC18">#REF!</definedName>
    <definedName name="_____PC19">#REF!</definedName>
    <definedName name="_____pc2" localSheetId="22">#REF!</definedName>
    <definedName name="_____pc2" localSheetId="5">#REF!</definedName>
    <definedName name="_____pc2" localSheetId="6">#REF!</definedName>
    <definedName name="_____pc2" localSheetId="12">#REF!</definedName>
    <definedName name="_____pc2" localSheetId="34">#REF!</definedName>
    <definedName name="_____pc2" localSheetId="19">#REF!</definedName>
    <definedName name="_____pc2" localSheetId="30">#REF!</definedName>
    <definedName name="_____pc2" localSheetId="40">#REF!</definedName>
    <definedName name="_____pc2" localSheetId="26">#REF!</definedName>
    <definedName name="_____pc2">#REF!</definedName>
    <definedName name="_____pc2_33">"$#REF!.$#REF!$#REF!"</definedName>
    <definedName name="_____pc2_38">"$#REF!.$#REF!$#REF!"</definedName>
    <definedName name="_____pc2_41">"$#REF!.$#REF!$#REF!"</definedName>
    <definedName name="_____pc2_7">"$#REF!.$#REF!$#REF!"</definedName>
    <definedName name="_____pc2_8">"$#REF!.$#REF!$#REF!"</definedName>
    <definedName name="_____PC20" localSheetId="27">#REF!</definedName>
    <definedName name="_____PC20">#REF!</definedName>
    <definedName name="_____PC21" localSheetId="27">#REF!</definedName>
    <definedName name="_____PC21">#REF!</definedName>
    <definedName name="_____PC22" localSheetId="27">#REF!</definedName>
    <definedName name="_____PC22">#REF!</definedName>
    <definedName name="_____PC23">#REF!</definedName>
    <definedName name="_____PC24">#REF!</definedName>
    <definedName name="_____PC3">#REF!</definedName>
    <definedName name="_____PC4">#REF!</definedName>
    <definedName name="_____PC5">#REF!</definedName>
    <definedName name="_____PC6">#REF!</definedName>
    <definedName name="_____pc600">#REF!</definedName>
    <definedName name="_____PC7">#REF!</definedName>
    <definedName name="_____PC8">#REF!</definedName>
    <definedName name="_____PC9">#REF!</definedName>
    <definedName name="_____pc900">#REF!</definedName>
    <definedName name="_____PMS2" localSheetId="6">#REF!</definedName>
    <definedName name="_____PMS2" localSheetId="12">#REF!</definedName>
    <definedName name="_____PMS2" localSheetId="19">#REF!</definedName>
    <definedName name="_____PMS2">#REF!</definedName>
    <definedName name="_____pv1" localSheetId="6">#REF!</definedName>
    <definedName name="_____pv1" localSheetId="12">#REF!</definedName>
    <definedName name="_____pv1" localSheetId="19">#REF!</definedName>
    <definedName name="_____pv1">#REF!</definedName>
    <definedName name="_____pv2" localSheetId="22">#REF!</definedName>
    <definedName name="_____pv2" localSheetId="5">#REF!</definedName>
    <definedName name="_____pv2" localSheetId="6">#REF!</definedName>
    <definedName name="_____pv2" localSheetId="12">#REF!</definedName>
    <definedName name="_____pv2" localSheetId="34">#REF!</definedName>
    <definedName name="_____pv2" localSheetId="19">#REF!</definedName>
    <definedName name="_____pv2" localSheetId="30">#REF!</definedName>
    <definedName name="_____pv2" localSheetId="40">#REF!</definedName>
    <definedName name="_____pv2" localSheetId="26">#REF!</definedName>
    <definedName name="_____pv2">#REF!</definedName>
    <definedName name="_____pv2_33">"$#REF!.$#REF!$#REF!"</definedName>
    <definedName name="_____pv2_38">"$#REF!.$#REF!$#REF!"</definedName>
    <definedName name="_____pv2_41">"$#REF!.$#REF!$#REF!"</definedName>
    <definedName name="_____pv2_7">"$#REF!.$#REF!$#REF!"</definedName>
    <definedName name="_____pv2_8">"$#REF!.$#REF!$#REF!"</definedName>
    <definedName name="_____SO016" localSheetId="6">#REF!</definedName>
    <definedName name="_____SO016" localSheetId="12">#REF!</definedName>
    <definedName name="_____SO016" localSheetId="34">#REF!</definedName>
    <definedName name="_____SO016" localSheetId="19">#REF!</definedName>
    <definedName name="_____SO016">#REF!</definedName>
    <definedName name="_____SP001" localSheetId="6">#REF!</definedName>
    <definedName name="_____SP001" localSheetId="12">#REF!</definedName>
    <definedName name="_____SP001" localSheetId="34">#REF!</definedName>
    <definedName name="_____SP001" localSheetId="19">#REF!</definedName>
    <definedName name="_____SP001">#REF!</definedName>
    <definedName name="_____SP002" localSheetId="6">#REF!</definedName>
    <definedName name="_____SP002" localSheetId="12">#REF!</definedName>
    <definedName name="_____SP002" localSheetId="34">#REF!</definedName>
    <definedName name="_____SP002" localSheetId="19">#REF!</definedName>
    <definedName name="_____SP002">#REF!</definedName>
    <definedName name="_____SP003" localSheetId="6">#REF!</definedName>
    <definedName name="_____SP003" localSheetId="12">#REF!</definedName>
    <definedName name="_____SP003" localSheetId="34">#REF!</definedName>
    <definedName name="_____SP003" localSheetId="19">#REF!</definedName>
    <definedName name="_____SP003">#REF!</definedName>
    <definedName name="_____SP004" localSheetId="6">#REF!</definedName>
    <definedName name="_____SP004" localSheetId="12">#REF!</definedName>
    <definedName name="_____SP004" localSheetId="34">#REF!</definedName>
    <definedName name="_____SP004" localSheetId="19">#REF!</definedName>
    <definedName name="_____SP004">#REF!</definedName>
    <definedName name="_____SP005" localSheetId="6">#REF!</definedName>
    <definedName name="_____SP005" localSheetId="12">#REF!</definedName>
    <definedName name="_____SP005" localSheetId="34">#REF!</definedName>
    <definedName name="_____SP005" localSheetId="19">#REF!</definedName>
    <definedName name="_____SP005">#REF!</definedName>
    <definedName name="_____SP006" localSheetId="6">#REF!</definedName>
    <definedName name="_____SP006" localSheetId="12">#REF!</definedName>
    <definedName name="_____SP006" localSheetId="34">#REF!</definedName>
    <definedName name="_____SP006" localSheetId="19">#REF!</definedName>
    <definedName name="_____SP006">#REF!</definedName>
    <definedName name="_____SP007" localSheetId="6">#REF!</definedName>
    <definedName name="_____SP007" localSheetId="12">#REF!</definedName>
    <definedName name="_____SP007" localSheetId="34">#REF!</definedName>
    <definedName name="_____SP007" localSheetId="19">#REF!</definedName>
    <definedName name="_____SP007">#REF!</definedName>
    <definedName name="_____SP008" localSheetId="6">#REF!</definedName>
    <definedName name="_____SP008" localSheetId="12">#REF!</definedName>
    <definedName name="_____SP008" localSheetId="34">#REF!</definedName>
    <definedName name="_____SP008" localSheetId="19">#REF!</definedName>
    <definedName name="_____SP008">#REF!</definedName>
    <definedName name="_____SP009" localSheetId="6">#REF!</definedName>
    <definedName name="_____SP009" localSheetId="12">#REF!</definedName>
    <definedName name="_____SP009" localSheetId="34">#REF!</definedName>
    <definedName name="_____SP009" localSheetId="19">#REF!</definedName>
    <definedName name="_____SP009">#REF!</definedName>
    <definedName name="_____SP010" localSheetId="6">#REF!</definedName>
    <definedName name="_____SP010" localSheetId="12">#REF!</definedName>
    <definedName name="_____SP010" localSheetId="34">#REF!</definedName>
    <definedName name="_____SP010" localSheetId="19">#REF!</definedName>
    <definedName name="_____SP010">#REF!</definedName>
    <definedName name="_____SP011" localSheetId="6">#REF!</definedName>
    <definedName name="_____SP011" localSheetId="12">#REF!</definedName>
    <definedName name="_____SP011" localSheetId="34">#REF!</definedName>
    <definedName name="_____SP011" localSheetId="19">#REF!</definedName>
    <definedName name="_____SP011">#REF!</definedName>
    <definedName name="_____SP012" localSheetId="6">#REF!</definedName>
    <definedName name="_____SP012" localSheetId="12">#REF!</definedName>
    <definedName name="_____SP012" localSheetId="34">#REF!</definedName>
    <definedName name="_____SP012" localSheetId="19">#REF!</definedName>
    <definedName name="_____SP012">#REF!</definedName>
    <definedName name="_____SP013" localSheetId="6">#REF!</definedName>
    <definedName name="_____SP013" localSheetId="12">#REF!</definedName>
    <definedName name="_____SP013" localSheetId="34">#REF!</definedName>
    <definedName name="_____SP013" localSheetId="19">#REF!</definedName>
    <definedName name="_____SP013">#REF!</definedName>
    <definedName name="_____SP014" localSheetId="6">#REF!</definedName>
    <definedName name="_____SP014" localSheetId="12">#REF!</definedName>
    <definedName name="_____SP014" localSheetId="34">#REF!</definedName>
    <definedName name="_____SP014" localSheetId="19">#REF!</definedName>
    <definedName name="_____SP014">#REF!</definedName>
    <definedName name="_____SP015" localSheetId="6">#REF!</definedName>
    <definedName name="_____SP015" localSheetId="12">#REF!</definedName>
    <definedName name="_____SP015" localSheetId="34">#REF!</definedName>
    <definedName name="_____SP015" localSheetId="19">#REF!</definedName>
    <definedName name="_____SP015">#REF!</definedName>
    <definedName name="_____SP016" localSheetId="6">#REF!</definedName>
    <definedName name="_____SP016" localSheetId="12">#REF!</definedName>
    <definedName name="_____SP016" localSheetId="34">#REF!</definedName>
    <definedName name="_____SP016" localSheetId="19">#REF!</definedName>
    <definedName name="_____SP016">#REF!</definedName>
    <definedName name="_____SP017" localSheetId="6">#REF!</definedName>
    <definedName name="_____SP017" localSheetId="12">#REF!</definedName>
    <definedName name="_____SP017" localSheetId="34">#REF!</definedName>
    <definedName name="_____SP017" localSheetId="19">#REF!</definedName>
    <definedName name="_____SP017">#REF!</definedName>
    <definedName name="_____SP018" localSheetId="6">#REF!</definedName>
    <definedName name="_____SP018" localSheetId="12">#REF!</definedName>
    <definedName name="_____SP018" localSheetId="34">#REF!</definedName>
    <definedName name="_____SP018" localSheetId="19">#REF!</definedName>
    <definedName name="_____SP018">#REF!</definedName>
    <definedName name="_____SP019" localSheetId="6">#REF!</definedName>
    <definedName name="_____SP019" localSheetId="12">#REF!</definedName>
    <definedName name="_____SP019" localSheetId="34">#REF!</definedName>
    <definedName name="_____SP019" localSheetId="19">#REF!</definedName>
    <definedName name="_____SP019">#REF!</definedName>
    <definedName name="_____SP020" localSheetId="6">#REF!</definedName>
    <definedName name="_____SP020" localSheetId="12">#REF!</definedName>
    <definedName name="_____SP020" localSheetId="34">#REF!</definedName>
    <definedName name="_____SP020" localSheetId="19">#REF!</definedName>
    <definedName name="_____SP020">#REF!</definedName>
    <definedName name="_____SP021" localSheetId="6">#REF!</definedName>
    <definedName name="_____SP021" localSheetId="12">#REF!</definedName>
    <definedName name="_____SP021" localSheetId="34">#REF!</definedName>
    <definedName name="_____SP021" localSheetId="19">#REF!</definedName>
    <definedName name="_____SP021">#REF!</definedName>
    <definedName name="_____SP022" localSheetId="6">#REF!</definedName>
    <definedName name="_____SP022" localSheetId="12">#REF!</definedName>
    <definedName name="_____SP022" localSheetId="34">#REF!</definedName>
    <definedName name="_____SP022" localSheetId="19">#REF!</definedName>
    <definedName name="_____SP022">#REF!</definedName>
    <definedName name="_____SP023" localSheetId="6">#REF!</definedName>
    <definedName name="_____SP023" localSheetId="12">#REF!</definedName>
    <definedName name="_____SP023" localSheetId="34">#REF!</definedName>
    <definedName name="_____SP023" localSheetId="19">#REF!</definedName>
    <definedName name="_____SP023">#REF!</definedName>
    <definedName name="_____SP024" localSheetId="6">#REF!</definedName>
    <definedName name="_____SP024" localSheetId="12">#REF!</definedName>
    <definedName name="_____SP024" localSheetId="34">#REF!</definedName>
    <definedName name="_____SP024" localSheetId="19">#REF!</definedName>
    <definedName name="_____SP024">#REF!</definedName>
    <definedName name="_____SP025" localSheetId="6">#REF!</definedName>
    <definedName name="_____SP025" localSheetId="12">#REF!</definedName>
    <definedName name="_____SP025" localSheetId="34">#REF!</definedName>
    <definedName name="_____SP025" localSheetId="19">#REF!</definedName>
    <definedName name="_____SP025">#REF!</definedName>
    <definedName name="_____SP026" localSheetId="6">#REF!</definedName>
    <definedName name="_____SP026" localSheetId="12">#REF!</definedName>
    <definedName name="_____SP026" localSheetId="34">#REF!</definedName>
    <definedName name="_____SP026" localSheetId="19">#REF!</definedName>
    <definedName name="_____SP026">#REF!</definedName>
    <definedName name="_____SP027" localSheetId="6">#REF!</definedName>
    <definedName name="_____SP027" localSheetId="12">#REF!</definedName>
    <definedName name="_____SP027" localSheetId="34">#REF!</definedName>
    <definedName name="_____SP027" localSheetId="19">#REF!</definedName>
    <definedName name="_____SP027">#REF!</definedName>
    <definedName name="_____SP028" localSheetId="6">#REF!</definedName>
    <definedName name="_____SP028" localSheetId="12">#REF!</definedName>
    <definedName name="_____SP028" localSheetId="34">#REF!</definedName>
    <definedName name="_____SP028" localSheetId="19">#REF!</definedName>
    <definedName name="_____SP028">#REF!</definedName>
    <definedName name="_____SP029" localSheetId="6">#REF!</definedName>
    <definedName name="_____SP029" localSheetId="12">#REF!</definedName>
    <definedName name="_____SP029" localSheetId="34">#REF!</definedName>
    <definedName name="_____SP029" localSheetId="19">#REF!</definedName>
    <definedName name="_____SP029">#REF!</definedName>
    <definedName name="_____SP030" localSheetId="6">#REF!</definedName>
    <definedName name="_____SP030" localSheetId="12">#REF!</definedName>
    <definedName name="_____SP030" localSheetId="34">#REF!</definedName>
    <definedName name="_____SP030" localSheetId="19">#REF!</definedName>
    <definedName name="_____SP030">#REF!</definedName>
    <definedName name="_____SP031" localSheetId="6">#REF!</definedName>
    <definedName name="_____SP031" localSheetId="12">#REF!</definedName>
    <definedName name="_____SP031" localSheetId="34">#REF!</definedName>
    <definedName name="_____SP031" localSheetId="19">#REF!</definedName>
    <definedName name="_____SP031">#REF!</definedName>
    <definedName name="_____SP032" localSheetId="6">#REF!</definedName>
    <definedName name="_____SP032" localSheetId="12">#REF!</definedName>
    <definedName name="_____SP032" localSheetId="34">#REF!</definedName>
    <definedName name="_____SP032" localSheetId="19">#REF!</definedName>
    <definedName name="_____SP032">#REF!</definedName>
    <definedName name="_____SP033" localSheetId="6">#REF!</definedName>
    <definedName name="_____SP033" localSheetId="12">#REF!</definedName>
    <definedName name="_____SP033" localSheetId="34">#REF!</definedName>
    <definedName name="_____SP033" localSheetId="19">#REF!</definedName>
    <definedName name="_____SP033">#REF!</definedName>
    <definedName name="_____SP034" localSheetId="6">#REF!</definedName>
    <definedName name="_____SP034" localSheetId="12">#REF!</definedName>
    <definedName name="_____SP034" localSheetId="34">#REF!</definedName>
    <definedName name="_____SP034" localSheetId="19">#REF!</definedName>
    <definedName name="_____SP034">#REF!</definedName>
    <definedName name="_____SP035" localSheetId="6">#REF!</definedName>
    <definedName name="_____SP035" localSheetId="12">#REF!</definedName>
    <definedName name="_____SP035" localSheetId="34">#REF!</definedName>
    <definedName name="_____SP035" localSheetId="19">#REF!</definedName>
    <definedName name="_____SP035">#REF!</definedName>
    <definedName name="_____SP036" localSheetId="6">#REF!</definedName>
    <definedName name="_____SP036" localSheetId="12">#REF!</definedName>
    <definedName name="_____SP036" localSheetId="34">#REF!</definedName>
    <definedName name="_____SP036" localSheetId="19">#REF!</definedName>
    <definedName name="_____SP036">#REF!</definedName>
    <definedName name="_____SP037" localSheetId="6">#REF!</definedName>
    <definedName name="_____SP037" localSheetId="12">#REF!</definedName>
    <definedName name="_____SP037" localSheetId="34">#REF!</definedName>
    <definedName name="_____SP037" localSheetId="19">#REF!</definedName>
    <definedName name="_____SP037">#REF!</definedName>
    <definedName name="_____SP038" localSheetId="6">#REF!</definedName>
    <definedName name="_____SP038" localSheetId="12">#REF!</definedName>
    <definedName name="_____SP038" localSheetId="34">#REF!</definedName>
    <definedName name="_____SP038" localSheetId="19">#REF!</definedName>
    <definedName name="_____SP038">#REF!</definedName>
    <definedName name="_____SP039" localSheetId="6">#REF!</definedName>
    <definedName name="_____SP039" localSheetId="12">#REF!</definedName>
    <definedName name="_____SP039" localSheetId="34">#REF!</definedName>
    <definedName name="_____SP039" localSheetId="19">#REF!</definedName>
    <definedName name="_____SP039">#REF!</definedName>
    <definedName name="_____SP040" localSheetId="6">#REF!</definedName>
    <definedName name="_____SP040" localSheetId="12">#REF!</definedName>
    <definedName name="_____SP040" localSheetId="34">#REF!</definedName>
    <definedName name="_____SP040" localSheetId="19">#REF!</definedName>
    <definedName name="_____SP040">#REF!</definedName>
    <definedName name="_____SP041" localSheetId="6">#REF!</definedName>
    <definedName name="_____SP041" localSheetId="12">#REF!</definedName>
    <definedName name="_____SP041" localSheetId="34">#REF!</definedName>
    <definedName name="_____SP041" localSheetId="19">#REF!</definedName>
    <definedName name="_____SP041">#REF!</definedName>
    <definedName name="_____SP042" localSheetId="6">#REF!</definedName>
    <definedName name="_____SP042" localSheetId="12">#REF!</definedName>
    <definedName name="_____SP042" localSheetId="34">#REF!</definedName>
    <definedName name="_____SP042" localSheetId="19">#REF!</definedName>
    <definedName name="_____SP042">#REF!</definedName>
    <definedName name="_____SP043" localSheetId="6">#REF!</definedName>
    <definedName name="_____SP043" localSheetId="12">#REF!</definedName>
    <definedName name="_____SP043" localSheetId="34">#REF!</definedName>
    <definedName name="_____SP043" localSheetId="19">#REF!</definedName>
    <definedName name="_____SP043">#REF!</definedName>
    <definedName name="_____SP044" localSheetId="6">#REF!</definedName>
    <definedName name="_____SP044" localSheetId="12">#REF!</definedName>
    <definedName name="_____SP044" localSheetId="34">#REF!</definedName>
    <definedName name="_____SP044" localSheetId="19">#REF!</definedName>
    <definedName name="_____SP044">#REF!</definedName>
    <definedName name="_____SP045" localSheetId="6">#REF!</definedName>
    <definedName name="_____SP045" localSheetId="12">#REF!</definedName>
    <definedName name="_____SP045" localSheetId="34">#REF!</definedName>
    <definedName name="_____SP045" localSheetId="19">#REF!</definedName>
    <definedName name="_____SP045">#REF!</definedName>
    <definedName name="_____SP046" localSheetId="6">#REF!</definedName>
    <definedName name="_____SP046" localSheetId="12">#REF!</definedName>
    <definedName name="_____SP046" localSheetId="34">#REF!</definedName>
    <definedName name="_____SP046" localSheetId="19">#REF!</definedName>
    <definedName name="_____SP046">#REF!</definedName>
    <definedName name="_____SP047" localSheetId="6">#REF!</definedName>
    <definedName name="_____SP047" localSheetId="12">#REF!</definedName>
    <definedName name="_____SP047" localSheetId="34">#REF!</definedName>
    <definedName name="_____SP047" localSheetId="19">#REF!</definedName>
    <definedName name="_____SP047">#REF!</definedName>
    <definedName name="_____SP048" localSheetId="6">#REF!</definedName>
    <definedName name="_____SP048" localSheetId="12">#REF!</definedName>
    <definedName name="_____SP048" localSheetId="34">#REF!</definedName>
    <definedName name="_____SP048" localSheetId="19">#REF!</definedName>
    <definedName name="_____SP048">#REF!</definedName>
    <definedName name="_____SP049" localSheetId="6">#REF!</definedName>
    <definedName name="_____SP049" localSheetId="12">#REF!</definedName>
    <definedName name="_____SP049" localSheetId="34">#REF!</definedName>
    <definedName name="_____SP049" localSheetId="19">#REF!</definedName>
    <definedName name="_____SP049">#REF!</definedName>
    <definedName name="_____SP050" localSheetId="6">#REF!</definedName>
    <definedName name="_____SP050" localSheetId="12">#REF!</definedName>
    <definedName name="_____SP050" localSheetId="34">#REF!</definedName>
    <definedName name="_____SP050" localSheetId="19">#REF!</definedName>
    <definedName name="_____SP050">#REF!</definedName>
    <definedName name="_____SP051" localSheetId="6">#REF!</definedName>
    <definedName name="_____SP051" localSheetId="12">#REF!</definedName>
    <definedName name="_____SP051" localSheetId="34">#REF!</definedName>
    <definedName name="_____SP051" localSheetId="19">#REF!</definedName>
    <definedName name="_____SP051">#REF!</definedName>
    <definedName name="_____SP052" localSheetId="6">#REF!</definedName>
    <definedName name="_____SP052" localSheetId="12">#REF!</definedName>
    <definedName name="_____SP052" localSheetId="34">#REF!</definedName>
    <definedName name="_____SP052" localSheetId="19">#REF!</definedName>
    <definedName name="_____SP052">#REF!</definedName>
    <definedName name="_____SP053" localSheetId="6">#REF!</definedName>
    <definedName name="_____SP053" localSheetId="12">#REF!</definedName>
    <definedName name="_____SP053" localSheetId="34">#REF!</definedName>
    <definedName name="_____SP053" localSheetId="19">#REF!</definedName>
    <definedName name="_____SP053">#REF!</definedName>
    <definedName name="_____SP054" localSheetId="6">#REF!</definedName>
    <definedName name="_____SP054" localSheetId="12">#REF!</definedName>
    <definedName name="_____SP054" localSheetId="34">#REF!</definedName>
    <definedName name="_____SP054" localSheetId="19">#REF!</definedName>
    <definedName name="_____SP054">#REF!</definedName>
    <definedName name="_____SP055" localSheetId="6">#REF!</definedName>
    <definedName name="_____SP055" localSheetId="12">#REF!</definedName>
    <definedName name="_____SP055" localSheetId="34">#REF!</definedName>
    <definedName name="_____SP055" localSheetId="19">#REF!</definedName>
    <definedName name="_____SP055">#REF!</definedName>
    <definedName name="_____SP056" localSheetId="6">#REF!</definedName>
    <definedName name="_____SP056" localSheetId="12">#REF!</definedName>
    <definedName name="_____SP056" localSheetId="34">#REF!</definedName>
    <definedName name="_____SP056" localSheetId="19">#REF!</definedName>
    <definedName name="_____SP056">#REF!</definedName>
    <definedName name="_____SP057" localSheetId="6">#REF!</definedName>
    <definedName name="_____SP057" localSheetId="12">#REF!</definedName>
    <definedName name="_____SP057" localSheetId="34">#REF!</definedName>
    <definedName name="_____SP057" localSheetId="19">#REF!</definedName>
    <definedName name="_____SP057">#REF!</definedName>
    <definedName name="_____SP058" localSheetId="6">#REF!</definedName>
    <definedName name="_____SP058" localSheetId="12">#REF!</definedName>
    <definedName name="_____SP058" localSheetId="34">#REF!</definedName>
    <definedName name="_____SP058" localSheetId="19">#REF!</definedName>
    <definedName name="_____SP058">#REF!</definedName>
    <definedName name="_____SP059" localSheetId="6">#REF!</definedName>
    <definedName name="_____SP059" localSheetId="12">#REF!</definedName>
    <definedName name="_____SP059" localSheetId="34">#REF!</definedName>
    <definedName name="_____SP059" localSheetId="19">#REF!</definedName>
    <definedName name="_____SP059">#REF!</definedName>
    <definedName name="_____SP060" localSheetId="6">#REF!</definedName>
    <definedName name="_____SP060" localSheetId="12">#REF!</definedName>
    <definedName name="_____SP060" localSheetId="34">#REF!</definedName>
    <definedName name="_____SP060" localSheetId="19">#REF!</definedName>
    <definedName name="_____SP060">#REF!</definedName>
    <definedName name="_____SP061" localSheetId="6">#REF!</definedName>
    <definedName name="_____SP061" localSheetId="12">#REF!</definedName>
    <definedName name="_____SP061" localSheetId="34">#REF!</definedName>
    <definedName name="_____SP061" localSheetId="19">#REF!</definedName>
    <definedName name="_____SP061">#REF!</definedName>
    <definedName name="_____SP062" localSheetId="6">#REF!</definedName>
    <definedName name="_____SP062" localSheetId="12">#REF!</definedName>
    <definedName name="_____SP062" localSheetId="34">#REF!</definedName>
    <definedName name="_____SP062" localSheetId="19">#REF!</definedName>
    <definedName name="_____SP062">#REF!</definedName>
    <definedName name="_____SP063" localSheetId="6">#REF!</definedName>
    <definedName name="_____SP063" localSheetId="12">#REF!</definedName>
    <definedName name="_____SP063" localSheetId="34">#REF!</definedName>
    <definedName name="_____SP063" localSheetId="19">#REF!</definedName>
    <definedName name="_____SP063">#REF!</definedName>
    <definedName name="_____SP064" localSheetId="6">#REF!</definedName>
    <definedName name="_____SP064" localSheetId="12">#REF!</definedName>
    <definedName name="_____SP064" localSheetId="34">#REF!</definedName>
    <definedName name="_____SP064" localSheetId="19">#REF!</definedName>
    <definedName name="_____SP064">#REF!</definedName>
    <definedName name="_____SP065" localSheetId="6">#REF!</definedName>
    <definedName name="_____SP065" localSheetId="12">#REF!</definedName>
    <definedName name="_____SP065" localSheetId="34">#REF!</definedName>
    <definedName name="_____SP065" localSheetId="19">#REF!</definedName>
    <definedName name="_____SP065">#REF!</definedName>
    <definedName name="_____SP066" localSheetId="6">#REF!</definedName>
    <definedName name="_____SP066" localSheetId="12">#REF!</definedName>
    <definedName name="_____SP066" localSheetId="34">#REF!</definedName>
    <definedName name="_____SP066" localSheetId="19">#REF!</definedName>
    <definedName name="_____SP066">#REF!</definedName>
    <definedName name="_____SP067" localSheetId="6">#REF!</definedName>
    <definedName name="_____SP067" localSheetId="12">#REF!</definedName>
    <definedName name="_____SP067" localSheetId="34">#REF!</definedName>
    <definedName name="_____SP067" localSheetId="19">#REF!</definedName>
    <definedName name="_____SP067">#REF!</definedName>
    <definedName name="_____SP068" localSheetId="6">#REF!</definedName>
    <definedName name="_____SP068" localSheetId="12">#REF!</definedName>
    <definedName name="_____SP068" localSheetId="34">#REF!</definedName>
    <definedName name="_____SP068" localSheetId="19">#REF!</definedName>
    <definedName name="_____SP068">#REF!</definedName>
    <definedName name="_____SP069" localSheetId="6">#REF!</definedName>
    <definedName name="_____SP069" localSheetId="12">#REF!</definedName>
    <definedName name="_____SP069" localSheetId="34">#REF!</definedName>
    <definedName name="_____SP069" localSheetId="19">#REF!</definedName>
    <definedName name="_____SP069">#REF!</definedName>
    <definedName name="_____SP070" localSheetId="6">#REF!</definedName>
    <definedName name="_____SP070" localSheetId="12">#REF!</definedName>
    <definedName name="_____SP070" localSheetId="34">#REF!</definedName>
    <definedName name="_____SP070" localSheetId="19">#REF!</definedName>
    <definedName name="_____SP070">#REF!</definedName>
    <definedName name="_____sp071" localSheetId="6">#REF!</definedName>
    <definedName name="_____sp071" localSheetId="12">#REF!</definedName>
    <definedName name="_____sp071" localSheetId="34">#REF!</definedName>
    <definedName name="_____sp071" localSheetId="19">#REF!</definedName>
    <definedName name="_____sp071">#REF!</definedName>
    <definedName name="_____SP072" localSheetId="6">#REF!</definedName>
    <definedName name="_____SP072" localSheetId="12">#REF!</definedName>
    <definedName name="_____SP072" localSheetId="34">#REF!</definedName>
    <definedName name="_____SP072" localSheetId="19">#REF!</definedName>
    <definedName name="_____SP072">#REF!</definedName>
    <definedName name="_____SP073" localSheetId="6">#REF!</definedName>
    <definedName name="_____SP073" localSheetId="12">#REF!</definedName>
    <definedName name="_____SP073" localSheetId="34">#REF!</definedName>
    <definedName name="_____SP073" localSheetId="19">#REF!</definedName>
    <definedName name="_____SP073">#REF!</definedName>
    <definedName name="_____SP074" localSheetId="6">#REF!</definedName>
    <definedName name="_____SP074" localSheetId="12">#REF!</definedName>
    <definedName name="_____SP074" localSheetId="34">#REF!</definedName>
    <definedName name="_____SP074" localSheetId="19">#REF!</definedName>
    <definedName name="_____SP074">#REF!</definedName>
    <definedName name="_____SP075" localSheetId="6">#REF!</definedName>
    <definedName name="_____SP075" localSheetId="12">#REF!</definedName>
    <definedName name="_____SP075" localSheetId="34">#REF!</definedName>
    <definedName name="_____SP075" localSheetId="19">#REF!</definedName>
    <definedName name="_____SP075">#REF!</definedName>
    <definedName name="_____SP076" localSheetId="6">#REF!</definedName>
    <definedName name="_____SP076" localSheetId="12">#REF!</definedName>
    <definedName name="_____SP076" localSheetId="34">#REF!</definedName>
    <definedName name="_____SP076" localSheetId="19">#REF!</definedName>
    <definedName name="_____SP076">#REF!</definedName>
    <definedName name="_____SP077" localSheetId="6">#REF!</definedName>
    <definedName name="_____SP077" localSheetId="12">#REF!</definedName>
    <definedName name="_____SP077" localSheetId="34">#REF!</definedName>
    <definedName name="_____SP077" localSheetId="19">#REF!</definedName>
    <definedName name="_____SP077">#REF!</definedName>
    <definedName name="_____sp078" localSheetId="6">#REF!</definedName>
    <definedName name="_____sp078" localSheetId="12">#REF!</definedName>
    <definedName name="_____sp078" localSheetId="34">#REF!</definedName>
    <definedName name="_____sp078" localSheetId="19">#REF!</definedName>
    <definedName name="_____sp078">#REF!</definedName>
    <definedName name="_____SPO79" localSheetId="6">#REF!</definedName>
    <definedName name="_____SPO79" localSheetId="12">#REF!</definedName>
    <definedName name="_____SPO79" localSheetId="34">#REF!</definedName>
    <definedName name="_____SPO79" localSheetId="19">#REF!</definedName>
    <definedName name="_____SPO79">#REF!</definedName>
    <definedName name="_____sw1" localSheetId="19">#REF!</definedName>
    <definedName name="_____t1" localSheetId="27">#REF!</definedName>
    <definedName name="_____t1">#REF!</definedName>
    <definedName name="_____t2">#REF!</definedName>
    <definedName name="_____tab1">#REF!</definedName>
    <definedName name="_____us1">#REF!</definedName>
    <definedName name="_____var1" localSheetId="22">#REF!</definedName>
    <definedName name="_____var1" localSheetId="5">#REF!</definedName>
    <definedName name="_____var1" localSheetId="6">#REF!</definedName>
    <definedName name="_____var1" localSheetId="12">#REF!</definedName>
    <definedName name="_____var1" localSheetId="34">#REF!</definedName>
    <definedName name="_____var1" localSheetId="19">#REF!</definedName>
    <definedName name="_____var1" localSheetId="30">#REF!</definedName>
    <definedName name="_____var1" localSheetId="40">#REF!</definedName>
    <definedName name="_____var1" localSheetId="26">#REF!</definedName>
    <definedName name="_____var1">#REF!</definedName>
    <definedName name="_____var1_33">"$#REF!.$#REF!$#REF!"</definedName>
    <definedName name="_____var1_38">"$#REF!.$#REF!$#REF!"</definedName>
    <definedName name="_____var1_41">"$#REF!.$#REF!$#REF!"</definedName>
    <definedName name="_____var1_7">"$#REF!.$#REF!$#REF!"</definedName>
    <definedName name="_____var1_8">"$#REF!.$#REF!$#REF!"</definedName>
    <definedName name="_____var4" localSheetId="22">#REF!</definedName>
    <definedName name="_____var4" localSheetId="5">#REF!</definedName>
    <definedName name="_____var4" localSheetId="6">#REF!</definedName>
    <definedName name="_____var4" localSheetId="12">#REF!</definedName>
    <definedName name="_____var4" localSheetId="34">#REF!</definedName>
    <definedName name="_____var4" localSheetId="19">#REF!</definedName>
    <definedName name="_____var4" localSheetId="30">#REF!</definedName>
    <definedName name="_____var4" localSheetId="40">#REF!</definedName>
    <definedName name="_____var4" localSheetId="26">#REF!</definedName>
    <definedName name="_____var4">#REF!</definedName>
    <definedName name="_____var4_33">"$#REF!.$#REF!$#REF!"</definedName>
    <definedName name="_____var4_38">"$#REF!.$#REF!$#REF!"</definedName>
    <definedName name="_____var4_41">"$#REF!.$#REF!$#REF!"</definedName>
    <definedName name="_____var4_7">"$#REF!.$#REF!$#REF!"</definedName>
    <definedName name="_____var4_8">"$#REF!.$#REF!$#REF!"</definedName>
    <definedName name="_____vat1" localSheetId="6">#REF!</definedName>
    <definedName name="_____vat1" localSheetId="12">#REF!</definedName>
    <definedName name="_____vat1" localSheetId="19">#REF!</definedName>
    <definedName name="_____vat1">#REF!</definedName>
    <definedName name="_____vat2" localSheetId="6">#REF!</definedName>
    <definedName name="_____vat2" localSheetId="12">#REF!</definedName>
    <definedName name="_____vat2" localSheetId="19">#REF!</definedName>
    <definedName name="_____vat2">#REF!</definedName>
    <definedName name="_____xlfn_BAHTTEXT">#N/A</definedName>
    <definedName name="____abs1" localSheetId="5">#REF!</definedName>
    <definedName name="____abs1" localSheetId="14">#REF!</definedName>
    <definedName name="____abs1" localSheetId="6">#REF!</definedName>
    <definedName name="____abs1" localSheetId="12">#REF!</definedName>
    <definedName name="____abs1" localSheetId="19">#REF!</definedName>
    <definedName name="____abs1">#REF!</definedName>
    <definedName name="____AUX1">#REF!</definedName>
    <definedName name="____aux2" localSheetId="19">#REF!</definedName>
    <definedName name="____AUX3">#REF!</definedName>
    <definedName name="____BSG100" localSheetId="6">#REF!</definedName>
    <definedName name="____BSG100" localSheetId="12">#REF!</definedName>
    <definedName name="____BSG100" localSheetId="19">#REF!</definedName>
    <definedName name="____BSG100">#REF!</definedName>
    <definedName name="____BSG150" localSheetId="6">#REF!</definedName>
    <definedName name="____BSG150" localSheetId="12">#REF!</definedName>
    <definedName name="____BSG150" localSheetId="19">#REF!</definedName>
    <definedName name="____BSG150">#REF!</definedName>
    <definedName name="____BSG5" localSheetId="6">#REF!</definedName>
    <definedName name="____BSG5" localSheetId="12">#REF!</definedName>
    <definedName name="____BSG5" localSheetId="19">#REF!</definedName>
    <definedName name="____BSG5">#REF!</definedName>
    <definedName name="____BSG75" localSheetId="6">#REF!</definedName>
    <definedName name="____BSG75" localSheetId="12">#REF!</definedName>
    <definedName name="____BSG75" localSheetId="19">#REF!</definedName>
    <definedName name="____BSG75">#REF!</definedName>
    <definedName name="____BTC1" localSheetId="6">#REF!</definedName>
    <definedName name="____BTC1" localSheetId="12">#REF!</definedName>
    <definedName name="____BTC1" localSheetId="19">#REF!</definedName>
    <definedName name="____BTC1">#REF!</definedName>
    <definedName name="____BTC10" localSheetId="6">#REF!</definedName>
    <definedName name="____BTC10" localSheetId="12">#REF!</definedName>
    <definedName name="____BTC10" localSheetId="19">#REF!</definedName>
    <definedName name="____BTC10">#REF!</definedName>
    <definedName name="____BTC11" localSheetId="6">#REF!</definedName>
    <definedName name="____BTC11" localSheetId="12">#REF!</definedName>
    <definedName name="____BTC11" localSheetId="19">#REF!</definedName>
    <definedName name="____BTC11">#REF!</definedName>
    <definedName name="____BTC12" localSheetId="6">#REF!</definedName>
    <definedName name="____BTC12" localSheetId="12">#REF!</definedName>
    <definedName name="____BTC12" localSheetId="19">#REF!</definedName>
    <definedName name="____BTC12">#REF!</definedName>
    <definedName name="____BTC13" localSheetId="6">#REF!</definedName>
    <definedName name="____BTC13" localSheetId="12">#REF!</definedName>
    <definedName name="____BTC13" localSheetId="19">#REF!</definedName>
    <definedName name="____BTC13">#REF!</definedName>
    <definedName name="____BTC14" localSheetId="6">#REF!</definedName>
    <definedName name="____BTC14" localSheetId="12">#REF!</definedName>
    <definedName name="____BTC14" localSheetId="19">#REF!</definedName>
    <definedName name="____BTC14">#REF!</definedName>
    <definedName name="____BTC15" localSheetId="6">#REF!</definedName>
    <definedName name="____BTC15" localSheetId="12">#REF!</definedName>
    <definedName name="____BTC15" localSheetId="19">#REF!</definedName>
    <definedName name="____BTC15">#REF!</definedName>
    <definedName name="____BTC16">#REF!</definedName>
    <definedName name="____BTC17">#REF!</definedName>
    <definedName name="____BTC18">#REF!</definedName>
    <definedName name="____BTC19">#REF!</definedName>
    <definedName name="____BTC2" localSheetId="6">#REF!</definedName>
    <definedName name="____BTC2" localSheetId="12">#REF!</definedName>
    <definedName name="____BTC2" localSheetId="19">#REF!</definedName>
    <definedName name="____BTC2">#REF!</definedName>
    <definedName name="____BTC20">#REF!</definedName>
    <definedName name="____BTC21">#REF!</definedName>
    <definedName name="____BTC22">#REF!</definedName>
    <definedName name="____BTC23">#REF!</definedName>
    <definedName name="____BTC24">#REF!</definedName>
    <definedName name="____BTC3" localSheetId="6">#REF!</definedName>
    <definedName name="____BTC3" localSheetId="12">#REF!</definedName>
    <definedName name="____BTC3" localSheetId="19">#REF!</definedName>
    <definedName name="____BTC3">#REF!</definedName>
    <definedName name="____BTC4" localSheetId="6">#REF!</definedName>
    <definedName name="____BTC4" localSheetId="12">#REF!</definedName>
    <definedName name="____BTC4" localSheetId="19">#REF!</definedName>
    <definedName name="____BTC4">#REF!</definedName>
    <definedName name="____BTC5" localSheetId="6">#REF!</definedName>
    <definedName name="____BTC5" localSheetId="12">#REF!</definedName>
    <definedName name="____BTC5" localSheetId="19">#REF!</definedName>
    <definedName name="____BTC5">#REF!</definedName>
    <definedName name="____BTC6" localSheetId="6">#REF!</definedName>
    <definedName name="____BTC6" localSheetId="12">#REF!</definedName>
    <definedName name="____BTC6" localSheetId="19">#REF!</definedName>
    <definedName name="____BTC6">#REF!</definedName>
    <definedName name="____BTC7" localSheetId="6">#REF!</definedName>
    <definedName name="____BTC7" localSheetId="12">#REF!</definedName>
    <definedName name="____BTC7" localSheetId="19">#REF!</definedName>
    <definedName name="____BTC7">#REF!</definedName>
    <definedName name="____BTC8" localSheetId="6">#REF!</definedName>
    <definedName name="____BTC8" localSheetId="12">#REF!</definedName>
    <definedName name="____BTC8" localSheetId="19">#REF!</definedName>
    <definedName name="____BTC8">#REF!</definedName>
    <definedName name="____BTC9" localSheetId="6">#REF!</definedName>
    <definedName name="____BTC9" localSheetId="12">#REF!</definedName>
    <definedName name="____BTC9" localSheetId="19">#REF!</definedName>
    <definedName name="____BTC9">#REF!</definedName>
    <definedName name="____BTR1">#REF!</definedName>
    <definedName name="____BTR10">#REF!</definedName>
    <definedName name="____BTR11">#REF!</definedName>
    <definedName name="____BTR12">#REF!</definedName>
    <definedName name="____BTR13">#REF!</definedName>
    <definedName name="____BTR14">#REF!</definedName>
    <definedName name="____BTR15">#REF!</definedName>
    <definedName name="____BTR16">#REF!</definedName>
    <definedName name="____BTR17">#REF!</definedName>
    <definedName name="____BTR18">#REF!</definedName>
    <definedName name="____BTR19">#REF!</definedName>
    <definedName name="____BTR2">#REF!</definedName>
    <definedName name="____BTR20">#REF!</definedName>
    <definedName name="____BTR21">#REF!</definedName>
    <definedName name="____BTR22">#REF!</definedName>
    <definedName name="____BTR23">#REF!</definedName>
    <definedName name="____BTR24">#REF!</definedName>
    <definedName name="____BTR3">#REF!</definedName>
    <definedName name="____BTR4">#REF!</definedName>
    <definedName name="____BTR5">#REF!</definedName>
    <definedName name="____BTR6">#REF!</definedName>
    <definedName name="____BTR7">#REF!</definedName>
    <definedName name="____BTR8">#REF!</definedName>
    <definedName name="____BTR9">#REF!</definedName>
    <definedName name="____BTS1" localSheetId="6">#REF!</definedName>
    <definedName name="____BTS1" localSheetId="12">#REF!</definedName>
    <definedName name="____BTS1" localSheetId="19">#REF!</definedName>
    <definedName name="____BTS1">#REF!</definedName>
    <definedName name="____BTS10" localSheetId="6">#REF!</definedName>
    <definedName name="____BTS10" localSheetId="12">#REF!</definedName>
    <definedName name="____BTS10" localSheetId="19">#REF!</definedName>
    <definedName name="____BTS10">#REF!</definedName>
    <definedName name="____BTS11" localSheetId="6">#REF!</definedName>
    <definedName name="____BTS11" localSheetId="12">#REF!</definedName>
    <definedName name="____BTS11" localSheetId="19">#REF!</definedName>
    <definedName name="____BTS11">#REF!</definedName>
    <definedName name="____BTS12" localSheetId="6">#REF!</definedName>
    <definedName name="____BTS12" localSheetId="12">#REF!</definedName>
    <definedName name="____BTS12" localSheetId="19">#REF!</definedName>
    <definedName name="____BTS12">#REF!</definedName>
    <definedName name="____BTS13" localSheetId="6">#REF!</definedName>
    <definedName name="____BTS13" localSheetId="12">#REF!</definedName>
    <definedName name="____BTS13" localSheetId="19">#REF!</definedName>
    <definedName name="____BTS13">#REF!</definedName>
    <definedName name="____BTS14" localSheetId="6">#REF!</definedName>
    <definedName name="____BTS14" localSheetId="12">#REF!</definedName>
    <definedName name="____BTS14" localSheetId="19">#REF!</definedName>
    <definedName name="____BTS14">#REF!</definedName>
    <definedName name="____BTS15" localSheetId="6">#REF!</definedName>
    <definedName name="____BTS15" localSheetId="12">#REF!</definedName>
    <definedName name="____BTS15" localSheetId="19">#REF!</definedName>
    <definedName name="____BTS15">#REF!</definedName>
    <definedName name="____BTS16">#REF!</definedName>
    <definedName name="____BTS17">#REF!</definedName>
    <definedName name="____BTS18">#REF!</definedName>
    <definedName name="____BTS19">#REF!</definedName>
    <definedName name="____BTS2" localSheetId="6">#REF!</definedName>
    <definedName name="____BTS2" localSheetId="12">#REF!</definedName>
    <definedName name="____BTS2" localSheetId="19">#REF!</definedName>
    <definedName name="____BTS2">#REF!</definedName>
    <definedName name="____BTS20">#REF!</definedName>
    <definedName name="____BTS21">#REF!</definedName>
    <definedName name="____BTS22">#REF!</definedName>
    <definedName name="____BTS23">#REF!</definedName>
    <definedName name="____BTS24">#REF!</definedName>
    <definedName name="____BTS3" localSheetId="6">#REF!</definedName>
    <definedName name="____BTS3" localSheetId="12">#REF!</definedName>
    <definedName name="____BTS3" localSheetId="19">#REF!</definedName>
    <definedName name="____BTS3">#REF!</definedName>
    <definedName name="____BTS4" localSheetId="6">#REF!</definedName>
    <definedName name="____BTS4" localSheetId="12">#REF!</definedName>
    <definedName name="____BTS4" localSheetId="19">#REF!</definedName>
    <definedName name="____BTS4">#REF!</definedName>
    <definedName name="____BTS5" localSheetId="6">#REF!</definedName>
    <definedName name="____BTS5" localSheetId="12">#REF!</definedName>
    <definedName name="____BTS5" localSheetId="19">#REF!</definedName>
    <definedName name="____BTS5">#REF!</definedName>
    <definedName name="____BTS6" localSheetId="6">#REF!</definedName>
    <definedName name="____BTS6" localSheetId="12">#REF!</definedName>
    <definedName name="____BTS6" localSheetId="19">#REF!</definedName>
    <definedName name="____BTS6">#REF!</definedName>
    <definedName name="____BTS7" localSheetId="6">#REF!</definedName>
    <definedName name="____BTS7" localSheetId="12">#REF!</definedName>
    <definedName name="____BTS7" localSheetId="19">#REF!</definedName>
    <definedName name="____BTS7">#REF!</definedName>
    <definedName name="____BTS8" localSheetId="6">#REF!</definedName>
    <definedName name="____BTS8" localSheetId="12">#REF!</definedName>
    <definedName name="____BTS8" localSheetId="19">#REF!</definedName>
    <definedName name="____BTS8">#REF!</definedName>
    <definedName name="____BTS9" localSheetId="6">#REF!</definedName>
    <definedName name="____BTS9" localSheetId="12">#REF!</definedName>
    <definedName name="____BTS9" localSheetId="19">#REF!</definedName>
    <definedName name="____BTS9">#REF!</definedName>
    <definedName name="____can430">40.73</definedName>
    <definedName name="____can435">43.3</definedName>
    <definedName name="____cbr1" localSheetId="6">#REF!</definedName>
    <definedName name="____cbr1" localSheetId="12">#REF!</definedName>
    <definedName name="____cbr1" localSheetId="19">#REF!</definedName>
    <definedName name="____cbr1">#REF!</definedName>
    <definedName name="____cbr2" localSheetId="6">#REF!</definedName>
    <definedName name="____cbr2" localSheetId="12">#REF!</definedName>
    <definedName name="____cbr2" localSheetId="19">#REF!</definedName>
    <definedName name="____cbr2">#REF!</definedName>
    <definedName name="____cbr3" localSheetId="6">#REF!</definedName>
    <definedName name="____cbr3" localSheetId="12">#REF!</definedName>
    <definedName name="____cbr3" localSheetId="19">#REF!</definedName>
    <definedName name="____cbr3">#REF!</definedName>
    <definedName name="____cbr4" localSheetId="6">#REF!</definedName>
    <definedName name="____cbr4" localSheetId="12">#REF!</definedName>
    <definedName name="____cbr4" localSheetId="19">#REF!</definedName>
    <definedName name="____cbr4">#REF!</definedName>
    <definedName name="____df3" localSheetId="6">#REF!</definedName>
    <definedName name="____df3" localSheetId="12">#REF!</definedName>
    <definedName name="____df3" localSheetId="34">#REF!</definedName>
    <definedName name="____df3" localSheetId="19">#REF!</definedName>
    <definedName name="____df3">#REF!</definedName>
    <definedName name="____er1">#REF!</definedName>
    <definedName name="____ewe1" localSheetId="34">#REF!</definedName>
    <definedName name="____ewe1" localSheetId="19">#REF!</definedName>
    <definedName name="____ewe1">#REF!</definedName>
    <definedName name="____f1" localSheetId="6">#REF!</definedName>
    <definedName name="____f1" localSheetId="12">#REF!</definedName>
    <definedName name="____f1" localSheetId="34">#REF!</definedName>
    <definedName name="____f1" localSheetId="19">#REF!</definedName>
    <definedName name="____f1">#REF!</definedName>
    <definedName name="____GBS11" localSheetId="6">#REF!</definedName>
    <definedName name="____GBS11" localSheetId="12">#REF!</definedName>
    <definedName name="____GBS11" localSheetId="19">#REF!</definedName>
    <definedName name="____GBS11">#REF!</definedName>
    <definedName name="____GBS110" localSheetId="6">#REF!</definedName>
    <definedName name="____GBS110" localSheetId="12">#REF!</definedName>
    <definedName name="____GBS110" localSheetId="19">#REF!</definedName>
    <definedName name="____GBS110">#REF!</definedName>
    <definedName name="____GBS111" localSheetId="6">#REF!</definedName>
    <definedName name="____GBS111" localSheetId="12">#REF!</definedName>
    <definedName name="____GBS111" localSheetId="19">#REF!</definedName>
    <definedName name="____GBS111">#REF!</definedName>
    <definedName name="____GBS112" localSheetId="6">#REF!</definedName>
    <definedName name="____GBS112" localSheetId="12">#REF!</definedName>
    <definedName name="____GBS112" localSheetId="19">#REF!</definedName>
    <definedName name="____GBS112">#REF!</definedName>
    <definedName name="____GBS113" localSheetId="6">#REF!</definedName>
    <definedName name="____GBS113" localSheetId="12">#REF!</definedName>
    <definedName name="____GBS113" localSheetId="19">#REF!</definedName>
    <definedName name="____GBS113">#REF!</definedName>
    <definedName name="____GBS114" localSheetId="6">#REF!</definedName>
    <definedName name="____GBS114" localSheetId="12">#REF!</definedName>
    <definedName name="____GBS114" localSheetId="19">#REF!</definedName>
    <definedName name="____GBS114">#REF!</definedName>
    <definedName name="____GBS115" localSheetId="6">#REF!</definedName>
    <definedName name="____GBS115" localSheetId="12">#REF!</definedName>
    <definedName name="____GBS115" localSheetId="19">#REF!</definedName>
    <definedName name="____GBS115">#REF!</definedName>
    <definedName name="____GBS116">#REF!</definedName>
    <definedName name="____GBS117">#REF!</definedName>
    <definedName name="____GBS118">#REF!</definedName>
    <definedName name="____GBS119">#REF!</definedName>
    <definedName name="____GBS12" localSheetId="6">#REF!</definedName>
    <definedName name="____GBS12" localSheetId="12">#REF!</definedName>
    <definedName name="____GBS12" localSheetId="19">#REF!</definedName>
    <definedName name="____GBS12">#REF!</definedName>
    <definedName name="____GBS120">#REF!</definedName>
    <definedName name="____GBS121">#REF!</definedName>
    <definedName name="____GBS122">#REF!</definedName>
    <definedName name="____GBS123">#REF!</definedName>
    <definedName name="____GBS124">#REF!</definedName>
    <definedName name="____GBS13" localSheetId="6">#REF!</definedName>
    <definedName name="____GBS13" localSheetId="12">#REF!</definedName>
    <definedName name="____GBS13" localSheetId="19">#REF!</definedName>
    <definedName name="____GBS13">#REF!</definedName>
    <definedName name="____GBS14" localSheetId="6">#REF!</definedName>
    <definedName name="____GBS14" localSheetId="12">#REF!</definedName>
    <definedName name="____GBS14" localSheetId="19">#REF!</definedName>
    <definedName name="____GBS14">#REF!</definedName>
    <definedName name="____GBS15" localSheetId="6">#REF!</definedName>
    <definedName name="____GBS15" localSheetId="12">#REF!</definedName>
    <definedName name="____GBS15" localSheetId="19">#REF!</definedName>
    <definedName name="____GBS15">#REF!</definedName>
    <definedName name="____GBS16" localSheetId="6">#REF!</definedName>
    <definedName name="____GBS16" localSheetId="12">#REF!</definedName>
    <definedName name="____GBS16" localSheetId="19">#REF!</definedName>
    <definedName name="____GBS16">#REF!</definedName>
    <definedName name="____GBS17" localSheetId="6">#REF!</definedName>
    <definedName name="____GBS17" localSheetId="12">#REF!</definedName>
    <definedName name="____GBS17" localSheetId="19">#REF!</definedName>
    <definedName name="____GBS17">#REF!</definedName>
    <definedName name="____GBS18" localSheetId="6">#REF!</definedName>
    <definedName name="____GBS18" localSheetId="12">#REF!</definedName>
    <definedName name="____GBS18" localSheetId="19">#REF!</definedName>
    <definedName name="____GBS18">#REF!</definedName>
    <definedName name="____GBS19" localSheetId="6">#REF!</definedName>
    <definedName name="____GBS19" localSheetId="12">#REF!</definedName>
    <definedName name="____GBS19" localSheetId="19">#REF!</definedName>
    <definedName name="____GBS19">#REF!</definedName>
    <definedName name="____GBS21" localSheetId="6">#REF!</definedName>
    <definedName name="____GBS21" localSheetId="12">#REF!</definedName>
    <definedName name="____GBS21" localSheetId="19">#REF!</definedName>
    <definedName name="____GBS21">#REF!</definedName>
    <definedName name="____GBS210" localSheetId="6">#REF!</definedName>
    <definedName name="____GBS210" localSheetId="12">#REF!</definedName>
    <definedName name="____GBS210" localSheetId="19">#REF!</definedName>
    <definedName name="____GBS210">#REF!</definedName>
    <definedName name="____GBS211" localSheetId="6">#REF!</definedName>
    <definedName name="____GBS211" localSheetId="12">#REF!</definedName>
    <definedName name="____GBS211" localSheetId="19">#REF!</definedName>
    <definedName name="____GBS211">#REF!</definedName>
    <definedName name="____GBS212" localSheetId="6">#REF!</definedName>
    <definedName name="____GBS212" localSheetId="12">#REF!</definedName>
    <definedName name="____GBS212" localSheetId="19">#REF!</definedName>
    <definedName name="____GBS212">#REF!</definedName>
    <definedName name="____GBS213" localSheetId="6">#REF!</definedName>
    <definedName name="____GBS213" localSheetId="12">#REF!</definedName>
    <definedName name="____GBS213" localSheetId="19">#REF!</definedName>
    <definedName name="____GBS213">#REF!</definedName>
    <definedName name="____GBS214" localSheetId="6">#REF!</definedName>
    <definedName name="____GBS214" localSheetId="12">#REF!</definedName>
    <definedName name="____GBS214" localSheetId="19">#REF!</definedName>
    <definedName name="____GBS214">#REF!</definedName>
    <definedName name="____GBS215" localSheetId="6">#REF!</definedName>
    <definedName name="____GBS215" localSheetId="12">#REF!</definedName>
    <definedName name="____GBS215" localSheetId="19">#REF!</definedName>
    <definedName name="____GBS215">#REF!</definedName>
    <definedName name="____GBS216">#REF!</definedName>
    <definedName name="____GBS217">#REF!</definedName>
    <definedName name="____GBS218">#REF!</definedName>
    <definedName name="____GBS219">#REF!</definedName>
    <definedName name="____GBS22" localSheetId="6">#REF!</definedName>
    <definedName name="____GBS22" localSheetId="12">#REF!</definedName>
    <definedName name="____GBS22" localSheetId="19">#REF!</definedName>
    <definedName name="____GBS22">#REF!</definedName>
    <definedName name="____GBS220">#REF!</definedName>
    <definedName name="____GBS221">#REF!</definedName>
    <definedName name="____GBS222">#REF!</definedName>
    <definedName name="____GBS223">#REF!</definedName>
    <definedName name="____GBS224">#REF!</definedName>
    <definedName name="____GBS23" localSheetId="6">#REF!</definedName>
    <definedName name="____GBS23" localSheetId="12">#REF!</definedName>
    <definedName name="____GBS23" localSheetId="19">#REF!</definedName>
    <definedName name="____GBS23">#REF!</definedName>
    <definedName name="____GBS24" localSheetId="6">#REF!</definedName>
    <definedName name="____GBS24" localSheetId="12">#REF!</definedName>
    <definedName name="____GBS24" localSheetId="19">#REF!</definedName>
    <definedName name="____GBS24">#REF!</definedName>
    <definedName name="____GBS25" localSheetId="6">#REF!</definedName>
    <definedName name="____GBS25" localSheetId="12">#REF!</definedName>
    <definedName name="____GBS25" localSheetId="19">#REF!</definedName>
    <definedName name="____GBS25">#REF!</definedName>
    <definedName name="____GBS26" localSheetId="6">#REF!</definedName>
    <definedName name="____GBS26" localSheetId="12">#REF!</definedName>
    <definedName name="____GBS26" localSheetId="19">#REF!</definedName>
    <definedName name="____GBS26">#REF!</definedName>
    <definedName name="____GBS27" localSheetId="6">#REF!</definedName>
    <definedName name="____GBS27" localSheetId="12">#REF!</definedName>
    <definedName name="____GBS27" localSheetId="19">#REF!</definedName>
    <definedName name="____GBS27">#REF!</definedName>
    <definedName name="____GBS28" localSheetId="6">#REF!</definedName>
    <definedName name="____GBS28" localSheetId="12">#REF!</definedName>
    <definedName name="____GBS28" localSheetId="19">#REF!</definedName>
    <definedName name="____GBS28">#REF!</definedName>
    <definedName name="____GBS29" localSheetId="6">#REF!</definedName>
    <definedName name="____GBS29" localSheetId="12">#REF!</definedName>
    <definedName name="____GBS29" localSheetId="19">#REF!</definedName>
    <definedName name="____GBS29">#REF!</definedName>
    <definedName name="____grp10003" localSheetId="6">#REF!</definedName>
    <definedName name="____grp10003" localSheetId="12">#REF!</definedName>
    <definedName name="____grp10003" localSheetId="34">#REF!</definedName>
    <definedName name="____grp10003" localSheetId="19">#REF!</definedName>
    <definedName name="____grp10003">#REF!</definedName>
    <definedName name="____grp3503" localSheetId="6">#REF!</definedName>
    <definedName name="____grp3503" localSheetId="12">#REF!</definedName>
    <definedName name="____grp3503" localSheetId="34">#REF!</definedName>
    <definedName name="____grp3503" localSheetId="19">#REF!</definedName>
    <definedName name="____grp3503">#REF!</definedName>
    <definedName name="____grp4003" localSheetId="6">#REF!</definedName>
    <definedName name="____grp4003" localSheetId="12">#REF!</definedName>
    <definedName name="____grp4003" localSheetId="34">#REF!</definedName>
    <definedName name="____grp4003" localSheetId="19">#REF!</definedName>
    <definedName name="____grp4003">#REF!</definedName>
    <definedName name="____grp4503" localSheetId="6">#REF!</definedName>
    <definedName name="____grp4503" localSheetId="12">#REF!</definedName>
    <definedName name="____grp4503" localSheetId="34">#REF!</definedName>
    <definedName name="____grp4503" localSheetId="19">#REF!</definedName>
    <definedName name="____grp4503">#REF!</definedName>
    <definedName name="____grp5003" localSheetId="6">#REF!</definedName>
    <definedName name="____grp5003" localSheetId="12">#REF!</definedName>
    <definedName name="____grp5003" localSheetId="34">#REF!</definedName>
    <definedName name="____grp5003" localSheetId="19">#REF!</definedName>
    <definedName name="____grp5003">#REF!</definedName>
    <definedName name="____grp6003" localSheetId="6">#REF!</definedName>
    <definedName name="____grp6003" localSheetId="12">#REF!</definedName>
    <definedName name="____grp6003" localSheetId="34">#REF!</definedName>
    <definedName name="____grp6003" localSheetId="19">#REF!</definedName>
    <definedName name="____grp6003">#REF!</definedName>
    <definedName name="____grp7003" localSheetId="6">#REF!</definedName>
    <definedName name="____grp7003" localSheetId="12">#REF!</definedName>
    <definedName name="____grp7003" localSheetId="34">#REF!</definedName>
    <definedName name="____grp7003" localSheetId="19">#REF!</definedName>
    <definedName name="____grp7003">#REF!</definedName>
    <definedName name="____grp8003" localSheetId="6">#REF!</definedName>
    <definedName name="____grp8003" localSheetId="12">#REF!</definedName>
    <definedName name="____grp8003" localSheetId="34">#REF!</definedName>
    <definedName name="____grp8003" localSheetId="19">#REF!</definedName>
    <definedName name="____grp8003">#REF!</definedName>
    <definedName name="____grp9003" localSheetId="6">#REF!</definedName>
    <definedName name="____grp9003" localSheetId="12">#REF!</definedName>
    <definedName name="____grp9003" localSheetId="34">#REF!</definedName>
    <definedName name="____grp9003" localSheetId="19">#REF!</definedName>
    <definedName name="____grp9003">#REF!</definedName>
    <definedName name="____gus1">#REF!</definedName>
    <definedName name="____hpm1">#REF!</definedName>
    <definedName name="____knr2" localSheetId="5">#REF!</definedName>
    <definedName name="____knr2" localSheetId="6">#REF!</definedName>
    <definedName name="____knr2" localSheetId="12">#REF!</definedName>
    <definedName name="____knr2" localSheetId="34">#REF!</definedName>
    <definedName name="____knr2" localSheetId="19">#REF!</definedName>
    <definedName name="____knr2">#REF!</definedName>
    <definedName name="____l12" localSheetId="22">#REF!</definedName>
    <definedName name="____l12" localSheetId="5">#REF!</definedName>
    <definedName name="____l12" localSheetId="6">#REF!</definedName>
    <definedName name="____l12" localSheetId="12">#REF!</definedName>
    <definedName name="____l12" localSheetId="34">#REF!</definedName>
    <definedName name="____l12" localSheetId="19">#REF!</definedName>
    <definedName name="____l12" localSheetId="30">#REF!</definedName>
    <definedName name="____l12" localSheetId="40">#REF!</definedName>
    <definedName name="____l12" localSheetId="26">#REF!</definedName>
    <definedName name="____l12">#REF!</definedName>
    <definedName name="____l12_33">"$#REF!.$#REF!$#REF!"</definedName>
    <definedName name="____l12_38">"$#REF!.$#REF!$#REF!"</definedName>
    <definedName name="____l12_41">"$#REF!.$#REF!$#REF!"</definedName>
    <definedName name="____l12_7">"$#REF!.$#REF!$#REF!"</definedName>
    <definedName name="____l12_8">"$#REF!.$#REF!$#REF!"</definedName>
    <definedName name="____l3" localSheetId="22">#REF!</definedName>
    <definedName name="____l3" localSheetId="5">#REF!</definedName>
    <definedName name="____l3" localSheetId="6">#REF!</definedName>
    <definedName name="____l3" localSheetId="12">#REF!</definedName>
    <definedName name="____l3" localSheetId="34">#REF!</definedName>
    <definedName name="____l3" localSheetId="19">#REF!</definedName>
    <definedName name="____l3" localSheetId="30">#REF!</definedName>
    <definedName name="____l3" localSheetId="40">#REF!</definedName>
    <definedName name="____l3" localSheetId="26">#REF!</definedName>
    <definedName name="____l3">#REF!</definedName>
    <definedName name="____l3_33">"$#REF!.$#REF!$#REF!"</definedName>
    <definedName name="____l3_38">"$#REF!.$#REF!$#REF!"</definedName>
    <definedName name="____l3_41">"$#REF!.$#REF!$#REF!"</definedName>
    <definedName name="____l3_7">"$#REF!.$#REF!$#REF!"</definedName>
    <definedName name="____l3_8">"$#REF!.$#REF!$#REF!"</definedName>
    <definedName name="____l5" localSheetId="22">#REF!</definedName>
    <definedName name="____l5" localSheetId="5">#REF!</definedName>
    <definedName name="____l5" localSheetId="6">#REF!</definedName>
    <definedName name="____l5" localSheetId="12">#REF!</definedName>
    <definedName name="____l5" localSheetId="34">#REF!</definedName>
    <definedName name="____l5" localSheetId="19">#REF!</definedName>
    <definedName name="____l5" localSheetId="30">#REF!</definedName>
    <definedName name="____l5" localSheetId="40">#REF!</definedName>
    <definedName name="____l5" localSheetId="26">#REF!</definedName>
    <definedName name="____l5">#REF!</definedName>
    <definedName name="____l5_33">"$#REF!.$#REF!$#REF!"</definedName>
    <definedName name="____l5_38">"$#REF!.$#REF!$#REF!"</definedName>
    <definedName name="____l5_41">"$#REF!.$#REF!$#REF!"</definedName>
    <definedName name="____l5_7">"$#REF!.$#REF!$#REF!"</definedName>
    <definedName name="____l5_8">"$#REF!.$#REF!$#REF!"</definedName>
    <definedName name="____lcn1" localSheetId="27">#REF!</definedName>
    <definedName name="____lcn1">#REF!</definedName>
    <definedName name="____LI9" localSheetId="6">#REF!</definedName>
    <definedName name="____LI9" localSheetId="12">#REF!</definedName>
    <definedName name="____LI9" localSheetId="19">#REF!</definedName>
    <definedName name="____LI9">#REF!</definedName>
    <definedName name="____LII9" localSheetId="6">#REF!</definedName>
    <definedName name="____LII9" localSheetId="12">#REF!</definedName>
    <definedName name="____LII9" localSheetId="19">#REF!</definedName>
    <definedName name="____LII9">#REF!</definedName>
    <definedName name="____lj600" localSheetId="19">#REF!</definedName>
    <definedName name="____lj900" localSheetId="27">#REF!</definedName>
    <definedName name="____lj900">#REF!</definedName>
    <definedName name="____LL3">#REF!</definedName>
    <definedName name="____lm1">#REF!</definedName>
    <definedName name="____MA1">#REF!</definedName>
    <definedName name="____MA2" localSheetId="19">#REF!</definedName>
    <definedName name="____ML11" localSheetId="6">#REF!</definedName>
    <definedName name="____ML11" localSheetId="12">#REF!</definedName>
    <definedName name="____ML11" localSheetId="19">#REF!</definedName>
    <definedName name="____ML11">#REF!</definedName>
    <definedName name="____ML110" localSheetId="6">#REF!</definedName>
    <definedName name="____ML110" localSheetId="12">#REF!</definedName>
    <definedName name="____ML110" localSheetId="19">#REF!</definedName>
    <definedName name="____ML110">#REF!</definedName>
    <definedName name="____ML111" localSheetId="6">#REF!</definedName>
    <definedName name="____ML111" localSheetId="12">#REF!</definedName>
    <definedName name="____ML111" localSheetId="19">#REF!</definedName>
    <definedName name="____ML111">#REF!</definedName>
    <definedName name="____ML112" localSheetId="6">#REF!</definedName>
    <definedName name="____ML112" localSheetId="12">#REF!</definedName>
    <definedName name="____ML112" localSheetId="19">#REF!</definedName>
    <definedName name="____ML112">#REF!</definedName>
    <definedName name="____ML113" localSheetId="6">#REF!</definedName>
    <definedName name="____ML113" localSheetId="12">#REF!</definedName>
    <definedName name="____ML113" localSheetId="19">#REF!</definedName>
    <definedName name="____ML113">#REF!</definedName>
    <definedName name="____ML114" localSheetId="6">#REF!</definedName>
    <definedName name="____ML114" localSheetId="12">#REF!</definedName>
    <definedName name="____ML114" localSheetId="19">#REF!</definedName>
    <definedName name="____ML114">#REF!</definedName>
    <definedName name="____ML115" localSheetId="6">#REF!</definedName>
    <definedName name="____ML115" localSheetId="12">#REF!</definedName>
    <definedName name="____ML115" localSheetId="19">#REF!</definedName>
    <definedName name="____ML115">#REF!</definedName>
    <definedName name="____ML12" localSheetId="6">#REF!</definedName>
    <definedName name="____ML12" localSheetId="12">#REF!</definedName>
    <definedName name="____ML12" localSheetId="19">#REF!</definedName>
    <definedName name="____ML12">#REF!</definedName>
    <definedName name="____ML13" localSheetId="6">#REF!</definedName>
    <definedName name="____ML13" localSheetId="12">#REF!</definedName>
    <definedName name="____ML13" localSheetId="19">#REF!</definedName>
    <definedName name="____ML13">#REF!</definedName>
    <definedName name="____ML14" localSheetId="6">#REF!</definedName>
    <definedName name="____ML14" localSheetId="12">#REF!</definedName>
    <definedName name="____ML14" localSheetId="19">#REF!</definedName>
    <definedName name="____ML14">#REF!</definedName>
    <definedName name="____ML15" localSheetId="6">#REF!</definedName>
    <definedName name="____ML15" localSheetId="12">#REF!</definedName>
    <definedName name="____ML15" localSheetId="19">#REF!</definedName>
    <definedName name="____ML15">#REF!</definedName>
    <definedName name="____ML16" localSheetId="6">#REF!</definedName>
    <definedName name="____ML16" localSheetId="12">#REF!</definedName>
    <definedName name="____ML16" localSheetId="19">#REF!</definedName>
    <definedName name="____ML16">#REF!</definedName>
    <definedName name="____ML17" localSheetId="6">#REF!</definedName>
    <definedName name="____ML17" localSheetId="12">#REF!</definedName>
    <definedName name="____ML17" localSheetId="19">#REF!</definedName>
    <definedName name="____ML17">#REF!</definedName>
    <definedName name="____ML18" localSheetId="6">#REF!</definedName>
    <definedName name="____ML18" localSheetId="12">#REF!</definedName>
    <definedName name="____ML18" localSheetId="19">#REF!</definedName>
    <definedName name="____ML18">#REF!</definedName>
    <definedName name="____ML19" localSheetId="6">#REF!</definedName>
    <definedName name="____ML19" localSheetId="12">#REF!</definedName>
    <definedName name="____ML19" localSheetId="19">#REF!</definedName>
    <definedName name="____ML19">#REF!</definedName>
    <definedName name="____ML21" localSheetId="6">#REF!</definedName>
    <definedName name="____ML21" localSheetId="12">#REF!</definedName>
    <definedName name="____ML21" localSheetId="19">#REF!</definedName>
    <definedName name="____ML21">#REF!</definedName>
    <definedName name="____ML210" localSheetId="6">#REF!</definedName>
    <definedName name="____ML210" localSheetId="12">#REF!</definedName>
    <definedName name="____ML210" localSheetId="19">#REF!</definedName>
    <definedName name="____ML210">#REF!</definedName>
    <definedName name="____ML211" localSheetId="6">#REF!</definedName>
    <definedName name="____ML211" localSheetId="12">#REF!</definedName>
    <definedName name="____ML211" localSheetId="19">#REF!</definedName>
    <definedName name="____ML211">#REF!</definedName>
    <definedName name="____ML212" localSheetId="6">#REF!</definedName>
    <definedName name="____ML212" localSheetId="12">#REF!</definedName>
    <definedName name="____ML212" localSheetId="19">#REF!</definedName>
    <definedName name="____ML212">#REF!</definedName>
    <definedName name="____ML213" localSheetId="6">#REF!</definedName>
    <definedName name="____ML213" localSheetId="12">#REF!</definedName>
    <definedName name="____ML213" localSheetId="19">#REF!</definedName>
    <definedName name="____ML213">#REF!</definedName>
    <definedName name="____ML214" localSheetId="6">#REF!</definedName>
    <definedName name="____ML214" localSheetId="12">#REF!</definedName>
    <definedName name="____ML214" localSheetId="19">#REF!</definedName>
    <definedName name="____ML214">#REF!</definedName>
    <definedName name="____ML215" localSheetId="6">#REF!</definedName>
    <definedName name="____ML215" localSheetId="12">#REF!</definedName>
    <definedName name="____ML215" localSheetId="19">#REF!</definedName>
    <definedName name="____ML215">#REF!</definedName>
    <definedName name="____ML216">#REF!</definedName>
    <definedName name="____ML217">#REF!</definedName>
    <definedName name="____ML218">#REF!</definedName>
    <definedName name="____ML219">#REF!</definedName>
    <definedName name="____ML22" localSheetId="6">#REF!</definedName>
    <definedName name="____ML22" localSheetId="12">#REF!</definedName>
    <definedName name="____ML22" localSheetId="19">#REF!</definedName>
    <definedName name="____ML22">#REF!</definedName>
    <definedName name="____ML220">#REF!</definedName>
    <definedName name="____ML221">#REF!</definedName>
    <definedName name="____ML222">#REF!</definedName>
    <definedName name="____ML223">#REF!</definedName>
    <definedName name="____ML224">#REF!</definedName>
    <definedName name="____ML23" localSheetId="6">#REF!</definedName>
    <definedName name="____ML23" localSheetId="12">#REF!</definedName>
    <definedName name="____ML23" localSheetId="19">#REF!</definedName>
    <definedName name="____ML23">#REF!</definedName>
    <definedName name="____ML24" localSheetId="6">#REF!</definedName>
    <definedName name="____ML24" localSheetId="12">#REF!</definedName>
    <definedName name="____ML24" localSheetId="19">#REF!</definedName>
    <definedName name="____ML24">#REF!</definedName>
    <definedName name="____ML25" localSheetId="6">#REF!</definedName>
    <definedName name="____ML25" localSheetId="12">#REF!</definedName>
    <definedName name="____ML25" localSheetId="19">#REF!</definedName>
    <definedName name="____ML25">#REF!</definedName>
    <definedName name="____ML26" localSheetId="6">#REF!</definedName>
    <definedName name="____ML26" localSheetId="12">#REF!</definedName>
    <definedName name="____ML26" localSheetId="19">#REF!</definedName>
    <definedName name="____ML26">#REF!</definedName>
    <definedName name="____ML27" localSheetId="6">#REF!</definedName>
    <definedName name="____ML27" localSheetId="12">#REF!</definedName>
    <definedName name="____ML27" localSheetId="19">#REF!</definedName>
    <definedName name="____ML27">#REF!</definedName>
    <definedName name="____ML28" localSheetId="6">#REF!</definedName>
    <definedName name="____ML28" localSheetId="12">#REF!</definedName>
    <definedName name="____ML28" localSheetId="19">#REF!</definedName>
    <definedName name="____ML28">#REF!</definedName>
    <definedName name="____ML29" localSheetId="6">#REF!</definedName>
    <definedName name="____ML29" localSheetId="12">#REF!</definedName>
    <definedName name="____ML29" localSheetId="19">#REF!</definedName>
    <definedName name="____ML29">#REF!</definedName>
    <definedName name="____ML31" localSheetId="6">#REF!</definedName>
    <definedName name="____ML31" localSheetId="12">#REF!</definedName>
    <definedName name="____ML31" localSheetId="19">#REF!</definedName>
    <definedName name="____ML31">#REF!</definedName>
    <definedName name="____ML310" localSheetId="6">#REF!</definedName>
    <definedName name="____ML310" localSheetId="12">#REF!</definedName>
    <definedName name="____ML310" localSheetId="19">#REF!</definedName>
    <definedName name="____ML310">#REF!</definedName>
    <definedName name="____ML311" localSheetId="6">#REF!</definedName>
    <definedName name="____ML311" localSheetId="12">#REF!</definedName>
    <definedName name="____ML311" localSheetId="19">#REF!</definedName>
    <definedName name="____ML311">#REF!</definedName>
    <definedName name="____ML312" localSheetId="6">#REF!</definedName>
    <definedName name="____ML312" localSheetId="12">#REF!</definedName>
    <definedName name="____ML312" localSheetId="19">#REF!</definedName>
    <definedName name="____ML312">#REF!</definedName>
    <definedName name="____ML313" localSheetId="6">#REF!</definedName>
    <definedName name="____ML313" localSheetId="12">#REF!</definedName>
    <definedName name="____ML313" localSheetId="19">#REF!</definedName>
    <definedName name="____ML313">#REF!</definedName>
    <definedName name="____ML314" localSheetId="6">#REF!</definedName>
    <definedName name="____ML314" localSheetId="12">#REF!</definedName>
    <definedName name="____ML314" localSheetId="19">#REF!</definedName>
    <definedName name="____ML314">#REF!</definedName>
    <definedName name="____ML315" localSheetId="6">#REF!</definedName>
    <definedName name="____ML315" localSheetId="12">#REF!</definedName>
    <definedName name="____ML315" localSheetId="19">#REF!</definedName>
    <definedName name="____ML315">#REF!</definedName>
    <definedName name="____ML316">#REF!</definedName>
    <definedName name="____ML317">#REF!</definedName>
    <definedName name="____ML318">#REF!</definedName>
    <definedName name="____ML319">#REF!</definedName>
    <definedName name="____ML32" localSheetId="6">#REF!</definedName>
    <definedName name="____ML32" localSheetId="12">#REF!</definedName>
    <definedName name="____ML32" localSheetId="19">#REF!</definedName>
    <definedName name="____ML32">#REF!</definedName>
    <definedName name="____ML320">#REF!</definedName>
    <definedName name="____ML321">#REF!</definedName>
    <definedName name="____ML322">#REF!</definedName>
    <definedName name="____ML323">#REF!</definedName>
    <definedName name="____ML324">#REF!</definedName>
    <definedName name="____ML33" localSheetId="6">#REF!</definedName>
    <definedName name="____ML33" localSheetId="12">#REF!</definedName>
    <definedName name="____ML33" localSheetId="19">#REF!</definedName>
    <definedName name="____ML33">#REF!</definedName>
    <definedName name="____ML34" localSheetId="6">#REF!</definedName>
    <definedName name="____ML34" localSheetId="12">#REF!</definedName>
    <definedName name="____ML34" localSheetId="19">#REF!</definedName>
    <definedName name="____ML34">#REF!</definedName>
    <definedName name="____ML35" localSheetId="6">#REF!</definedName>
    <definedName name="____ML35" localSheetId="12">#REF!</definedName>
    <definedName name="____ML35" localSheetId="19">#REF!</definedName>
    <definedName name="____ML35">#REF!</definedName>
    <definedName name="____ML36" localSheetId="6">#REF!</definedName>
    <definedName name="____ML36" localSheetId="12">#REF!</definedName>
    <definedName name="____ML36" localSheetId="19">#REF!</definedName>
    <definedName name="____ML36">#REF!</definedName>
    <definedName name="____ML37" localSheetId="6">#REF!</definedName>
    <definedName name="____ML37" localSheetId="12">#REF!</definedName>
    <definedName name="____ML37" localSheetId="19">#REF!</definedName>
    <definedName name="____ML37">#REF!</definedName>
    <definedName name="____ML38" localSheetId="6">#REF!</definedName>
    <definedName name="____ML38" localSheetId="12">#REF!</definedName>
    <definedName name="____ML38" localSheetId="19">#REF!</definedName>
    <definedName name="____ML38">#REF!</definedName>
    <definedName name="____ML39" localSheetId="6">#REF!</definedName>
    <definedName name="____ML39" localSheetId="12">#REF!</definedName>
    <definedName name="____ML39" localSheetId="19">#REF!</definedName>
    <definedName name="____ML39">#REF!</definedName>
    <definedName name="____ML7" localSheetId="6">#REF!</definedName>
    <definedName name="____ML7" localSheetId="12">#REF!</definedName>
    <definedName name="____ML7" localSheetId="19">#REF!</definedName>
    <definedName name="____ML7">#REF!</definedName>
    <definedName name="____ML8" localSheetId="6">#REF!</definedName>
    <definedName name="____ML8" localSheetId="12">#REF!</definedName>
    <definedName name="____ML8" localSheetId="19">#REF!</definedName>
    <definedName name="____ML8">#REF!</definedName>
    <definedName name="____ML9" localSheetId="6">#REF!</definedName>
    <definedName name="____ML9" localSheetId="12">#REF!</definedName>
    <definedName name="____ML9" localSheetId="19">#REF!</definedName>
    <definedName name="____ML9">#REF!</definedName>
    <definedName name="____mm20" localSheetId="6">#REF!</definedName>
    <definedName name="____mm20" localSheetId="12">#REF!</definedName>
    <definedName name="____mm20" localSheetId="19">#REF!</definedName>
    <definedName name="____mm20">#REF!</definedName>
    <definedName name="____mm40" localSheetId="6">#REF!</definedName>
    <definedName name="____mm40" localSheetId="12">#REF!</definedName>
    <definedName name="____mm40" localSheetId="19">#REF!</definedName>
    <definedName name="____mm40">#REF!</definedName>
    <definedName name="____o3" localSheetId="19">#REF!</definedName>
    <definedName name="____PC1" localSheetId="19">#REF!</definedName>
    <definedName name="____PC10">#REF!</definedName>
    <definedName name="____PC11">#REF!</definedName>
    <definedName name="____PC12">#REF!</definedName>
    <definedName name="____PC13">#REF!</definedName>
    <definedName name="____PC14">#REF!</definedName>
    <definedName name="____PC15">#REF!</definedName>
    <definedName name="____PC16">#REF!</definedName>
    <definedName name="____PC17">#REF!</definedName>
    <definedName name="____PC18">#REF!</definedName>
    <definedName name="____PC19">#REF!</definedName>
    <definedName name="____pc2" localSheetId="22">#REF!</definedName>
    <definedName name="____pc2" localSheetId="5">#REF!</definedName>
    <definedName name="____pc2" localSheetId="6">#REF!</definedName>
    <definedName name="____pc2" localSheetId="12">#REF!</definedName>
    <definedName name="____pc2" localSheetId="34">#REF!</definedName>
    <definedName name="____pc2" localSheetId="19">#REF!</definedName>
    <definedName name="____pc2" localSheetId="30">#REF!</definedName>
    <definedName name="____pc2" localSheetId="40">#REF!</definedName>
    <definedName name="____pc2" localSheetId="26">#REF!</definedName>
    <definedName name="____pc2">#REF!</definedName>
    <definedName name="____pc2_33">"$#REF!.$#REF!$#REF!"</definedName>
    <definedName name="____pc2_38">"$#REF!.$#REF!$#REF!"</definedName>
    <definedName name="____pc2_41">"$#REF!.$#REF!$#REF!"</definedName>
    <definedName name="____pc2_7">"$#REF!.$#REF!$#REF!"</definedName>
    <definedName name="____pc2_8">"$#REF!.$#REF!$#REF!"</definedName>
    <definedName name="____PC20" localSheetId="27">#REF!</definedName>
    <definedName name="____PC20">#REF!</definedName>
    <definedName name="____PC21" localSheetId="27">#REF!</definedName>
    <definedName name="____PC21">#REF!</definedName>
    <definedName name="____PC22" localSheetId="27">#REF!</definedName>
    <definedName name="____PC22">#REF!</definedName>
    <definedName name="____PC23">#REF!</definedName>
    <definedName name="____PC24">#REF!</definedName>
    <definedName name="____PC3">#REF!</definedName>
    <definedName name="____PC4">#REF!</definedName>
    <definedName name="____PC5">#REF!</definedName>
    <definedName name="____PC6">#REF!</definedName>
    <definedName name="____pc600">#REF!</definedName>
    <definedName name="____PC7">#REF!</definedName>
    <definedName name="____PC8">#REF!</definedName>
    <definedName name="____PC9">#REF!</definedName>
    <definedName name="____pc900">#REF!</definedName>
    <definedName name="____PMS2" localSheetId="6">#REF!</definedName>
    <definedName name="____PMS2" localSheetId="12">#REF!</definedName>
    <definedName name="____PMS2" localSheetId="19">#REF!</definedName>
    <definedName name="____PMS2">#REF!</definedName>
    <definedName name="____psc10006" localSheetId="6">#REF!</definedName>
    <definedName name="____psc10006" localSheetId="12">#REF!</definedName>
    <definedName name="____psc10006" localSheetId="34">#REF!</definedName>
    <definedName name="____psc10006" localSheetId="19">#REF!</definedName>
    <definedName name="____psc10006">#REF!</definedName>
    <definedName name="____psc10008" localSheetId="6">#REF!</definedName>
    <definedName name="____psc10008" localSheetId="12">#REF!</definedName>
    <definedName name="____psc10008" localSheetId="34">#REF!</definedName>
    <definedName name="____psc10008" localSheetId="19">#REF!</definedName>
    <definedName name="____psc10008">#REF!</definedName>
    <definedName name="____psc3506" localSheetId="6">#REF!</definedName>
    <definedName name="____psc3506" localSheetId="12">#REF!</definedName>
    <definedName name="____psc3506" localSheetId="34">#REF!</definedName>
    <definedName name="____psc3506" localSheetId="19">#REF!</definedName>
    <definedName name="____psc3506">#REF!</definedName>
    <definedName name="____psc3508" localSheetId="6">#REF!</definedName>
    <definedName name="____psc3508" localSheetId="12">#REF!</definedName>
    <definedName name="____psc3508" localSheetId="34">#REF!</definedName>
    <definedName name="____psc3508" localSheetId="19">#REF!</definedName>
    <definedName name="____psc3508">#REF!</definedName>
    <definedName name="____psc4006" localSheetId="6">#REF!</definedName>
    <definedName name="____psc4006" localSheetId="12">#REF!</definedName>
    <definedName name="____psc4006" localSheetId="34">#REF!</definedName>
    <definedName name="____psc4006" localSheetId="19">#REF!</definedName>
    <definedName name="____psc4006">#REF!</definedName>
    <definedName name="____psc4008" localSheetId="6">#REF!</definedName>
    <definedName name="____psc4008" localSheetId="12">#REF!</definedName>
    <definedName name="____psc4008" localSheetId="34">#REF!</definedName>
    <definedName name="____psc4008" localSheetId="19">#REF!</definedName>
    <definedName name="____psc4008">#REF!</definedName>
    <definedName name="____psc4506" localSheetId="6">#REF!</definedName>
    <definedName name="____psc4506" localSheetId="12">#REF!</definedName>
    <definedName name="____psc4506" localSheetId="34">#REF!</definedName>
    <definedName name="____psc4506" localSheetId="19">#REF!</definedName>
    <definedName name="____psc4506">#REF!</definedName>
    <definedName name="____psc4508" localSheetId="6">#REF!</definedName>
    <definedName name="____psc4508" localSheetId="12">#REF!</definedName>
    <definedName name="____psc4508" localSheetId="34">#REF!</definedName>
    <definedName name="____psc4508" localSheetId="19">#REF!</definedName>
    <definedName name="____psc4508">#REF!</definedName>
    <definedName name="____psc5006" localSheetId="6">#REF!</definedName>
    <definedName name="____psc5006" localSheetId="12">#REF!</definedName>
    <definedName name="____psc5006" localSheetId="34">#REF!</definedName>
    <definedName name="____psc5006" localSheetId="19">#REF!</definedName>
    <definedName name="____psc5006">#REF!</definedName>
    <definedName name="____psc5008" localSheetId="6">#REF!</definedName>
    <definedName name="____psc5008" localSheetId="12">#REF!</definedName>
    <definedName name="____psc5008" localSheetId="34">#REF!</definedName>
    <definedName name="____psc5008" localSheetId="19">#REF!</definedName>
    <definedName name="____psc5008">#REF!</definedName>
    <definedName name="____psc6006" localSheetId="6">#REF!</definedName>
    <definedName name="____psc6006" localSheetId="12">#REF!</definedName>
    <definedName name="____psc6006" localSheetId="34">#REF!</definedName>
    <definedName name="____psc6006" localSheetId="19">#REF!</definedName>
    <definedName name="____psc6006">#REF!</definedName>
    <definedName name="____psc6008" localSheetId="6">#REF!</definedName>
    <definedName name="____psc6008" localSheetId="12">#REF!</definedName>
    <definedName name="____psc6008" localSheetId="34">#REF!</definedName>
    <definedName name="____psc6008" localSheetId="19">#REF!</definedName>
    <definedName name="____psc6008">#REF!</definedName>
    <definedName name="____psc7006" localSheetId="6">#REF!</definedName>
    <definedName name="____psc7006" localSheetId="12">#REF!</definedName>
    <definedName name="____psc7006" localSheetId="34">#REF!</definedName>
    <definedName name="____psc7006" localSheetId="19">#REF!</definedName>
    <definedName name="____psc7006">#REF!</definedName>
    <definedName name="____psc7008" localSheetId="6">#REF!</definedName>
    <definedName name="____psc7008" localSheetId="12">#REF!</definedName>
    <definedName name="____psc7008" localSheetId="34">#REF!</definedName>
    <definedName name="____psc7008" localSheetId="19">#REF!</definedName>
    <definedName name="____psc7008">#REF!</definedName>
    <definedName name="____psc8006" localSheetId="6">#REF!</definedName>
    <definedName name="____psc8006" localSheetId="12">#REF!</definedName>
    <definedName name="____psc8006" localSheetId="34">#REF!</definedName>
    <definedName name="____psc8006" localSheetId="19">#REF!</definedName>
    <definedName name="____psc8006">#REF!</definedName>
    <definedName name="____psc8008" localSheetId="6">#REF!</definedName>
    <definedName name="____psc8008" localSheetId="12">#REF!</definedName>
    <definedName name="____psc8008" localSheetId="34">#REF!</definedName>
    <definedName name="____psc8008" localSheetId="19">#REF!</definedName>
    <definedName name="____psc8008">#REF!</definedName>
    <definedName name="____psc9006" localSheetId="6">#REF!</definedName>
    <definedName name="____psc9006" localSheetId="12">#REF!</definedName>
    <definedName name="____psc9006" localSheetId="34">#REF!</definedName>
    <definedName name="____psc9006" localSheetId="19">#REF!</definedName>
    <definedName name="____psc9006">#REF!</definedName>
    <definedName name="____psc9008" localSheetId="6">#REF!</definedName>
    <definedName name="____psc9008" localSheetId="12">#REF!</definedName>
    <definedName name="____psc9008" localSheetId="34">#REF!</definedName>
    <definedName name="____psc9008" localSheetId="19">#REF!</definedName>
    <definedName name="____psc9008">#REF!</definedName>
    <definedName name="____pv1" localSheetId="6">#REF!</definedName>
    <definedName name="____pv1" localSheetId="12">#REF!</definedName>
    <definedName name="____pv1" localSheetId="19">#REF!</definedName>
    <definedName name="____pv1">#REF!</definedName>
    <definedName name="____pv2" localSheetId="22">#REF!</definedName>
    <definedName name="____pv2" localSheetId="5">#REF!</definedName>
    <definedName name="____pv2" localSheetId="6">#REF!</definedName>
    <definedName name="____pv2" localSheetId="12">#REF!</definedName>
    <definedName name="____pv2" localSheetId="34">#REF!</definedName>
    <definedName name="____pv2" localSheetId="19">#REF!</definedName>
    <definedName name="____pv2" localSheetId="30">#REF!</definedName>
    <definedName name="____pv2" localSheetId="40">#REF!</definedName>
    <definedName name="____pv2" localSheetId="26">#REF!</definedName>
    <definedName name="____pv2">#REF!</definedName>
    <definedName name="____pv2_33">"$#REF!.$#REF!$#REF!"</definedName>
    <definedName name="____pv2_38">"$#REF!.$#REF!$#REF!"</definedName>
    <definedName name="____pv2_41">"$#REF!.$#REF!$#REF!"</definedName>
    <definedName name="____pv2_7">"$#REF!.$#REF!$#REF!"</definedName>
    <definedName name="____pv2_8">"$#REF!.$#REF!$#REF!"</definedName>
    <definedName name="____SO016" localSheetId="6">#REF!</definedName>
    <definedName name="____SO016" localSheetId="12">#REF!</definedName>
    <definedName name="____SO016" localSheetId="34">#REF!</definedName>
    <definedName name="____SO016" localSheetId="19">#REF!</definedName>
    <definedName name="____SO016">#REF!</definedName>
    <definedName name="____SP001" localSheetId="6">#REF!</definedName>
    <definedName name="____SP001" localSheetId="12">#REF!</definedName>
    <definedName name="____SP001" localSheetId="34">#REF!</definedName>
    <definedName name="____SP001" localSheetId="19">#REF!</definedName>
    <definedName name="____SP001">#REF!</definedName>
    <definedName name="____SP002" localSheetId="6">#REF!</definedName>
    <definedName name="____SP002" localSheetId="12">#REF!</definedName>
    <definedName name="____SP002" localSheetId="34">#REF!</definedName>
    <definedName name="____SP002" localSheetId="19">#REF!</definedName>
    <definedName name="____SP002">#REF!</definedName>
    <definedName name="____SP003" localSheetId="6">#REF!</definedName>
    <definedName name="____SP003" localSheetId="12">#REF!</definedName>
    <definedName name="____SP003" localSheetId="34">#REF!</definedName>
    <definedName name="____SP003" localSheetId="19">#REF!</definedName>
    <definedName name="____SP003">#REF!</definedName>
    <definedName name="____SP004" localSheetId="6">#REF!</definedName>
    <definedName name="____SP004" localSheetId="12">#REF!</definedName>
    <definedName name="____SP004" localSheetId="34">#REF!</definedName>
    <definedName name="____SP004" localSheetId="19">#REF!</definedName>
    <definedName name="____SP004">#REF!</definedName>
    <definedName name="____SP005" localSheetId="6">#REF!</definedName>
    <definedName name="____SP005" localSheetId="12">#REF!</definedName>
    <definedName name="____SP005" localSheetId="34">#REF!</definedName>
    <definedName name="____SP005" localSheetId="19">#REF!</definedName>
    <definedName name="____SP005">#REF!</definedName>
    <definedName name="____SP006" localSheetId="6">#REF!</definedName>
    <definedName name="____SP006" localSheetId="12">#REF!</definedName>
    <definedName name="____SP006" localSheetId="34">#REF!</definedName>
    <definedName name="____SP006" localSheetId="19">#REF!</definedName>
    <definedName name="____SP006">#REF!</definedName>
    <definedName name="____SP007" localSheetId="6">#REF!</definedName>
    <definedName name="____SP007" localSheetId="12">#REF!</definedName>
    <definedName name="____SP007" localSheetId="34">#REF!</definedName>
    <definedName name="____SP007" localSheetId="19">#REF!</definedName>
    <definedName name="____SP007">#REF!</definedName>
    <definedName name="____SP008" localSheetId="6">#REF!</definedName>
    <definedName name="____SP008" localSheetId="12">#REF!</definedName>
    <definedName name="____SP008" localSheetId="34">#REF!</definedName>
    <definedName name="____SP008" localSheetId="19">#REF!</definedName>
    <definedName name="____SP008">#REF!</definedName>
    <definedName name="____SP009" localSheetId="6">#REF!</definedName>
    <definedName name="____SP009" localSheetId="12">#REF!</definedName>
    <definedName name="____SP009" localSheetId="34">#REF!</definedName>
    <definedName name="____SP009" localSheetId="19">#REF!</definedName>
    <definedName name="____SP009">#REF!</definedName>
    <definedName name="____SP010" localSheetId="6">#REF!</definedName>
    <definedName name="____SP010" localSheetId="12">#REF!</definedName>
    <definedName name="____SP010" localSheetId="34">#REF!</definedName>
    <definedName name="____SP010" localSheetId="19">#REF!</definedName>
    <definedName name="____SP010">#REF!</definedName>
    <definedName name="____SP011" localSheetId="6">#REF!</definedName>
    <definedName name="____SP011" localSheetId="12">#REF!</definedName>
    <definedName name="____SP011" localSheetId="34">#REF!</definedName>
    <definedName name="____SP011" localSheetId="19">#REF!</definedName>
    <definedName name="____SP011">#REF!</definedName>
    <definedName name="____SP012" localSheetId="6">#REF!</definedName>
    <definedName name="____SP012" localSheetId="12">#REF!</definedName>
    <definedName name="____SP012" localSheetId="34">#REF!</definedName>
    <definedName name="____SP012" localSheetId="19">#REF!</definedName>
    <definedName name="____SP012">#REF!</definedName>
    <definedName name="____SP013" localSheetId="6">#REF!</definedName>
    <definedName name="____SP013" localSheetId="12">#REF!</definedName>
    <definedName name="____SP013" localSheetId="34">#REF!</definedName>
    <definedName name="____SP013" localSheetId="19">#REF!</definedName>
    <definedName name="____SP013">#REF!</definedName>
    <definedName name="____SP014" localSheetId="6">#REF!</definedName>
    <definedName name="____SP014" localSheetId="12">#REF!</definedName>
    <definedName name="____SP014" localSheetId="34">#REF!</definedName>
    <definedName name="____SP014" localSheetId="19">#REF!</definedName>
    <definedName name="____SP014">#REF!</definedName>
    <definedName name="____SP015" localSheetId="6">#REF!</definedName>
    <definedName name="____SP015" localSheetId="12">#REF!</definedName>
    <definedName name="____SP015" localSheetId="34">#REF!</definedName>
    <definedName name="____SP015" localSheetId="19">#REF!</definedName>
    <definedName name="____SP015">#REF!</definedName>
    <definedName name="____SP016" localSheetId="6">#REF!</definedName>
    <definedName name="____SP016" localSheetId="12">#REF!</definedName>
    <definedName name="____SP016" localSheetId="34">#REF!</definedName>
    <definedName name="____SP016" localSheetId="19">#REF!</definedName>
    <definedName name="____SP016">#REF!</definedName>
    <definedName name="____SP017" localSheetId="6">#REF!</definedName>
    <definedName name="____SP017" localSheetId="12">#REF!</definedName>
    <definedName name="____SP017" localSheetId="34">#REF!</definedName>
    <definedName name="____SP017" localSheetId="19">#REF!</definedName>
    <definedName name="____SP017">#REF!</definedName>
    <definedName name="____SP018" localSheetId="6">#REF!</definedName>
    <definedName name="____SP018" localSheetId="12">#REF!</definedName>
    <definedName name="____SP018" localSheetId="34">#REF!</definedName>
    <definedName name="____SP018" localSheetId="19">#REF!</definedName>
    <definedName name="____SP018">#REF!</definedName>
    <definedName name="____SP019" localSheetId="6">#REF!</definedName>
    <definedName name="____SP019" localSheetId="12">#REF!</definedName>
    <definedName name="____SP019" localSheetId="34">#REF!</definedName>
    <definedName name="____SP019" localSheetId="19">#REF!</definedName>
    <definedName name="____SP019">#REF!</definedName>
    <definedName name="____SP020" localSheetId="6">#REF!</definedName>
    <definedName name="____SP020" localSheetId="12">#REF!</definedName>
    <definedName name="____SP020" localSheetId="34">#REF!</definedName>
    <definedName name="____SP020" localSheetId="19">#REF!</definedName>
    <definedName name="____SP020">#REF!</definedName>
    <definedName name="____SP021" localSheetId="6">#REF!</definedName>
    <definedName name="____SP021" localSheetId="12">#REF!</definedName>
    <definedName name="____SP021" localSheetId="34">#REF!</definedName>
    <definedName name="____SP021" localSheetId="19">#REF!</definedName>
    <definedName name="____SP021">#REF!</definedName>
    <definedName name="____SP022" localSheetId="6">#REF!</definedName>
    <definedName name="____SP022" localSheetId="12">#REF!</definedName>
    <definedName name="____SP022" localSheetId="34">#REF!</definedName>
    <definedName name="____SP022" localSheetId="19">#REF!</definedName>
    <definedName name="____SP022">#REF!</definedName>
    <definedName name="____SP023" localSheetId="6">#REF!</definedName>
    <definedName name="____SP023" localSheetId="12">#REF!</definedName>
    <definedName name="____SP023" localSheetId="34">#REF!</definedName>
    <definedName name="____SP023" localSheetId="19">#REF!</definedName>
    <definedName name="____SP023">#REF!</definedName>
    <definedName name="____SP024" localSheetId="6">#REF!</definedName>
    <definedName name="____SP024" localSheetId="12">#REF!</definedName>
    <definedName name="____SP024" localSheetId="34">#REF!</definedName>
    <definedName name="____SP024" localSheetId="19">#REF!</definedName>
    <definedName name="____SP024">#REF!</definedName>
    <definedName name="____SP025" localSheetId="6">#REF!</definedName>
    <definedName name="____SP025" localSheetId="12">#REF!</definedName>
    <definedName name="____SP025" localSheetId="34">#REF!</definedName>
    <definedName name="____SP025" localSheetId="19">#REF!</definedName>
    <definedName name="____SP025">#REF!</definedName>
    <definedName name="____SP026" localSheetId="6">#REF!</definedName>
    <definedName name="____SP026" localSheetId="12">#REF!</definedName>
    <definedName name="____SP026" localSheetId="34">#REF!</definedName>
    <definedName name="____SP026" localSheetId="19">#REF!</definedName>
    <definedName name="____SP026">#REF!</definedName>
    <definedName name="____SP027" localSheetId="6">#REF!</definedName>
    <definedName name="____SP027" localSheetId="12">#REF!</definedName>
    <definedName name="____SP027" localSheetId="34">#REF!</definedName>
    <definedName name="____SP027" localSheetId="19">#REF!</definedName>
    <definedName name="____SP027">#REF!</definedName>
    <definedName name="____SP028" localSheetId="6">#REF!</definedName>
    <definedName name="____SP028" localSheetId="12">#REF!</definedName>
    <definedName name="____SP028" localSheetId="34">#REF!</definedName>
    <definedName name="____SP028" localSheetId="19">#REF!</definedName>
    <definedName name="____SP028">#REF!</definedName>
    <definedName name="____SP029" localSheetId="6">#REF!</definedName>
    <definedName name="____SP029" localSheetId="12">#REF!</definedName>
    <definedName name="____SP029" localSheetId="34">#REF!</definedName>
    <definedName name="____SP029" localSheetId="19">#REF!</definedName>
    <definedName name="____SP029">#REF!</definedName>
    <definedName name="____SP030" localSheetId="6">#REF!</definedName>
    <definedName name="____SP030" localSheetId="12">#REF!</definedName>
    <definedName name="____SP030" localSheetId="34">#REF!</definedName>
    <definedName name="____SP030" localSheetId="19">#REF!</definedName>
    <definedName name="____SP030">#REF!</definedName>
    <definedName name="____SP031" localSheetId="6">#REF!</definedName>
    <definedName name="____SP031" localSheetId="12">#REF!</definedName>
    <definedName name="____SP031" localSheetId="34">#REF!</definedName>
    <definedName name="____SP031" localSheetId="19">#REF!</definedName>
    <definedName name="____SP031">#REF!</definedName>
    <definedName name="____SP032" localSheetId="6">#REF!</definedName>
    <definedName name="____SP032" localSheetId="12">#REF!</definedName>
    <definedName name="____SP032" localSheetId="34">#REF!</definedName>
    <definedName name="____SP032" localSheetId="19">#REF!</definedName>
    <definedName name="____SP032">#REF!</definedName>
    <definedName name="____SP033" localSheetId="6">#REF!</definedName>
    <definedName name="____SP033" localSheetId="12">#REF!</definedName>
    <definedName name="____SP033" localSheetId="34">#REF!</definedName>
    <definedName name="____SP033" localSheetId="19">#REF!</definedName>
    <definedName name="____SP033">#REF!</definedName>
    <definedName name="____SP034" localSheetId="6">#REF!</definedName>
    <definedName name="____SP034" localSheetId="12">#REF!</definedName>
    <definedName name="____SP034" localSheetId="34">#REF!</definedName>
    <definedName name="____SP034" localSheetId="19">#REF!</definedName>
    <definedName name="____SP034">#REF!</definedName>
    <definedName name="____SP035" localSheetId="6">#REF!</definedName>
    <definedName name="____SP035" localSheetId="12">#REF!</definedName>
    <definedName name="____SP035" localSheetId="34">#REF!</definedName>
    <definedName name="____SP035" localSheetId="19">#REF!</definedName>
    <definedName name="____SP035">#REF!</definedName>
    <definedName name="____SP036" localSheetId="6">#REF!</definedName>
    <definedName name="____SP036" localSheetId="12">#REF!</definedName>
    <definedName name="____SP036" localSheetId="34">#REF!</definedName>
    <definedName name="____SP036" localSheetId="19">#REF!</definedName>
    <definedName name="____SP036">#REF!</definedName>
    <definedName name="____SP037" localSheetId="6">#REF!</definedName>
    <definedName name="____SP037" localSheetId="12">#REF!</definedName>
    <definedName name="____SP037" localSheetId="34">#REF!</definedName>
    <definedName name="____SP037" localSheetId="19">#REF!</definedName>
    <definedName name="____SP037">#REF!</definedName>
    <definedName name="____SP038" localSheetId="6">#REF!</definedName>
    <definedName name="____SP038" localSheetId="12">#REF!</definedName>
    <definedName name="____SP038" localSheetId="34">#REF!</definedName>
    <definedName name="____SP038" localSheetId="19">#REF!</definedName>
    <definedName name="____SP038">#REF!</definedName>
    <definedName name="____SP039" localSheetId="6">#REF!</definedName>
    <definedName name="____SP039" localSheetId="12">#REF!</definedName>
    <definedName name="____SP039" localSheetId="34">#REF!</definedName>
    <definedName name="____SP039" localSheetId="19">#REF!</definedName>
    <definedName name="____SP039">#REF!</definedName>
    <definedName name="____SP040" localSheetId="6">#REF!</definedName>
    <definedName name="____SP040" localSheetId="12">#REF!</definedName>
    <definedName name="____SP040" localSheetId="34">#REF!</definedName>
    <definedName name="____SP040" localSheetId="19">#REF!</definedName>
    <definedName name="____SP040">#REF!</definedName>
    <definedName name="____SP041" localSheetId="6">#REF!</definedName>
    <definedName name="____SP041" localSheetId="12">#REF!</definedName>
    <definedName name="____SP041" localSheetId="34">#REF!</definedName>
    <definedName name="____SP041" localSheetId="19">#REF!</definedName>
    <definedName name="____SP041">#REF!</definedName>
    <definedName name="____SP042" localSheetId="6">#REF!</definedName>
    <definedName name="____SP042" localSheetId="12">#REF!</definedName>
    <definedName name="____SP042" localSheetId="34">#REF!</definedName>
    <definedName name="____SP042" localSheetId="19">#REF!</definedName>
    <definedName name="____SP042">#REF!</definedName>
    <definedName name="____SP043" localSheetId="6">#REF!</definedName>
    <definedName name="____SP043" localSheetId="12">#REF!</definedName>
    <definedName name="____SP043" localSheetId="34">#REF!</definedName>
    <definedName name="____SP043" localSheetId="19">#REF!</definedName>
    <definedName name="____SP043">#REF!</definedName>
    <definedName name="____SP044" localSheetId="6">#REF!</definedName>
    <definedName name="____SP044" localSheetId="12">#REF!</definedName>
    <definedName name="____SP044" localSheetId="34">#REF!</definedName>
    <definedName name="____SP044" localSheetId="19">#REF!</definedName>
    <definedName name="____SP044">#REF!</definedName>
    <definedName name="____SP045" localSheetId="6">#REF!</definedName>
    <definedName name="____SP045" localSheetId="12">#REF!</definedName>
    <definedName name="____SP045" localSheetId="34">#REF!</definedName>
    <definedName name="____SP045" localSheetId="19">#REF!</definedName>
    <definedName name="____SP045">#REF!</definedName>
    <definedName name="____SP046" localSheetId="6">#REF!</definedName>
    <definedName name="____SP046" localSheetId="12">#REF!</definedName>
    <definedName name="____SP046" localSheetId="34">#REF!</definedName>
    <definedName name="____SP046" localSheetId="19">#REF!</definedName>
    <definedName name="____SP046">#REF!</definedName>
    <definedName name="____SP047" localSheetId="6">#REF!</definedName>
    <definedName name="____SP047" localSheetId="12">#REF!</definedName>
    <definedName name="____SP047" localSheetId="34">#REF!</definedName>
    <definedName name="____SP047" localSheetId="19">#REF!</definedName>
    <definedName name="____SP047">#REF!</definedName>
    <definedName name="____SP048" localSheetId="6">#REF!</definedName>
    <definedName name="____SP048" localSheetId="12">#REF!</definedName>
    <definedName name="____SP048" localSheetId="34">#REF!</definedName>
    <definedName name="____SP048" localSheetId="19">#REF!</definedName>
    <definedName name="____SP048">#REF!</definedName>
    <definedName name="____SP049" localSheetId="6">#REF!</definedName>
    <definedName name="____SP049" localSheetId="12">#REF!</definedName>
    <definedName name="____SP049" localSheetId="34">#REF!</definedName>
    <definedName name="____SP049" localSheetId="19">#REF!</definedName>
    <definedName name="____SP049">#REF!</definedName>
    <definedName name="____SP050" localSheetId="6">#REF!</definedName>
    <definedName name="____SP050" localSheetId="12">#REF!</definedName>
    <definedName name="____SP050" localSheetId="34">#REF!</definedName>
    <definedName name="____SP050" localSheetId="19">#REF!</definedName>
    <definedName name="____SP050">#REF!</definedName>
    <definedName name="____SP051" localSheetId="6">#REF!</definedName>
    <definedName name="____SP051" localSheetId="12">#REF!</definedName>
    <definedName name="____SP051" localSheetId="34">#REF!</definedName>
    <definedName name="____SP051" localSheetId="19">#REF!</definedName>
    <definedName name="____SP051">#REF!</definedName>
    <definedName name="____SP052" localSheetId="6">#REF!</definedName>
    <definedName name="____SP052" localSheetId="12">#REF!</definedName>
    <definedName name="____SP052" localSheetId="34">#REF!</definedName>
    <definedName name="____SP052" localSheetId="19">#REF!</definedName>
    <definedName name="____SP052">#REF!</definedName>
    <definedName name="____SP053" localSheetId="6">#REF!</definedName>
    <definedName name="____SP053" localSheetId="12">#REF!</definedName>
    <definedName name="____SP053" localSheetId="34">#REF!</definedName>
    <definedName name="____SP053" localSheetId="19">#REF!</definedName>
    <definedName name="____SP053">#REF!</definedName>
    <definedName name="____SP054" localSheetId="6">#REF!</definedName>
    <definedName name="____SP054" localSheetId="12">#REF!</definedName>
    <definedName name="____SP054" localSheetId="34">#REF!</definedName>
    <definedName name="____SP054" localSheetId="19">#REF!</definedName>
    <definedName name="____SP054">#REF!</definedName>
    <definedName name="____SP055" localSheetId="6">#REF!</definedName>
    <definedName name="____SP055" localSheetId="12">#REF!</definedName>
    <definedName name="____SP055" localSheetId="34">#REF!</definedName>
    <definedName name="____SP055" localSheetId="19">#REF!</definedName>
    <definedName name="____SP055">#REF!</definedName>
    <definedName name="____SP056" localSheetId="6">#REF!</definedName>
    <definedName name="____SP056" localSheetId="12">#REF!</definedName>
    <definedName name="____SP056" localSheetId="34">#REF!</definedName>
    <definedName name="____SP056" localSheetId="19">#REF!</definedName>
    <definedName name="____SP056">#REF!</definedName>
    <definedName name="____SP057" localSheetId="6">#REF!</definedName>
    <definedName name="____SP057" localSheetId="12">#REF!</definedName>
    <definedName name="____SP057" localSheetId="34">#REF!</definedName>
    <definedName name="____SP057" localSheetId="19">#REF!</definedName>
    <definedName name="____SP057">#REF!</definedName>
    <definedName name="____SP058" localSheetId="6">#REF!</definedName>
    <definedName name="____SP058" localSheetId="12">#REF!</definedName>
    <definedName name="____SP058" localSheetId="34">#REF!</definedName>
    <definedName name="____SP058" localSheetId="19">#REF!</definedName>
    <definedName name="____SP058">#REF!</definedName>
    <definedName name="____SP059" localSheetId="6">#REF!</definedName>
    <definedName name="____SP059" localSheetId="12">#REF!</definedName>
    <definedName name="____SP059" localSheetId="34">#REF!</definedName>
    <definedName name="____SP059" localSheetId="19">#REF!</definedName>
    <definedName name="____SP059">#REF!</definedName>
    <definedName name="____SP060" localSheetId="6">#REF!</definedName>
    <definedName name="____SP060" localSheetId="12">#REF!</definedName>
    <definedName name="____SP060" localSheetId="34">#REF!</definedName>
    <definedName name="____SP060" localSheetId="19">#REF!</definedName>
    <definedName name="____SP060">#REF!</definedName>
    <definedName name="____SP061" localSheetId="6">#REF!</definedName>
    <definedName name="____SP061" localSheetId="12">#REF!</definedName>
    <definedName name="____SP061" localSheetId="34">#REF!</definedName>
    <definedName name="____SP061" localSheetId="19">#REF!</definedName>
    <definedName name="____SP061">#REF!</definedName>
    <definedName name="____SP062" localSheetId="6">#REF!</definedName>
    <definedName name="____SP062" localSheetId="12">#REF!</definedName>
    <definedName name="____SP062" localSheetId="34">#REF!</definedName>
    <definedName name="____SP062" localSheetId="19">#REF!</definedName>
    <definedName name="____SP062">#REF!</definedName>
    <definedName name="____SP063" localSheetId="6">#REF!</definedName>
    <definedName name="____SP063" localSheetId="12">#REF!</definedName>
    <definedName name="____SP063" localSheetId="34">#REF!</definedName>
    <definedName name="____SP063" localSheetId="19">#REF!</definedName>
    <definedName name="____SP063">#REF!</definedName>
    <definedName name="____SP064" localSheetId="6">#REF!</definedName>
    <definedName name="____SP064" localSheetId="12">#REF!</definedName>
    <definedName name="____SP064" localSheetId="34">#REF!</definedName>
    <definedName name="____SP064" localSheetId="19">#REF!</definedName>
    <definedName name="____SP064">#REF!</definedName>
    <definedName name="____SP065" localSheetId="6">#REF!</definedName>
    <definedName name="____SP065" localSheetId="12">#REF!</definedName>
    <definedName name="____SP065" localSheetId="34">#REF!</definedName>
    <definedName name="____SP065" localSheetId="19">#REF!</definedName>
    <definedName name="____SP065">#REF!</definedName>
    <definedName name="____SP066" localSheetId="6">#REF!</definedName>
    <definedName name="____SP066" localSheetId="12">#REF!</definedName>
    <definedName name="____SP066" localSheetId="34">#REF!</definedName>
    <definedName name="____SP066" localSheetId="19">#REF!</definedName>
    <definedName name="____SP066">#REF!</definedName>
    <definedName name="____SP067" localSheetId="6">#REF!</definedName>
    <definedName name="____SP067" localSheetId="12">#REF!</definedName>
    <definedName name="____SP067" localSheetId="34">#REF!</definedName>
    <definedName name="____SP067" localSheetId="19">#REF!</definedName>
    <definedName name="____SP067">#REF!</definedName>
    <definedName name="____SP068" localSheetId="6">#REF!</definedName>
    <definedName name="____SP068" localSheetId="12">#REF!</definedName>
    <definedName name="____SP068" localSheetId="34">#REF!</definedName>
    <definedName name="____SP068" localSheetId="19">#REF!</definedName>
    <definedName name="____SP068">#REF!</definedName>
    <definedName name="____SP069" localSheetId="6">#REF!</definedName>
    <definedName name="____SP069" localSheetId="12">#REF!</definedName>
    <definedName name="____SP069" localSheetId="34">#REF!</definedName>
    <definedName name="____SP069" localSheetId="19">#REF!</definedName>
    <definedName name="____SP069">#REF!</definedName>
    <definedName name="____SP070" localSheetId="6">#REF!</definedName>
    <definedName name="____SP070" localSheetId="12">#REF!</definedName>
    <definedName name="____SP070" localSheetId="34">#REF!</definedName>
    <definedName name="____SP070" localSheetId="19">#REF!</definedName>
    <definedName name="____SP070">#REF!</definedName>
    <definedName name="____sp071" localSheetId="6">#REF!</definedName>
    <definedName name="____sp071" localSheetId="12">#REF!</definedName>
    <definedName name="____sp071" localSheetId="34">#REF!</definedName>
    <definedName name="____sp071" localSheetId="19">#REF!</definedName>
    <definedName name="____sp071">#REF!</definedName>
    <definedName name="____SP072" localSheetId="6">#REF!</definedName>
    <definedName name="____SP072" localSheetId="12">#REF!</definedName>
    <definedName name="____SP072" localSheetId="34">#REF!</definedName>
    <definedName name="____SP072" localSheetId="19">#REF!</definedName>
    <definedName name="____SP072">#REF!</definedName>
    <definedName name="____SP073" localSheetId="6">#REF!</definedName>
    <definedName name="____SP073" localSheetId="12">#REF!</definedName>
    <definedName name="____SP073" localSheetId="34">#REF!</definedName>
    <definedName name="____SP073" localSheetId="19">#REF!</definedName>
    <definedName name="____SP073">#REF!</definedName>
    <definedName name="____SP074" localSheetId="6">#REF!</definedName>
    <definedName name="____SP074" localSheetId="12">#REF!</definedName>
    <definedName name="____SP074" localSheetId="34">#REF!</definedName>
    <definedName name="____SP074" localSheetId="19">#REF!</definedName>
    <definedName name="____SP074">#REF!</definedName>
    <definedName name="____SP075" localSheetId="6">#REF!</definedName>
    <definedName name="____SP075" localSheetId="12">#REF!</definedName>
    <definedName name="____SP075" localSheetId="34">#REF!</definedName>
    <definedName name="____SP075" localSheetId="19">#REF!</definedName>
    <definedName name="____SP075">#REF!</definedName>
    <definedName name="____SP076" localSheetId="6">#REF!</definedName>
    <definedName name="____SP076" localSheetId="12">#REF!</definedName>
    <definedName name="____SP076" localSheetId="34">#REF!</definedName>
    <definedName name="____SP076" localSheetId="19">#REF!</definedName>
    <definedName name="____SP076">#REF!</definedName>
    <definedName name="____SP077" localSheetId="6">#REF!</definedName>
    <definedName name="____SP077" localSheetId="12">#REF!</definedName>
    <definedName name="____SP077" localSheetId="34">#REF!</definedName>
    <definedName name="____SP077" localSheetId="19">#REF!</definedName>
    <definedName name="____SP077">#REF!</definedName>
    <definedName name="____sp078" localSheetId="6">#REF!</definedName>
    <definedName name="____sp078" localSheetId="12">#REF!</definedName>
    <definedName name="____sp078" localSheetId="34">#REF!</definedName>
    <definedName name="____sp078" localSheetId="19">#REF!</definedName>
    <definedName name="____sp078">#REF!</definedName>
    <definedName name="____SPO79" localSheetId="6">#REF!</definedName>
    <definedName name="____SPO79" localSheetId="12">#REF!</definedName>
    <definedName name="____SPO79" localSheetId="34">#REF!</definedName>
    <definedName name="____SPO79" localSheetId="19">#REF!</definedName>
    <definedName name="____SPO79">#REF!</definedName>
    <definedName name="____sw1" localSheetId="19">#REF!</definedName>
    <definedName name="____t1" localSheetId="27">#REF!</definedName>
    <definedName name="____t1">#REF!</definedName>
    <definedName name="____t2">#REF!</definedName>
    <definedName name="____tab1">#REF!</definedName>
    <definedName name="____us1">#REF!</definedName>
    <definedName name="____var1" localSheetId="22">#REF!</definedName>
    <definedName name="____var1" localSheetId="5">#REF!</definedName>
    <definedName name="____var1" localSheetId="6">#REF!</definedName>
    <definedName name="____var1" localSheetId="12">#REF!</definedName>
    <definedName name="____var1" localSheetId="34">#REF!</definedName>
    <definedName name="____var1" localSheetId="19">#REF!</definedName>
    <definedName name="____var1" localSheetId="30">#REF!</definedName>
    <definedName name="____var1" localSheetId="40">#REF!</definedName>
    <definedName name="____var1" localSheetId="26">#REF!</definedName>
    <definedName name="____var1">#REF!</definedName>
    <definedName name="____var1_33">"$#REF!.$#REF!$#REF!"</definedName>
    <definedName name="____var1_38">"$#REF!.$#REF!$#REF!"</definedName>
    <definedName name="____var1_41">"$#REF!.$#REF!$#REF!"</definedName>
    <definedName name="____var1_7">"$#REF!.$#REF!$#REF!"</definedName>
    <definedName name="____var1_8">"$#REF!.$#REF!$#REF!"</definedName>
    <definedName name="____var4" localSheetId="22">#REF!</definedName>
    <definedName name="____var4" localSheetId="5">#REF!</definedName>
    <definedName name="____var4" localSheetId="6">#REF!</definedName>
    <definedName name="____var4" localSheetId="12">#REF!</definedName>
    <definedName name="____var4" localSheetId="34">#REF!</definedName>
    <definedName name="____var4" localSheetId="19">#REF!</definedName>
    <definedName name="____var4" localSheetId="30">#REF!</definedName>
    <definedName name="____var4" localSheetId="40">#REF!</definedName>
    <definedName name="____var4" localSheetId="26">#REF!</definedName>
    <definedName name="____var4">#REF!</definedName>
    <definedName name="____var4_33">"$#REF!.$#REF!$#REF!"</definedName>
    <definedName name="____var4_38">"$#REF!.$#REF!$#REF!"</definedName>
    <definedName name="____var4_41">"$#REF!.$#REF!$#REF!"</definedName>
    <definedName name="____var4_7">"$#REF!.$#REF!$#REF!"</definedName>
    <definedName name="____var4_8">"$#REF!.$#REF!$#REF!"</definedName>
    <definedName name="____vat1" localSheetId="6">#REF!</definedName>
    <definedName name="____vat1" localSheetId="12">#REF!</definedName>
    <definedName name="____vat1" localSheetId="19">#REF!</definedName>
    <definedName name="____vat1">#REF!</definedName>
    <definedName name="____vat2" localSheetId="6">#REF!</definedName>
    <definedName name="____vat2" localSheetId="12">#REF!</definedName>
    <definedName name="____vat2" localSheetId="19">#REF!</definedName>
    <definedName name="____vat2">#REF!</definedName>
    <definedName name="____xh11010" localSheetId="6">#REF!</definedName>
    <definedName name="____xh11010" localSheetId="12">#REF!</definedName>
    <definedName name="____xh11010" localSheetId="34">#REF!</definedName>
    <definedName name="____xh11010" localSheetId="19">#REF!</definedName>
    <definedName name="____xh11010">#REF!</definedName>
    <definedName name="____xh1104" localSheetId="6">#REF!</definedName>
    <definedName name="____xh1104" localSheetId="12">#REF!</definedName>
    <definedName name="____xh1104" localSheetId="34">#REF!</definedName>
    <definedName name="____xh1104" localSheetId="19">#REF!</definedName>
    <definedName name="____xh1104">#REF!</definedName>
    <definedName name="____xh1106" localSheetId="6">#REF!</definedName>
    <definedName name="____xh1106" localSheetId="12">#REF!</definedName>
    <definedName name="____xh1106" localSheetId="34">#REF!</definedName>
    <definedName name="____xh1106" localSheetId="19">#REF!</definedName>
    <definedName name="____xh1106">#REF!</definedName>
    <definedName name="____xh1108" localSheetId="6">#REF!</definedName>
    <definedName name="____xh1108" localSheetId="12">#REF!</definedName>
    <definedName name="____xh1108" localSheetId="34">#REF!</definedName>
    <definedName name="____xh1108" localSheetId="19">#REF!</definedName>
    <definedName name="____xh1108">#REF!</definedName>
    <definedName name="____xh12510" localSheetId="6">#REF!</definedName>
    <definedName name="____xh12510" localSheetId="12">#REF!</definedName>
    <definedName name="____xh12510" localSheetId="34">#REF!</definedName>
    <definedName name="____xh12510" localSheetId="19">#REF!</definedName>
    <definedName name="____xh12510">#REF!</definedName>
    <definedName name="____xh1254" localSheetId="6">#REF!</definedName>
    <definedName name="____xh1254" localSheetId="12">#REF!</definedName>
    <definedName name="____xh1254" localSheetId="34">#REF!</definedName>
    <definedName name="____xh1254" localSheetId="19">#REF!</definedName>
    <definedName name="____xh1254">#REF!</definedName>
    <definedName name="____xh1256" localSheetId="6">#REF!</definedName>
    <definedName name="____xh1256" localSheetId="12">#REF!</definedName>
    <definedName name="____xh1256" localSheetId="34">#REF!</definedName>
    <definedName name="____xh1256" localSheetId="19">#REF!</definedName>
    <definedName name="____xh1256">#REF!</definedName>
    <definedName name="____xh1258" localSheetId="6">#REF!</definedName>
    <definedName name="____xh1258" localSheetId="12">#REF!</definedName>
    <definedName name="____xh1258" localSheetId="34">#REF!</definedName>
    <definedName name="____xh1258" localSheetId="19">#REF!</definedName>
    <definedName name="____xh1258">#REF!</definedName>
    <definedName name="____xh14010" localSheetId="6">#REF!</definedName>
    <definedName name="____xh14010" localSheetId="12">#REF!</definedName>
    <definedName name="____xh14010" localSheetId="34">#REF!</definedName>
    <definedName name="____xh14010" localSheetId="19">#REF!</definedName>
    <definedName name="____xh14010">#REF!</definedName>
    <definedName name="____xh1404" localSheetId="6">#REF!</definedName>
    <definedName name="____xh1404" localSheetId="12">#REF!</definedName>
    <definedName name="____xh1404" localSheetId="34">#REF!</definedName>
    <definedName name="____xh1404" localSheetId="19">#REF!</definedName>
    <definedName name="____xh1404">#REF!</definedName>
    <definedName name="____xh1406" localSheetId="6">#REF!</definedName>
    <definedName name="____xh1406" localSheetId="12">#REF!</definedName>
    <definedName name="____xh1406" localSheetId="34">#REF!</definedName>
    <definedName name="____xh1406" localSheetId="19">#REF!</definedName>
    <definedName name="____xh1406">#REF!</definedName>
    <definedName name="____xh1408" localSheetId="6">#REF!</definedName>
    <definedName name="____xh1408" localSheetId="12">#REF!</definedName>
    <definedName name="____xh1408" localSheetId="34">#REF!</definedName>
    <definedName name="____xh1408" localSheetId="19">#REF!</definedName>
    <definedName name="____xh1408">#REF!</definedName>
    <definedName name="____xh16010" localSheetId="6">#REF!</definedName>
    <definedName name="____xh16010" localSheetId="12">#REF!</definedName>
    <definedName name="____xh16010" localSheetId="34">#REF!</definedName>
    <definedName name="____xh16010" localSheetId="19">#REF!</definedName>
    <definedName name="____xh16010">#REF!</definedName>
    <definedName name="____xh1604" localSheetId="6">#REF!</definedName>
    <definedName name="____xh1604" localSheetId="12">#REF!</definedName>
    <definedName name="____xh1604" localSheetId="34">#REF!</definedName>
    <definedName name="____xh1604" localSheetId="19">#REF!</definedName>
    <definedName name="____xh1604">#REF!</definedName>
    <definedName name="____xh1606" localSheetId="6">#REF!</definedName>
    <definedName name="____xh1606" localSheetId="12">#REF!</definedName>
    <definedName name="____xh1606" localSheetId="34">#REF!</definedName>
    <definedName name="____xh1606" localSheetId="19">#REF!</definedName>
    <definedName name="____xh1606">#REF!</definedName>
    <definedName name="____xh1608" localSheetId="6">#REF!</definedName>
    <definedName name="____xh1608" localSheetId="12">#REF!</definedName>
    <definedName name="____xh1608" localSheetId="34">#REF!</definedName>
    <definedName name="____xh1608" localSheetId="19">#REF!</definedName>
    <definedName name="____xh1608">#REF!</definedName>
    <definedName name="____xh18010" localSheetId="6">#REF!</definedName>
    <definedName name="____xh18010" localSheetId="12">#REF!</definedName>
    <definedName name="____xh18010" localSheetId="34">#REF!</definedName>
    <definedName name="____xh18010" localSheetId="19">#REF!</definedName>
    <definedName name="____xh18010">#REF!</definedName>
    <definedName name="____xh1804" localSheetId="6">#REF!</definedName>
    <definedName name="____xh1804" localSheetId="12">#REF!</definedName>
    <definedName name="____xh1804" localSheetId="34">#REF!</definedName>
    <definedName name="____xh1804" localSheetId="19">#REF!</definedName>
    <definedName name="____xh1804">#REF!</definedName>
    <definedName name="____xh1806" localSheetId="6">#REF!</definedName>
    <definedName name="____xh1806" localSheetId="12">#REF!</definedName>
    <definedName name="____xh1806" localSheetId="34">#REF!</definedName>
    <definedName name="____xh1806" localSheetId="19">#REF!</definedName>
    <definedName name="____xh1806">#REF!</definedName>
    <definedName name="____xh1808" localSheetId="6">#REF!</definedName>
    <definedName name="____xh1808" localSheetId="12">#REF!</definedName>
    <definedName name="____xh1808" localSheetId="34">#REF!</definedName>
    <definedName name="____xh1808" localSheetId="19">#REF!</definedName>
    <definedName name="____xh1808">#REF!</definedName>
    <definedName name="____xh20010" localSheetId="6">#REF!</definedName>
    <definedName name="____xh20010" localSheetId="12">#REF!</definedName>
    <definedName name="____xh20010" localSheetId="34">#REF!</definedName>
    <definedName name="____xh20010" localSheetId="19">#REF!</definedName>
    <definedName name="____xh20010">#REF!</definedName>
    <definedName name="____xh2004" localSheetId="6">#REF!</definedName>
    <definedName name="____xh2004" localSheetId="12">#REF!</definedName>
    <definedName name="____xh2004" localSheetId="34">#REF!</definedName>
    <definedName name="____xh2004" localSheetId="19">#REF!</definedName>
    <definedName name="____xh2004">#REF!</definedName>
    <definedName name="____xh2006" localSheetId="6">#REF!</definedName>
    <definedName name="____xh2006" localSheetId="12">#REF!</definedName>
    <definedName name="____xh2006" localSheetId="34">#REF!</definedName>
    <definedName name="____xh2006" localSheetId="19">#REF!</definedName>
    <definedName name="____xh2006">#REF!</definedName>
    <definedName name="____xh2008" localSheetId="6">#REF!</definedName>
    <definedName name="____xh2008" localSheetId="12">#REF!</definedName>
    <definedName name="____xh2008" localSheetId="34">#REF!</definedName>
    <definedName name="____xh2008" localSheetId="19">#REF!</definedName>
    <definedName name="____xh2008">#REF!</definedName>
    <definedName name="____xh22510" localSheetId="6">#REF!</definedName>
    <definedName name="____xh22510" localSheetId="12">#REF!</definedName>
    <definedName name="____xh22510" localSheetId="34">#REF!</definedName>
    <definedName name="____xh22510" localSheetId="19">#REF!</definedName>
    <definedName name="____xh22510">#REF!</definedName>
    <definedName name="____xh2254" localSheetId="6">#REF!</definedName>
    <definedName name="____xh2254" localSheetId="12">#REF!</definedName>
    <definedName name="____xh2254" localSheetId="34">#REF!</definedName>
    <definedName name="____xh2254" localSheetId="19">#REF!</definedName>
    <definedName name="____xh2254">#REF!</definedName>
    <definedName name="____xh2258" localSheetId="6">#REF!</definedName>
    <definedName name="____xh2258" localSheetId="12">#REF!</definedName>
    <definedName name="____xh2258" localSheetId="34">#REF!</definedName>
    <definedName name="____xh2258" localSheetId="19">#REF!</definedName>
    <definedName name="____xh2258">#REF!</definedName>
    <definedName name="____xh25010" localSheetId="6">#REF!</definedName>
    <definedName name="____xh25010" localSheetId="12">#REF!</definedName>
    <definedName name="____xh25010" localSheetId="34">#REF!</definedName>
    <definedName name="____xh25010" localSheetId="19">#REF!</definedName>
    <definedName name="____xh25010">#REF!</definedName>
    <definedName name="____xh2504" localSheetId="6">#REF!</definedName>
    <definedName name="____xh2504" localSheetId="12">#REF!</definedName>
    <definedName name="____xh2504" localSheetId="34">#REF!</definedName>
    <definedName name="____xh2504" localSheetId="19">#REF!</definedName>
    <definedName name="____xh2504">#REF!</definedName>
    <definedName name="____xh2508" localSheetId="6">#REF!</definedName>
    <definedName name="____xh2508" localSheetId="12">#REF!</definedName>
    <definedName name="____xh2508" localSheetId="34">#REF!</definedName>
    <definedName name="____xh2508" localSheetId="19">#REF!</definedName>
    <definedName name="____xh2508">#REF!</definedName>
    <definedName name="____xh28010" localSheetId="6">#REF!</definedName>
    <definedName name="____xh28010" localSheetId="12">#REF!</definedName>
    <definedName name="____xh28010" localSheetId="34">#REF!</definedName>
    <definedName name="____xh28010" localSheetId="19">#REF!</definedName>
    <definedName name="____xh28010">#REF!</definedName>
    <definedName name="____xh2804" localSheetId="6">#REF!</definedName>
    <definedName name="____xh2804" localSheetId="12">#REF!</definedName>
    <definedName name="____xh2804" localSheetId="34">#REF!</definedName>
    <definedName name="____xh2804" localSheetId="19">#REF!</definedName>
    <definedName name="____xh2804">#REF!</definedName>
    <definedName name="____xh2808" localSheetId="6">#REF!</definedName>
    <definedName name="____xh2808" localSheetId="12">#REF!</definedName>
    <definedName name="____xh2808" localSheetId="34">#REF!</definedName>
    <definedName name="____xh2808" localSheetId="19">#REF!</definedName>
    <definedName name="____xh2808">#REF!</definedName>
    <definedName name="____xh31510" localSheetId="6">#REF!</definedName>
    <definedName name="____xh31510" localSheetId="12">#REF!</definedName>
    <definedName name="____xh31510" localSheetId="34">#REF!</definedName>
    <definedName name="____xh31510" localSheetId="19">#REF!</definedName>
    <definedName name="____xh31510">#REF!</definedName>
    <definedName name="____xh3154" localSheetId="6">#REF!</definedName>
    <definedName name="____xh3154" localSheetId="12">#REF!</definedName>
    <definedName name="____xh3154" localSheetId="34">#REF!</definedName>
    <definedName name="____xh3154" localSheetId="19">#REF!</definedName>
    <definedName name="____xh3154">#REF!</definedName>
    <definedName name="____xh3158" localSheetId="6">#REF!</definedName>
    <definedName name="____xh3158" localSheetId="12">#REF!</definedName>
    <definedName name="____xh3158" localSheetId="34">#REF!</definedName>
    <definedName name="____xh3158" localSheetId="19">#REF!</definedName>
    <definedName name="____xh3158">#REF!</definedName>
    <definedName name="____xh3554" localSheetId="6">#REF!</definedName>
    <definedName name="____xh3554" localSheetId="12">#REF!</definedName>
    <definedName name="____xh3554" localSheetId="34">#REF!</definedName>
    <definedName name="____xh3554" localSheetId="19">#REF!</definedName>
    <definedName name="____xh3554">#REF!</definedName>
    <definedName name="____xh3556" localSheetId="6">#REF!</definedName>
    <definedName name="____xh3556" localSheetId="12">#REF!</definedName>
    <definedName name="____xh3556" localSheetId="34">#REF!</definedName>
    <definedName name="____xh3556" localSheetId="19">#REF!</definedName>
    <definedName name="____xh3556">#REF!</definedName>
    <definedName name="____xh6310" localSheetId="6">#REF!</definedName>
    <definedName name="____xh6310" localSheetId="12">#REF!</definedName>
    <definedName name="____xh6310" localSheetId="34">#REF!</definedName>
    <definedName name="____xh6310" localSheetId="19">#REF!</definedName>
    <definedName name="____xh6310">#REF!</definedName>
    <definedName name="____xh636" localSheetId="6">#REF!</definedName>
    <definedName name="____xh636" localSheetId="12">#REF!</definedName>
    <definedName name="____xh636" localSheetId="34">#REF!</definedName>
    <definedName name="____xh636" localSheetId="19">#REF!</definedName>
    <definedName name="____xh636">#REF!</definedName>
    <definedName name="____xh638" localSheetId="6">#REF!</definedName>
    <definedName name="____xh638" localSheetId="12">#REF!</definedName>
    <definedName name="____xh638" localSheetId="34">#REF!</definedName>
    <definedName name="____xh638" localSheetId="19">#REF!</definedName>
    <definedName name="____xh638">#REF!</definedName>
    <definedName name="____xh7510" localSheetId="6">#REF!</definedName>
    <definedName name="____xh7510" localSheetId="12">#REF!</definedName>
    <definedName name="____xh7510" localSheetId="34">#REF!</definedName>
    <definedName name="____xh7510" localSheetId="19">#REF!</definedName>
    <definedName name="____xh7510">#REF!</definedName>
    <definedName name="____xh754" localSheetId="6">#REF!</definedName>
    <definedName name="____xh754" localSheetId="12">#REF!</definedName>
    <definedName name="____xh754" localSheetId="34">#REF!</definedName>
    <definedName name="____xh754" localSheetId="19">#REF!</definedName>
    <definedName name="____xh754">#REF!</definedName>
    <definedName name="____xh756" localSheetId="6">#REF!</definedName>
    <definedName name="____xh756" localSheetId="12">#REF!</definedName>
    <definedName name="____xh756" localSheetId="34">#REF!</definedName>
    <definedName name="____xh756" localSheetId="19">#REF!</definedName>
    <definedName name="____xh756">#REF!</definedName>
    <definedName name="____xh758" localSheetId="6">#REF!</definedName>
    <definedName name="____xh758" localSheetId="12">#REF!</definedName>
    <definedName name="____xh758" localSheetId="34">#REF!</definedName>
    <definedName name="____xh758" localSheetId="19">#REF!</definedName>
    <definedName name="____xh758">#REF!</definedName>
    <definedName name="____xh9010" localSheetId="6">#REF!</definedName>
    <definedName name="____xh9010" localSheetId="12">#REF!</definedName>
    <definedName name="____xh9010" localSheetId="34">#REF!</definedName>
    <definedName name="____xh9010" localSheetId="19">#REF!</definedName>
    <definedName name="____xh9010">#REF!</definedName>
    <definedName name="____xh904" localSheetId="6">#REF!</definedName>
    <definedName name="____xh904" localSheetId="12">#REF!</definedName>
    <definedName name="____xh904" localSheetId="34">#REF!</definedName>
    <definedName name="____xh904" localSheetId="19">#REF!</definedName>
    <definedName name="____xh904">#REF!</definedName>
    <definedName name="____xh906" localSheetId="6">#REF!</definedName>
    <definedName name="____xh906" localSheetId="12">#REF!</definedName>
    <definedName name="____xh906" localSheetId="34">#REF!</definedName>
    <definedName name="____xh906" localSheetId="19">#REF!</definedName>
    <definedName name="____xh906">#REF!</definedName>
    <definedName name="____xh908" localSheetId="6">#REF!</definedName>
    <definedName name="____xh908" localSheetId="12">#REF!</definedName>
    <definedName name="____xh908" localSheetId="34">#REF!</definedName>
    <definedName name="____xh908" localSheetId="19">#REF!</definedName>
    <definedName name="____xh908">#REF!</definedName>
    <definedName name="____xk7200" localSheetId="6">#REF!</definedName>
    <definedName name="____xk7200" localSheetId="12">#REF!</definedName>
    <definedName name="____xk7200" localSheetId="34">#REF!</definedName>
    <definedName name="____xk7200" localSheetId="19">#REF!</definedName>
    <definedName name="____xk7200">#REF!</definedName>
    <definedName name="____xk7350" localSheetId="6">#REF!</definedName>
    <definedName name="____xk7350" localSheetId="12">#REF!</definedName>
    <definedName name="____xk7350" localSheetId="34">#REF!</definedName>
    <definedName name="____xk7350" localSheetId="19">#REF!</definedName>
    <definedName name="____xk7350">#REF!</definedName>
    <definedName name="____xk7400" localSheetId="6">#REF!</definedName>
    <definedName name="____xk7400" localSheetId="12">#REF!</definedName>
    <definedName name="____xk7400" localSheetId="34">#REF!</definedName>
    <definedName name="____xk7400" localSheetId="19">#REF!</definedName>
    <definedName name="____xk7400">#REF!</definedName>
    <definedName name="____xk7450" localSheetId="6">#REF!</definedName>
    <definedName name="____xk7450" localSheetId="12">#REF!</definedName>
    <definedName name="____xk7450" localSheetId="34">#REF!</definedName>
    <definedName name="____xk7450" localSheetId="19">#REF!</definedName>
    <definedName name="____xk7450">#REF!</definedName>
    <definedName name="____xk7500" localSheetId="6">#REF!</definedName>
    <definedName name="____xk7500" localSheetId="12">#REF!</definedName>
    <definedName name="____xk7500" localSheetId="34">#REF!</definedName>
    <definedName name="____xk7500" localSheetId="19">#REF!</definedName>
    <definedName name="____xk7500">#REF!</definedName>
    <definedName name="____xk7600" localSheetId="6">#REF!</definedName>
    <definedName name="____xk7600" localSheetId="12">#REF!</definedName>
    <definedName name="____xk7600" localSheetId="34">#REF!</definedName>
    <definedName name="____xk7600" localSheetId="19">#REF!</definedName>
    <definedName name="____xk7600">#REF!</definedName>
    <definedName name="____xk9100" localSheetId="6">#REF!</definedName>
    <definedName name="____xk9100" localSheetId="12">#REF!</definedName>
    <definedName name="____xk9100" localSheetId="34">#REF!</definedName>
    <definedName name="____xk9100" localSheetId="19">#REF!</definedName>
    <definedName name="____xk9100">#REF!</definedName>
    <definedName name="____xk91000" localSheetId="6">#REF!</definedName>
    <definedName name="____xk91000" localSheetId="12">#REF!</definedName>
    <definedName name="____xk91000" localSheetId="34">#REF!</definedName>
    <definedName name="____xk91000" localSheetId="19">#REF!</definedName>
    <definedName name="____xk91000">#REF!</definedName>
    <definedName name="____xk9150" localSheetId="6">#REF!</definedName>
    <definedName name="____xk9150" localSheetId="12">#REF!</definedName>
    <definedName name="____xk9150" localSheetId="34">#REF!</definedName>
    <definedName name="____xk9150" localSheetId="19">#REF!</definedName>
    <definedName name="____xk9150">#REF!</definedName>
    <definedName name="____xk9200" localSheetId="6">#REF!</definedName>
    <definedName name="____xk9200" localSheetId="12">#REF!</definedName>
    <definedName name="____xk9200" localSheetId="34">#REF!</definedName>
    <definedName name="____xk9200" localSheetId="19">#REF!</definedName>
    <definedName name="____xk9200">#REF!</definedName>
    <definedName name="____xk9250" localSheetId="6">#REF!</definedName>
    <definedName name="____xk9250" localSheetId="12">#REF!</definedName>
    <definedName name="____xk9250" localSheetId="34">#REF!</definedName>
    <definedName name="____xk9250" localSheetId="19">#REF!</definedName>
    <definedName name="____xk9250">#REF!</definedName>
    <definedName name="____xk9300" localSheetId="6">#REF!</definedName>
    <definedName name="____xk9300" localSheetId="12">#REF!</definedName>
    <definedName name="____xk9300" localSheetId="34">#REF!</definedName>
    <definedName name="____xk9300" localSheetId="19">#REF!</definedName>
    <definedName name="____xk9300">#REF!</definedName>
    <definedName name="____xk9350" localSheetId="6">#REF!</definedName>
    <definedName name="____xk9350" localSheetId="12">#REF!</definedName>
    <definedName name="____xk9350" localSheetId="34">#REF!</definedName>
    <definedName name="____xk9350" localSheetId="19">#REF!</definedName>
    <definedName name="____xk9350">#REF!</definedName>
    <definedName name="____xk9400" localSheetId="6">#REF!</definedName>
    <definedName name="____xk9400" localSheetId="12">#REF!</definedName>
    <definedName name="____xk9400" localSheetId="34">#REF!</definedName>
    <definedName name="____xk9400" localSheetId="19">#REF!</definedName>
    <definedName name="____xk9400">#REF!</definedName>
    <definedName name="____xk9450" localSheetId="6">#REF!</definedName>
    <definedName name="____xk9450" localSheetId="12">#REF!</definedName>
    <definedName name="____xk9450" localSheetId="34">#REF!</definedName>
    <definedName name="____xk9450" localSheetId="19">#REF!</definedName>
    <definedName name="____xk9450">#REF!</definedName>
    <definedName name="____xk9500" localSheetId="6">#REF!</definedName>
    <definedName name="____xk9500" localSheetId="12">#REF!</definedName>
    <definedName name="____xk9500" localSheetId="34">#REF!</definedName>
    <definedName name="____xk9500" localSheetId="19">#REF!</definedName>
    <definedName name="____xk9500">#REF!</definedName>
    <definedName name="____xk9600" localSheetId="6">#REF!</definedName>
    <definedName name="____xk9600" localSheetId="12">#REF!</definedName>
    <definedName name="____xk9600" localSheetId="34">#REF!</definedName>
    <definedName name="____xk9600" localSheetId="19">#REF!</definedName>
    <definedName name="____xk9600">#REF!</definedName>
    <definedName name="____xk9700" localSheetId="6">#REF!</definedName>
    <definedName name="____xk9700" localSheetId="12">#REF!</definedName>
    <definedName name="____xk9700" localSheetId="34">#REF!</definedName>
    <definedName name="____xk9700" localSheetId="19">#REF!</definedName>
    <definedName name="____xk9700">#REF!</definedName>
    <definedName name="____xk9750" localSheetId="6">#REF!</definedName>
    <definedName name="____xk9750" localSheetId="12">#REF!</definedName>
    <definedName name="____xk9750" localSheetId="34">#REF!</definedName>
    <definedName name="____xk9750" localSheetId="19">#REF!</definedName>
    <definedName name="____xk9750">#REF!</definedName>
    <definedName name="____xk9800" localSheetId="6">#REF!</definedName>
    <definedName name="____xk9800" localSheetId="12">#REF!</definedName>
    <definedName name="____xk9800" localSheetId="34">#REF!</definedName>
    <definedName name="____xk9800" localSheetId="19">#REF!</definedName>
    <definedName name="____xk9800">#REF!</definedName>
    <definedName name="____xk9900" localSheetId="6">#REF!</definedName>
    <definedName name="____xk9900" localSheetId="12">#REF!</definedName>
    <definedName name="____xk9900" localSheetId="34">#REF!</definedName>
    <definedName name="____xk9900" localSheetId="19">#REF!</definedName>
    <definedName name="____xk9900">#REF!</definedName>
    <definedName name="____xlfn_BAHTTEXT">#N/A</definedName>
    <definedName name="____xp12510" localSheetId="6">#REF!</definedName>
    <definedName name="____xp12510" localSheetId="12">#REF!</definedName>
    <definedName name="____xp12510" localSheetId="34">#REF!</definedName>
    <definedName name="____xp12510" localSheetId="19">#REF!</definedName>
    <definedName name="____xp12510">#REF!</definedName>
    <definedName name="____xp16010" localSheetId="6">#REF!</definedName>
    <definedName name="____xp16010" localSheetId="12">#REF!</definedName>
    <definedName name="____xp16010" localSheetId="34">#REF!</definedName>
    <definedName name="____xp16010" localSheetId="19">#REF!</definedName>
    <definedName name="____xp16010">#REF!</definedName>
    <definedName name="____xp18010" localSheetId="6">#REF!</definedName>
    <definedName name="____xp18010" localSheetId="12">#REF!</definedName>
    <definedName name="____xp18010" localSheetId="34">#REF!</definedName>
    <definedName name="____xp18010" localSheetId="19">#REF!</definedName>
    <definedName name="____xp18010">#REF!</definedName>
    <definedName name="____xp20010" localSheetId="6">#REF!</definedName>
    <definedName name="____xp20010" localSheetId="12">#REF!</definedName>
    <definedName name="____xp20010" localSheetId="34">#REF!</definedName>
    <definedName name="____xp20010" localSheetId="19">#REF!</definedName>
    <definedName name="____xp20010">#REF!</definedName>
    <definedName name="____xp2004" localSheetId="6">#REF!</definedName>
    <definedName name="____xp2004" localSheetId="12">#REF!</definedName>
    <definedName name="____xp2004" localSheetId="34">#REF!</definedName>
    <definedName name="____xp2004" localSheetId="19">#REF!</definedName>
    <definedName name="____xp2004">#REF!</definedName>
    <definedName name="____xp22510" localSheetId="6">#REF!</definedName>
    <definedName name="____xp22510" localSheetId="12">#REF!</definedName>
    <definedName name="____xp22510" localSheetId="34">#REF!</definedName>
    <definedName name="____xp22510" localSheetId="19">#REF!</definedName>
    <definedName name="____xp22510">#REF!</definedName>
    <definedName name="____xp2254" localSheetId="6">#REF!</definedName>
    <definedName name="____xp2254" localSheetId="12">#REF!</definedName>
    <definedName name="____xp2254" localSheetId="34">#REF!</definedName>
    <definedName name="____xp2254" localSheetId="19">#REF!</definedName>
    <definedName name="____xp2254">#REF!</definedName>
    <definedName name="____xp2256" localSheetId="6">#REF!</definedName>
    <definedName name="____xp2256" localSheetId="12">#REF!</definedName>
    <definedName name="____xp2256" localSheetId="34">#REF!</definedName>
    <definedName name="____xp2256" localSheetId="19">#REF!</definedName>
    <definedName name="____xp2256">#REF!</definedName>
    <definedName name="____xp25010" localSheetId="6">#REF!</definedName>
    <definedName name="____xp25010" localSheetId="12">#REF!</definedName>
    <definedName name="____xp25010" localSheetId="34">#REF!</definedName>
    <definedName name="____xp25010" localSheetId="19">#REF!</definedName>
    <definedName name="____xp25010">#REF!</definedName>
    <definedName name="____xp2504" localSheetId="6">#REF!</definedName>
    <definedName name="____xp2504" localSheetId="12">#REF!</definedName>
    <definedName name="____xp2504" localSheetId="34">#REF!</definedName>
    <definedName name="____xp2504" localSheetId="19">#REF!</definedName>
    <definedName name="____xp2504">#REF!</definedName>
    <definedName name="____xp2506" localSheetId="6">#REF!</definedName>
    <definedName name="____xp2506" localSheetId="12">#REF!</definedName>
    <definedName name="____xp2506" localSheetId="34">#REF!</definedName>
    <definedName name="____xp2506" localSheetId="19">#REF!</definedName>
    <definedName name="____xp2506">#REF!</definedName>
    <definedName name="____xp28010" localSheetId="6">#REF!</definedName>
    <definedName name="____xp28010" localSheetId="12">#REF!</definedName>
    <definedName name="____xp28010" localSheetId="34">#REF!</definedName>
    <definedName name="____xp28010" localSheetId="19">#REF!</definedName>
    <definedName name="____xp28010">#REF!</definedName>
    <definedName name="____xp2804" localSheetId="6">#REF!</definedName>
    <definedName name="____xp2804" localSheetId="12">#REF!</definedName>
    <definedName name="____xp2804" localSheetId="34">#REF!</definedName>
    <definedName name="____xp2804" localSheetId="19">#REF!</definedName>
    <definedName name="____xp2804">#REF!</definedName>
    <definedName name="____xp2806" localSheetId="6">#REF!</definedName>
    <definedName name="____xp2806" localSheetId="12">#REF!</definedName>
    <definedName name="____xp2806" localSheetId="34">#REF!</definedName>
    <definedName name="____xp2806" localSheetId="19">#REF!</definedName>
    <definedName name="____xp2806">#REF!</definedName>
    <definedName name="____xp31510" localSheetId="6">#REF!</definedName>
    <definedName name="____xp31510" localSheetId="12">#REF!</definedName>
    <definedName name="____xp31510" localSheetId="34">#REF!</definedName>
    <definedName name="____xp31510" localSheetId="19">#REF!</definedName>
    <definedName name="____xp31510">#REF!</definedName>
    <definedName name="____xp3154" localSheetId="6">#REF!</definedName>
    <definedName name="____xp3154" localSheetId="12">#REF!</definedName>
    <definedName name="____xp3154" localSheetId="34">#REF!</definedName>
    <definedName name="____xp3154" localSheetId="19">#REF!</definedName>
    <definedName name="____xp3154">#REF!</definedName>
    <definedName name="____xp3156" localSheetId="6">#REF!</definedName>
    <definedName name="____xp3156" localSheetId="12">#REF!</definedName>
    <definedName name="____xp3156" localSheetId="34">#REF!</definedName>
    <definedName name="____xp3156" localSheetId="19">#REF!</definedName>
    <definedName name="____xp3156">#REF!</definedName>
    <definedName name="____xp634" localSheetId="6">#REF!</definedName>
    <definedName name="____xp634" localSheetId="12">#REF!</definedName>
    <definedName name="____xp634" localSheetId="34">#REF!</definedName>
    <definedName name="____xp634" localSheetId="19">#REF!</definedName>
    <definedName name="____xp634">#REF!</definedName>
    <definedName name="___abs1" localSheetId="5">#REF!</definedName>
    <definedName name="___abs1" localSheetId="14">#REF!</definedName>
    <definedName name="___abs1" localSheetId="6">#REF!</definedName>
    <definedName name="___abs1" localSheetId="12">#REF!</definedName>
    <definedName name="___abs1" localSheetId="19">#REF!</definedName>
    <definedName name="___abs1">#REF!</definedName>
    <definedName name="___AUX1">#REF!</definedName>
    <definedName name="___aux2" localSheetId="19">#REF!</definedName>
    <definedName name="___AUX3">#REF!</definedName>
    <definedName name="___BSG100" localSheetId="6">#REF!</definedName>
    <definedName name="___BSG100" localSheetId="12">#REF!</definedName>
    <definedName name="___BSG100" localSheetId="19">#REF!</definedName>
    <definedName name="___BSG100">#REF!</definedName>
    <definedName name="___BSG150" localSheetId="6">#REF!</definedName>
    <definedName name="___BSG150" localSheetId="12">#REF!</definedName>
    <definedName name="___BSG150" localSheetId="19">#REF!</definedName>
    <definedName name="___BSG150">#REF!</definedName>
    <definedName name="___BSG5" localSheetId="6">#REF!</definedName>
    <definedName name="___BSG5" localSheetId="12">#REF!</definedName>
    <definedName name="___BSG5" localSheetId="19">#REF!</definedName>
    <definedName name="___BSG5">#REF!</definedName>
    <definedName name="___BSG75" localSheetId="6">#REF!</definedName>
    <definedName name="___BSG75" localSheetId="12">#REF!</definedName>
    <definedName name="___BSG75" localSheetId="19">#REF!</definedName>
    <definedName name="___BSG75">#REF!</definedName>
    <definedName name="___BTC1" localSheetId="6">#REF!</definedName>
    <definedName name="___BTC1" localSheetId="12">#REF!</definedName>
    <definedName name="___BTC1" localSheetId="19">#REF!</definedName>
    <definedName name="___BTC1">#REF!</definedName>
    <definedName name="___BTC10" localSheetId="6">#REF!</definedName>
    <definedName name="___BTC10" localSheetId="12">#REF!</definedName>
    <definedName name="___BTC10" localSheetId="19">#REF!</definedName>
    <definedName name="___BTC10">#REF!</definedName>
    <definedName name="___BTC11" localSheetId="6">#REF!</definedName>
    <definedName name="___BTC11" localSheetId="12">#REF!</definedName>
    <definedName name="___BTC11" localSheetId="19">#REF!</definedName>
    <definedName name="___BTC11">#REF!</definedName>
    <definedName name="___BTC12" localSheetId="6">#REF!</definedName>
    <definedName name="___BTC12" localSheetId="12">#REF!</definedName>
    <definedName name="___BTC12" localSheetId="19">#REF!</definedName>
    <definedName name="___BTC12">#REF!</definedName>
    <definedName name="___BTC13" localSheetId="6">#REF!</definedName>
    <definedName name="___BTC13" localSheetId="12">#REF!</definedName>
    <definedName name="___BTC13" localSheetId="19">#REF!</definedName>
    <definedName name="___BTC13">#REF!</definedName>
    <definedName name="___BTC14" localSheetId="6">#REF!</definedName>
    <definedName name="___BTC14" localSheetId="12">#REF!</definedName>
    <definedName name="___BTC14" localSheetId="19">#REF!</definedName>
    <definedName name="___BTC14">#REF!</definedName>
    <definedName name="___BTC15" localSheetId="6">#REF!</definedName>
    <definedName name="___BTC15" localSheetId="12">#REF!</definedName>
    <definedName name="___BTC15" localSheetId="19">#REF!</definedName>
    <definedName name="___BTC15">#REF!</definedName>
    <definedName name="___BTC16">#REF!</definedName>
    <definedName name="___BTC17">#REF!</definedName>
    <definedName name="___BTC18">#REF!</definedName>
    <definedName name="___BTC19">#REF!</definedName>
    <definedName name="___BTC2" localSheetId="6">#REF!</definedName>
    <definedName name="___BTC2" localSheetId="12">#REF!</definedName>
    <definedName name="___BTC2" localSheetId="19">#REF!</definedName>
    <definedName name="___BTC2">#REF!</definedName>
    <definedName name="___BTC20">#REF!</definedName>
    <definedName name="___BTC21">#REF!</definedName>
    <definedName name="___BTC22">#REF!</definedName>
    <definedName name="___BTC23">#REF!</definedName>
    <definedName name="___BTC24">#REF!</definedName>
    <definedName name="___BTC3" localSheetId="6">#REF!</definedName>
    <definedName name="___BTC3" localSheetId="12">#REF!</definedName>
    <definedName name="___BTC3" localSheetId="19">#REF!</definedName>
    <definedName name="___BTC3">#REF!</definedName>
    <definedName name="___BTC4" localSheetId="6">#REF!</definedName>
    <definedName name="___BTC4" localSheetId="12">#REF!</definedName>
    <definedName name="___BTC4" localSheetId="19">#REF!</definedName>
    <definedName name="___BTC4">#REF!</definedName>
    <definedName name="___BTC5" localSheetId="6">#REF!</definedName>
    <definedName name="___BTC5" localSheetId="12">#REF!</definedName>
    <definedName name="___BTC5" localSheetId="19">#REF!</definedName>
    <definedName name="___BTC5">#REF!</definedName>
    <definedName name="___BTC6" localSheetId="6">#REF!</definedName>
    <definedName name="___BTC6" localSheetId="12">#REF!</definedName>
    <definedName name="___BTC6" localSheetId="19">#REF!</definedName>
    <definedName name="___BTC6">#REF!</definedName>
    <definedName name="___BTC7" localSheetId="6">#REF!</definedName>
    <definedName name="___BTC7" localSheetId="12">#REF!</definedName>
    <definedName name="___BTC7" localSheetId="19">#REF!</definedName>
    <definedName name="___BTC7">#REF!</definedName>
    <definedName name="___BTC8" localSheetId="6">#REF!</definedName>
    <definedName name="___BTC8" localSheetId="12">#REF!</definedName>
    <definedName name="___BTC8" localSheetId="19">#REF!</definedName>
    <definedName name="___BTC8">#REF!</definedName>
    <definedName name="___BTC9" localSheetId="6">#REF!</definedName>
    <definedName name="___BTC9" localSheetId="12">#REF!</definedName>
    <definedName name="___BTC9" localSheetId="19">#REF!</definedName>
    <definedName name="___BTC9">#REF!</definedName>
    <definedName name="___BTR1">#REF!</definedName>
    <definedName name="___BTR10">#REF!</definedName>
    <definedName name="___BTR11">#REF!</definedName>
    <definedName name="___BTR12">#REF!</definedName>
    <definedName name="___BTR13">#REF!</definedName>
    <definedName name="___BTR14">#REF!</definedName>
    <definedName name="___BTR15">#REF!</definedName>
    <definedName name="___BTR16">#REF!</definedName>
    <definedName name="___BTR17">#REF!</definedName>
    <definedName name="___BTR18">#REF!</definedName>
    <definedName name="___BTR19">#REF!</definedName>
    <definedName name="___BTR2">#REF!</definedName>
    <definedName name="___BTR20">#REF!</definedName>
    <definedName name="___BTR21">#REF!</definedName>
    <definedName name="___BTR22">#REF!</definedName>
    <definedName name="___BTR23">#REF!</definedName>
    <definedName name="___BTR24">#REF!</definedName>
    <definedName name="___BTR3">#REF!</definedName>
    <definedName name="___BTR4">#REF!</definedName>
    <definedName name="___BTR5">#REF!</definedName>
    <definedName name="___BTR6">#REF!</definedName>
    <definedName name="___BTR7">#REF!</definedName>
    <definedName name="___BTR8">#REF!</definedName>
    <definedName name="___BTR9">#REF!</definedName>
    <definedName name="___BTS1" localSheetId="6">#REF!</definedName>
    <definedName name="___BTS1" localSheetId="12">#REF!</definedName>
    <definedName name="___BTS1" localSheetId="19">#REF!</definedName>
    <definedName name="___BTS1">#REF!</definedName>
    <definedName name="___BTS10" localSheetId="6">#REF!</definedName>
    <definedName name="___BTS10" localSheetId="12">#REF!</definedName>
    <definedName name="___BTS10" localSheetId="19">#REF!</definedName>
    <definedName name="___BTS10">#REF!</definedName>
    <definedName name="___BTS11" localSheetId="6">#REF!</definedName>
    <definedName name="___BTS11" localSheetId="12">#REF!</definedName>
    <definedName name="___BTS11" localSheetId="19">#REF!</definedName>
    <definedName name="___BTS11">#REF!</definedName>
    <definedName name="___BTS12" localSheetId="6">#REF!</definedName>
    <definedName name="___BTS12" localSheetId="12">#REF!</definedName>
    <definedName name="___BTS12" localSheetId="19">#REF!</definedName>
    <definedName name="___BTS12">#REF!</definedName>
    <definedName name="___BTS13" localSheetId="6">#REF!</definedName>
    <definedName name="___BTS13" localSheetId="12">#REF!</definedName>
    <definedName name="___BTS13" localSheetId="19">#REF!</definedName>
    <definedName name="___BTS13">#REF!</definedName>
    <definedName name="___BTS14" localSheetId="6">#REF!</definedName>
    <definedName name="___BTS14" localSheetId="12">#REF!</definedName>
    <definedName name="___BTS14" localSheetId="19">#REF!</definedName>
    <definedName name="___BTS14">#REF!</definedName>
    <definedName name="___BTS15" localSheetId="6">#REF!</definedName>
    <definedName name="___BTS15" localSheetId="12">#REF!</definedName>
    <definedName name="___BTS15" localSheetId="19">#REF!</definedName>
    <definedName name="___BTS15">#REF!</definedName>
    <definedName name="___BTS16">#REF!</definedName>
    <definedName name="___BTS17">#REF!</definedName>
    <definedName name="___BTS18">#REF!</definedName>
    <definedName name="___BTS19">#REF!</definedName>
    <definedName name="___BTS2" localSheetId="6">#REF!</definedName>
    <definedName name="___BTS2" localSheetId="12">#REF!</definedName>
    <definedName name="___BTS2" localSheetId="19">#REF!</definedName>
    <definedName name="___BTS2">#REF!</definedName>
    <definedName name="___BTS20">#REF!</definedName>
    <definedName name="___BTS21">#REF!</definedName>
    <definedName name="___BTS22">#REF!</definedName>
    <definedName name="___BTS23">#REF!</definedName>
    <definedName name="___BTS24">#REF!</definedName>
    <definedName name="___BTS3" localSheetId="6">#REF!</definedName>
    <definedName name="___BTS3" localSheetId="12">#REF!</definedName>
    <definedName name="___BTS3" localSheetId="19">#REF!</definedName>
    <definedName name="___BTS3">#REF!</definedName>
    <definedName name="___BTS4" localSheetId="6">#REF!</definedName>
    <definedName name="___BTS4" localSheetId="12">#REF!</definedName>
    <definedName name="___BTS4" localSheetId="19">#REF!</definedName>
    <definedName name="___BTS4">#REF!</definedName>
    <definedName name="___BTS5" localSheetId="6">#REF!</definedName>
    <definedName name="___BTS5" localSheetId="12">#REF!</definedName>
    <definedName name="___BTS5" localSheetId="19">#REF!</definedName>
    <definedName name="___BTS5">#REF!</definedName>
    <definedName name="___BTS6" localSheetId="6">#REF!</definedName>
    <definedName name="___BTS6" localSheetId="12">#REF!</definedName>
    <definedName name="___BTS6" localSheetId="19">#REF!</definedName>
    <definedName name="___BTS6">#REF!</definedName>
    <definedName name="___BTS7" localSheetId="6">#REF!</definedName>
    <definedName name="___BTS7" localSheetId="12">#REF!</definedName>
    <definedName name="___BTS7" localSheetId="19">#REF!</definedName>
    <definedName name="___BTS7">#REF!</definedName>
    <definedName name="___BTS8" localSheetId="6">#REF!</definedName>
    <definedName name="___BTS8" localSheetId="12">#REF!</definedName>
    <definedName name="___BTS8" localSheetId="19">#REF!</definedName>
    <definedName name="___BTS8">#REF!</definedName>
    <definedName name="___BTS9" localSheetId="6">#REF!</definedName>
    <definedName name="___BTS9" localSheetId="12">#REF!</definedName>
    <definedName name="___BTS9" localSheetId="19">#REF!</definedName>
    <definedName name="___BTS9">#REF!</definedName>
    <definedName name="___can430">40.73</definedName>
    <definedName name="___can435">43.3</definedName>
    <definedName name="___cbr1" localSheetId="6">#REF!</definedName>
    <definedName name="___cbr1" localSheetId="12">#REF!</definedName>
    <definedName name="___cbr1" localSheetId="19">#REF!</definedName>
    <definedName name="___cbr1">#REF!</definedName>
    <definedName name="___cbr2" localSheetId="6">#REF!</definedName>
    <definedName name="___cbr2" localSheetId="12">#REF!</definedName>
    <definedName name="___cbr2" localSheetId="19">#REF!</definedName>
    <definedName name="___cbr2">#REF!</definedName>
    <definedName name="___cbr3" localSheetId="6">#REF!</definedName>
    <definedName name="___cbr3" localSheetId="12">#REF!</definedName>
    <definedName name="___cbr3" localSheetId="19">#REF!</definedName>
    <definedName name="___cbr3">#REF!</definedName>
    <definedName name="___cbr4" localSheetId="6">#REF!</definedName>
    <definedName name="___cbr4" localSheetId="12">#REF!</definedName>
    <definedName name="___cbr4" localSheetId="19">#REF!</definedName>
    <definedName name="___cbr4">#REF!</definedName>
    <definedName name="___df3" localSheetId="6">#REF!</definedName>
    <definedName name="___df3" localSheetId="12">#REF!</definedName>
    <definedName name="___df3" localSheetId="34">#REF!</definedName>
    <definedName name="___df3" localSheetId="19">#REF!</definedName>
    <definedName name="___df3">#REF!</definedName>
    <definedName name="___er1">#REF!</definedName>
    <definedName name="___ewe1" localSheetId="34">#REF!</definedName>
    <definedName name="___ewe1" localSheetId="19">#REF!</definedName>
    <definedName name="___ewe1">#REF!</definedName>
    <definedName name="___f1" localSheetId="6">#REF!</definedName>
    <definedName name="___f1" localSheetId="12">#REF!</definedName>
    <definedName name="___f1" localSheetId="34">#REF!</definedName>
    <definedName name="___f1" localSheetId="19">#REF!</definedName>
    <definedName name="___f1">#REF!</definedName>
    <definedName name="___GBS11" localSheetId="6">#REF!</definedName>
    <definedName name="___GBS11" localSheetId="12">#REF!</definedName>
    <definedName name="___GBS11" localSheetId="19">#REF!</definedName>
    <definedName name="___GBS11">#REF!</definedName>
    <definedName name="___GBS110" localSheetId="6">#REF!</definedName>
    <definedName name="___GBS110" localSheetId="12">#REF!</definedName>
    <definedName name="___GBS110" localSheetId="19">#REF!</definedName>
    <definedName name="___GBS110">#REF!</definedName>
    <definedName name="___GBS111" localSheetId="6">#REF!</definedName>
    <definedName name="___GBS111" localSheetId="12">#REF!</definedName>
    <definedName name="___GBS111" localSheetId="19">#REF!</definedName>
    <definedName name="___GBS111">#REF!</definedName>
    <definedName name="___GBS112" localSheetId="6">#REF!</definedName>
    <definedName name="___GBS112" localSheetId="12">#REF!</definedName>
    <definedName name="___GBS112" localSheetId="19">#REF!</definedName>
    <definedName name="___GBS112">#REF!</definedName>
    <definedName name="___GBS113" localSheetId="6">#REF!</definedName>
    <definedName name="___GBS113" localSheetId="12">#REF!</definedName>
    <definedName name="___GBS113" localSheetId="19">#REF!</definedName>
    <definedName name="___GBS113">#REF!</definedName>
    <definedName name="___GBS114" localSheetId="6">#REF!</definedName>
    <definedName name="___GBS114" localSheetId="12">#REF!</definedName>
    <definedName name="___GBS114" localSheetId="19">#REF!</definedName>
    <definedName name="___GBS114">#REF!</definedName>
    <definedName name="___GBS115" localSheetId="6">#REF!</definedName>
    <definedName name="___GBS115" localSheetId="12">#REF!</definedName>
    <definedName name="___GBS115" localSheetId="19">#REF!</definedName>
    <definedName name="___GBS115">#REF!</definedName>
    <definedName name="___GBS116">#REF!</definedName>
    <definedName name="___GBS117">#REF!</definedName>
    <definedName name="___GBS118">#REF!</definedName>
    <definedName name="___GBS119">#REF!</definedName>
    <definedName name="___GBS12" localSheetId="6">#REF!</definedName>
    <definedName name="___GBS12" localSheetId="12">#REF!</definedName>
    <definedName name="___GBS12" localSheetId="19">#REF!</definedName>
    <definedName name="___GBS12">#REF!</definedName>
    <definedName name="___GBS120">#REF!</definedName>
    <definedName name="___GBS121">#REF!</definedName>
    <definedName name="___GBS122">#REF!</definedName>
    <definedName name="___GBS123">#REF!</definedName>
    <definedName name="___GBS124">#REF!</definedName>
    <definedName name="___GBS13" localSheetId="6">#REF!</definedName>
    <definedName name="___GBS13" localSheetId="12">#REF!</definedName>
    <definedName name="___GBS13" localSheetId="19">#REF!</definedName>
    <definedName name="___GBS13">#REF!</definedName>
    <definedName name="___GBS14" localSheetId="6">#REF!</definedName>
    <definedName name="___GBS14" localSheetId="12">#REF!</definedName>
    <definedName name="___GBS14" localSheetId="19">#REF!</definedName>
    <definedName name="___GBS14">#REF!</definedName>
    <definedName name="___GBS15" localSheetId="6">#REF!</definedName>
    <definedName name="___GBS15" localSheetId="12">#REF!</definedName>
    <definedName name="___GBS15" localSheetId="19">#REF!</definedName>
    <definedName name="___GBS15">#REF!</definedName>
    <definedName name="___GBS16" localSheetId="6">#REF!</definedName>
    <definedName name="___GBS16" localSheetId="12">#REF!</definedName>
    <definedName name="___GBS16" localSheetId="19">#REF!</definedName>
    <definedName name="___GBS16">#REF!</definedName>
    <definedName name="___GBS17" localSheetId="6">#REF!</definedName>
    <definedName name="___GBS17" localSheetId="12">#REF!</definedName>
    <definedName name="___GBS17" localSheetId="19">#REF!</definedName>
    <definedName name="___GBS17">#REF!</definedName>
    <definedName name="___GBS18" localSheetId="6">#REF!</definedName>
    <definedName name="___GBS18" localSheetId="12">#REF!</definedName>
    <definedName name="___GBS18" localSheetId="19">#REF!</definedName>
    <definedName name="___GBS18">#REF!</definedName>
    <definedName name="___GBS19" localSheetId="6">#REF!</definedName>
    <definedName name="___GBS19" localSheetId="12">#REF!</definedName>
    <definedName name="___GBS19" localSheetId="19">#REF!</definedName>
    <definedName name="___GBS19">#REF!</definedName>
    <definedName name="___GBS21" localSheetId="6">#REF!</definedName>
    <definedName name="___GBS21" localSheetId="12">#REF!</definedName>
    <definedName name="___GBS21" localSheetId="19">#REF!</definedName>
    <definedName name="___GBS21">#REF!</definedName>
    <definedName name="___GBS210" localSheetId="6">#REF!</definedName>
    <definedName name="___GBS210" localSheetId="12">#REF!</definedName>
    <definedName name="___GBS210" localSheetId="19">#REF!</definedName>
    <definedName name="___GBS210">#REF!</definedName>
    <definedName name="___GBS211" localSheetId="6">#REF!</definedName>
    <definedName name="___GBS211" localSheetId="12">#REF!</definedName>
    <definedName name="___GBS211" localSheetId="19">#REF!</definedName>
    <definedName name="___GBS211">#REF!</definedName>
    <definedName name="___GBS212" localSheetId="6">#REF!</definedName>
    <definedName name="___GBS212" localSheetId="12">#REF!</definedName>
    <definedName name="___GBS212" localSheetId="19">#REF!</definedName>
    <definedName name="___GBS212">#REF!</definedName>
    <definedName name="___GBS213" localSheetId="6">#REF!</definedName>
    <definedName name="___GBS213" localSheetId="12">#REF!</definedName>
    <definedName name="___GBS213" localSheetId="19">#REF!</definedName>
    <definedName name="___GBS213">#REF!</definedName>
    <definedName name="___GBS214" localSheetId="6">#REF!</definedName>
    <definedName name="___GBS214" localSheetId="12">#REF!</definedName>
    <definedName name="___GBS214" localSheetId="19">#REF!</definedName>
    <definedName name="___GBS214">#REF!</definedName>
    <definedName name="___GBS215" localSheetId="6">#REF!</definedName>
    <definedName name="___GBS215" localSheetId="12">#REF!</definedName>
    <definedName name="___GBS215" localSheetId="19">#REF!</definedName>
    <definedName name="___GBS215">#REF!</definedName>
    <definedName name="___GBS216">#REF!</definedName>
    <definedName name="___GBS217">#REF!</definedName>
    <definedName name="___GBS218">#REF!</definedName>
    <definedName name="___GBS219">#REF!</definedName>
    <definedName name="___GBS22" localSheetId="6">#REF!</definedName>
    <definedName name="___GBS22" localSheetId="12">#REF!</definedName>
    <definedName name="___GBS22" localSheetId="19">#REF!</definedName>
    <definedName name="___GBS22">#REF!</definedName>
    <definedName name="___GBS220">#REF!</definedName>
    <definedName name="___GBS221">#REF!</definedName>
    <definedName name="___GBS222">#REF!</definedName>
    <definedName name="___GBS223">#REF!</definedName>
    <definedName name="___GBS224">#REF!</definedName>
    <definedName name="___GBS23" localSheetId="6">#REF!</definedName>
    <definedName name="___GBS23" localSheetId="12">#REF!</definedName>
    <definedName name="___GBS23" localSheetId="19">#REF!</definedName>
    <definedName name="___GBS23">#REF!</definedName>
    <definedName name="___GBS24" localSheetId="6">#REF!</definedName>
    <definedName name="___GBS24" localSheetId="12">#REF!</definedName>
    <definedName name="___GBS24" localSheetId="19">#REF!</definedName>
    <definedName name="___GBS24">#REF!</definedName>
    <definedName name="___GBS25" localSheetId="6">#REF!</definedName>
    <definedName name="___GBS25" localSheetId="12">#REF!</definedName>
    <definedName name="___GBS25" localSheetId="19">#REF!</definedName>
    <definedName name="___GBS25">#REF!</definedName>
    <definedName name="___GBS26" localSheetId="6">#REF!</definedName>
    <definedName name="___GBS26" localSheetId="12">#REF!</definedName>
    <definedName name="___GBS26" localSheetId="19">#REF!</definedName>
    <definedName name="___GBS26">#REF!</definedName>
    <definedName name="___GBS27" localSheetId="6">#REF!</definedName>
    <definedName name="___GBS27" localSheetId="12">#REF!</definedName>
    <definedName name="___GBS27" localSheetId="19">#REF!</definedName>
    <definedName name="___GBS27">#REF!</definedName>
    <definedName name="___GBS28" localSheetId="6">#REF!</definedName>
    <definedName name="___GBS28" localSheetId="12">#REF!</definedName>
    <definedName name="___GBS28" localSheetId="19">#REF!</definedName>
    <definedName name="___GBS28">#REF!</definedName>
    <definedName name="___GBS29" localSheetId="6">#REF!</definedName>
    <definedName name="___GBS29" localSheetId="12">#REF!</definedName>
    <definedName name="___GBS29" localSheetId="19">#REF!</definedName>
    <definedName name="___GBS29">#REF!</definedName>
    <definedName name="___grp10003" localSheetId="6">#REF!</definedName>
    <definedName name="___grp10003" localSheetId="12">#REF!</definedName>
    <definedName name="___grp10003" localSheetId="34">#REF!</definedName>
    <definedName name="___grp10003" localSheetId="19">#REF!</definedName>
    <definedName name="___grp10003">#REF!</definedName>
    <definedName name="___grp3503" localSheetId="6">#REF!</definedName>
    <definedName name="___grp3503" localSheetId="12">#REF!</definedName>
    <definedName name="___grp3503" localSheetId="34">#REF!</definedName>
    <definedName name="___grp3503" localSheetId="19">#REF!</definedName>
    <definedName name="___grp3503">#REF!</definedName>
    <definedName name="___grp4003" localSheetId="6">#REF!</definedName>
    <definedName name="___grp4003" localSheetId="12">#REF!</definedName>
    <definedName name="___grp4003" localSheetId="34">#REF!</definedName>
    <definedName name="___grp4003" localSheetId="19">#REF!</definedName>
    <definedName name="___grp4003">#REF!</definedName>
    <definedName name="___grp4503" localSheetId="6">#REF!</definedName>
    <definedName name="___grp4503" localSheetId="12">#REF!</definedName>
    <definedName name="___grp4503" localSheetId="34">#REF!</definedName>
    <definedName name="___grp4503" localSheetId="19">#REF!</definedName>
    <definedName name="___grp4503">#REF!</definedName>
    <definedName name="___grp5003" localSheetId="6">#REF!</definedName>
    <definedName name="___grp5003" localSheetId="12">#REF!</definedName>
    <definedName name="___grp5003" localSheetId="34">#REF!</definedName>
    <definedName name="___grp5003" localSheetId="19">#REF!</definedName>
    <definedName name="___grp5003">#REF!</definedName>
    <definedName name="___grp6003" localSheetId="6">#REF!</definedName>
    <definedName name="___grp6003" localSheetId="12">#REF!</definedName>
    <definedName name="___grp6003" localSheetId="34">#REF!</definedName>
    <definedName name="___grp6003" localSheetId="19">#REF!</definedName>
    <definedName name="___grp6003">#REF!</definedName>
    <definedName name="___grp7003" localSheetId="6">#REF!</definedName>
    <definedName name="___grp7003" localSheetId="12">#REF!</definedName>
    <definedName name="___grp7003" localSheetId="34">#REF!</definedName>
    <definedName name="___grp7003" localSheetId="19">#REF!</definedName>
    <definedName name="___grp7003">#REF!</definedName>
    <definedName name="___grp8003" localSheetId="6">#REF!</definedName>
    <definedName name="___grp8003" localSheetId="12">#REF!</definedName>
    <definedName name="___grp8003" localSheetId="34">#REF!</definedName>
    <definedName name="___grp8003" localSheetId="19">#REF!</definedName>
    <definedName name="___grp8003">#REF!</definedName>
    <definedName name="___grp9003" localSheetId="6">#REF!</definedName>
    <definedName name="___grp9003" localSheetId="12">#REF!</definedName>
    <definedName name="___grp9003" localSheetId="34">#REF!</definedName>
    <definedName name="___grp9003" localSheetId="19">#REF!</definedName>
    <definedName name="___grp9003">#REF!</definedName>
    <definedName name="___gus1">#REF!</definedName>
    <definedName name="___hpm1">#REF!</definedName>
    <definedName name="___knr2" localSheetId="5">#REF!</definedName>
    <definedName name="___knr2" localSheetId="6">#REF!</definedName>
    <definedName name="___knr2" localSheetId="12">#REF!</definedName>
    <definedName name="___knr2" localSheetId="34">#REF!</definedName>
    <definedName name="___knr2" localSheetId="19">#REF!</definedName>
    <definedName name="___knr2">#REF!</definedName>
    <definedName name="___l12" localSheetId="22">#REF!</definedName>
    <definedName name="___l12" localSheetId="5">#REF!</definedName>
    <definedName name="___l12" localSheetId="6">#REF!</definedName>
    <definedName name="___l12" localSheetId="12">#REF!</definedName>
    <definedName name="___l12" localSheetId="34">#REF!</definedName>
    <definedName name="___l12" localSheetId="19">#REF!</definedName>
    <definedName name="___l12" localSheetId="30">#REF!</definedName>
    <definedName name="___l12" localSheetId="40">#REF!</definedName>
    <definedName name="___l12" localSheetId="26">#REF!</definedName>
    <definedName name="___l12">#REF!</definedName>
    <definedName name="___l3" localSheetId="22">#REF!</definedName>
    <definedName name="___l3" localSheetId="5">#REF!</definedName>
    <definedName name="___l3" localSheetId="6">#REF!</definedName>
    <definedName name="___l3" localSheetId="12">#REF!</definedName>
    <definedName name="___l3" localSheetId="34">#REF!</definedName>
    <definedName name="___l3" localSheetId="19">#REF!</definedName>
    <definedName name="___l3" localSheetId="30">#REF!</definedName>
    <definedName name="___l3" localSheetId="40">#REF!</definedName>
    <definedName name="___l3" localSheetId="26">#REF!</definedName>
    <definedName name="___l3">#REF!</definedName>
    <definedName name="___l5" localSheetId="22">#REF!</definedName>
    <definedName name="___l5" localSheetId="5">#REF!</definedName>
    <definedName name="___l5" localSheetId="6">#REF!</definedName>
    <definedName name="___l5" localSheetId="12">#REF!</definedName>
    <definedName name="___l5" localSheetId="34">#REF!</definedName>
    <definedName name="___l5" localSheetId="19">#REF!</definedName>
    <definedName name="___l5" localSheetId="30">#REF!</definedName>
    <definedName name="___l5" localSheetId="40">#REF!</definedName>
    <definedName name="___l5" localSheetId="26">#REF!</definedName>
    <definedName name="___l5">#REF!</definedName>
    <definedName name="___lcn1" localSheetId="27">#REF!</definedName>
    <definedName name="___lcn1">#REF!</definedName>
    <definedName name="___LI9" localSheetId="6">#REF!</definedName>
    <definedName name="___LI9" localSheetId="12">#REF!</definedName>
    <definedName name="___LI9" localSheetId="19">#REF!</definedName>
    <definedName name="___LI9">#REF!</definedName>
    <definedName name="___LII9" localSheetId="6">#REF!</definedName>
    <definedName name="___LII9" localSheetId="12">#REF!</definedName>
    <definedName name="___LII9" localSheetId="19">#REF!</definedName>
    <definedName name="___LII9">#REF!</definedName>
    <definedName name="___lj600" localSheetId="19">#REF!</definedName>
    <definedName name="___lj900" localSheetId="27">#REF!</definedName>
    <definedName name="___lj900">#REF!</definedName>
    <definedName name="___LL3">#REF!</definedName>
    <definedName name="___lm1">#REF!</definedName>
    <definedName name="___MA1" localSheetId="19">#REF!</definedName>
    <definedName name="___MA2" localSheetId="19">#REF!</definedName>
    <definedName name="___Met22" localSheetId="19">#REF!</definedName>
    <definedName name="___Met45" localSheetId="27">#REF!</definedName>
    <definedName name="___Met45">#REF!</definedName>
    <definedName name="___MEt55">#REF!</definedName>
    <definedName name="___Met63">#REF!</definedName>
    <definedName name="___ML11" localSheetId="6">#REF!</definedName>
    <definedName name="___ML11" localSheetId="12">#REF!</definedName>
    <definedName name="___ML11" localSheetId="19">#REF!</definedName>
    <definedName name="___ML11">#REF!</definedName>
    <definedName name="___ML110" localSheetId="6">#REF!</definedName>
    <definedName name="___ML110" localSheetId="12">#REF!</definedName>
    <definedName name="___ML110" localSheetId="19">#REF!</definedName>
    <definedName name="___ML110">#REF!</definedName>
    <definedName name="___ML111" localSheetId="6">#REF!</definedName>
    <definedName name="___ML111" localSheetId="12">#REF!</definedName>
    <definedName name="___ML111" localSheetId="19">#REF!</definedName>
    <definedName name="___ML111">#REF!</definedName>
    <definedName name="___ML112" localSheetId="6">#REF!</definedName>
    <definedName name="___ML112" localSheetId="12">#REF!</definedName>
    <definedName name="___ML112" localSheetId="19">#REF!</definedName>
    <definedName name="___ML112">#REF!</definedName>
    <definedName name="___ML113" localSheetId="6">#REF!</definedName>
    <definedName name="___ML113" localSheetId="12">#REF!</definedName>
    <definedName name="___ML113" localSheetId="19">#REF!</definedName>
    <definedName name="___ML113">#REF!</definedName>
    <definedName name="___ML114" localSheetId="6">#REF!</definedName>
    <definedName name="___ML114" localSheetId="12">#REF!</definedName>
    <definedName name="___ML114" localSheetId="19">#REF!</definedName>
    <definedName name="___ML114">#REF!</definedName>
    <definedName name="___ML115" localSheetId="6">#REF!</definedName>
    <definedName name="___ML115" localSheetId="12">#REF!</definedName>
    <definedName name="___ML115" localSheetId="19">#REF!</definedName>
    <definedName name="___ML115">#REF!</definedName>
    <definedName name="___ML12" localSheetId="6">#REF!</definedName>
    <definedName name="___ML12" localSheetId="12">#REF!</definedName>
    <definedName name="___ML12" localSheetId="19">#REF!</definedName>
    <definedName name="___ML12">#REF!</definedName>
    <definedName name="___ML13" localSheetId="6">#REF!</definedName>
    <definedName name="___ML13" localSheetId="12">#REF!</definedName>
    <definedName name="___ML13" localSheetId="19">#REF!</definedName>
    <definedName name="___ML13">#REF!</definedName>
    <definedName name="___ML14" localSheetId="6">#REF!</definedName>
    <definedName name="___ML14" localSheetId="12">#REF!</definedName>
    <definedName name="___ML14" localSheetId="19">#REF!</definedName>
    <definedName name="___ML14">#REF!</definedName>
    <definedName name="___ML15" localSheetId="6">#REF!</definedName>
    <definedName name="___ML15" localSheetId="12">#REF!</definedName>
    <definedName name="___ML15" localSheetId="19">#REF!</definedName>
    <definedName name="___ML15">#REF!</definedName>
    <definedName name="___ML16" localSheetId="6">#REF!</definedName>
    <definedName name="___ML16" localSheetId="12">#REF!</definedName>
    <definedName name="___ML16" localSheetId="19">#REF!</definedName>
    <definedName name="___ML16">#REF!</definedName>
    <definedName name="___ML17" localSheetId="6">#REF!</definedName>
    <definedName name="___ML17" localSheetId="12">#REF!</definedName>
    <definedName name="___ML17" localSheetId="19">#REF!</definedName>
    <definedName name="___ML17">#REF!</definedName>
    <definedName name="___ML18" localSheetId="6">#REF!</definedName>
    <definedName name="___ML18" localSheetId="12">#REF!</definedName>
    <definedName name="___ML18" localSheetId="19">#REF!</definedName>
    <definedName name="___ML18">#REF!</definedName>
    <definedName name="___ML19" localSheetId="6">#REF!</definedName>
    <definedName name="___ML19" localSheetId="12">#REF!</definedName>
    <definedName name="___ML19" localSheetId="19">#REF!</definedName>
    <definedName name="___ML19">#REF!</definedName>
    <definedName name="___ML21" localSheetId="6">#REF!</definedName>
    <definedName name="___ML21" localSheetId="12">#REF!</definedName>
    <definedName name="___ML21" localSheetId="19">#REF!</definedName>
    <definedName name="___ML21">#REF!</definedName>
    <definedName name="___ML210" localSheetId="6">#REF!</definedName>
    <definedName name="___ML210" localSheetId="12">#REF!</definedName>
    <definedName name="___ML210" localSheetId="19">#REF!</definedName>
    <definedName name="___ML210">#REF!</definedName>
    <definedName name="___ML211" localSheetId="6">#REF!</definedName>
    <definedName name="___ML211" localSheetId="12">#REF!</definedName>
    <definedName name="___ML211" localSheetId="19">#REF!</definedName>
    <definedName name="___ML211">#REF!</definedName>
    <definedName name="___ML212" localSheetId="6">#REF!</definedName>
    <definedName name="___ML212" localSheetId="12">#REF!</definedName>
    <definedName name="___ML212" localSheetId="19">#REF!</definedName>
    <definedName name="___ML212">#REF!</definedName>
    <definedName name="___ML213" localSheetId="6">#REF!</definedName>
    <definedName name="___ML213" localSheetId="12">#REF!</definedName>
    <definedName name="___ML213" localSheetId="19">#REF!</definedName>
    <definedName name="___ML213">#REF!</definedName>
    <definedName name="___ML214" localSheetId="6">#REF!</definedName>
    <definedName name="___ML214" localSheetId="12">#REF!</definedName>
    <definedName name="___ML214" localSheetId="19">#REF!</definedName>
    <definedName name="___ML214">#REF!</definedName>
    <definedName name="___ML215" localSheetId="6">#REF!</definedName>
    <definedName name="___ML215" localSheetId="12">#REF!</definedName>
    <definedName name="___ML215" localSheetId="19">#REF!</definedName>
    <definedName name="___ML215">#REF!</definedName>
    <definedName name="___ML216">#REF!</definedName>
    <definedName name="___ML217">#REF!</definedName>
    <definedName name="___ML218">#REF!</definedName>
    <definedName name="___ML219">#REF!</definedName>
    <definedName name="___ML22" localSheetId="6">#REF!</definedName>
    <definedName name="___ML22" localSheetId="12">#REF!</definedName>
    <definedName name="___ML22" localSheetId="19">#REF!</definedName>
    <definedName name="___ML22">#REF!</definedName>
    <definedName name="___ML220">#REF!</definedName>
    <definedName name="___ML221">#REF!</definedName>
    <definedName name="___ML222">#REF!</definedName>
    <definedName name="___ML223">#REF!</definedName>
    <definedName name="___ML224">#REF!</definedName>
    <definedName name="___ML23" localSheetId="6">#REF!</definedName>
    <definedName name="___ML23" localSheetId="12">#REF!</definedName>
    <definedName name="___ML23" localSheetId="19">#REF!</definedName>
    <definedName name="___ML23">#REF!</definedName>
    <definedName name="___ML24" localSheetId="6">#REF!</definedName>
    <definedName name="___ML24" localSheetId="12">#REF!</definedName>
    <definedName name="___ML24" localSheetId="19">#REF!</definedName>
    <definedName name="___ML24">#REF!</definedName>
    <definedName name="___ML25" localSheetId="6">#REF!</definedName>
    <definedName name="___ML25" localSheetId="12">#REF!</definedName>
    <definedName name="___ML25" localSheetId="19">#REF!</definedName>
    <definedName name="___ML25">#REF!</definedName>
    <definedName name="___ML26" localSheetId="6">#REF!</definedName>
    <definedName name="___ML26" localSheetId="12">#REF!</definedName>
    <definedName name="___ML26" localSheetId="19">#REF!</definedName>
    <definedName name="___ML26">#REF!</definedName>
    <definedName name="___ML27" localSheetId="6">#REF!</definedName>
    <definedName name="___ML27" localSheetId="12">#REF!</definedName>
    <definedName name="___ML27" localSheetId="19">#REF!</definedName>
    <definedName name="___ML27">#REF!</definedName>
    <definedName name="___ML28" localSheetId="6">#REF!</definedName>
    <definedName name="___ML28" localSheetId="12">#REF!</definedName>
    <definedName name="___ML28" localSheetId="19">#REF!</definedName>
    <definedName name="___ML28">#REF!</definedName>
    <definedName name="___ML29" localSheetId="6">#REF!</definedName>
    <definedName name="___ML29" localSheetId="12">#REF!</definedName>
    <definedName name="___ML29" localSheetId="19">#REF!</definedName>
    <definedName name="___ML29">#REF!</definedName>
    <definedName name="___ML31" localSheetId="6">#REF!</definedName>
    <definedName name="___ML31" localSheetId="12">#REF!</definedName>
    <definedName name="___ML31" localSheetId="19">#REF!</definedName>
    <definedName name="___ML31">#REF!</definedName>
    <definedName name="___ML310" localSheetId="6">#REF!</definedName>
    <definedName name="___ML310" localSheetId="12">#REF!</definedName>
    <definedName name="___ML310" localSheetId="19">#REF!</definedName>
    <definedName name="___ML310">#REF!</definedName>
    <definedName name="___ML311" localSheetId="6">#REF!</definedName>
    <definedName name="___ML311" localSheetId="12">#REF!</definedName>
    <definedName name="___ML311" localSheetId="19">#REF!</definedName>
    <definedName name="___ML311">#REF!</definedName>
    <definedName name="___ML312" localSheetId="6">#REF!</definedName>
    <definedName name="___ML312" localSheetId="12">#REF!</definedName>
    <definedName name="___ML312" localSheetId="19">#REF!</definedName>
    <definedName name="___ML312">#REF!</definedName>
    <definedName name="___ML313" localSheetId="6">#REF!</definedName>
    <definedName name="___ML313" localSheetId="12">#REF!</definedName>
    <definedName name="___ML313" localSheetId="19">#REF!</definedName>
    <definedName name="___ML313">#REF!</definedName>
    <definedName name="___ML314" localSheetId="6">#REF!</definedName>
    <definedName name="___ML314" localSheetId="12">#REF!</definedName>
    <definedName name="___ML314" localSheetId="19">#REF!</definedName>
    <definedName name="___ML314">#REF!</definedName>
    <definedName name="___ML315" localSheetId="6">#REF!</definedName>
    <definedName name="___ML315" localSheetId="12">#REF!</definedName>
    <definedName name="___ML315" localSheetId="19">#REF!</definedName>
    <definedName name="___ML315">#REF!</definedName>
    <definedName name="___ML316">#REF!</definedName>
    <definedName name="___ML317">#REF!</definedName>
    <definedName name="___ML318">#REF!</definedName>
    <definedName name="___ML319">#REF!</definedName>
    <definedName name="___ML32" localSheetId="6">#REF!</definedName>
    <definedName name="___ML32" localSheetId="12">#REF!</definedName>
    <definedName name="___ML32" localSheetId="19">#REF!</definedName>
    <definedName name="___ML32">#REF!</definedName>
    <definedName name="___ML320">#REF!</definedName>
    <definedName name="___ML321">#REF!</definedName>
    <definedName name="___ML322">#REF!</definedName>
    <definedName name="___ML323">#REF!</definedName>
    <definedName name="___ML324">#REF!</definedName>
    <definedName name="___ML33" localSheetId="6">#REF!</definedName>
    <definedName name="___ML33" localSheetId="12">#REF!</definedName>
    <definedName name="___ML33" localSheetId="19">#REF!</definedName>
    <definedName name="___ML33">#REF!</definedName>
    <definedName name="___ML34" localSheetId="6">#REF!</definedName>
    <definedName name="___ML34" localSheetId="12">#REF!</definedName>
    <definedName name="___ML34" localSheetId="19">#REF!</definedName>
    <definedName name="___ML34">#REF!</definedName>
    <definedName name="___ML35" localSheetId="6">#REF!</definedName>
    <definedName name="___ML35" localSheetId="12">#REF!</definedName>
    <definedName name="___ML35" localSheetId="19">#REF!</definedName>
    <definedName name="___ML35">#REF!</definedName>
    <definedName name="___ML36" localSheetId="6">#REF!</definedName>
    <definedName name="___ML36" localSheetId="12">#REF!</definedName>
    <definedName name="___ML36" localSheetId="19">#REF!</definedName>
    <definedName name="___ML36">#REF!</definedName>
    <definedName name="___ML37" localSheetId="6">#REF!</definedName>
    <definedName name="___ML37" localSheetId="12">#REF!</definedName>
    <definedName name="___ML37" localSheetId="19">#REF!</definedName>
    <definedName name="___ML37">#REF!</definedName>
    <definedName name="___ML38" localSheetId="6">#REF!</definedName>
    <definedName name="___ML38" localSheetId="12">#REF!</definedName>
    <definedName name="___ML38" localSheetId="19">#REF!</definedName>
    <definedName name="___ML38">#REF!</definedName>
    <definedName name="___ML39" localSheetId="6">#REF!</definedName>
    <definedName name="___ML39" localSheetId="12">#REF!</definedName>
    <definedName name="___ML39" localSheetId="19">#REF!</definedName>
    <definedName name="___ML39">#REF!</definedName>
    <definedName name="___ML7" localSheetId="6">#REF!</definedName>
    <definedName name="___ML7" localSheetId="12">#REF!</definedName>
    <definedName name="___ML7" localSheetId="19">#REF!</definedName>
    <definedName name="___ML7">#REF!</definedName>
    <definedName name="___ML8" localSheetId="6">#REF!</definedName>
    <definedName name="___ML8" localSheetId="12">#REF!</definedName>
    <definedName name="___ML8" localSheetId="19">#REF!</definedName>
    <definedName name="___ML8">#REF!</definedName>
    <definedName name="___ML9" localSheetId="6">#REF!</definedName>
    <definedName name="___ML9" localSheetId="12">#REF!</definedName>
    <definedName name="___ML9" localSheetId="19">#REF!</definedName>
    <definedName name="___ML9">#REF!</definedName>
    <definedName name="___mm1000" localSheetId="27">#REF!</definedName>
    <definedName name="___mm1000">#REF!</definedName>
    <definedName name="___mm20" localSheetId="6">#REF!</definedName>
    <definedName name="___mm20" localSheetId="12">#REF!</definedName>
    <definedName name="___mm20" localSheetId="19">#REF!</definedName>
    <definedName name="___mm20">#REF!</definedName>
    <definedName name="___mm40" localSheetId="6">#REF!</definedName>
    <definedName name="___mm40" localSheetId="12">#REF!</definedName>
    <definedName name="___mm40" localSheetId="19">#REF!</definedName>
    <definedName name="___mm40">#REF!</definedName>
    <definedName name="___mm600">#REF!</definedName>
    <definedName name="___mm800">#REF!</definedName>
    <definedName name="___o3" localSheetId="19">#REF!</definedName>
    <definedName name="___PC1" localSheetId="19">#REF!</definedName>
    <definedName name="___PC10">#REF!</definedName>
    <definedName name="___PC11">#REF!</definedName>
    <definedName name="___PC12">#REF!</definedName>
    <definedName name="___PC13">#REF!</definedName>
    <definedName name="___PC14">#REF!</definedName>
    <definedName name="___PC15">#REF!</definedName>
    <definedName name="___PC16">#REF!</definedName>
    <definedName name="___PC17">#REF!</definedName>
    <definedName name="___PC18">#REF!</definedName>
    <definedName name="___PC19">#REF!</definedName>
    <definedName name="___pc2" localSheetId="22">#REF!</definedName>
    <definedName name="___pc2" localSheetId="5">#REF!</definedName>
    <definedName name="___pc2" localSheetId="6">#REF!</definedName>
    <definedName name="___pc2" localSheetId="12">#REF!</definedName>
    <definedName name="___pc2" localSheetId="34">#REF!</definedName>
    <definedName name="___pc2" localSheetId="19">#REF!</definedName>
    <definedName name="___pc2" localSheetId="30">#REF!</definedName>
    <definedName name="___pc2" localSheetId="40">#REF!</definedName>
    <definedName name="___pc2" localSheetId="26">#REF!</definedName>
    <definedName name="___pc2">#REF!</definedName>
    <definedName name="___pc2_33">"$#REF!.$#REF!$#REF!"</definedName>
    <definedName name="___pc2_38">"$#REF!.$#REF!$#REF!"</definedName>
    <definedName name="___pc2_41">"$#REF!.$#REF!$#REF!"</definedName>
    <definedName name="___pc2_7">"$#REF!.$#REF!$#REF!"</definedName>
    <definedName name="___pc2_8">"$#REF!.$#REF!$#REF!"</definedName>
    <definedName name="___PC20" localSheetId="27">#REF!</definedName>
    <definedName name="___PC20">#REF!</definedName>
    <definedName name="___PC21" localSheetId="27">#REF!</definedName>
    <definedName name="___PC21">#REF!</definedName>
    <definedName name="___PC22" localSheetId="27">#REF!</definedName>
    <definedName name="___PC22">#REF!</definedName>
    <definedName name="___PC23">#REF!</definedName>
    <definedName name="___PC24">#REF!</definedName>
    <definedName name="___PC3">#REF!</definedName>
    <definedName name="___PC4">#REF!</definedName>
    <definedName name="___PC5">#REF!</definedName>
    <definedName name="___PC6">#REF!</definedName>
    <definedName name="___pc600">#REF!</definedName>
    <definedName name="___PC7">#REF!</definedName>
    <definedName name="___PC8">#REF!</definedName>
    <definedName name="___PC9">#REF!</definedName>
    <definedName name="___pc900">#REF!</definedName>
    <definedName name="___PMS2" localSheetId="6">#REF!</definedName>
    <definedName name="___PMS2" localSheetId="12">#REF!</definedName>
    <definedName name="___PMS2" localSheetId="19">#REF!</definedName>
    <definedName name="___PMS2">#REF!</definedName>
    <definedName name="___psc10006" localSheetId="6">#REF!</definedName>
    <definedName name="___psc10006" localSheetId="12">#REF!</definedName>
    <definedName name="___psc10006" localSheetId="34">#REF!</definedName>
    <definedName name="___psc10006" localSheetId="19">#REF!</definedName>
    <definedName name="___psc10006">#REF!</definedName>
    <definedName name="___psc10008" localSheetId="6">#REF!</definedName>
    <definedName name="___psc10008" localSheetId="12">#REF!</definedName>
    <definedName name="___psc10008" localSheetId="34">#REF!</definedName>
    <definedName name="___psc10008" localSheetId="19">#REF!</definedName>
    <definedName name="___psc10008">#REF!</definedName>
    <definedName name="___psc3506" localSheetId="6">#REF!</definedName>
    <definedName name="___psc3506" localSheetId="12">#REF!</definedName>
    <definedName name="___psc3506" localSheetId="34">#REF!</definedName>
    <definedName name="___psc3506" localSheetId="19">#REF!</definedName>
    <definedName name="___psc3506">#REF!</definedName>
    <definedName name="___psc3508" localSheetId="6">#REF!</definedName>
    <definedName name="___psc3508" localSheetId="12">#REF!</definedName>
    <definedName name="___psc3508" localSheetId="34">#REF!</definedName>
    <definedName name="___psc3508" localSheetId="19">#REF!</definedName>
    <definedName name="___psc3508">#REF!</definedName>
    <definedName name="___psc4006" localSheetId="6">#REF!</definedName>
    <definedName name="___psc4006" localSheetId="12">#REF!</definedName>
    <definedName name="___psc4006" localSheetId="34">#REF!</definedName>
    <definedName name="___psc4006" localSheetId="19">#REF!</definedName>
    <definedName name="___psc4006">#REF!</definedName>
    <definedName name="___psc4008" localSheetId="6">#REF!</definedName>
    <definedName name="___psc4008" localSheetId="12">#REF!</definedName>
    <definedName name="___psc4008" localSheetId="34">#REF!</definedName>
    <definedName name="___psc4008" localSheetId="19">#REF!</definedName>
    <definedName name="___psc4008">#REF!</definedName>
    <definedName name="___psc4506" localSheetId="6">#REF!</definedName>
    <definedName name="___psc4506" localSheetId="12">#REF!</definedName>
    <definedName name="___psc4506" localSheetId="34">#REF!</definedName>
    <definedName name="___psc4506" localSheetId="19">#REF!</definedName>
    <definedName name="___psc4506">#REF!</definedName>
    <definedName name="___psc4508" localSheetId="6">#REF!</definedName>
    <definedName name="___psc4508" localSheetId="12">#REF!</definedName>
    <definedName name="___psc4508" localSheetId="34">#REF!</definedName>
    <definedName name="___psc4508" localSheetId="19">#REF!</definedName>
    <definedName name="___psc4508">#REF!</definedName>
    <definedName name="___psc5006" localSheetId="6">#REF!</definedName>
    <definedName name="___psc5006" localSheetId="12">#REF!</definedName>
    <definedName name="___psc5006" localSheetId="34">#REF!</definedName>
    <definedName name="___psc5006" localSheetId="19">#REF!</definedName>
    <definedName name="___psc5006">#REF!</definedName>
    <definedName name="___psc5008" localSheetId="6">#REF!</definedName>
    <definedName name="___psc5008" localSheetId="12">#REF!</definedName>
    <definedName name="___psc5008" localSheetId="34">#REF!</definedName>
    <definedName name="___psc5008" localSheetId="19">#REF!</definedName>
    <definedName name="___psc5008">#REF!</definedName>
    <definedName name="___psc6006" localSheetId="6">#REF!</definedName>
    <definedName name="___psc6006" localSheetId="12">#REF!</definedName>
    <definedName name="___psc6006" localSheetId="34">#REF!</definedName>
    <definedName name="___psc6006" localSheetId="19">#REF!</definedName>
    <definedName name="___psc6006">#REF!</definedName>
    <definedName name="___psc6008" localSheetId="6">#REF!</definedName>
    <definedName name="___psc6008" localSheetId="12">#REF!</definedName>
    <definedName name="___psc6008" localSheetId="34">#REF!</definedName>
    <definedName name="___psc6008" localSheetId="19">#REF!</definedName>
    <definedName name="___psc6008">#REF!</definedName>
    <definedName name="___psc7006" localSheetId="6">#REF!</definedName>
    <definedName name="___psc7006" localSheetId="12">#REF!</definedName>
    <definedName name="___psc7006" localSheetId="34">#REF!</definedName>
    <definedName name="___psc7006" localSheetId="19">#REF!</definedName>
    <definedName name="___psc7006">#REF!</definedName>
    <definedName name="___psc7008" localSheetId="6">#REF!</definedName>
    <definedName name="___psc7008" localSheetId="12">#REF!</definedName>
    <definedName name="___psc7008" localSheetId="34">#REF!</definedName>
    <definedName name="___psc7008" localSheetId="19">#REF!</definedName>
    <definedName name="___psc7008">#REF!</definedName>
    <definedName name="___psc8006" localSheetId="6">#REF!</definedName>
    <definedName name="___psc8006" localSheetId="12">#REF!</definedName>
    <definedName name="___psc8006" localSheetId="34">#REF!</definedName>
    <definedName name="___psc8006" localSheetId="19">#REF!</definedName>
    <definedName name="___psc8006">#REF!</definedName>
    <definedName name="___psc8008" localSheetId="6">#REF!</definedName>
    <definedName name="___psc8008" localSheetId="12">#REF!</definedName>
    <definedName name="___psc8008" localSheetId="34">#REF!</definedName>
    <definedName name="___psc8008" localSheetId="19">#REF!</definedName>
    <definedName name="___psc8008">#REF!</definedName>
    <definedName name="___psc9006" localSheetId="6">#REF!</definedName>
    <definedName name="___psc9006" localSheetId="12">#REF!</definedName>
    <definedName name="___psc9006" localSheetId="34">#REF!</definedName>
    <definedName name="___psc9006" localSheetId="19">#REF!</definedName>
    <definedName name="___psc9006">#REF!</definedName>
    <definedName name="___psc9008" localSheetId="6">#REF!</definedName>
    <definedName name="___psc9008" localSheetId="12">#REF!</definedName>
    <definedName name="___psc9008" localSheetId="34">#REF!</definedName>
    <definedName name="___psc9008" localSheetId="19">#REF!</definedName>
    <definedName name="___psc9008">#REF!</definedName>
    <definedName name="___pv1" localSheetId="6">#REF!</definedName>
    <definedName name="___pv1" localSheetId="12">#REF!</definedName>
    <definedName name="___pv1" localSheetId="19">#REF!</definedName>
    <definedName name="___pv1">#REF!</definedName>
    <definedName name="___pv2" localSheetId="22">#REF!</definedName>
    <definedName name="___pv2" localSheetId="5">#REF!</definedName>
    <definedName name="___pv2" localSheetId="6">#REF!</definedName>
    <definedName name="___pv2" localSheetId="12">#REF!</definedName>
    <definedName name="___pv2" localSheetId="34">#REF!</definedName>
    <definedName name="___pv2" localSheetId="19">#REF!</definedName>
    <definedName name="___pv2" localSheetId="30">#REF!</definedName>
    <definedName name="___pv2" localSheetId="40">#REF!</definedName>
    <definedName name="___pv2" localSheetId="26">#REF!</definedName>
    <definedName name="___pv2">#REF!</definedName>
    <definedName name="___pv2_33">"$#REF!.$#REF!$#REF!"</definedName>
    <definedName name="___pv2_38">"$#REF!.$#REF!$#REF!"</definedName>
    <definedName name="___pv2_41">"$#REF!.$#REF!$#REF!"</definedName>
    <definedName name="___pv2_7">"$#REF!.$#REF!$#REF!"</definedName>
    <definedName name="___pv2_8">"$#REF!.$#REF!$#REF!"</definedName>
    <definedName name="___SO016" localSheetId="6">#REF!</definedName>
    <definedName name="___SO016" localSheetId="12">#REF!</definedName>
    <definedName name="___SO016" localSheetId="34">#REF!</definedName>
    <definedName name="___SO016" localSheetId="19">#REF!</definedName>
    <definedName name="___SO016">#REF!</definedName>
    <definedName name="___SP001" localSheetId="6">#REF!</definedName>
    <definedName name="___SP001" localSheetId="12">#REF!</definedName>
    <definedName name="___SP001" localSheetId="34">#REF!</definedName>
    <definedName name="___SP001" localSheetId="19">#REF!</definedName>
    <definedName name="___SP001">#REF!</definedName>
    <definedName name="___SP002" localSheetId="6">#REF!</definedName>
    <definedName name="___SP002" localSheetId="12">#REF!</definedName>
    <definedName name="___SP002" localSheetId="34">#REF!</definedName>
    <definedName name="___SP002" localSheetId="19">#REF!</definedName>
    <definedName name="___SP002">#REF!</definedName>
    <definedName name="___SP003" localSheetId="6">#REF!</definedName>
    <definedName name="___SP003" localSheetId="12">#REF!</definedName>
    <definedName name="___SP003" localSheetId="34">#REF!</definedName>
    <definedName name="___SP003" localSheetId="19">#REF!</definedName>
    <definedName name="___SP003">#REF!</definedName>
    <definedName name="___SP004" localSheetId="6">#REF!</definedName>
    <definedName name="___SP004" localSheetId="12">#REF!</definedName>
    <definedName name="___SP004" localSheetId="34">#REF!</definedName>
    <definedName name="___SP004" localSheetId="19">#REF!</definedName>
    <definedName name="___SP004">#REF!</definedName>
    <definedName name="___SP005" localSheetId="6">#REF!</definedName>
    <definedName name="___SP005" localSheetId="12">#REF!</definedName>
    <definedName name="___SP005" localSheetId="34">#REF!</definedName>
    <definedName name="___SP005" localSheetId="19">#REF!</definedName>
    <definedName name="___SP005">#REF!</definedName>
    <definedName name="___SP006" localSheetId="6">#REF!</definedName>
    <definedName name="___SP006" localSheetId="12">#REF!</definedName>
    <definedName name="___SP006" localSheetId="34">#REF!</definedName>
    <definedName name="___SP006" localSheetId="19">#REF!</definedName>
    <definedName name="___SP006">#REF!</definedName>
    <definedName name="___SP007" localSheetId="6">#REF!</definedName>
    <definedName name="___SP007" localSheetId="12">#REF!</definedName>
    <definedName name="___SP007" localSheetId="34">#REF!</definedName>
    <definedName name="___SP007" localSheetId="19">#REF!</definedName>
    <definedName name="___SP007">#REF!</definedName>
    <definedName name="___SP008" localSheetId="6">#REF!</definedName>
    <definedName name="___SP008" localSheetId="12">#REF!</definedName>
    <definedName name="___SP008" localSheetId="34">#REF!</definedName>
    <definedName name="___SP008" localSheetId="19">#REF!</definedName>
    <definedName name="___SP008">#REF!</definedName>
    <definedName name="___SP009" localSheetId="6">#REF!</definedName>
    <definedName name="___SP009" localSheetId="12">#REF!</definedName>
    <definedName name="___SP009" localSheetId="34">#REF!</definedName>
    <definedName name="___SP009" localSheetId="19">#REF!</definedName>
    <definedName name="___SP009">#REF!</definedName>
    <definedName name="___SP010" localSheetId="6">#REF!</definedName>
    <definedName name="___SP010" localSheetId="12">#REF!</definedName>
    <definedName name="___SP010" localSheetId="34">#REF!</definedName>
    <definedName name="___SP010" localSheetId="19">#REF!</definedName>
    <definedName name="___SP010">#REF!</definedName>
    <definedName name="___SP011" localSheetId="6">#REF!</definedName>
    <definedName name="___SP011" localSheetId="12">#REF!</definedName>
    <definedName name="___SP011" localSheetId="34">#REF!</definedName>
    <definedName name="___SP011" localSheetId="19">#REF!</definedName>
    <definedName name="___SP011">#REF!</definedName>
    <definedName name="___SP012" localSheetId="6">#REF!</definedName>
    <definedName name="___SP012" localSheetId="12">#REF!</definedName>
    <definedName name="___SP012" localSheetId="34">#REF!</definedName>
    <definedName name="___SP012" localSheetId="19">#REF!</definedName>
    <definedName name="___SP012">#REF!</definedName>
    <definedName name="___SP013" localSheetId="6">#REF!</definedName>
    <definedName name="___SP013" localSheetId="12">#REF!</definedName>
    <definedName name="___SP013" localSheetId="34">#REF!</definedName>
    <definedName name="___SP013" localSheetId="19">#REF!</definedName>
    <definedName name="___SP013">#REF!</definedName>
    <definedName name="___SP014" localSheetId="6">#REF!</definedName>
    <definedName name="___SP014" localSheetId="12">#REF!</definedName>
    <definedName name="___SP014" localSheetId="34">#REF!</definedName>
    <definedName name="___SP014" localSheetId="19">#REF!</definedName>
    <definedName name="___SP014">#REF!</definedName>
    <definedName name="___SP015" localSheetId="6">#REF!</definedName>
    <definedName name="___SP015" localSheetId="12">#REF!</definedName>
    <definedName name="___SP015" localSheetId="34">#REF!</definedName>
    <definedName name="___SP015" localSheetId="19">#REF!</definedName>
    <definedName name="___SP015">#REF!</definedName>
    <definedName name="___SP016" localSheetId="6">#REF!</definedName>
    <definedName name="___SP016" localSheetId="12">#REF!</definedName>
    <definedName name="___SP016" localSheetId="34">#REF!</definedName>
    <definedName name="___SP016" localSheetId="19">#REF!</definedName>
    <definedName name="___SP016">#REF!</definedName>
    <definedName name="___SP017" localSheetId="6">#REF!</definedName>
    <definedName name="___SP017" localSheetId="12">#REF!</definedName>
    <definedName name="___SP017" localSheetId="34">#REF!</definedName>
    <definedName name="___SP017" localSheetId="19">#REF!</definedName>
    <definedName name="___SP017">#REF!</definedName>
    <definedName name="___SP018" localSheetId="6">#REF!</definedName>
    <definedName name="___SP018" localSheetId="12">#REF!</definedName>
    <definedName name="___SP018" localSheetId="34">#REF!</definedName>
    <definedName name="___SP018" localSheetId="19">#REF!</definedName>
    <definedName name="___SP018">#REF!</definedName>
    <definedName name="___SP019" localSheetId="6">#REF!</definedName>
    <definedName name="___SP019" localSheetId="12">#REF!</definedName>
    <definedName name="___SP019" localSheetId="34">#REF!</definedName>
    <definedName name="___SP019" localSheetId="19">#REF!</definedName>
    <definedName name="___SP019">#REF!</definedName>
    <definedName name="___SP020" localSheetId="6">#REF!</definedName>
    <definedName name="___SP020" localSheetId="12">#REF!</definedName>
    <definedName name="___SP020" localSheetId="34">#REF!</definedName>
    <definedName name="___SP020" localSheetId="19">#REF!</definedName>
    <definedName name="___SP020">#REF!</definedName>
    <definedName name="___SP021" localSheetId="6">#REF!</definedName>
    <definedName name="___SP021" localSheetId="12">#REF!</definedName>
    <definedName name="___SP021" localSheetId="34">#REF!</definedName>
    <definedName name="___SP021" localSheetId="19">#REF!</definedName>
    <definedName name="___SP021">#REF!</definedName>
    <definedName name="___SP022" localSheetId="6">#REF!</definedName>
    <definedName name="___SP022" localSheetId="12">#REF!</definedName>
    <definedName name="___SP022" localSheetId="34">#REF!</definedName>
    <definedName name="___SP022" localSheetId="19">#REF!</definedName>
    <definedName name="___SP022">#REF!</definedName>
    <definedName name="___SP023" localSheetId="6">#REF!</definedName>
    <definedName name="___SP023" localSheetId="12">#REF!</definedName>
    <definedName name="___SP023" localSheetId="34">#REF!</definedName>
    <definedName name="___SP023" localSheetId="19">#REF!</definedName>
    <definedName name="___SP023">#REF!</definedName>
    <definedName name="___SP024" localSheetId="6">#REF!</definedName>
    <definedName name="___SP024" localSheetId="12">#REF!</definedName>
    <definedName name="___SP024" localSheetId="34">#REF!</definedName>
    <definedName name="___SP024" localSheetId="19">#REF!</definedName>
    <definedName name="___SP024">#REF!</definedName>
    <definedName name="___SP025" localSheetId="6">#REF!</definedName>
    <definedName name="___SP025" localSheetId="12">#REF!</definedName>
    <definedName name="___SP025" localSheetId="34">#REF!</definedName>
    <definedName name="___SP025" localSheetId="19">#REF!</definedName>
    <definedName name="___SP025">#REF!</definedName>
    <definedName name="___SP026" localSheetId="6">#REF!</definedName>
    <definedName name="___SP026" localSheetId="12">#REF!</definedName>
    <definedName name="___SP026" localSheetId="34">#REF!</definedName>
    <definedName name="___SP026" localSheetId="19">#REF!</definedName>
    <definedName name="___SP026">#REF!</definedName>
    <definedName name="___SP027" localSheetId="6">#REF!</definedName>
    <definedName name="___SP027" localSheetId="12">#REF!</definedName>
    <definedName name="___SP027" localSheetId="34">#REF!</definedName>
    <definedName name="___SP027" localSheetId="19">#REF!</definedName>
    <definedName name="___SP027">#REF!</definedName>
    <definedName name="___SP028" localSheetId="6">#REF!</definedName>
    <definedName name="___SP028" localSheetId="12">#REF!</definedName>
    <definedName name="___SP028" localSheetId="34">#REF!</definedName>
    <definedName name="___SP028" localSheetId="19">#REF!</definedName>
    <definedName name="___SP028">#REF!</definedName>
    <definedName name="___SP029" localSheetId="6">#REF!</definedName>
    <definedName name="___SP029" localSheetId="12">#REF!</definedName>
    <definedName name="___SP029" localSheetId="34">#REF!</definedName>
    <definedName name="___SP029" localSheetId="19">#REF!</definedName>
    <definedName name="___SP029">#REF!</definedName>
    <definedName name="___SP030" localSheetId="6">#REF!</definedName>
    <definedName name="___SP030" localSheetId="12">#REF!</definedName>
    <definedName name="___SP030" localSheetId="34">#REF!</definedName>
    <definedName name="___SP030" localSheetId="19">#REF!</definedName>
    <definedName name="___SP030">#REF!</definedName>
    <definedName name="___SP031" localSheetId="6">#REF!</definedName>
    <definedName name="___SP031" localSheetId="12">#REF!</definedName>
    <definedName name="___SP031" localSheetId="34">#REF!</definedName>
    <definedName name="___SP031" localSheetId="19">#REF!</definedName>
    <definedName name="___SP031">#REF!</definedName>
    <definedName name="___SP032" localSheetId="6">#REF!</definedName>
    <definedName name="___SP032" localSheetId="12">#REF!</definedName>
    <definedName name="___SP032" localSheetId="34">#REF!</definedName>
    <definedName name="___SP032" localSheetId="19">#REF!</definedName>
    <definedName name="___SP032">#REF!</definedName>
    <definedName name="___SP033" localSheetId="6">#REF!</definedName>
    <definedName name="___SP033" localSheetId="12">#REF!</definedName>
    <definedName name="___SP033" localSheetId="34">#REF!</definedName>
    <definedName name="___SP033" localSheetId="19">#REF!</definedName>
    <definedName name="___SP033">#REF!</definedName>
    <definedName name="___SP034" localSheetId="6">#REF!</definedName>
    <definedName name="___SP034" localSheetId="12">#REF!</definedName>
    <definedName name="___SP034" localSheetId="34">#REF!</definedName>
    <definedName name="___SP034" localSheetId="19">#REF!</definedName>
    <definedName name="___SP034">#REF!</definedName>
    <definedName name="___SP035" localSheetId="6">#REF!</definedName>
    <definedName name="___SP035" localSheetId="12">#REF!</definedName>
    <definedName name="___SP035" localSheetId="34">#REF!</definedName>
    <definedName name="___SP035" localSheetId="19">#REF!</definedName>
    <definedName name="___SP035">#REF!</definedName>
    <definedName name="___SP036" localSheetId="6">#REF!</definedName>
    <definedName name="___SP036" localSheetId="12">#REF!</definedName>
    <definedName name="___SP036" localSheetId="34">#REF!</definedName>
    <definedName name="___SP036" localSheetId="19">#REF!</definedName>
    <definedName name="___SP036">#REF!</definedName>
    <definedName name="___SP037" localSheetId="6">#REF!</definedName>
    <definedName name="___SP037" localSheetId="12">#REF!</definedName>
    <definedName name="___SP037" localSheetId="34">#REF!</definedName>
    <definedName name="___SP037" localSheetId="19">#REF!</definedName>
    <definedName name="___SP037">#REF!</definedName>
    <definedName name="___SP038" localSheetId="6">#REF!</definedName>
    <definedName name="___SP038" localSheetId="12">#REF!</definedName>
    <definedName name="___SP038" localSheetId="34">#REF!</definedName>
    <definedName name="___SP038" localSheetId="19">#REF!</definedName>
    <definedName name="___SP038">#REF!</definedName>
    <definedName name="___SP039" localSheetId="6">#REF!</definedName>
    <definedName name="___SP039" localSheetId="12">#REF!</definedName>
    <definedName name="___SP039" localSheetId="34">#REF!</definedName>
    <definedName name="___SP039" localSheetId="19">#REF!</definedName>
    <definedName name="___SP039">#REF!</definedName>
    <definedName name="___SP040" localSheetId="6">#REF!</definedName>
    <definedName name="___SP040" localSheetId="12">#REF!</definedName>
    <definedName name="___SP040" localSheetId="34">#REF!</definedName>
    <definedName name="___SP040" localSheetId="19">#REF!</definedName>
    <definedName name="___SP040">#REF!</definedName>
    <definedName name="___SP041" localSheetId="6">#REF!</definedName>
    <definedName name="___SP041" localSheetId="12">#REF!</definedName>
    <definedName name="___SP041" localSheetId="34">#REF!</definedName>
    <definedName name="___SP041" localSheetId="19">#REF!</definedName>
    <definedName name="___SP041">#REF!</definedName>
    <definedName name="___SP042" localSheetId="6">#REF!</definedName>
    <definedName name="___SP042" localSheetId="12">#REF!</definedName>
    <definedName name="___SP042" localSheetId="34">#REF!</definedName>
    <definedName name="___SP042" localSheetId="19">#REF!</definedName>
    <definedName name="___SP042">#REF!</definedName>
    <definedName name="___SP043" localSheetId="6">#REF!</definedName>
    <definedName name="___SP043" localSheetId="12">#REF!</definedName>
    <definedName name="___SP043" localSheetId="34">#REF!</definedName>
    <definedName name="___SP043" localSheetId="19">#REF!</definedName>
    <definedName name="___SP043">#REF!</definedName>
    <definedName name="___SP044" localSheetId="6">#REF!</definedName>
    <definedName name="___SP044" localSheetId="12">#REF!</definedName>
    <definedName name="___SP044" localSheetId="34">#REF!</definedName>
    <definedName name="___SP044" localSheetId="19">#REF!</definedName>
    <definedName name="___SP044">#REF!</definedName>
    <definedName name="___SP045" localSheetId="6">#REF!</definedName>
    <definedName name="___SP045" localSheetId="12">#REF!</definedName>
    <definedName name="___SP045" localSheetId="34">#REF!</definedName>
    <definedName name="___SP045" localSheetId="19">#REF!</definedName>
    <definedName name="___SP045">#REF!</definedName>
    <definedName name="___SP046" localSheetId="6">#REF!</definedName>
    <definedName name="___SP046" localSheetId="12">#REF!</definedName>
    <definedName name="___SP046" localSheetId="34">#REF!</definedName>
    <definedName name="___SP046" localSheetId="19">#REF!</definedName>
    <definedName name="___SP046">#REF!</definedName>
    <definedName name="___SP047" localSheetId="6">#REF!</definedName>
    <definedName name="___SP047" localSheetId="12">#REF!</definedName>
    <definedName name="___SP047" localSheetId="34">#REF!</definedName>
    <definedName name="___SP047" localSheetId="19">#REF!</definedName>
    <definedName name="___SP047">#REF!</definedName>
    <definedName name="___SP048" localSheetId="6">#REF!</definedName>
    <definedName name="___SP048" localSheetId="12">#REF!</definedName>
    <definedName name="___SP048" localSheetId="34">#REF!</definedName>
    <definedName name="___SP048" localSheetId="19">#REF!</definedName>
    <definedName name="___SP048">#REF!</definedName>
    <definedName name="___SP049" localSheetId="6">#REF!</definedName>
    <definedName name="___SP049" localSheetId="12">#REF!</definedName>
    <definedName name="___SP049" localSheetId="34">#REF!</definedName>
    <definedName name="___SP049" localSheetId="19">#REF!</definedName>
    <definedName name="___SP049">#REF!</definedName>
    <definedName name="___SP050" localSheetId="6">#REF!</definedName>
    <definedName name="___SP050" localSheetId="12">#REF!</definedName>
    <definedName name="___SP050" localSheetId="34">#REF!</definedName>
    <definedName name="___SP050" localSheetId="19">#REF!</definedName>
    <definedName name="___SP050">#REF!</definedName>
    <definedName name="___SP051" localSheetId="6">#REF!</definedName>
    <definedName name="___SP051" localSheetId="12">#REF!</definedName>
    <definedName name="___SP051" localSheetId="34">#REF!</definedName>
    <definedName name="___SP051" localSheetId="19">#REF!</definedName>
    <definedName name="___SP051">#REF!</definedName>
    <definedName name="___SP052" localSheetId="6">#REF!</definedName>
    <definedName name="___SP052" localSheetId="12">#REF!</definedName>
    <definedName name="___SP052" localSheetId="34">#REF!</definedName>
    <definedName name="___SP052" localSheetId="19">#REF!</definedName>
    <definedName name="___SP052">#REF!</definedName>
    <definedName name="___SP053" localSheetId="6">#REF!</definedName>
    <definedName name="___SP053" localSheetId="12">#REF!</definedName>
    <definedName name="___SP053" localSheetId="34">#REF!</definedName>
    <definedName name="___SP053" localSheetId="19">#REF!</definedName>
    <definedName name="___SP053">#REF!</definedName>
    <definedName name="___SP054" localSheetId="6">#REF!</definedName>
    <definedName name="___SP054" localSheetId="12">#REF!</definedName>
    <definedName name="___SP054" localSheetId="34">#REF!</definedName>
    <definedName name="___SP054" localSheetId="19">#REF!</definedName>
    <definedName name="___SP054">#REF!</definedName>
    <definedName name="___SP055" localSheetId="6">#REF!</definedName>
    <definedName name="___SP055" localSheetId="12">#REF!</definedName>
    <definedName name="___SP055" localSheetId="34">#REF!</definedName>
    <definedName name="___SP055" localSheetId="19">#REF!</definedName>
    <definedName name="___SP055">#REF!</definedName>
    <definedName name="___SP056" localSheetId="6">#REF!</definedName>
    <definedName name="___SP056" localSheetId="12">#REF!</definedName>
    <definedName name="___SP056" localSheetId="34">#REF!</definedName>
    <definedName name="___SP056" localSheetId="19">#REF!</definedName>
    <definedName name="___SP056">#REF!</definedName>
    <definedName name="___SP057" localSheetId="6">#REF!</definedName>
    <definedName name="___SP057" localSheetId="12">#REF!</definedName>
    <definedName name="___SP057" localSheetId="34">#REF!</definedName>
    <definedName name="___SP057" localSheetId="19">#REF!</definedName>
    <definedName name="___SP057">#REF!</definedName>
    <definedName name="___SP058" localSheetId="6">#REF!</definedName>
    <definedName name="___SP058" localSheetId="12">#REF!</definedName>
    <definedName name="___SP058" localSheetId="34">#REF!</definedName>
    <definedName name="___SP058" localSheetId="19">#REF!</definedName>
    <definedName name="___SP058">#REF!</definedName>
    <definedName name="___SP059" localSheetId="6">#REF!</definedName>
    <definedName name="___SP059" localSheetId="12">#REF!</definedName>
    <definedName name="___SP059" localSheetId="34">#REF!</definedName>
    <definedName name="___SP059" localSheetId="19">#REF!</definedName>
    <definedName name="___SP059">#REF!</definedName>
    <definedName name="___SP060" localSheetId="6">#REF!</definedName>
    <definedName name="___SP060" localSheetId="12">#REF!</definedName>
    <definedName name="___SP060" localSheetId="34">#REF!</definedName>
    <definedName name="___SP060" localSheetId="19">#REF!</definedName>
    <definedName name="___SP060">#REF!</definedName>
    <definedName name="___SP061" localSheetId="6">#REF!</definedName>
    <definedName name="___SP061" localSheetId="12">#REF!</definedName>
    <definedName name="___SP061" localSheetId="34">#REF!</definedName>
    <definedName name="___SP061" localSheetId="19">#REF!</definedName>
    <definedName name="___SP061">#REF!</definedName>
    <definedName name="___SP062" localSheetId="6">#REF!</definedName>
    <definedName name="___SP062" localSheetId="12">#REF!</definedName>
    <definedName name="___SP062" localSheetId="34">#REF!</definedName>
    <definedName name="___SP062" localSheetId="19">#REF!</definedName>
    <definedName name="___SP062">#REF!</definedName>
    <definedName name="___SP063" localSheetId="6">#REF!</definedName>
    <definedName name="___SP063" localSheetId="12">#REF!</definedName>
    <definedName name="___SP063" localSheetId="34">#REF!</definedName>
    <definedName name="___SP063" localSheetId="19">#REF!</definedName>
    <definedName name="___SP063">#REF!</definedName>
    <definedName name="___SP064" localSheetId="6">#REF!</definedName>
    <definedName name="___SP064" localSheetId="12">#REF!</definedName>
    <definedName name="___SP064" localSheetId="34">#REF!</definedName>
    <definedName name="___SP064" localSheetId="19">#REF!</definedName>
    <definedName name="___SP064">#REF!</definedName>
    <definedName name="___SP065" localSheetId="6">#REF!</definedName>
    <definedName name="___SP065" localSheetId="12">#REF!</definedName>
    <definedName name="___SP065" localSheetId="34">#REF!</definedName>
    <definedName name="___SP065" localSheetId="19">#REF!</definedName>
    <definedName name="___SP065">#REF!</definedName>
    <definedName name="___SP066" localSheetId="6">#REF!</definedName>
    <definedName name="___SP066" localSheetId="12">#REF!</definedName>
    <definedName name="___SP066" localSheetId="34">#REF!</definedName>
    <definedName name="___SP066" localSheetId="19">#REF!</definedName>
    <definedName name="___SP066">#REF!</definedName>
    <definedName name="___SP067" localSheetId="6">#REF!</definedName>
    <definedName name="___SP067" localSheetId="12">#REF!</definedName>
    <definedName name="___SP067" localSheetId="34">#REF!</definedName>
    <definedName name="___SP067" localSheetId="19">#REF!</definedName>
    <definedName name="___SP067">#REF!</definedName>
    <definedName name="___SP068" localSheetId="6">#REF!</definedName>
    <definedName name="___SP068" localSheetId="12">#REF!</definedName>
    <definedName name="___SP068" localSheetId="34">#REF!</definedName>
    <definedName name="___SP068" localSheetId="19">#REF!</definedName>
    <definedName name="___SP068">#REF!</definedName>
    <definedName name="___SP069" localSheetId="6">#REF!</definedName>
    <definedName name="___SP069" localSheetId="12">#REF!</definedName>
    <definedName name="___SP069" localSheetId="34">#REF!</definedName>
    <definedName name="___SP069" localSheetId="19">#REF!</definedName>
    <definedName name="___SP069">#REF!</definedName>
    <definedName name="___SP070" localSheetId="6">#REF!</definedName>
    <definedName name="___SP070" localSheetId="12">#REF!</definedName>
    <definedName name="___SP070" localSheetId="34">#REF!</definedName>
    <definedName name="___SP070" localSheetId="19">#REF!</definedName>
    <definedName name="___SP070">#REF!</definedName>
    <definedName name="___sp071" localSheetId="6">#REF!</definedName>
    <definedName name="___sp071" localSheetId="12">#REF!</definedName>
    <definedName name="___sp071" localSheetId="34">#REF!</definedName>
    <definedName name="___sp071" localSheetId="19">#REF!</definedName>
    <definedName name="___sp071">#REF!</definedName>
    <definedName name="___SP072" localSheetId="6">#REF!</definedName>
    <definedName name="___SP072" localSheetId="12">#REF!</definedName>
    <definedName name="___SP072" localSheetId="34">#REF!</definedName>
    <definedName name="___SP072" localSheetId="19">#REF!</definedName>
    <definedName name="___SP072">#REF!</definedName>
    <definedName name="___SP073" localSheetId="6">#REF!</definedName>
    <definedName name="___SP073" localSheetId="12">#REF!</definedName>
    <definedName name="___SP073" localSheetId="34">#REF!</definedName>
    <definedName name="___SP073" localSheetId="19">#REF!</definedName>
    <definedName name="___SP073">#REF!</definedName>
    <definedName name="___SP074" localSheetId="6">#REF!</definedName>
    <definedName name="___SP074" localSheetId="12">#REF!</definedName>
    <definedName name="___SP074" localSheetId="34">#REF!</definedName>
    <definedName name="___SP074" localSheetId="19">#REF!</definedName>
    <definedName name="___SP074">#REF!</definedName>
    <definedName name="___SP075" localSheetId="6">#REF!</definedName>
    <definedName name="___SP075" localSheetId="12">#REF!</definedName>
    <definedName name="___SP075" localSheetId="34">#REF!</definedName>
    <definedName name="___SP075" localSheetId="19">#REF!</definedName>
    <definedName name="___SP075">#REF!</definedName>
    <definedName name="___SP076" localSheetId="6">#REF!</definedName>
    <definedName name="___SP076" localSheetId="12">#REF!</definedName>
    <definedName name="___SP076" localSheetId="34">#REF!</definedName>
    <definedName name="___SP076" localSheetId="19">#REF!</definedName>
    <definedName name="___SP076">#REF!</definedName>
    <definedName name="___SP077" localSheetId="6">#REF!</definedName>
    <definedName name="___SP077" localSheetId="12">#REF!</definedName>
    <definedName name="___SP077" localSheetId="34">#REF!</definedName>
    <definedName name="___SP077" localSheetId="19">#REF!</definedName>
    <definedName name="___SP077">#REF!</definedName>
    <definedName name="___sp078" localSheetId="6">#REF!</definedName>
    <definedName name="___sp078" localSheetId="12">#REF!</definedName>
    <definedName name="___sp078" localSheetId="34">#REF!</definedName>
    <definedName name="___sp078" localSheetId="19">#REF!</definedName>
    <definedName name="___sp078">#REF!</definedName>
    <definedName name="___SPO79" localSheetId="6">#REF!</definedName>
    <definedName name="___SPO79" localSheetId="12">#REF!</definedName>
    <definedName name="___SPO79" localSheetId="34">#REF!</definedName>
    <definedName name="___SPO79" localSheetId="19">#REF!</definedName>
    <definedName name="___SPO79">#REF!</definedName>
    <definedName name="___sw1" localSheetId="19">#REF!</definedName>
    <definedName name="___t1" localSheetId="27">#REF!</definedName>
    <definedName name="___t1">#REF!</definedName>
    <definedName name="___t2">#REF!</definedName>
    <definedName name="___tab1">#REF!</definedName>
    <definedName name="___us1">#REF!</definedName>
    <definedName name="___var1" localSheetId="22">#REF!</definedName>
    <definedName name="___var1" localSheetId="5">#REF!</definedName>
    <definedName name="___var1" localSheetId="6">#REF!</definedName>
    <definedName name="___var1" localSheetId="12">#REF!</definedName>
    <definedName name="___var1" localSheetId="34">#REF!</definedName>
    <definedName name="___var1" localSheetId="19">#REF!</definedName>
    <definedName name="___var1" localSheetId="30">#REF!</definedName>
    <definedName name="___var1" localSheetId="40">#REF!</definedName>
    <definedName name="___var1" localSheetId="26">#REF!</definedName>
    <definedName name="___var1">#REF!</definedName>
    <definedName name="___var4" localSheetId="22">#REF!</definedName>
    <definedName name="___var4" localSheetId="5">#REF!</definedName>
    <definedName name="___var4" localSheetId="6">#REF!</definedName>
    <definedName name="___var4" localSheetId="12">#REF!</definedName>
    <definedName name="___var4" localSheetId="34">#REF!</definedName>
    <definedName name="___var4" localSheetId="19">#REF!</definedName>
    <definedName name="___var4" localSheetId="30">#REF!</definedName>
    <definedName name="___var4" localSheetId="40">#REF!</definedName>
    <definedName name="___var4" localSheetId="26">#REF!</definedName>
    <definedName name="___var4">#REF!</definedName>
    <definedName name="___vat1" localSheetId="6">#REF!</definedName>
    <definedName name="___vat1" localSheetId="12">#REF!</definedName>
    <definedName name="___vat1" localSheetId="19">#REF!</definedName>
    <definedName name="___vat1">#REF!</definedName>
    <definedName name="___vat2" localSheetId="6">#REF!</definedName>
    <definedName name="___vat2" localSheetId="12">#REF!</definedName>
    <definedName name="___vat2" localSheetId="19">#REF!</definedName>
    <definedName name="___vat2">#REF!</definedName>
    <definedName name="___xh11010" localSheetId="6">#REF!</definedName>
    <definedName name="___xh11010" localSheetId="12">#REF!</definedName>
    <definedName name="___xh11010" localSheetId="34">#REF!</definedName>
    <definedName name="___xh11010" localSheetId="19">#REF!</definedName>
    <definedName name="___xh11010">#REF!</definedName>
    <definedName name="___xh1104" localSheetId="6">#REF!</definedName>
    <definedName name="___xh1104" localSheetId="12">#REF!</definedName>
    <definedName name="___xh1104" localSheetId="34">#REF!</definedName>
    <definedName name="___xh1104" localSheetId="19">#REF!</definedName>
    <definedName name="___xh1104">#REF!</definedName>
    <definedName name="___xh1106" localSheetId="6">#REF!</definedName>
    <definedName name="___xh1106" localSheetId="12">#REF!</definedName>
    <definedName name="___xh1106" localSheetId="34">#REF!</definedName>
    <definedName name="___xh1106" localSheetId="19">#REF!</definedName>
    <definedName name="___xh1106">#REF!</definedName>
    <definedName name="___xh1108" localSheetId="6">#REF!</definedName>
    <definedName name="___xh1108" localSheetId="12">#REF!</definedName>
    <definedName name="___xh1108" localSheetId="34">#REF!</definedName>
    <definedName name="___xh1108" localSheetId="19">#REF!</definedName>
    <definedName name="___xh1108">#REF!</definedName>
    <definedName name="___xh12510" localSheetId="6">#REF!</definedName>
    <definedName name="___xh12510" localSheetId="12">#REF!</definedName>
    <definedName name="___xh12510" localSheetId="34">#REF!</definedName>
    <definedName name="___xh12510" localSheetId="19">#REF!</definedName>
    <definedName name="___xh12510">#REF!</definedName>
    <definedName name="___xh1254" localSheetId="6">#REF!</definedName>
    <definedName name="___xh1254" localSheetId="12">#REF!</definedName>
    <definedName name="___xh1254" localSheetId="34">#REF!</definedName>
    <definedName name="___xh1254" localSheetId="19">#REF!</definedName>
    <definedName name="___xh1254">#REF!</definedName>
    <definedName name="___xh1256" localSheetId="6">#REF!</definedName>
    <definedName name="___xh1256" localSheetId="12">#REF!</definedName>
    <definedName name="___xh1256" localSheetId="34">#REF!</definedName>
    <definedName name="___xh1256" localSheetId="19">#REF!</definedName>
    <definedName name="___xh1256">#REF!</definedName>
    <definedName name="___xh1258" localSheetId="6">#REF!</definedName>
    <definedName name="___xh1258" localSheetId="12">#REF!</definedName>
    <definedName name="___xh1258" localSheetId="34">#REF!</definedName>
    <definedName name="___xh1258" localSheetId="19">#REF!</definedName>
    <definedName name="___xh1258">#REF!</definedName>
    <definedName name="___xh14010" localSheetId="6">#REF!</definedName>
    <definedName name="___xh14010" localSheetId="12">#REF!</definedName>
    <definedName name="___xh14010" localSheetId="34">#REF!</definedName>
    <definedName name="___xh14010" localSheetId="19">#REF!</definedName>
    <definedName name="___xh14010">#REF!</definedName>
    <definedName name="___xh1404" localSheetId="6">#REF!</definedName>
    <definedName name="___xh1404" localSheetId="12">#REF!</definedName>
    <definedName name="___xh1404" localSheetId="34">#REF!</definedName>
    <definedName name="___xh1404" localSheetId="19">#REF!</definedName>
    <definedName name="___xh1404">#REF!</definedName>
    <definedName name="___xh1406" localSheetId="6">#REF!</definedName>
    <definedName name="___xh1406" localSheetId="12">#REF!</definedName>
    <definedName name="___xh1406" localSheetId="34">#REF!</definedName>
    <definedName name="___xh1406" localSheetId="19">#REF!</definedName>
    <definedName name="___xh1406">#REF!</definedName>
    <definedName name="___xh1408" localSheetId="6">#REF!</definedName>
    <definedName name="___xh1408" localSheetId="12">#REF!</definedName>
    <definedName name="___xh1408" localSheetId="34">#REF!</definedName>
    <definedName name="___xh1408" localSheetId="19">#REF!</definedName>
    <definedName name="___xh1408">#REF!</definedName>
    <definedName name="___xh16010" localSheetId="6">#REF!</definedName>
    <definedName name="___xh16010" localSheetId="12">#REF!</definedName>
    <definedName name="___xh16010" localSheetId="34">#REF!</definedName>
    <definedName name="___xh16010" localSheetId="19">#REF!</definedName>
    <definedName name="___xh16010">#REF!</definedName>
    <definedName name="___xh1604" localSheetId="6">#REF!</definedName>
    <definedName name="___xh1604" localSheetId="12">#REF!</definedName>
    <definedName name="___xh1604" localSheetId="34">#REF!</definedName>
    <definedName name="___xh1604" localSheetId="19">#REF!</definedName>
    <definedName name="___xh1604">#REF!</definedName>
    <definedName name="___xh1606" localSheetId="6">#REF!</definedName>
    <definedName name="___xh1606" localSheetId="12">#REF!</definedName>
    <definedName name="___xh1606" localSheetId="34">#REF!</definedName>
    <definedName name="___xh1606" localSheetId="19">#REF!</definedName>
    <definedName name="___xh1606">#REF!</definedName>
    <definedName name="___xh1608" localSheetId="6">#REF!</definedName>
    <definedName name="___xh1608" localSheetId="12">#REF!</definedName>
    <definedName name="___xh1608" localSheetId="34">#REF!</definedName>
    <definedName name="___xh1608" localSheetId="19">#REF!</definedName>
    <definedName name="___xh1608">#REF!</definedName>
    <definedName name="___xh18010" localSheetId="6">#REF!</definedName>
    <definedName name="___xh18010" localSheetId="12">#REF!</definedName>
    <definedName name="___xh18010" localSheetId="34">#REF!</definedName>
    <definedName name="___xh18010" localSheetId="19">#REF!</definedName>
    <definedName name="___xh18010">#REF!</definedName>
    <definedName name="___xh1804" localSheetId="6">#REF!</definedName>
    <definedName name="___xh1804" localSheetId="12">#REF!</definedName>
    <definedName name="___xh1804" localSheetId="34">#REF!</definedName>
    <definedName name="___xh1804" localSheetId="19">#REF!</definedName>
    <definedName name="___xh1804">#REF!</definedName>
    <definedName name="___xh1806" localSheetId="6">#REF!</definedName>
    <definedName name="___xh1806" localSheetId="12">#REF!</definedName>
    <definedName name="___xh1806" localSheetId="34">#REF!</definedName>
    <definedName name="___xh1806" localSheetId="19">#REF!</definedName>
    <definedName name="___xh1806">#REF!</definedName>
    <definedName name="___xh1808" localSheetId="6">#REF!</definedName>
    <definedName name="___xh1808" localSheetId="12">#REF!</definedName>
    <definedName name="___xh1808" localSheetId="34">#REF!</definedName>
    <definedName name="___xh1808" localSheetId="19">#REF!</definedName>
    <definedName name="___xh1808">#REF!</definedName>
    <definedName name="___xh20010" localSheetId="6">#REF!</definedName>
    <definedName name="___xh20010" localSheetId="12">#REF!</definedName>
    <definedName name="___xh20010" localSheetId="34">#REF!</definedName>
    <definedName name="___xh20010" localSheetId="19">#REF!</definedName>
    <definedName name="___xh20010">#REF!</definedName>
    <definedName name="___xh2004" localSheetId="6">#REF!</definedName>
    <definedName name="___xh2004" localSheetId="12">#REF!</definedName>
    <definedName name="___xh2004" localSheetId="34">#REF!</definedName>
    <definedName name="___xh2004" localSheetId="19">#REF!</definedName>
    <definedName name="___xh2004">#REF!</definedName>
    <definedName name="___xh2006" localSheetId="6">#REF!</definedName>
    <definedName name="___xh2006" localSheetId="12">#REF!</definedName>
    <definedName name="___xh2006" localSheetId="34">#REF!</definedName>
    <definedName name="___xh2006" localSheetId="19">#REF!</definedName>
    <definedName name="___xh2006">#REF!</definedName>
    <definedName name="___xh2008" localSheetId="6">#REF!</definedName>
    <definedName name="___xh2008" localSheetId="12">#REF!</definedName>
    <definedName name="___xh2008" localSheetId="34">#REF!</definedName>
    <definedName name="___xh2008" localSheetId="19">#REF!</definedName>
    <definedName name="___xh2008">#REF!</definedName>
    <definedName name="___xh22510" localSheetId="6">#REF!</definedName>
    <definedName name="___xh22510" localSheetId="12">#REF!</definedName>
    <definedName name="___xh22510" localSheetId="34">#REF!</definedName>
    <definedName name="___xh22510" localSheetId="19">#REF!</definedName>
    <definedName name="___xh22510">#REF!</definedName>
    <definedName name="___xh2254" localSheetId="6">#REF!</definedName>
    <definedName name="___xh2254" localSheetId="12">#REF!</definedName>
    <definedName name="___xh2254" localSheetId="34">#REF!</definedName>
    <definedName name="___xh2254" localSheetId="19">#REF!</definedName>
    <definedName name="___xh2254">#REF!</definedName>
    <definedName name="___xh2258" localSheetId="6">#REF!</definedName>
    <definedName name="___xh2258" localSheetId="12">#REF!</definedName>
    <definedName name="___xh2258" localSheetId="34">#REF!</definedName>
    <definedName name="___xh2258" localSheetId="19">#REF!</definedName>
    <definedName name="___xh2258">#REF!</definedName>
    <definedName name="___xh25010" localSheetId="6">#REF!</definedName>
    <definedName name="___xh25010" localSheetId="12">#REF!</definedName>
    <definedName name="___xh25010" localSheetId="34">#REF!</definedName>
    <definedName name="___xh25010" localSheetId="19">#REF!</definedName>
    <definedName name="___xh25010">#REF!</definedName>
    <definedName name="___xh2504" localSheetId="6">#REF!</definedName>
    <definedName name="___xh2504" localSheetId="12">#REF!</definedName>
    <definedName name="___xh2504" localSheetId="34">#REF!</definedName>
    <definedName name="___xh2504" localSheetId="19">#REF!</definedName>
    <definedName name="___xh2504">#REF!</definedName>
    <definedName name="___xh2508" localSheetId="6">#REF!</definedName>
    <definedName name="___xh2508" localSheetId="12">#REF!</definedName>
    <definedName name="___xh2508" localSheetId="34">#REF!</definedName>
    <definedName name="___xh2508" localSheetId="19">#REF!</definedName>
    <definedName name="___xh2508">#REF!</definedName>
    <definedName name="___xh28010" localSheetId="6">#REF!</definedName>
    <definedName name="___xh28010" localSheetId="12">#REF!</definedName>
    <definedName name="___xh28010" localSheetId="34">#REF!</definedName>
    <definedName name="___xh28010" localSheetId="19">#REF!</definedName>
    <definedName name="___xh28010">#REF!</definedName>
    <definedName name="___xh2804" localSheetId="6">#REF!</definedName>
    <definedName name="___xh2804" localSheetId="12">#REF!</definedName>
    <definedName name="___xh2804" localSheetId="34">#REF!</definedName>
    <definedName name="___xh2804" localSheetId="19">#REF!</definedName>
    <definedName name="___xh2804">#REF!</definedName>
    <definedName name="___xh2808" localSheetId="6">#REF!</definedName>
    <definedName name="___xh2808" localSheetId="12">#REF!</definedName>
    <definedName name="___xh2808" localSheetId="34">#REF!</definedName>
    <definedName name="___xh2808" localSheetId="19">#REF!</definedName>
    <definedName name="___xh2808">#REF!</definedName>
    <definedName name="___xh31510" localSheetId="6">#REF!</definedName>
    <definedName name="___xh31510" localSheetId="12">#REF!</definedName>
    <definedName name="___xh31510" localSheetId="34">#REF!</definedName>
    <definedName name="___xh31510" localSheetId="19">#REF!</definedName>
    <definedName name="___xh31510">#REF!</definedName>
    <definedName name="___xh3154" localSheetId="6">#REF!</definedName>
    <definedName name="___xh3154" localSheetId="12">#REF!</definedName>
    <definedName name="___xh3154" localSheetId="34">#REF!</definedName>
    <definedName name="___xh3154" localSheetId="19">#REF!</definedName>
    <definedName name="___xh3154">#REF!</definedName>
    <definedName name="___xh3158" localSheetId="6">#REF!</definedName>
    <definedName name="___xh3158" localSheetId="12">#REF!</definedName>
    <definedName name="___xh3158" localSheetId="34">#REF!</definedName>
    <definedName name="___xh3158" localSheetId="19">#REF!</definedName>
    <definedName name="___xh3158">#REF!</definedName>
    <definedName name="___xh3554" localSheetId="6">#REF!</definedName>
    <definedName name="___xh3554" localSheetId="12">#REF!</definedName>
    <definedName name="___xh3554" localSheetId="34">#REF!</definedName>
    <definedName name="___xh3554" localSheetId="19">#REF!</definedName>
    <definedName name="___xh3554">#REF!</definedName>
    <definedName name="___xh3556" localSheetId="6">#REF!</definedName>
    <definedName name="___xh3556" localSheetId="12">#REF!</definedName>
    <definedName name="___xh3556" localSheetId="34">#REF!</definedName>
    <definedName name="___xh3556" localSheetId="19">#REF!</definedName>
    <definedName name="___xh3556">#REF!</definedName>
    <definedName name="___xh6310" localSheetId="6">#REF!</definedName>
    <definedName name="___xh6310" localSheetId="12">#REF!</definedName>
    <definedName name="___xh6310" localSheetId="34">#REF!</definedName>
    <definedName name="___xh6310" localSheetId="19">#REF!</definedName>
    <definedName name="___xh6310">#REF!</definedName>
    <definedName name="___xh636" localSheetId="6">#REF!</definedName>
    <definedName name="___xh636" localSheetId="12">#REF!</definedName>
    <definedName name="___xh636" localSheetId="34">#REF!</definedName>
    <definedName name="___xh636" localSheetId="19">#REF!</definedName>
    <definedName name="___xh636">#REF!</definedName>
    <definedName name="___xh638" localSheetId="6">#REF!</definedName>
    <definedName name="___xh638" localSheetId="12">#REF!</definedName>
    <definedName name="___xh638" localSheetId="34">#REF!</definedName>
    <definedName name="___xh638" localSheetId="19">#REF!</definedName>
    <definedName name="___xh638">#REF!</definedName>
    <definedName name="___xh7510" localSheetId="6">#REF!</definedName>
    <definedName name="___xh7510" localSheetId="12">#REF!</definedName>
    <definedName name="___xh7510" localSheetId="34">#REF!</definedName>
    <definedName name="___xh7510" localSheetId="19">#REF!</definedName>
    <definedName name="___xh7510">#REF!</definedName>
    <definedName name="___xh754" localSheetId="6">#REF!</definedName>
    <definedName name="___xh754" localSheetId="12">#REF!</definedName>
    <definedName name="___xh754" localSheetId="34">#REF!</definedName>
    <definedName name="___xh754" localSheetId="19">#REF!</definedName>
    <definedName name="___xh754">#REF!</definedName>
    <definedName name="___xh756" localSheetId="6">#REF!</definedName>
    <definedName name="___xh756" localSheetId="12">#REF!</definedName>
    <definedName name="___xh756" localSheetId="34">#REF!</definedName>
    <definedName name="___xh756" localSheetId="19">#REF!</definedName>
    <definedName name="___xh756">#REF!</definedName>
    <definedName name="___xh758" localSheetId="6">#REF!</definedName>
    <definedName name="___xh758" localSheetId="12">#REF!</definedName>
    <definedName name="___xh758" localSheetId="34">#REF!</definedName>
    <definedName name="___xh758" localSheetId="19">#REF!</definedName>
    <definedName name="___xh758">#REF!</definedName>
    <definedName name="___xh9010" localSheetId="6">#REF!</definedName>
    <definedName name="___xh9010" localSheetId="12">#REF!</definedName>
    <definedName name="___xh9010" localSheetId="34">#REF!</definedName>
    <definedName name="___xh9010" localSheetId="19">#REF!</definedName>
    <definedName name="___xh9010">#REF!</definedName>
    <definedName name="___xh904" localSheetId="6">#REF!</definedName>
    <definedName name="___xh904" localSheetId="12">#REF!</definedName>
    <definedName name="___xh904" localSheetId="34">#REF!</definedName>
    <definedName name="___xh904" localSheetId="19">#REF!</definedName>
    <definedName name="___xh904">#REF!</definedName>
    <definedName name="___xh906" localSheetId="6">#REF!</definedName>
    <definedName name="___xh906" localSheetId="12">#REF!</definedName>
    <definedName name="___xh906" localSheetId="34">#REF!</definedName>
    <definedName name="___xh906" localSheetId="19">#REF!</definedName>
    <definedName name="___xh906">#REF!</definedName>
    <definedName name="___xh908" localSheetId="6">#REF!</definedName>
    <definedName name="___xh908" localSheetId="12">#REF!</definedName>
    <definedName name="___xh908" localSheetId="34">#REF!</definedName>
    <definedName name="___xh908" localSheetId="19">#REF!</definedName>
    <definedName name="___xh908">#REF!</definedName>
    <definedName name="___xk7200" localSheetId="6">#REF!</definedName>
    <definedName name="___xk7200" localSheetId="12">#REF!</definedName>
    <definedName name="___xk7200" localSheetId="34">#REF!</definedName>
    <definedName name="___xk7200" localSheetId="19">#REF!</definedName>
    <definedName name="___xk7200">#REF!</definedName>
    <definedName name="___xk7350" localSheetId="6">#REF!</definedName>
    <definedName name="___xk7350" localSheetId="12">#REF!</definedName>
    <definedName name="___xk7350" localSheetId="34">#REF!</definedName>
    <definedName name="___xk7350" localSheetId="19">#REF!</definedName>
    <definedName name="___xk7350">#REF!</definedName>
    <definedName name="___xk7400" localSheetId="6">#REF!</definedName>
    <definedName name="___xk7400" localSheetId="12">#REF!</definedName>
    <definedName name="___xk7400" localSheetId="34">#REF!</definedName>
    <definedName name="___xk7400" localSheetId="19">#REF!</definedName>
    <definedName name="___xk7400">#REF!</definedName>
    <definedName name="___xk7450" localSheetId="6">#REF!</definedName>
    <definedName name="___xk7450" localSheetId="12">#REF!</definedName>
    <definedName name="___xk7450" localSheetId="34">#REF!</definedName>
    <definedName name="___xk7450" localSheetId="19">#REF!</definedName>
    <definedName name="___xk7450">#REF!</definedName>
    <definedName name="___xk7500" localSheetId="6">#REF!</definedName>
    <definedName name="___xk7500" localSheetId="12">#REF!</definedName>
    <definedName name="___xk7500" localSheetId="34">#REF!</definedName>
    <definedName name="___xk7500" localSheetId="19">#REF!</definedName>
    <definedName name="___xk7500">#REF!</definedName>
    <definedName name="___xk7600" localSheetId="6">#REF!</definedName>
    <definedName name="___xk7600" localSheetId="12">#REF!</definedName>
    <definedName name="___xk7600" localSheetId="34">#REF!</definedName>
    <definedName name="___xk7600" localSheetId="19">#REF!</definedName>
    <definedName name="___xk7600">#REF!</definedName>
    <definedName name="___xk9100" localSheetId="6">#REF!</definedName>
    <definedName name="___xk9100" localSheetId="12">#REF!</definedName>
    <definedName name="___xk9100" localSheetId="34">#REF!</definedName>
    <definedName name="___xk9100" localSheetId="19">#REF!</definedName>
    <definedName name="___xk9100">#REF!</definedName>
    <definedName name="___xk91000" localSheetId="6">#REF!</definedName>
    <definedName name="___xk91000" localSheetId="12">#REF!</definedName>
    <definedName name="___xk91000" localSheetId="34">#REF!</definedName>
    <definedName name="___xk91000" localSheetId="19">#REF!</definedName>
    <definedName name="___xk91000">#REF!</definedName>
    <definedName name="___xk9150" localSheetId="6">#REF!</definedName>
    <definedName name="___xk9150" localSheetId="12">#REF!</definedName>
    <definedName name="___xk9150" localSheetId="34">#REF!</definedName>
    <definedName name="___xk9150" localSheetId="19">#REF!</definedName>
    <definedName name="___xk9150">#REF!</definedName>
    <definedName name="___xk9200" localSheetId="6">#REF!</definedName>
    <definedName name="___xk9200" localSheetId="12">#REF!</definedName>
    <definedName name="___xk9200" localSheetId="34">#REF!</definedName>
    <definedName name="___xk9200" localSheetId="19">#REF!</definedName>
    <definedName name="___xk9200">#REF!</definedName>
    <definedName name="___xk9250" localSheetId="6">#REF!</definedName>
    <definedName name="___xk9250" localSheetId="12">#REF!</definedName>
    <definedName name="___xk9250" localSheetId="34">#REF!</definedName>
    <definedName name="___xk9250" localSheetId="19">#REF!</definedName>
    <definedName name="___xk9250">#REF!</definedName>
    <definedName name="___xk9300" localSheetId="6">#REF!</definedName>
    <definedName name="___xk9300" localSheetId="12">#REF!</definedName>
    <definedName name="___xk9300" localSheetId="34">#REF!</definedName>
    <definedName name="___xk9300" localSheetId="19">#REF!</definedName>
    <definedName name="___xk9300">#REF!</definedName>
    <definedName name="___xk9350" localSheetId="6">#REF!</definedName>
    <definedName name="___xk9350" localSheetId="12">#REF!</definedName>
    <definedName name="___xk9350" localSheetId="34">#REF!</definedName>
    <definedName name="___xk9350" localSheetId="19">#REF!</definedName>
    <definedName name="___xk9350">#REF!</definedName>
    <definedName name="___xk9400" localSheetId="6">#REF!</definedName>
    <definedName name="___xk9400" localSheetId="12">#REF!</definedName>
    <definedName name="___xk9400" localSheetId="34">#REF!</definedName>
    <definedName name="___xk9400" localSheetId="19">#REF!</definedName>
    <definedName name="___xk9400">#REF!</definedName>
    <definedName name="___xk9450" localSheetId="6">#REF!</definedName>
    <definedName name="___xk9450" localSheetId="12">#REF!</definedName>
    <definedName name="___xk9450" localSheetId="34">#REF!</definedName>
    <definedName name="___xk9450" localSheetId="19">#REF!</definedName>
    <definedName name="___xk9450">#REF!</definedName>
    <definedName name="___xk9500" localSheetId="6">#REF!</definedName>
    <definedName name="___xk9500" localSheetId="12">#REF!</definedName>
    <definedName name="___xk9500" localSheetId="34">#REF!</definedName>
    <definedName name="___xk9500" localSheetId="19">#REF!</definedName>
    <definedName name="___xk9500">#REF!</definedName>
    <definedName name="___xk9600" localSheetId="6">#REF!</definedName>
    <definedName name="___xk9600" localSheetId="12">#REF!</definedName>
    <definedName name="___xk9600" localSheetId="34">#REF!</definedName>
    <definedName name="___xk9600" localSheetId="19">#REF!</definedName>
    <definedName name="___xk9600">#REF!</definedName>
    <definedName name="___xk9700" localSheetId="6">#REF!</definedName>
    <definedName name="___xk9700" localSheetId="12">#REF!</definedName>
    <definedName name="___xk9700" localSheetId="34">#REF!</definedName>
    <definedName name="___xk9700" localSheetId="19">#REF!</definedName>
    <definedName name="___xk9700">#REF!</definedName>
    <definedName name="___xk9750" localSheetId="6">#REF!</definedName>
    <definedName name="___xk9750" localSheetId="12">#REF!</definedName>
    <definedName name="___xk9750" localSheetId="34">#REF!</definedName>
    <definedName name="___xk9750" localSheetId="19">#REF!</definedName>
    <definedName name="___xk9750">#REF!</definedName>
    <definedName name="___xk9800" localSheetId="6">#REF!</definedName>
    <definedName name="___xk9800" localSheetId="12">#REF!</definedName>
    <definedName name="___xk9800" localSheetId="34">#REF!</definedName>
    <definedName name="___xk9800" localSheetId="19">#REF!</definedName>
    <definedName name="___xk9800">#REF!</definedName>
    <definedName name="___xk9900" localSheetId="6">#REF!</definedName>
    <definedName name="___xk9900" localSheetId="12">#REF!</definedName>
    <definedName name="___xk9900" localSheetId="34">#REF!</definedName>
    <definedName name="___xk9900" localSheetId="19">#REF!</definedName>
    <definedName name="___xk9900">#REF!</definedName>
    <definedName name="___xlfn_BAHTTEXT">#N/A</definedName>
    <definedName name="___xp12510" localSheetId="6">#REF!</definedName>
    <definedName name="___xp12510" localSheetId="12">#REF!</definedName>
    <definedName name="___xp12510" localSheetId="34">#REF!</definedName>
    <definedName name="___xp12510" localSheetId="19">#REF!</definedName>
    <definedName name="___xp12510">#REF!</definedName>
    <definedName name="___xp16010" localSheetId="6">#REF!</definedName>
    <definedName name="___xp16010" localSheetId="12">#REF!</definedName>
    <definedName name="___xp16010" localSheetId="34">#REF!</definedName>
    <definedName name="___xp16010" localSheetId="19">#REF!</definedName>
    <definedName name="___xp16010">#REF!</definedName>
    <definedName name="___xp18010" localSheetId="6">#REF!</definedName>
    <definedName name="___xp18010" localSheetId="12">#REF!</definedName>
    <definedName name="___xp18010" localSheetId="34">#REF!</definedName>
    <definedName name="___xp18010" localSheetId="19">#REF!</definedName>
    <definedName name="___xp18010">#REF!</definedName>
    <definedName name="___xp20010" localSheetId="6">#REF!</definedName>
    <definedName name="___xp20010" localSheetId="12">#REF!</definedName>
    <definedName name="___xp20010" localSheetId="34">#REF!</definedName>
    <definedName name="___xp20010" localSheetId="19">#REF!</definedName>
    <definedName name="___xp20010">#REF!</definedName>
    <definedName name="___xp2004" localSheetId="6">#REF!</definedName>
    <definedName name="___xp2004" localSheetId="12">#REF!</definedName>
    <definedName name="___xp2004" localSheetId="34">#REF!</definedName>
    <definedName name="___xp2004" localSheetId="19">#REF!</definedName>
    <definedName name="___xp2004">#REF!</definedName>
    <definedName name="___xp22510" localSheetId="6">#REF!</definedName>
    <definedName name="___xp22510" localSheetId="12">#REF!</definedName>
    <definedName name="___xp22510" localSheetId="34">#REF!</definedName>
    <definedName name="___xp22510" localSheetId="19">#REF!</definedName>
    <definedName name="___xp22510">#REF!</definedName>
    <definedName name="___xp2254" localSheetId="6">#REF!</definedName>
    <definedName name="___xp2254" localSheetId="12">#REF!</definedName>
    <definedName name="___xp2254" localSheetId="34">#REF!</definedName>
    <definedName name="___xp2254" localSheetId="19">#REF!</definedName>
    <definedName name="___xp2254">#REF!</definedName>
    <definedName name="___xp2256" localSheetId="6">#REF!</definedName>
    <definedName name="___xp2256" localSheetId="12">#REF!</definedName>
    <definedName name="___xp2256" localSheetId="34">#REF!</definedName>
    <definedName name="___xp2256" localSheetId="19">#REF!</definedName>
    <definedName name="___xp2256">#REF!</definedName>
    <definedName name="___xp25010" localSheetId="6">#REF!</definedName>
    <definedName name="___xp25010" localSheetId="12">#REF!</definedName>
    <definedName name="___xp25010" localSheetId="34">#REF!</definedName>
    <definedName name="___xp25010" localSheetId="19">#REF!</definedName>
    <definedName name="___xp25010">#REF!</definedName>
    <definedName name="___xp2504" localSheetId="6">#REF!</definedName>
    <definedName name="___xp2504" localSheetId="12">#REF!</definedName>
    <definedName name="___xp2504" localSheetId="34">#REF!</definedName>
    <definedName name="___xp2504" localSheetId="19">#REF!</definedName>
    <definedName name="___xp2504">#REF!</definedName>
    <definedName name="___xp2506" localSheetId="6">#REF!</definedName>
    <definedName name="___xp2506" localSheetId="12">#REF!</definedName>
    <definedName name="___xp2506" localSheetId="34">#REF!</definedName>
    <definedName name="___xp2506" localSheetId="19">#REF!</definedName>
    <definedName name="___xp2506">#REF!</definedName>
    <definedName name="___xp28010" localSheetId="6">#REF!</definedName>
    <definedName name="___xp28010" localSheetId="12">#REF!</definedName>
    <definedName name="___xp28010" localSheetId="34">#REF!</definedName>
    <definedName name="___xp28010" localSheetId="19">#REF!</definedName>
    <definedName name="___xp28010">#REF!</definedName>
    <definedName name="___xp2804" localSheetId="6">#REF!</definedName>
    <definedName name="___xp2804" localSheetId="12">#REF!</definedName>
    <definedName name="___xp2804" localSheetId="34">#REF!</definedName>
    <definedName name="___xp2804" localSheetId="19">#REF!</definedName>
    <definedName name="___xp2804">#REF!</definedName>
    <definedName name="___xp2806" localSheetId="6">#REF!</definedName>
    <definedName name="___xp2806" localSheetId="12">#REF!</definedName>
    <definedName name="___xp2806" localSheetId="34">#REF!</definedName>
    <definedName name="___xp2806" localSheetId="19">#REF!</definedName>
    <definedName name="___xp2806">#REF!</definedName>
    <definedName name="___xp31510" localSheetId="6">#REF!</definedName>
    <definedName name="___xp31510" localSheetId="12">#REF!</definedName>
    <definedName name="___xp31510" localSheetId="34">#REF!</definedName>
    <definedName name="___xp31510" localSheetId="19">#REF!</definedName>
    <definedName name="___xp31510">#REF!</definedName>
    <definedName name="___xp3154" localSheetId="6">#REF!</definedName>
    <definedName name="___xp3154" localSheetId="12">#REF!</definedName>
    <definedName name="___xp3154" localSheetId="34">#REF!</definedName>
    <definedName name="___xp3154" localSheetId="19">#REF!</definedName>
    <definedName name="___xp3154">#REF!</definedName>
    <definedName name="___xp3156" localSheetId="6">#REF!</definedName>
    <definedName name="___xp3156" localSheetId="12">#REF!</definedName>
    <definedName name="___xp3156" localSheetId="34">#REF!</definedName>
    <definedName name="___xp3156" localSheetId="19">#REF!</definedName>
    <definedName name="___xp3156">#REF!</definedName>
    <definedName name="___xp634" localSheetId="6">#REF!</definedName>
    <definedName name="___xp634" localSheetId="12">#REF!</definedName>
    <definedName name="___xp634" localSheetId="34">#REF!</definedName>
    <definedName name="___xp634" localSheetId="19">#REF!</definedName>
    <definedName name="___xp634">#REF!</definedName>
    <definedName name="__abs1" localSheetId="5">#REF!</definedName>
    <definedName name="__abs1" localSheetId="14">#REF!</definedName>
    <definedName name="__abs1" localSheetId="6">#REF!</definedName>
    <definedName name="__abs1" localSheetId="12">#REF!</definedName>
    <definedName name="__abs1" localSheetId="19">#REF!</definedName>
    <definedName name="__abs1">#REF!</definedName>
    <definedName name="__AUX1" localSheetId="19">#REF!</definedName>
    <definedName name="__aux2" localSheetId="19">#REF!</definedName>
    <definedName name="__AUX3">#REF!</definedName>
    <definedName name="__bla1_21" localSheetId="19">#REF!</definedName>
    <definedName name="__bla1_33" localSheetId="27">#REF!</definedName>
    <definedName name="__bla1_33">#REF!</definedName>
    <definedName name="__bla1_34">#REF!</definedName>
    <definedName name="__BSG100" localSheetId="6">#REF!</definedName>
    <definedName name="__BSG100" localSheetId="12">#REF!</definedName>
    <definedName name="__BSG100" localSheetId="19">#REF!</definedName>
    <definedName name="__BSG100">#REF!</definedName>
    <definedName name="__BSG150" localSheetId="6">#REF!</definedName>
    <definedName name="__BSG150" localSheetId="12">#REF!</definedName>
    <definedName name="__BSG150" localSheetId="19">#REF!</definedName>
    <definedName name="__BSG150">#REF!</definedName>
    <definedName name="__BSG5" localSheetId="6">#REF!</definedName>
    <definedName name="__BSG5" localSheetId="12">#REF!</definedName>
    <definedName name="__BSG5" localSheetId="19">#REF!</definedName>
    <definedName name="__BSG5">#REF!</definedName>
    <definedName name="__BSG75" localSheetId="6">#REF!</definedName>
    <definedName name="__BSG75" localSheetId="12">#REF!</definedName>
    <definedName name="__BSG75" localSheetId="19">#REF!</definedName>
    <definedName name="__BSG75">#REF!</definedName>
    <definedName name="__BTC1" localSheetId="6">#REF!</definedName>
    <definedName name="__BTC1" localSheetId="12">#REF!</definedName>
    <definedName name="__BTC1" localSheetId="19">#REF!</definedName>
    <definedName name="__BTC1">#REF!</definedName>
    <definedName name="__BTC10" localSheetId="6">#REF!</definedName>
    <definedName name="__BTC10" localSheetId="12">#REF!</definedName>
    <definedName name="__BTC10" localSheetId="19">#REF!</definedName>
    <definedName name="__BTC10">#REF!</definedName>
    <definedName name="__BTC11" localSheetId="6">#REF!</definedName>
    <definedName name="__BTC11" localSheetId="12">#REF!</definedName>
    <definedName name="__BTC11" localSheetId="19">#REF!</definedName>
    <definedName name="__BTC11">#REF!</definedName>
    <definedName name="__BTC12" localSheetId="6">#REF!</definedName>
    <definedName name="__BTC12" localSheetId="12">#REF!</definedName>
    <definedName name="__BTC12" localSheetId="19">#REF!</definedName>
    <definedName name="__BTC12">#REF!</definedName>
    <definedName name="__BTC13" localSheetId="6">#REF!</definedName>
    <definedName name="__BTC13" localSheetId="12">#REF!</definedName>
    <definedName name="__BTC13" localSheetId="19">#REF!</definedName>
    <definedName name="__BTC13">#REF!</definedName>
    <definedName name="__BTC14" localSheetId="6">#REF!</definedName>
    <definedName name="__BTC14" localSheetId="12">#REF!</definedName>
    <definedName name="__BTC14" localSheetId="19">#REF!</definedName>
    <definedName name="__BTC14">#REF!</definedName>
    <definedName name="__BTC15" localSheetId="6">#REF!</definedName>
    <definedName name="__BTC15" localSheetId="12">#REF!</definedName>
    <definedName name="__BTC15" localSheetId="19">#REF!</definedName>
    <definedName name="__BTC15">#REF!</definedName>
    <definedName name="__BTC16">#REF!</definedName>
    <definedName name="__BTC17">#REF!</definedName>
    <definedName name="__BTC18">#REF!</definedName>
    <definedName name="__BTC19">#REF!</definedName>
    <definedName name="__BTC2" localSheetId="6">#REF!</definedName>
    <definedName name="__BTC2" localSheetId="12">#REF!</definedName>
    <definedName name="__BTC2" localSheetId="19">#REF!</definedName>
    <definedName name="__BTC2">#REF!</definedName>
    <definedName name="__BTC20">#REF!</definedName>
    <definedName name="__BTC21">#REF!</definedName>
    <definedName name="__BTC22">#REF!</definedName>
    <definedName name="__BTC23">#REF!</definedName>
    <definedName name="__BTC24">#REF!</definedName>
    <definedName name="__BTC3" localSheetId="6">#REF!</definedName>
    <definedName name="__BTC3" localSheetId="12">#REF!</definedName>
    <definedName name="__BTC3" localSheetId="19">#REF!</definedName>
    <definedName name="__BTC3">#REF!</definedName>
    <definedName name="__BTC4" localSheetId="6">#REF!</definedName>
    <definedName name="__BTC4" localSheetId="12">#REF!</definedName>
    <definedName name="__BTC4" localSheetId="19">#REF!</definedName>
    <definedName name="__BTC4">#REF!</definedName>
    <definedName name="__BTC5" localSheetId="6">#REF!</definedName>
    <definedName name="__BTC5" localSheetId="12">#REF!</definedName>
    <definedName name="__BTC5" localSheetId="19">#REF!</definedName>
    <definedName name="__BTC5">#REF!</definedName>
    <definedName name="__BTC6" localSheetId="6">#REF!</definedName>
    <definedName name="__BTC6" localSheetId="12">#REF!</definedName>
    <definedName name="__BTC6" localSheetId="19">#REF!</definedName>
    <definedName name="__BTC6">#REF!</definedName>
    <definedName name="__BTC7" localSheetId="6">#REF!</definedName>
    <definedName name="__BTC7" localSheetId="12">#REF!</definedName>
    <definedName name="__BTC7" localSheetId="19">#REF!</definedName>
    <definedName name="__BTC7">#REF!</definedName>
    <definedName name="__BTC8" localSheetId="6">#REF!</definedName>
    <definedName name="__BTC8" localSheetId="12">#REF!</definedName>
    <definedName name="__BTC8" localSheetId="19">#REF!</definedName>
    <definedName name="__BTC8">#REF!</definedName>
    <definedName name="__BTC9" localSheetId="6">#REF!</definedName>
    <definedName name="__BTC9" localSheetId="12">#REF!</definedName>
    <definedName name="__BTC9" localSheetId="19">#REF!</definedName>
    <definedName name="__BTC9">#REF!</definedName>
    <definedName name="__BTR1">#REF!</definedName>
    <definedName name="__BTR10">#REF!</definedName>
    <definedName name="__BTR11">#REF!</definedName>
    <definedName name="__BTR12">#REF!</definedName>
    <definedName name="__BTR13">#REF!</definedName>
    <definedName name="__BTR14">#REF!</definedName>
    <definedName name="__BTR15">#REF!</definedName>
    <definedName name="__BTR16">#REF!</definedName>
    <definedName name="__BTR17">#REF!</definedName>
    <definedName name="__BTR18">#REF!</definedName>
    <definedName name="__BTR19">#REF!</definedName>
    <definedName name="__BTR2">#REF!</definedName>
    <definedName name="__BTR20">#REF!</definedName>
    <definedName name="__BTR21">#REF!</definedName>
    <definedName name="__BTR22">#REF!</definedName>
    <definedName name="__BTR23">#REF!</definedName>
    <definedName name="__BTR24">#REF!</definedName>
    <definedName name="__BTR3">#REF!</definedName>
    <definedName name="__BTR4">#REF!</definedName>
    <definedName name="__BTR5">#REF!</definedName>
    <definedName name="__BTR6">#REF!</definedName>
    <definedName name="__BTR7">#REF!</definedName>
    <definedName name="__BTR8">#REF!</definedName>
    <definedName name="__BTR9">#REF!</definedName>
    <definedName name="__BTS1" localSheetId="6">#REF!</definedName>
    <definedName name="__BTS1" localSheetId="12">#REF!</definedName>
    <definedName name="__BTS1" localSheetId="19">#REF!</definedName>
    <definedName name="__BTS1">#REF!</definedName>
    <definedName name="__BTS10" localSheetId="6">#REF!</definedName>
    <definedName name="__BTS10" localSheetId="12">#REF!</definedName>
    <definedName name="__BTS10" localSheetId="19">#REF!</definedName>
    <definedName name="__BTS10">#REF!</definedName>
    <definedName name="__BTS11" localSheetId="6">#REF!</definedName>
    <definedName name="__BTS11" localSheetId="12">#REF!</definedName>
    <definedName name="__BTS11" localSheetId="19">#REF!</definedName>
    <definedName name="__BTS11">#REF!</definedName>
    <definedName name="__BTS12" localSheetId="6">#REF!</definedName>
    <definedName name="__BTS12" localSheetId="12">#REF!</definedName>
    <definedName name="__BTS12" localSheetId="19">#REF!</definedName>
    <definedName name="__BTS12">#REF!</definedName>
    <definedName name="__BTS13" localSheetId="6">#REF!</definedName>
    <definedName name="__BTS13" localSheetId="12">#REF!</definedName>
    <definedName name="__BTS13" localSheetId="19">#REF!</definedName>
    <definedName name="__BTS13">#REF!</definedName>
    <definedName name="__BTS14" localSheetId="6">#REF!</definedName>
    <definedName name="__BTS14" localSheetId="12">#REF!</definedName>
    <definedName name="__BTS14" localSheetId="19">#REF!</definedName>
    <definedName name="__BTS14">#REF!</definedName>
    <definedName name="__BTS15" localSheetId="6">#REF!</definedName>
    <definedName name="__BTS15" localSheetId="12">#REF!</definedName>
    <definedName name="__BTS15" localSheetId="19">#REF!</definedName>
    <definedName name="__BTS15">#REF!</definedName>
    <definedName name="__BTS16">#REF!</definedName>
    <definedName name="__BTS17">#REF!</definedName>
    <definedName name="__BTS18">#REF!</definedName>
    <definedName name="__BTS19">#REF!</definedName>
    <definedName name="__BTS2" localSheetId="6">#REF!</definedName>
    <definedName name="__BTS2" localSheetId="12">#REF!</definedName>
    <definedName name="__BTS2" localSheetId="19">#REF!</definedName>
    <definedName name="__BTS2">#REF!</definedName>
    <definedName name="__BTS20">#REF!</definedName>
    <definedName name="__BTS21">#REF!</definedName>
    <definedName name="__BTS22">#REF!</definedName>
    <definedName name="__BTS23">#REF!</definedName>
    <definedName name="__BTS24">#REF!</definedName>
    <definedName name="__BTS3" localSheetId="6">#REF!</definedName>
    <definedName name="__BTS3" localSheetId="12">#REF!</definedName>
    <definedName name="__BTS3" localSheetId="19">#REF!</definedName>
    <definedName name="__BTS3">#REF!</definedName>
    <definedName name="__BTS4" localSheetId="6">#REF!</definedName>
    <definedName name="__BTS4" localSheetId="12">#REF!</definedName>
    <definedName name="__BTS4" localSheetId="19">#REF!</definedName>
    <definedName name="__BTS4">#REF!</definedName>
    <definedName name="__BTS5" localSheetId="6">#REF!</definedName>
    <definedName name="__BTS5" localSheetId="12">#REF!</definedName>
    <definedName name="__BTS5" localSheetId="19">#REF!</definedName>
    <definedName name="__BTS5">#REF!</definedName>
    <definedName name="__BTS6" localSheetId="6">#REF!</definedName>
    <definedName name="__BTS6" localSheetId="12">#REF!</definedName>
    <definedName name="__BTS6" localSheetId="19">#REF!</definedName>
    <definedName name="__BTS6">#REF!</definedName>
    <definedName name="__BTS7" localSheetId="6">#REF!</definedName>
    <definedName name="__BTS7" localSheetId="12">#REF!</definedName>
    <definedName name="__BTS7" localSheetId="19">#REF!</definedName>
    <definedName name="__BTS7">#REF!</definedName>
    <definedName name="__BTS8" localSheetId="6">#REF!</definedName>
    <definedName name="__BTS8" localSheetId="12">#REF!</definedName>
    <definedName name="__BTS8" localSheetId="19">#REF!</definedName>
    <definedName name="__BTS8">#REF!</definedName>
    <definedName name="__BTS9" localSheetId="6">#REF!</definedName>
    <definedName name="__BTS9" localSheetId="12">#REF!</definedName>
    <definedName name="__BTS9" localSheetId="19">#REF!</definedName>
    <definedName name="__BTS9">#REF!</definedName>
    <definedName name="__can430">40.73</definedName>
    <definedName name="__can435">43.3</definedName>
    <definedName name="__cbr1" localSheetId="6">#REF!</definedName>
    <definedName name="__cbr1" localSheetId="12">#REF!</definedName>
    <definedName name="__cbr1" localSheetId="19">#REF!</definedName>
    <definedName name="__cbr1">#REF!</definedName>
    <definedName name="__cbr2" localSheetId="6">#REF!</definedName>
    <definedName name="__cbr2" localSheetId="12">#REF!</definedName>
    <definedName name="__cbr2" localSheetId="19">#REF!</definedName>
    <definedName name="__cbr2">#REF!</definedName>
    <definedName name="__cbr3" localSheetId="6">#REF!</definedName>
    <definedName name="__cbr3" localSheetId="12">#REF!</definedName>
    <definedName name="__cbr3" localSheetId="19">#REF!</definedName>
    <definedName name="__cbr3">#REF!</definedName>
    <definedName name="__cbr4" localSheetId="6">#REF!</definedName>
    <definedName name="__cbr4" localSheetId="12">#REF!</definedName>
    <definedName name="__cbr4" localSheetId="19">#REF!</definedName>
    <definedName name="__cbr4">#REF!</definedName>
    <definedName name="__df3" localSheetId="6">#REF!</definedName>
    <definedName name="__df3" localSheetId="12">#REF!</definedName>
    <definedName name="__df3" localSheetId="34">#REF!</definedName>
    <definedName name="__df3" localSheetId="19">#REF!</definedName>
    <definedName name="__df3">#REF!</definedName>
    <definedName name="__er1">#REF!</definedName>
    <definedName name="__ewe1" localSheetId="34">#REF!</definedName>
    <definedName name="__ewe1">#REF!</definedName>
    <definedName name="__ewe2">#REF!</definedName>
    <definedName name="__f1" localSheetId="6">#REF!</definedName>
    <definedName name="__f1" localSheetId="12">#REF!</definedName>
    <definedName name="__f1" localSheetId="34">#REF!</definedName>
    <definedName name="__f1" localSheetId="19">#REF!</definedName>
    <definedName name="__f1">#REF!</definedName>
    <definedName name="__GBS11" localSheetId="6">#REF!</definedName>
    <definedName name="__GBS11" localSheetId="12">#REF!</definedName>
    <definedName name="__GBS11" localSheetId="19">#REF!</definedName>
    <definedName name="__GBS11">#REF!</definedName>
    <definedName name="__GBS110" localSheetId="6">#REF!</definedName>
    <definedName name="__GBS110" localSheetId="12">#REF!</definedName>
    <definedName name="__GBS110" localSheetId="19">#REF!</definedName>
    <definedName name="__GBS110">#REF!</definedName>
    <definedName name="__GBS111" localSheetId="6">#REF!</definedName>
    <definedName name="__GBS111" localSheetId="12">#REF!</definedName>
    <definedName name="__GBS111" localSheetId="19">#REF!</definedName>
    <definedName name="__GBS111">#REF!</definedName>
    <definedName name="__GBS112" localSheetId="6">#REF!</definedName>
    <definedName name="__GBS112" localSheetId="12">#REF!</definedName>
    <definedName name="__GBS112" localSheetId="19">#REF!</definedName>
    <definedName name="__GBS112">#REF!</definedName>
    <definedName name="__GBS113" localSheetId="6">#REF!</definedName>
    <definedName name="__GBS113" localSheetId="12">#REF!</definedName>
    <definedName name="__GBS113" localSheetId="19">#REF!</definedName>
    <definedName name="__GBS113">#REF!</definedName>
    <definedName name="__GBS114" localSheetId="6">#REF!</definedName>
    <definedName name="__GBS114" localSheetId="12">#REF!</definedName>
    <definedName name="__GBS114" localSheetId="19">#REF!</definedName>
    <definedName name="__GBS114">#REF!</definedName>
    <definedName name="__GBS115" localSheetId="6">#REF!</definedName>
    <definedName name="__GBS115" localSheetId="12">#REF!</definedName>
    <definedName name="__GBS115" localSheetId="19">#REF!</definedName>
    <definedName name="__GBS115">#REF!</definedName>
    <definedName name="__GBS116">#REF!</definedName>
    <definedName name="__GBS117">#REF!</definedName>
    <definedName name="__GBS118">#REF!</definedName>
    <definedName name="__GBS119">#REF!</definedName>
    <definedName name="__GBS12" localSheetId="6">#REF!</definedName>
    <definedName name="__GBS12" localSheetId="12">#REF!</definedName>
    <definedName name="__GBS12" localSheetId="19">#REF!</definedName>
    <definedName name="__GBS12">#REF!</definedName>
    <definedName name="__GBS120">#REF!</definedName>
    <definedName name="__GBS121">#REF!</definedName>
    <definedName name="__GBS122">#REF!</definedName>
    <definedName name="__GBS123">#REF!</definedName>
    <definedName name="__GBS124">#REF!</definedName>
    <definedName name="__GBS13" localSheetId="6">#REF!</definedName>
    <definedName name="__GBS13" localSheetId="12">#REF!</definedName>
    <definedName name="__GBS13" localSheetId="19">#REF!</definedName>
    <definedName name="__GBS13">#REF!</definedName>
    <definedName name="__GBS14" localSheetId="6">#REF!</definedName>
    <definedName name="__GBS14" localSheetId="12">#REF!</definedName>
    <definedName name="__GBS14" localSheetId="19">#REF!</definedName>
    <definedName name="__GBS14">#REF!</definedName>
    <definedName name="__GBS15" localSheetId="6">#REF!</definedName>
    <definedName name="__GBS15" localSheetId="12">#REF!</definedName>
    <definedName name="__GBS15" localSheetId="19">#REF!</definedName>
    <definedName name="__GBS15">#REF!</definedName>
    <definedName name="__GBS16" localSheetId="6">#REF!</definedName>
    <definedName name="__GBS16" localSheetId="12">#REF!</definedName>
    <definedName name="__GBS16" localSheetId="19">#REF!</definedName>
    <definedName name="__GBS16">#REF!</definedName>
    <definedName name="__GBS17" localSheetId="6">#REF!</definedName>
    <definedName name="__GBS17" localSheetId="12">#REF!</definedName>
    <definedName name="__GBS17" localSheetId="19">#REF!</definedName>
    <definedName name="__GBS17">#REF!</definedName>
    <definedName name="__GBS18" localSheetId="6">#REF!</definedName>
    <definedName name="__GBS18" localSheetId="12">#REF!</definedName>
    <definedName name="__GBS18" localSheetId="19">#REF!</definedName>
    <definedName name="__GBS18">#REF!</definedName>
    <definedName name="__GBS19" localSheetId="6">#REF!</definedName>
    <definedName name="__GBS19" localSheetId="12">#REF!</definedName>
    <definedName name="__GBS19" localSheetId="19">#REF!</definedName>
    <definedName name="__GBS19">#REF!</definedName>
    <definedName name="__GBS21" localSheetId="6">#REF!</definedName>
    <definedName name="__GBS21" localSheetId="12">#REF!</definedName>
    <definedName name="__GBS21" localSheetId="19">#REF!</definedName>
    <definedName name="__GBS21">#REF!</definedName>
    <definedName name="__GBS210" localSheetId="6">#REF!</definedName>
    <definedName name="__GBS210" localSheetId="12">#REF!</definedName>
    <definedName name="__GBS210" localSheetId="19">#REF!</definedName>
    <definedName name="__GBS210">#REF!</definedName>
    <definedName name="__GBS211" localSheetId="6">#REF!</definedName>
    <definedName name="__GBS211" localSheetId="12">#REF!</definedName>
    <definedName name="__GBS211" localSheetId="19">#REF!</definedName>
    <definedName name="__GBS211">#REF!</definedName>
    <definedName name="__GBS212" localSheetId="6">#REF!</definedName>
    <definedName name="__GBS212" localSheetId="12">#REF!</definedName>
    <definedName name="__GBS212" localSheetId="19">#REF!</definedName>
    <definedName name="__GBS212">#REF!</definedName>
    <definedName name="__GBS213" localSheetId="6">#REF!</definedName>
    <definedName name="__GBS213" localSheetId="12">#REF!</definedName>
    <definedName name="__GBS213" localSheetId="19">#REF!</definedName>
    <definedName name="__GBS213">#REF!</definedName>
    <definedName name="__GBS214" localSheetId="6">#REF!</definedName>
    <definedName name="__GBS214" localSheetId="12">#REF!</definedName>
    <definedName name="__GBS214" localSheetId="19">#REF!</definedName>
    <definedName name="__GBS214">#REF!</definedName>
    <definedName name="__GBS215" localSheetId="6">#REF!</definedName>
    <definedName name="__GBS215" localSheetId="12">#REF!</definedName>
    <definedName name="__GBS215" localSheetId="19">#REF!</definedName>
    <definedName name="__GBS215">#REF!</definedName>
    <definedName name="__GBS216">#REF!</definedName>
    <definedName name="__GBS217">#REF!</definedName>
    <definedName name="__GBS218">#REF!</definedName>
    <definedName name="__GBS219">#REF!</definedName>
    <definedName name="__GBS22" localSheetId="6">#REF!</definedName>
    <definedName name="__GBS22" localSheetId="12">#REF!</definedName>
    <definedName name="__GBS22" localSheetId="19">#REF!</definedName>
    <definedName name="__GBS22">#REF!</definedName>
    <definedName name="__GBS220">#REF!</definedName>
    <definedName name="__GBS221">#REF!</definedName>
    <definedName name="__GBS222">#REF!</definedName>
    <definedName name="__GBS223">#REF!</definedName>
    <definedName name="__GBS224">#REF!</definedName>
    <definedName name="__GBS23" localSheetId="6">#REF!</definedName>
    <definedName name="__GBS23" localSheetId="12">#REF!</definedName>
    <definedName name="__GBS23" localSheetId="19">#REF!</definedName>
    <definedName name="__GBS23">#REF!</definedName>
    <definedName name="__GBS24" localSheetId="6">#REF!</definedName>
    <definedName name="__GBS24" localSheetId="12">#REF!</definedName>
    <definedName name="__GBS24" localSheetId="19">#REF!</definedName>
    <definedName name="__GBS24">#REF!</definedName>
    <definedName name="__GBS25" localSheetId="6">#REF!</definedName>
    <definedName name="__GBS25" localSheetId="12">#REF!</definedName>
    <definedName name="__GBS25" localSheetId="19">#REF!</definedName>
    <definedName name="__GBS25">#REF!</definedName>
    <definedName name="__GBS26" localSheetId="6">#REF!</definedName>
    <definedName name="__GBS26" localSheetId="12">#REF!</definedName>
    <definedName name="__GBS26" localSheetId="19">#REF!</definedName>
    <definedName name="__GBS26">#REF!</definedName>
    <definedName name="__GBS27" localSheetId="6">#REF!</definedName>
    <definedName name="__GBS27" localSheetId="12">#REF!</definedName>
    <definedName name="__GBS27" localSheetId="19">#REF!</definedName>
    <definedName name="__GBS27">#REF!</definedName>
    <definedName name="__GBS28" localSheetId="6">#REF!</definedName>
    <definedName name="__GBS28" localSheetId="12">#REF!</definedName>
    <definedName name="__GBS28" localSheetId="19">#REF!</definedName>
    <definedName name="__GBS28">#REF!</definedName>
    <definedName name="__GBS29" localSheetId="6">#REF!</definedName>
    <definedName name="__GBS29" localSheetId="12">#REF!</definedName>
    <definedName name="__GBS29" localSheetId="19">#REF!</definedName>
    <definedName name="__GBS29">#REF!</definedName>
    <definedName name="__grp10003" localSheetId="6">#REF!</definedName>
    <definedName name="__grp10003" localSheetId="12">#REF!</definedName>
    <definedName name="__grp10003" localSheetId="34">#REF!</definedName>
    <definedName name="__grp10003" localSheetId="19">#REF!</definedName>
    <definedName name="__grp10003">#REF!</definedName>
    <definedName name="__grp3503" localSheetId="6">#REF!</definedName>
    <definedName name="__grp3503" localSheetId="12">#REF!</definedName>
    <definedName name="__grp3503" localSheetId="34">#REF!</definedName>
    <definedName name="__grp3503" localSheetId="19">#REF!</definedName>
    <definedName name="__grp3503">#REF!</definedName>
    <definedName name="__grp4003" localSheetId="6">#REF!</definedName>
    <definedName name="__grp4003" localSheetId="12">#REF!</definedName>
    <definedName name="__grp4003" localSheetId="34">#REF!</definedName>
    <definedName name="__grp4003" localSheetId="19">#REF!</definedName>
    <definedName name="__grp4003">#REF!</definedName>
    <definedName name="__grp4503" localSheetId="6">#REF!</definedName>
    <definedName name="__grp4503" localSheetId="12">#REF!</definedName>
    <definedName name="__grp4503" localSheetId="34">#REF!</definedName>
    <definedName name="__grp4503" localSheetId="19">#REF!</definedName>
    <definedName name="__grp4503">#REF!</definedName>
    <definedName name="__grp5003" localSheetId="6">#REF!</definedName>
    <definedName name="__grp5003" localSheetId="12">#REF!</definedName>
    <definedName name="__grp5003" localSheetId="34">#REF!</definedName>
    <definedName name="__grp5003" localSheetId="19">#REF!</definedName>
    <definedName name="__grp5003">#REF!</definedName>
    <definedName name="__grp6003" localSheetId="6">#REF!</definedName>
    <definedName name="__grp6003" localSheetId="12">#REF!</definedName>
    <definedName name="__grp6003" localSheetId="34">#REF!</definedName>
    <definedName name="__grp6003" localSheetId="19">#REF!</definedName>
    <definedName name="__grp6003">#REF!</definedName>
    <definedName name="__grp7003" localSheetId="6">#REF!</definedName>
    <definedName name="__grp7003" localSheetId="12">#REF!</definedName>
    <definedName name="__grp7003" localSheetId="34">#REF!</definedName>
    <definedName name="__grp7003" localSheetId="19">#REF!</definedName>
    <definedName name="__grp7003">#REF!</definedName>
    <definedName name="__grp8003" localSheetId="6">#REF!</definedName>
    <definedName name="__grp8003" localSheetId="12">#REF!</definedName>
    <definedName name="__grp8003" localSheetId="34">#REF!</definedName>
    <definedName name="__grp8003" localSheetId="19">#REF!</definedName>
    <definedName name="__grp8003">#REF!</definedName>
    <definedName name="__grp9003" localSheetId="6">#REF!</definedName>
    <definedName name="__grp9003" localSheetId="12">#REF!</definedName>
    <definedName name="__grp9003" localSheetId="34">#REF!</definedName>
    <definedName name="__grp9003" localSheetId="19">#REF!</definedName>
    <definedName name="__grp9003">#REF!</definedName>
    <definedName name="__gus1">#REF!</definedName>
    <definedName name="__hpm1">#REF!</definedName>
    <definedName name="__k1" localSheetId="6">#REF!</definedName>
    <definedName name="__k1" localSheetId="12">#REF!</definedName>
    <definedName name="__k1" localSheetId="19">#REF!</definedName>
    <definedName name="__k1">#REF!</definedName>
    <definedName name="__knr2" localSheetId="5">#REF!</definedName>
    <definedName name="__knr2" localSheetId="6">#REF!</definedName>
    <definedName name="__knr2" localSheetId="12">#REF!</definedName>
    <definedName name="__knr2" localSheetId="34">#REF!</definedName>
    <definedName name="__knr2" localSheetId="19">#REF!</definedName>
    <definedName name="__knr2">#REF!</definedName>
    <definedName name="__l1_21" localSheetId="19">#REF!</definedName>
    <definedName name="__l1_33" localSheetId="27">#REF!</definedName>
    <definedName name="__l1_33">#REF!</definedName>
    <definedName name="__l1_34">#REF!</definedName>
    <definedName name="__l12" localSheetId="22">#REF!</definedName>
    <definedName name="__l12" localSheetId="5">#REF!</definedName>
    <definedName name="__l12" localSheetId="6">#REF!</definedName>
    <definedName name="__l12" localSheetId="12">#REF!</definedName>
    <definedName name="__l12" localSheetId="34">#REF!</definedName>
    <definedName name="__l12" localSheetId="19">#REF!</definedName>
    <definedName name="__l12" localSheetId="30">#REF!</definedName>
    <definedName name="__l12" localSheetId="40">#REF!</definedName>
    <definedName name="__l12" localSheetId="26">#REF!</definedName>
    <definedName name="__l12">#REF!</definedName>
    <definedName name="__l12_23">"$#REF!.$#REF!$#REF!"</definedName>
    <definedName name="__l12_33">"$#REF!.$#REF!$#REF!"</definedName>
    <definedName name="__l12_34">"$#REF!.$#REF!$#REF!"</definedName>
    <definedName name="__l12_38">"$#REF!.$#REF!$#REF!"</definedName>
    <definedName name="__l12_41">"$#REF!.$#REF!$#REF!"</definedName>
    <definedName name="__l12_43">"$#REF!.$#REF!$#REF!"</definedName>
    <definedName name="__l12_48">"$#REF!.$#REF!$#REF!"</definedName>
    <definedName name="__l12_57">"$#REF!.$#REF!$#REF!"</definedName>
    <definedName name="__l12_59">"$#REF!.$#REF!$#REF!"</definedName>
    <definedName name="__l12_60">"$#REF!.$#REF!$#REF!"</definedName>
    <definedName name="__l12_61">"$#REF!.$#REF!$#REF!"</definedName>
    <definedName name="__l12_62">"$#REF!.$#REF!$#REF!"</definedName>
    <definedName name="__l12_7">"$#REF!.$#REF!$#REF!"</definedName>
    <definedName name="__l12_72">"$#REF!.$#REF!$#REF!"</definedName>
    <definedName name="__l12_73">"$#REF!.$#REF!$#REF!"</definedName>
    <definedName name="__l12_8">"$#REF!.$#REF!$#REF!"</definedName>
    <definedName name="__l3" localSheetId="22">#REF!</definedName>
    <definedName name="__l3" localSheetId="5">#REF!</definedName>
    <definedName name="__l3" localSheetId="6">#REF!</definedName>
    <definedName name="__l3" localSheetId="12">#REF!</definedName>
    <definedName name="__l3" localSheetId="34">#REF!</definedName>
    <definedName name="__l3" localSheetId="19">#REF!</definedName>
    <definedName name="__l3" localSheetId="30">#REF!</definedName>
    <definedName name="__l3" localSheetId="40">#REF!</definedName>
    <definedName name="__l3" localSheetId="26">#REF!</definedName>
    <definedName name="__l3">#REF!</definedName>
    <definedName name="__l3_23">"$#REF!.$#REF!$#REF!"</definedName>
    <definedName name="__l3_33">"$#REF!.$#REF!$#REF!"</definedName>
    <definedName name="__l3_34">"$#REF!.$#REF!$#REF!"</definedName>
    <definedName name="__l3_38">"$#REF!.$#REF!$#REF!"</definedName>
    <definedName name="__l3_41">"$#REF!.$#REF!$#REF!"</definedName>
    <definedName name="__l3_43">"$#REF!.$#REF!$#REF!"</definedName>
    <definedName name="__l3_48">"$#REF!.$#REF!$#REF!"</definedName>
    <definedName name="__l3_57">"$#REF!.$#REF!$#REF!"</definedName>
    <definedName name="__l3_59">"$#REF!.$#REF!$#REF!"</definedName>
    <definedName name="__l3_60">"$#REF!.$#REF!$#REF!"</definedName>
    <definedName name="__l3_61">"$#REF!.$#REF!$#REF!"</definedName>
    <definedName name="__l3_62">"$#REF!.$#REF!$#REF!"</definedName>
    <definedName name="__l3_7">"$#REF!.$#REF!$#REF!"</definedName>
    <definedName name="__l3_72">"$#REF!.$#REF!$#REF!"</definedName>
    <definedName name="__l3_73">"$#REF!.$#REF!$#REF!"</definedName>
    <definedName name="__l3_8">"$#REF!.$#REF!$#REF!"</definedName>
    <definedName name="__l4_21" localSheetId="19">#REF!</definedName>
    <definedName name="__l4_33" localSheetId="27">#REF!</definedName>
    <definedName name="__l4_33">#REF!</definedName>
    <definedName name="__l4_34" localSheetId="27">#REF!</definedName>
    <definedName name="__l4_34">#REF!</definedName>
    <definedName name="__l5" localSheetId="22">#REF!</definedName>
    <definedName name="__l5" localSheetId="5">#REF!</definedName>
    <definedName name="__l5" localSheetId="6">#REF!</definedName>
    <definedName name="__l5" localSheetId="12">#REF!</definedName>
    <definedName name="__l5" localSheetId="34">#REF!</definedName>
    <definedName name="__l5" localSheetId="19">#REF!</definedName>
    <definedName name="__l5" localSheetId="30">#REF!</definedName>
    <definedName name="__l5" localSheetId="40">#REF!</definedName>
    <definedName name="__l5" localSheetId="26">#REF!</definedName>
    <definedName name="__l5">#REF!</definedName>
    <definedName name="__l5_23">"$#REF!.$#REF!$#REF!"</definedName>
    <definedName name="__l5_33">"$#REF!.$#REF!$#REF!"</definedName>
    <definedName name="__l5_34">"$#REF!.$#REF!$#REF!"</definedName>
    <definedName name="__l5_38">"$#REF!.$#REF!$#REF!"</definedName>
    <definedName name="__l5_41">"$#REF!.$#REF!$#REF!"</definedName>
    <definedName name="__l5_43">"$#REF!.$#REF!$#REF!"</definedName>
    <definedName name="__l5_48">"$#REF!.$#REF!$#REF!"</definedName>
    <definedName name="__l5_57">"$#REF!.$#REF!$#REF!"</definedName>
    <definedName name="__l5_59">"$#REF!.$#REF!$#REF!"</definedName>
    <definedName name="__l5_60">"$#REF!.$#REF!$#REF!"</definedName>
    <definedName name="__l5_61">"$#REF!.$#REF!$#REF!"</definedName>
    <definedName name="__l5_62">"$#REF!.$#REF!$#REF!"</definedName>
    <definedName name="__l5_7">"$#REF!.$#REF!$#REF!"</definedName>
    <definedName name="__l5_72">"$#REF!.$#REF!$#REF!"</definedName>
    <definedName name="__l5_73">"$#REF!.$#REF!$#REF!"</definedName>
    <definedName name="__l5_8">"$#REF!.$#REF!$#REF!"</definedName>
    <definedName name="__lcn1" localSheetId="27">#REF!</definedName>
    <definedName name="__lcn1">#REF!</definedName>
    <definedName name="__LI9" localSheetId="6">#REF!</definedName>
    <definedName name="__LI9" localSheetId="12">#REF!</definedName>
    <definedName name="__LI9" localSheetId="19">#REF!</definedName>
    <definedName name="__LI9">#REF!</definedName>
    <definedName name="__LII9" localSheetId="6">#REF!</definedName>
    <definedName name="__LII9" localSheetId="12">#REF!</definedName>
    <definedName name="__LII9" localSheetId="19">#REF!</definedName>
    <definedName name="__LII9">#REF!</definedName>
    <definedName name="__lj600" localSheetId="19">#REF!</definedName>
    <definedName name="__lj900">#REF!</definedName>
    <definedName name="__LL3">#REF!</definedName>
    <definedName name="__lm1">#REF!</definedName>
    <definedName name="__MA1" localSheetId="19">#REF!</definedName>
    <definedName name="__ma2" localSheetId="6">#REF!</definedName>
    <definedName name="__ma2" localSheetId="12">#REF!</definedName>
    <definedName name="__ma2" localSheetId="34">#REF!</definedName>
    <definedName name="__ma2" localSheetId="19">#REF!</definedName>
    <definedName name="__ma2">#REF!</definedName>
    <definedName name="__Met22" localSheetId="19">#REF!</definedName>
    <definedName name="__Met45" localSheetId="27">#REF!</definedName>
    <definedName name="__Met45">#REF!</definedName>
    <definedName name="__MEt55">#REF!</definedName>
    <definedName name="__Met63">#REF!</definedName>
    <definedName name="__ML11" localSheetId="6">#REF!</definedName>
    <definedName name="__ML11" localSheetId="12">#REF!</definedName>
    <definedName name="__ML11" localSheetId="19">#REF!</definedName>
    <definedName name="__ML11">#REF!</definedName>
    <definedName name="__ML110" localSheetId="6">#REF!</definedName>
    <definedName name="__ML110" localSheetId="12">#REF!</definedName>
    <definedName name="__ML110" localSheetId="19">#REF!</definedName>
    <definedName name="__ML110">#REF!</definedName>
    <definedName name="__ML111" localSheetId="6">#REF!</definedName>
    <definedName name="__ML111" localSheetId="12">#REF!</definedName>
    <definedName name="__ML111" localSheetId="19">#REF!</definedName>
    <definedName name="__ML111">#REF!</definedName>
    <definedName name="__ML112" localSheetId="6">#REF!</definedName>
    <definedName name="__ML112" localSheetId="12">#REF!</definedName>
    <definedName name="__ML112" localSheetId="19">#REF!</definedName>
    <definedName name="__ML112">#REF!</definedName>
    <definedName name="__ML113" localSheetId="6">#REF!</definedName>
    <definedName name="__ML113" localSheetId="12">#REF!</definedName>
    <definedName name="__ML113" localSheetId="19">#REF!</definedName>
    <definedName name="__ML113">#REF!</definedName>
    <definedName name="__ML114" localSheetId="6">#REF!</definedName>
    <definedName name="__ML114" localSheetId="12">#REF!</definedName>
    <definedName name="__ML114" localSheetId="19">#REF!</definedName>
    <definedName name="__ML114">#REF!</definedName>
    <definedName name="__ML115" localSheetId="6">#REF!</definedName>
    <definedName name="__ML115" localSheetId="12">#REF!</definedName>
    <definedName name="__ML115" localSheetId="19">#REF!</definedName>
    <definedName name="__ML115">#REF!</definedName>
    <definedName name="__ML12" localSheetId="6">#REF!</definedName>
    <definedName name="__ML12" localSheetId="12">#REF!</definedName>
    <definedName name="__ML12" localSheetId="19">#REF!</definedName>
    <definedName name="__ML12">#REF!</definedName>
    <definedName name="__ML13" localSheetId="6">#REF!</definedName>
    <definedName name="__ML13" localSheetId="12">#REF!</definedName>
    <definedName name="__ML13" localSheetId="19">#REF!</definedName>
    <definedName name="__ML13">#REF!</definedName>
    <definedName name="__ML14" localSheetId="6">#REF!</definedName>
    <definedName name="__ML14" localSheetId="12">#REF!</definedName>
    <definedName name="__ML14" localSheetId="19">#REF!</definedName>
    <definedName name="__ML14">#REF!</definedName>
    <definedName name="__ML15" localSheetId="6">#REF!</definedName>
    <definedName name="__ML15" localSheetId="12">#REF!</definedName>
    <definedName name="__ML15" localSheetId="19">#REF!</definedName>
    <definedName name="__ML15">#REF!</definedName>
    <definedName name="__ML16" localSheetId="6">#REF!</definedName>
    <definedName name="__ML16" localSheetId="12">#REF!</definedName>
    <definedName name="__ML16" localSheetId="19">#REF!</definedName>
    <definedName name="__ML16">#REF!</definedName>
    <definedName name="__ML17" localSheetId="6">#REF!</definedName>
    <definedName name="__ML17" localSheetId="12">#REF!</definedName>
    <definedName name="__ML17" localSheetId="19">#REF!</definedName>
    <definedName name="__ML17">#REF!</definedName>
    <definedName name="__ML18" localSheetId="6">#REF!</definedName>
    <definedName name="__ML18" localSheetId="12">#REF!</definedName>
    <definedName name="__ML18" localSheetId="19">#REF!</definedName>
    <definedName name="__ML18">#REF!</definedName>
    <definedName name="__ML19" localSheetId="6">#REF!</definedName>
    <definedName name="__ML19" localSheetId="12">#REF!</definedName>
    <definedName name="__ML19" localSheetId="19">#REF!</definedName>
    <definedName name="__ML19">#REF!</definedName>
    <definedName name="__ML21" localSheetId="6">#REF!</definedName>
    <definedName name="__ML21" localSheetId="12">#REF!</definedName>
    <definedName name="__ML21" localSheetId="19">#REF!</definedName>
    <definedName name="__ML21">#REF!</definedName>
    <definedName name="__ML210" localSheetId="6">#REF!</definedName>
    <definedName name="__ML210" localSheetId="12">#REF!</definedName>
    <definedName name="__ML210" localSheetId="19">#REF!</definedName>
    <definedName name="__ML210">#REF!</definedName>
    <definedName name="__ML211" localSheetId="6">#REF!</definedName>
    <definedName name="__ML211" localSheetId="12">#REF!</definedName>
    <definedName name="__ML211" localSheetId="19">#REF!</definedName>
    <definedName name="__ML211">#REF!</definedName>
    <definedName name="__ML212" localSheetId="6">#REF!</definedName>
    <definedName name="__ML212" localSheetId="12">#REF!</definedName>
    <definedName name="__ML212" localSheetId="19">#REF!</definedName>
    <definedName name="__ML212">#REF!</definedName>
    <definedName name="__ML213" localSheetId="6">#REF!</definedName>
    <definedName name="__ML213" localSheetId="12">#REF!</definedName>
    <definedName name="__ML213" localSheetId="19">#REF!</definedName>
    <definedName name="__ML213">#REF!</definedName>
    <definedName name="__ML214" localSheetId="6">#REF!</definedName>
    <definedName name="__ML214" localSheetId="12">#REF!</definedName>
    <definedName name="__ML214" localSheetId="19">#REF!</definedName>
    <definedName name="__ML214">#REF!</definedName>
    <definedName name="__ML215" localSheetId="6">#REF!</definedName>
    <definedName name="__ML215" localSheetId="12">#REF!</definedName>
    <definedName name="__ML215" localSheetId="19">#REF!</definedName>
    <definedName name="__ML215">#REF!</definedName>
    <definedName name="__ML216">#REF!</definedName>
    <definedName name="__ML217">#REF!</definedName>
    <definedName name="__ML218">#REF!</definedName>
    <definedName name="__ML219">#REF!</definedName>
    <definedName name="__ML22" localSheetId="6">#REF!</definedName>
    <definedName name="__ML22" localSheetId="12">#REF!</definedName>
    <definedName name="__ML22" localSheetId="19">#REF!</definedName>
    <definedName name="__ML22">#REF!</definedName>
    <definedName name="__ML220">#REF!</definedName>
    <definedName name="__ML221">#REF!</definedName>
    <definedName name="__ML222">#REF!</definedName>
    <definedName name="__ML223">#REF!</definedName>
    <definedName name="__ML224">#REF!</definedName>
    <definedName name="__ML23" localSheetId="6">#REF!</definedName>
    <definedName name="__ML23" localSheetId="12">#REF!</definedName>
    <definedName name="__ML23" localSheetId="19">#REF!</definedName>
    <definedName name="__ML23">#REF!</definedName>
    <definedName name="__ML24" localSheetId="6">#REF!</definedName>
    <definedName name="__ML24" localSheetId="12">#REF!</definedName>
    <definedName name="__ML24" localSheetId="19">#REF!</definedName>
    <definedName name="__ML24">#REF!</definedName>
    <definedName name="__ML25" localSheetId="6">#REF!</definedName>
    <definedName name="__ML25" localSheetId="12">#REF!</definedName>
    <definedName name="__ML25" localSheetId="19">#REF!</definedName>
    <definedName name="__ML25">#REF!</definedName>
    <definedName name="__ML26" localSheetId="6">#REF!</definedName>
    <definedName name="__ML26" localSheetId="12">#REF!</definedName>
    <definedName name="__ML26" localSheetId="19">#REF!</definedName>
    <definedName name="__ML26">#REF!</definedName>
    <definedName name="__ML27" localSheetId="6">#REF!</definedName>
    <definedName name="__ML27" localSheetId="12">#REF!</definedName>
    <definedName name="__ML27" localSheetId="19">#REF!</definedName>
    <definedName name="__ML27">#REF!</definedName>
    <definedName name="__ML28" localSheetId="6">#REF!</definedName>
    <definedName name="__ML28" localSheetId="12">#REF!</definedName>
    <definedName name="__ML28" localSheetId="19">#REF!</definedName>
    <definedName name="__ML28">#REF!</definedName>
    <definedName name="__ML29" localSheetId="6">#REF!</definedName>
    <definedName name="__ML29" localSheetId="12">#REF!</definedName>
    <definedName name="__ML29" localSheetId="19">#REF!</definedName>
    <definedName name="__ML29">#REF!</definedName>
    <definedName name="__ML31" localSheetId="6">#REF!</definedName>
    <definedName name="__ML31" localSheetId="12">#REF!</definedName>
    <definedName name="__ML31" localSheetId="19">#REF!</definedName>
    <definedName name="__ML31">#REF!</definedName>
    <definedName name="__ML310" localSheetId="6">#REF!</definedName>
    <definedName name="__ML310" localSheetId="12">#REF!</definedName>
    <definedName name="__ML310" localSheetId="19">#REF!</definedName>
    <definedName name="__ML310">#REF!</definedName>
    <definedName name="__ML311" localSheetId="6">#REF!</definedName>
    <definedName name="__ML311" localSheetId="12">#REF!</definedName>
    <definedName name="__ML311" localSheetId="19">#REF!</definedName>
    <definedName name="__ML311">#REF!</definedName>
    <definedName name="__ML312" localSheetId="6">#REF!</definedName>
    <definedName name="__ML312" localSheetId="12">#REF!</definedName>
    <definedName name="__ML312" localSheetId="19">#REF!</definedName>
    <definedName name="__ML312">#REF!</definedName>
    <definedName name="__ML313" localSheetId="6">#REF!</definedName>
    <definedName name="__ML313" localSheetId="12">#REF!</definedName>
    <definedName name="__ML313" localSheetId="19">#REF!</definedName>
    <definedName name="__ML313">#REF!</definedName>
    <definedName name="__ML314" localSheetId="6">#REF!</definedName>
    <definedName name="__ML314" localSheetId="12">#REF!</definedName>
    <definedName name="__ML314" localSheetId="19">#REF!</definedName>
    <definedName name="__ML314">#REF!</definedName>
    <definedName name="__ML315" localSheetId="6">#REF!</definedName>
    <definedName name="__ML315" localSheetId="12">#REF!</definedName>
    <definedName name="__ML315" localSheetId="19">#REF!</definedName>
    <definedName name="__ML315">#REF!</definedName>
    <definedName name="__ML316">#REF!</definedName>
    <definedName name="__ML317">#REF!</definedName>
    <definedName name="__ML318">#REF!</definedName>
    <definedName name="__ML319">#REF!</definedName>
    <definedName name="__ML32" localSheetId="6">#REF!</definedName>
    <definedName name="__ML32" localSheetId="12">#REF!</definedName>
    <definedName name="__ML32" localSheetId="19">#REF!</definedName>
    <definedName name="__ML32">#REF!</definedName>
    <definedName name="__ML320">#REF!</definedName>
    <definedName name="__ML321">#REF!</definedName>
    <definedName name="__ML322">#REF!</definedName>
    <definedName name="__ML323">#REF!</definedName>
    <definedName name="__ML324">#REF!</definedName>
    <definedName name="__ML33" localSheetId="6">#REF!</definedName>
    <definedName name="__ML33" localSheetId="12">#REF!</definedName>
    <definedName name="__ML33" localSheetId="19">#REF!</definedName>
    <definedName name="__ML33">#REF!</definedName>
    <definedName name="__ML34" localSheetId="6">#REF!</definedName>
    <definedName name="__ML34" localSheetId="12">#REF!</definedName>
    <definedName name="__ML34" localSheetId="19">#REF!</definedName>
    <definedName name="__ML34">#REF!</definedName>
    <definedName name="__ML35" localSheetId="6">#REF!</definedName>
    <definedName name="__ML35" localSheetId="12">#REF!</definedName>
    <definedName name="__ML35" localSheetId="19">#REF!</definedName>
    <definedName name="__ML35">#REF!</definedName>
    <definedName name="__ML36" localSheetId="6">#REF!</definedName>
    <definedName name="__ML36" localSheetId="12">#REF!</definedName>
    <definedName name="__ML36" localSheetId="19">#REF!</definedName>
    <definedName name="__ML36">#REF!</definedName>
    <definedName name="__ML37" localSheetId="6">#REF!</definedName>
    <definedName name="__ML37" localSheetId="12">#REF!</definedName>
    <definedName name="__ML37" localSheetId="19">#REF!</definedName>
    <definedName name="__ML37">#REF!</definedName>
    <definedName name="__ML38" localSheetId="6">#REF!</definedName>
    <definedName name="__ML38" localSheetId="12">#REF!</definedName>
    <definedName name="__ML38" localSheetId="19">#REF!</definedName>
    <definedName name="__ML38">#REF!</definedName>
    <definedName name="__ML39" localSheetId="6">#REF!</definedName>
    <definedName name="__ML39" localSheetId="12">#REF!</definedName>
    <definedName name="__ML39" localSheetId="19">#REF!</definedName>
    <definedName name="__ML39">#REF!</definedName>
    <definedName name="__ML7" localSheetId="6">#REF!</definedName>
    <definedName name="__ML7" localSheetId="12">#REF!</definedName>
    <definedName name="__ML7" localSheetId="19">#REF!</definedName>
    <definedName name="__ML7">#REF!</definedName>
    <definedName name="__ML8" localSheetId="6">#REF!</definedName>
    <definedName name="__ML8" localSheetId="12">#REF!</definedName>
    <definedName name="__ML8" localSheetId="19">#REF!</definedName>
    <definedName name="__ML8">#REF!</definedName>
    <definedName name="__ML9" localSheetId="6">#REF!</definedName>
    <definedName name="__ML9" localSheetId="12">#REF!</definedName>
    <definedName name="__ML9" localSheetId="19">#REF!</definedName>
    <definedName name="__ML9">#REF!</definedName>
    <definedName name="__mm1_21" localSheetId="19">#REF!</definedName>
    <definedName name="__mm1_33" localSheetId="27">#REF!</definedName>
    <definedName name="__mm1_33">#REF!</definedName>
    <definedName name="__mm1_34">#REF!</definedName>
    <definedName name="__mm1000">#REF!</definedName>
    <definedName name="__mm20" localSheetId="5">#REF!</definedName>
    <definedName name="__mm20" localSheetId="6">#REF!</definedName>
    <definedName name="__mm20" localSheetId="12">#REF!</definedName>
    <definedName name="__mm20" localSheetId="34">#REF!</definedName>
    <definedName name="__mm20" localSheetId="19">#REF!</definedName>
    <definedName name="__mm20" localSheetId="30">#REF!</definedName>
    <definedName name="__mm20">#REF!</definedName>
    <definedName name="__mm40" localSheetId="5">#REF!</definedName>
    <definedName name="__mm40" localSheetId="6">#REF!</definedName>
    <definedName name="__mm40" localSheetId="12">#REF!</definedName>
    <definedName name="__mm40" localSheetId="34">#REF!</definedName>
    <definedName name="__mm40" localSheetId="19">#REF!</definedName>
    <definedName name="__mm40" localSheetId="30">#REF!</definedName>
    <definedName name="__mm40">#REF!</definedName>
    <definedName name="__mm600">#REF!</definedName>
    <definedName name="__mm800">#REF!</definedName>
    <definedName name="__MT1" localSheetId="6">#REF!</definedName>
    <definedName name="__MT1" localSheetId="12">#REF!</definedName>
    <definedName name="__MT1" localSheetId="19">#REF!</definedName>
    <definedName name="__MT1">#REF!</definedName>
    <definedName name="__MT10" localSheetId="6">#REF!</definedName>
    <definedName name="__MT10" localSheetId="12">#REF!</definedName>
    <definedName name="__MT10" localSheetId="19">#REF!</definedName>
    <definedName name="__MT10">#REF!</definedName>
    <definedName name="__MT100" localSheetId="6">#REF!</definedName>
    <definedName name="__MT100" localSheetId="12">#REF!</definedName>
    <definedName name="__MT100" localSheetId="19">#REF!</definedName>
    <definedName name="__MT100">#REF!</definedName>
    <definedName name="__MT101" localSheetId="6">#REF!</definedName>
    <definedName name="__MT101" localSheetId="12">#REF!</definedName>
    <definedName name="__MT101" localSheetId="19">#REF!</definedName>
    <definedName name="__MT101">#REF!</definedName>
    <definedName name="__MT102" localSheetId="6">#REF!</definedName>
    <definedName name="__MT102" localSheetId="12">#REF!</definedName>
    <definedName name="__MT102" localSheetId="19">#REF!</definedName>
    <definedName name="__MT102">#REF!</definedName>
    <definedName name="__MT103" localSheetId="6">#REF!</definedName>
    <definedName name="__MT103" localSheetId="12">#REF!</definedName>
    <definedName name="__MT103" localSheetId="19">#REF!</definedName>
    <definedName name="__MT103">#REF!</definedName>
    <definedName name="__MT104" localSheetId="6">#REF!</definedName>
    <definedName name="__MT104" localSheetId="12">#REF!</definedName>
    <definedName name="__MT104" localSheetId="19">#REF!</definedName>
    <definedName name="__MT104">#REF!</definedName>
    <definedName name="__MT105" localSheetId="6">#REF!</definedName>
    <definedName name="__MT105" localSheetId="12">#REF!</definedName>
    <definedName name="__MT105" localSheetId="19">#REF!</definedName>
    <definedName name="__MT105">#REF!</definedName>
    <definedName name="__MT106" localSheetId="6">#REF!</definedName>
    <definedName name="__MT106" localSheetId="12">#REF!</definedName>
    <definedName name="__MT106" localSheetId="19">#REF!</definedName>
    <definedName name="__MT106">#REF!</definedName>
    <definedName name="__MT107" localSheetId="6">#REF!</definedName>
    <definedName name="__MT107" localSheetId="12">#REF!</definedName>
    <definedName name="__MT107" localSheetId="19">#REF!</definedName>
    <definedName name="__MT107">#REF!</definedName>
    <definedName name="__MT108" localSheetId="6">#REF!</definedName>
    <definedName name="__MT108" localSheetId="12">#REF!</definedName>
    <definedName name="__MT108" localSheetId="19">#REF!</definedName>
    <definedName name="__MT108">#REF!</definedName>
    <definedName name="__MT109" localSheetId="6">#REF!</definedName>
    <definedName name="__MT109" localSheetId="12">#REF!</definedName>
    <definedName name="__MT109" localSheetId="19">#REF!</definedName>
    <definedName name="__MT109">#REF!</definedName>
    <definedName name="__MT11" localSheetId="6">#REF!</definedName>
    <definedName name="__MT11" localSheetId="12">#REF!</definedName>
    <definedName name="__MT11" localSheetId="19">#REF!</definedName>
    <definedName name="__MT11">#REF!</definedName>
    <definedName name="__MT110" localSheetId="6">#REF!</definedName>
    <definedName name="__MT110" localSheetId="12">#REF!</definedName>
    <definedName name="__MT110" localSheetId="19">#REF!</definedName>
    <definedName name="__MT110">#REF!</definedName>
    <definedName name="__MT111" localSheetId="6">#REF!</definedName>
    <definedName name="__MT111" localSheetId="12">#REF!</definedName>
    <definedName name="__MT111" localSheetId="19">#REF!</definedName>
    <definedName name="__MT111">#REF!</definedName>
    <definedName name="__MT112" localSheetId="6">#REF!</definedName>
    <definedName name="__MT112" localSheetId="12">#REF!</definedName>
    <definedName name="__MT112" localSheetId="19">#REF!</definedName>
    <definedName name="__MT112">#REF!</definedName>
    <definedName name="__MT113" localSheetId="6">#REF!</definedName>
    <definedName name="__MT113" localSheetId="12">#REF!</definedName>
    <definedName name="__MT113" localSheetId="19">#REF!</definedName>
    <definedName name="__MT113">#REF!</definedName>
    <definedName name="__MT114" localSheetId="6">#REF!</definedName>
    <definedName name="__MT114" localSheetId="12">#REF!</definedName>
    <definedName name="__MT114" localSheetId="19">#REF!</definedName>
    <definedName name="__MT114">#REF!</definedName>
    <definedName name="__MT115" localSheetId="6">#REF!</definedName>
    <definedName name="__MT115" localSheetId="12">#REF!</definedName>
    <definedName name="__MT115" localSheetId="19">#REF!</definedName>
    <definedName name="__MT115">#REF!</definedName>
    <definedName name="__MT116" localSheetId="6">#REF!</definedName>
    <definedName name="__MT116" localSheetId="12">#REF!</definedName>
    <definedName name="__MT116" localSheetId="19">#REF!</definedName>
    <definedName name="__MT116">#REF!</definedName>
    <definedName name="__MT117" localSheetId="6">#REF!</definedName>
    <definedName name="__MT117" localSheetId="12">#REF!</definedName>
    <definedName name="__MT117" localSheetId="19">#REF!</definedName>
    <definedName name="__MT117">#REF!</definedName>
    <definedName name="__MT118" localSheetId="6">#REF!</definedName>
    <definedName name="__MT118" localSheetId="12">#REF!</definedName>
    <definedName name="__MT118" localSheetId="19">#REF!</definedName>
    <definedName name="__MT118">#REF!</definedName>
    <definedName name="__MT119" localSheetId="6">#REF!</definedName>
    <definedName name="__MT119" localSheetId="12">#REF!</definedName>
    <definedName name="__MT119" localSheetId="19">#REF!</definedName>
    <definedName name="__MT119">#REF!</definedName>
    <definedName name="__MT12" localSheetId="6">#REF!</definedName>
    <definedName name="__MT12" localSheetId="12">#REF!</definedName>
    <definedName name="__MT12" localSheetId="19">#REF!</definedName>
    <definedName name="__MT12">#REF!</definedName>
    <definedName name="__MT120" localSheetId="6">#REF!</definedName>
    <definedName name="__MT120" localSheetId="12">#REF!</definedName>
    <definedName name="__MT120" localSheetId="19">#REF!</definedName>
    <definedName name="__MT120">#REF!</definedName>
    <definedName name="__MT121" localSheetId="6">#REF!</definedName>
    <definedName name="__MT121" localSheetId="12">#REF!</definedName>
    <definedName name="__MT121" localSheetId="19">#REF!</definedName>
    <definedName name="__MT121">#REF!</definedName>
    <definedName name="__MT122" localSheetId="6">#REF!</definedName>
    <definedName name="__MT122" localSheetId="12">#REF!</definedName>
    <definedName name="__MT122" localSheetId="19">#REF!</definedName>
    <definedName name="__MT122">#REF!</definedName>
    <definedName name="__MT123" localSheetId="6">#REF!</definedName>
    <definedName name="__MT123" localSheetId="12">#REF!</definedName>
    <definedName name="__MT123" localSheetId="19">#REF!</definedName>
    <definedName name="__MT123">#REF!</definedName>
    <definedName name="__MT124" localSheetId="6">#REF!</definedName>
    <definedName name="__MT124" localSheetId="12">#REF!</definedName>
    <definedName name="__MT124" localSheetId="19">#REF!</definedName>
    <definedName name="__MT124">#REF!</definedName>
    <definedName name="__MT125" localSheetId="6">#REF!</definedName>
    <definedName name="__MT125" localSheetId="12">#REF!</definedName>
    <definedName name="__MT125" localSheetId="19">#REF!</definedName>
    <definedName name="__MT125">#REF!</definedName>
    <definedName name="__MT126" localSheetId="6">#REF!</definedName>
    <definedName name="__MT126" localSheetId="12">#REF!</definedName>
    <definedName name="__MT126" localSheetId="19">#REF!</definedName>
    <definedName name="__MT126">#REF!</definedName>
    <definedName name="__MT127" localSheetId="6">#REF!</definedName>
    <definedName name="__MT127" localSheetId="12">#REF!</definedName>
    <definedName name="__MT127" localSheetId="19">#REF!</definedName>
    <definedName name="__MT127">#REF!</definedName>
    <definedName name="__MT128" localSheetId="6">#REF!</definedName>
    <definedName name="__MT128" localSheetId="12">#REF!</definedName>
    <definedName name="__MT128" localSheetId="19">#REF!</definedName>
    <definedName name="__MT128">#REF!</definedName>
    <definedName name="__MT129" localSheetId="6">#REF!</definedName>
    <definedName name="__MT129" localSheetId="12">#REF!</definedName>
    <definedName name="__MT129" localSheetId="19">#REF!</definedName>
    <definedName name="__MT129">#REF!</definedName>
    <definedName name="__MT13" localSheetId="6">#REF!</definedName>
    <definedName name="__MT13" localSheetId="12">#REF!</definedName>
    <definedName name="__MT13" localSheetId="19">#REF!</definedName>
    <definedName name="__MT13">#REF!</definedName>
    <definedName name="__MT130" localSheetId="6">#REF!</definedName>
    <definedName name="__MT130" localSheetId="12">#REF!</definedName>
    <definedName name="__MT130" localSheetId="19">#REF!</definedName>
    <definedName name="__MT130">#REF!</definedName>
    <definedName name="__MT131" localSheetId="6">#REF!</definedName>
    <definedName name="__MT131" localSheetId="12">#REF!</definedName>
    <definedName name="__MT131" localSheetId="19">#REF!</definedName>
    <definedName name="__MT131">#REF!</definedName>
    <definedName name="__MT132" localSheetId="6">#REF!</definedName>
    <definedName name="__MT132" localSheetId="12">#REF!</definedName>
    <definedName name="__MT132" localSheetId="19">#REF!</definedName>
    <definedName name="__MT132">#REF!</definedName>
    <definedName name="__MT133" localSheetId="6">#REF!</definedName>
    <definedName name="__MT133" localSheetId="12">#REF!</definedName>
    <definedName name="__MT133" localSheetId="19">#REF!</definedName>
    <definedName name="__MT133">#REF!</definedName>
    <definedName name="__MT134" localSheetId="6">#REF!</definedName>
    <definedName name="__MT134" localSheetId="12">#REF!</definedName>
    <definedName name="__MT134" localSheetId="19">#REF!</definedName>
    <definedName name="__MT134">#REF!</definedName>
    <definedName name="__MT135" localSheetId="6">#REF!</definedName>
    <definedName name="__MT135" localSheetId="12">#REF!</definedName>
    <definedName name="__MT135" localSheetId="19">#REF!</definedName>
    <definedName name="__MT135">#REF!</definedName>
    <definedName name="__MT136" localSheetId="6">#REF!</definedName>
    <definedName name="__MT136" localSheetId="12">#REF!</definedName>
    <definedName name="__MT136" localSheetId="19">#REF!</definedName>
    <definedName name="__MT136">#REF!</definedName>
    <definedName name="__MT137" localSheetId="6">#REF!</definedName>
    <definedName name="__MT137" localSheetId="12">#REF!</definedName>
    <definedName name="__MT137" localSheetId="19">#REF!</definedName>
    <definedName name="__MT137">#REF!</definedName>
    <definedName name="__MT138" localSheetId="6">#REF!</definedName>
    <definedName name="__MT138" localSheetId="12">#REF!</definedName>
    <definedName name="__MT138" localSheetId="19">#REF!</definedName>
    <definedName name="__MT138">#REF!</definedName>
    <definedName name="__MT139" localSheetId="6">#REF!</definedName>
    <definedName name="__MT139" localSheetId="12">#REF!</definedName>
    <definedName name="__MT139" localSheetId="19">#REF!</definedName>
    <definedName name="__MT139">#REF!</definedName>
    <definedName name="__MT14" localSheetId="6">#REF!</definedName>
    <definedName name="__MT14" localSheetId="12">#REF!</definedName>
    <definedName name="__MT14" localSheetId="19">#REF!</definedName>
    <definedName name="__MT14">#REF!</definedName>
    <definedName name="__MT140" localSheetId="6">#REF!</definedName>
    <definedName name="__MT140" localSheetId="12">#REF!</definedName>
    <definedName name="__MT140" localSheetId="19">#REF!</definedName>
    <definedName name="__MT140">#REF!</definedName>
    <definedName name="__MT141" localSheetId="6">#REF!</definedName>
    <definedName name="__MT141" localSheetId="12">#REF!</definedName>
    <definedName name="__MT141" localSheetId="19">#REF!</definedName>
    <definedName name="__MT141">#REF!</definedName>
    <definedName name="__MT142" localSheetId="6">#REF!</definedName>
    <definedName name="__MT142" localSheetId="12">#REF!</definedName>
    <definedName name="__MT142" localSheetId="19">#REF!</definedName>
    <definedName name="__MT142">#REF!</definedName>
    <definedName name="__MT143" localSheetId="6">#REF!</definedName>
    <definedName name="__MT143" localSheetId="12">#REF!</definedName>
    <definedName name="__MT143" localSheetId="19">#REF!</definedName>
    <definedName name="__MT143">#REF!</definedName>
    <definedName name="__MT144" localSheetId="6">#REF!</definedName>
    <definedName name="__MT144" localSheetId="12">#REF!</definedName>
    <definedName name="__MT144" localSheetId="19">#REF!</definedName>
    <definedName name="__MT144">#REF!</definedName>
    <definedName name="__MT145" localSheetId="6">#REF!</definedName>
    <definedName name="__MT145" localSheetId="12">#REF!</definedName>
    <definedName name="__MT145" localSheetId="19">#REF!</definedName>
    <definedName name="__MT145">#REF!</definedName>
    <definedName name="__MT146" localSheetId="6">#REF!</definedName>
    <definedName name="__MT146" localSheetId="12">#REF!</definedName>
    <definedName name="__MT146" localSheetId="19">#REF!</definedName>
    <definedName name="__MT146">#REF!</definedName>
    <definedName name="__MT147" localSheetId="6">#REF!</definedName>
    <definedName name="__MT147" localSheetId="12">#REF!</definedName>
    <definedName name="__MT147" localSheetId="19">#REF!</definedName>
    <definedName name="__MT147">#REF!</definedName>
    <definedName name="__MT148" localSheetId="6">#REF!</definedName>
    <definedName name="__MT148" localSheetId="12">#REF!</definedName>
    <definedName name="__MT148" localSheetId="19">#REF!</definedName>
    <definedName name="__MT148">#REF!</definedName>
    <definedName name="__MT149" localSheetId="6">#REF!</definedName>
    <definedName name="__MT149" localSheetId="12">#REF!</definedName>
    <definedName name="__MT149" localSheetId="19">#REF!</definedName>
    <definedName name="__MT149">#REF!</definedName>
    <definedName name="__MT15" localSheetId="6">#REF!</definedName>
    <definedName name="__MT15" localSheetId="12">#REF!</definedName>
    <definedName name="__MT15" localSheetId="19">#REF!</definedName>
    <definedName name="__MT15">#REF!</definedName>
    <definedName name="__MT150" localSheetId="6">#REF!</definedName>
    <definedName name="__MT150" localSheetId="12">#REF!</definedName>
    <definedName name="__MT150" localSheetId="19">#REF!</definedName>
    <definedName name="__MT150">#REF!</definedName>
    <definedName name="__MT16" localSheetId="6">#REF!</definedName>
    <definedName name="__MT16" localSheetId="12">#REF!</definedName>
    <definedName name="__MT16" localSheetId="19">#REF!</definedName>
    <definedName name="__MT16">#REF!</definedName>
    <definedName name="__MT17" localSheetId="6">#REF!</definedName>
    <definedName name="__MT17" localSheetId="12">#REF!</definedName>
    <definedName name="__MT17" localSheetId="19">#REF!</definedName>
    <definedName name="__MT17">#REF!</definedName>
    <definedName name="__MT18" localSheetId="6">#REF!</definedName>
    <definedName name="__MT18" localSheetId="12">#REF!</definedName>
    <definedName name="__MT18" localSheetId="19">#REF!</definedName>
    <definedName name="__MT18">#REF!</definedName>
    <definedName name="__MT19" localSheetId="6">#REF!</definedName>
    <definedName name="__MT19" localSheetId="12">#REF!</definedName>
    <definedName name="__MT19" localSheetId="19">#REF!</definedName>
    <definedName name="__MT19">#REF!</definedName>
    <definedName name="__MT2" localSheetId="6">#REF!</definedName>
    <definedName name="__MT2" localSheetId="12">#REF!</definedName>
    <definedName name="__MT2" localSheetId="19">#REF!</definedName>
    <definedName name="__MT2">#REF!</definedName>
    <definedName name="__MT20" localSheetId="6">#REF!</definedName>
    <definedName name="__MT20" localSheetId="12">#REF!</definedName>
    <definedName name="__MT20" localSheetId="19">#REF!</definedName>
    <definedName name="__MT20">#REF!</definedName>
    <definedName name="__MT21" localSheetId="6">#REF!</definedName>
    <definedName name="__MT21" localSheetId="12">#REF!</definedName>
    <definedName name="__MT21" localSheetId="19">#REF!</definedName>
    <definedName name="__MT21">#REF!</definedName>
    <definedName name="__MT22" localSheetId="6">#REF!</definedName>
    <definedName name="__MT22" localSheetId="12">#REF!</definedName>
    <definedName name="__MT22" localSheetId="19">#REF!</definedName>
    <definedName name="__MT22">#REF!</definedName>
    <definedName name="__MT23" localSheetId="6">#REF!</definedName>
    <definedName name="__MT23" localSheetId="12">#REF!</definedName>
    <definedName name="__MT23" localSheetId="19">#REF!</definedName>
    <definedName name="__MT23">#REF!</definedName>
    <definedName name="__MT24" localSheetId="6">#REF!</definedName>
    <definedName name="__MT24" localSheetId="12">#REF!</definedName>
    <definedName name="__MT24" localSheetId="19">#REF!</definedName>
    <definedName name="__MT24">#REF!</definedName>
    <definedName name="__MT25" localSheetId="6">#REF!</definedName>
    <definedName name="__MT25" localSheetId="12">#REF!</definedName>
    <definedName name="__MT25" localSheetId="19">#REF!</definedName>
    <definedName name="__MT25">#REF!</definedName>
    <definedName name="__MT26" localSheetId="6">#REF!</definedName>
    <definedName name="__MT26" localSheetId="12">#REF!</definedName>
    <definedName name="__MT26" localSheetId="19">#REF!</definedName>
    <definedName name="__MT26">#REF!</definedName>
    <definedName name="__MT27" localSheetId="6">#REF!</definedName>
    <definedName name="__MT27" localSheetId="12">#REF!</definedName>
    <definedName name="__MT27" localSheetId="19">#REF!</definedName>
    <definedName name="__MT27">#REF!</definedName>
    <definedName name="__MT28" localSheetId="6">#REF!</definedName>
    <definedName name="__MT28" localSheetId="12">#REF!</definedName>
    <definedName name="__MT28" localSheetId="19">#REF!</definedName>
    <definedName name="__MT28">#REF!</definedName>
    <definedName name="__MT29" localSheetId="6">#REF!</definedName>
    <definedName name="__MT29" localSheetId="12">#REF!</definedName>
    <definedName name="__MT29" localSheetId="19">#REF!</definedName>
    <definedName name="__MT29">#REF!</definedName>
    <definedName name="__MT3" localSheetId="6">#REF!</definedName>
    <definedName name="__MT3" localSheetId="12">#REF!</definedName>
    <definedName name="__MT3" localSheetId="19">#REF!</definedName>
    <definedName name="__MT3">#REF!</definedName>
    <definedName name="__MT30" localSheetId="6">#REF!</definedName>
    <definedName name="__MT30" localSheetId="12">#REF!</definedName>
    <definedName name="__MT30" localSheetId="19">#REF!</definedName>
    <definedName name="__MT30">#REF!</definedName>
    <definedName name="__MT31" localSheetId="6">#REF!</definedName>
    <definedName name="__MT31" localSheetId="12">#REF!</definedName>
    <definedName name="__MT31" localSheetId="19">#REF!</definedName>
    <definedName name="__MT31">#REF!</definedName>
    <definedName name="__MT32" localSheetId="6">#REF!</definedName>
    <definedName name="__MT32" localSheetId="12">#REF!</definedName>
    <definedName name="__MT32" localSheetId="19">#REF!</definedName>
    <definedName name="__MT32">#REF!</definedName>
    <definedName name="__MT33" localSheetId="6">#REF!</definedName>
    <definedName name="__MT33" localSheetId="12">#REF!</definedName>
    <definedName name="__MT33" localSheetId="19">#REF!</definedName>
    <definedName name="__MT33">#REF!</definedName>
    <definedName name="__MT34" localSheetId="6">#REF!</definedName>
    <definedName name="__MT34" localSheetId="12">#REF!</definedName>
    <definedName name="__MT34" localSheetId="19">#REF!</definedName>
    <definedName name="__MT34">#REF!</definedName>
    <definedName name="__MT35" localSheetId="6">#REF!</definedName>
    <definedName name="__MT35" localSheetId="12">#REF!</definedName>
    <definedName name="__MT35" localSheetId="19">#REF!</definedName>
    <definedName name="__MT35">#REF!</definedName>
    <definedName name="__MT36" localSheetId="6">#REF!</definedName>
    <definedName name="__MT36" localSheetId="12">#REF!</definedName>
    <definedName name="__MT36" localSheetId="19">#REF!</definedName>
    <definedName name="__MT36">#REF!</definedName>
    <definedName name="__MT37" localSheetId="6">#REF!</definedName>
    <definedName name="__MT37" localSheetId="12">#REF!</definedName>
    <definedName name="__MT37" localSheetId="19">#REF!</definedName>
    <definedName name="__MT37">#REF!</definedName>
    <definedName name="__MT38" localSheetId="6">#REF!</definedName>
    <definedName name="__MT38" localSheetId="12">#REF!</definedName>
    <definedName name="__MT38" localSheetId="19">#REF!</definedName>
    <definedName name="__MT38">#REF!</definedName>
    <definedName name="__MT39" localSheetId="6">#REF!</definedName>
    <definedName name="__MT39" localSheetId="12">#REF!</definedName>
    <definedName name="__MT39" localSheetId="19">#REF!</definedName>
    <definedName name="__MT39">#REF!</definedName>
    <definedName name="__MT4" localSheetId="6">#REF!</definedName>
    <definedName name="__MT4" localSheetId="12">#REF!</definedName>
    <definedName name="__MT4" localSheetId="19">#REF!</definedName>
    <definedName name="__MT4">#REF!</definedName>
    <definedName name="__MT40" localSheetId="6">#REF!</definedName>
    <definedName name="__MT40" localSheetId="12">#REF!</definedName>
    <definedName name="__MT40" localSheetId="19">#REF!</definedName>
    <definedName name="__MT40">#REF!</definedName>
    <definedName name="__MT41" localSheetId="6">#REF!</definedName>
    <definedName name="__MT41" localSheetId="12">#REF!</definedName>
    <definedName name="__MT41" localSheetId="19">#REF!</definedName>
    <definedName name="__MT41">#REF!</definedName>
    <definedName name="__MT42" localSheetId="6">#REF!</definedName>
    <definedName name="__MT42" localSheetId="12">#REF!</definedName>
    <definedName name="__MT42" localSheetId="19">#REF!</definedName>
    <definedName name="__MT42">#REF!</definedName>
    <definedName name="__MT43" localSheetId="6">#REF!</definedName>
    <definedName name="__MT43" localSheetId="12">#REF!</definedName>
    <definedName name="__MT43" localSheetId="19">#REF!</definedName>
    <definedName name="__MT43">#REF!</definedName>
    <definedName name="__MT44" localSheetId="6">#REF!</definedName>
    <definedName name="__MT44" localSheetId="12">#REF!</definedName>
    <definedName name="__MT44" localSheetId="19">#REF!</definedName>
    <definedName name="__MT44">#REF!</definedName>
    <definedName name="__MT45" localSheetId="6">#REF!</definedName>
    <definedName name="__MT45" localSheetId="12">#REF!</definedName>
    <definedName name="__MT45" localSheetId="19">#REF!</definedName>
    <definedName name="__MT45">#REF!</definedName>
    <definedName name="__MT46" localSheetId="6">#REF!</definedName>
    <definedName name="__MT46" localSheetId="12">#REF!</definedName>
    <definedName name="__MT46" localSheetId="19">#REF!</definedName>
    <definedName name="__MT46">#REF!</definedName>
    <definedName name="__MT47" localSheetId="6">#REF!</definedName>
    <definedName name="__MT47" localSheetId="12">#REF!</definedName>
    <definedName name="__MT47" localSheetId="19">#REF!</definedName>
    <definedName name="__MT47">#REF!</definedName>
    <definedName name="__MT48" localSheetId="6">#REF!</definedName>
    <definedName name="__MT48" localSheetId="12">#REF!</definedName>
    <definedName name="__MT48" localSheetId="19">#REF!</definedName>
    <definedName name="__MT48">#REF!</definedName>
    <definedName name="__MT49" localSheetId="6">#REF!</definedName>
    <definedName name="__MT49" localSheetId="12">#REF!</definedName>
    <definedName name="__MT49" localSheetId="19">#REF!</definedName>
    <definedName name="__MT49">#REF!</definedName>
    <definedName name="__MT5" localSheetId="6">#REF!</definedName>
    <definedName name="__MT5" localSheetId="12">#REF!</definedName>
    <definedName name="__MT5" localSheetId="19">#REF!</definedName>
    <definedName name="__MT5">#REF!</definedName>
    <definedName name="__MT50" localSheetId="6">#REF!</definedName>
    <definedName name="__MT50" localSheetId="12">#REF!</definedName>
    <definedName name="__MT50" localSheetId="19">#REF!</definedName>
    <definedName name="__MT50">#REF!</definedName>
    <definedName name="__MT500" localSheetId="6">#REF!</definedName>
    <definedName name="__MT500" localSheetId="12">#REF!</definedName>
    <definedName name="__MT500" localSheetId="19">#REF!</definedName>
    <definedName name="__MT500">#REF!</definedName>
    <definedName name="__MT51" localSheetId="6">#REF!</definedName>
    <definedName name="__MT51" localSheetId="12">#REF!</definedName>
    <definedName name="__MT51" localSheetId="19">#REF!</definedName>
    <definedName name="__MT51">#REF!</definedName>
    <definedName name="__MT52" localSheetId="6">#REF!</definedName>
    <definedName name="__MT52" localSheetId="12">#REF!</definedName>
    <definedName name="__MT52" localSheetId="19">#REF!</definedName>
    <definedName name="__MT52">#REF!</definedName>
    <definedName name="__MT53" localSheetId="6">#REF!</definedName>
    <definedName name="__MT53" localSheetId="12">#REF!</definedName>
    <definedName name="__MT53" localSheetId="19">#REF!</definedName>
    <definedName name="__MT53">#REF!</definedName>
    <definedName name="__MT54" localSheetId="6">#REF!</definedName>
    <definedName name="__MT54" localSheetId="12">#REF!</definedName>
    <definedName name="__MT54" localSheetId="19">#REF!</definedName>
    <definedName name="__MT54">#REF!</definedName>
    <definedName name="__MT55" localSheetId="6">#REF!</definedName>
    <definedName name="__MT55" localSheetId="12">#REF!</definedName>
    <definedName name="__MT55" localSheetId="19">#REF!</definedName>
    <definedName name="__MT55">#REF!</definedName>
    <definedName name="__MT56" localSheetId="6">#REF!</definedName>
    <definedName name="__MT56" localSheetId="12">#REF!</definedName>
    <definedName name="__MT56" localSheetId="19">#REF!</definedName>
    <definedName name="__MT56">#REF!</definedName>
    <definedName name="__MT57" localSheetId="6">#REF!</definedName>
    <definedName name="__MT57" localSheetId="12">#REF!</definedName>
    <definedName name="__MT57" localSheetId="19">#REF!</definedName>
    <definedName name="__MT57">#REF!</definedName>
    <definedName name="__MT58" localSheetId="6">#REF!</definedName>
    <definedName name="__MT58" localSheetId="12">#REF!</definedName>
    <definedName name="__MT58" localSheetId="19">#REF!</definedName>
    <definedName name="__MT58">#REF!</definedName>
    <definedName name="__MT59" localSheetId="6">#REF!</definedName>
    <definedName name="__MT59" localSheetId="12">#REF!</definedName>
    <definedName name="__MT59" localSheetId="19">#REF!</definedName>
    <definedName name="__MT59">#REF!</definedName>
    <definedName name="__MT6" localSheetId="6">#REF!</definedName>
    <definedName name="__MT6" localSheetId="12">#REF!</definedName>
    <definedName name="__MT6" localSheetId="19">#REF!</definedName>
    <definedName name="__MT6">#REF!</definedName>
    <definedName name="__MT60" localSheetId="6">#REF!</definedName>
    <definedName name="__MT60" localSheetId="12">#REF!</definedName>
    <definedName name="__MT60" localSheetId="19">#REF!</definedName>
    <definedName name="__MT60">#REF!</definedName>
    <definedName name="__MT61" localSheetId="6">#REF!</definedName>
    <definedName name="__MT61" localSheetId="12">#REF!</definedName>
    <definedName name="__MT61" localSheetId="19">#REF!</definedName>
    <definedName name="__MT61">#REF!</definedName>
    <definedName name="__MT62" localSheetId="6">#REF!</definedName>
    <definedName name="__MT62" localSheetId="12">#REF!</definedName>
    <definedName name="__MT62" localSheetId="19">#REF!</definedName>
    <definedName name="__MT62">#REF!</definedName>
    <definedName name="__MT63" localSheetId="6">#REF!</definedName>
    <definedName name="__MT63" localSheetId="12">#REF!</definedName>
    <definedName name="__MT63" localSheetId="19">#REF!</definedName>
    <definedName name="__MT63">#REF!</definedName>
    <definedName name="__MT64" localSheetId="6">#REF!</definedName>
    <definedName name="__MT64" localSheetId="12">#REF!</definedName>
    <definedName name="__MT64" localSheetId="19">#REF!</definedName>
    <definedName name="__MT64">#REF!</definedName>
    <definedName name="__MT65" localSheetId="6">#REF!</definedName>
    <definedName name="__MT65" localSheetId="12">#REF!</definedName>
    <definedName name="__MT65" localSheetId="19">#REF!</definedName>
    <definedName name="__MT65">#REF!</definedName>
    <definedName name="__MT66" localSheetId="6">#REF!</definedName>
    <definedName name="__MT66" localSheetId="12">#REF!</definedName>
    <definedName name="__MT66" localSheetId="19">#REF!</definedName>
    <definedName name="__MT66">#REF!</definedName>
    <definedName name="__MT67" localSheetId="6">#REF!</definedName>
    <definedName name="__MT67" localSheetId="12">#REF!</definedName>
    <definedName name="__MT67" localSheetId="19">#REF!</definedName>
    <definedName name="__MT67">#REF!</definedName>
    <definedName name="__MT68" localSheetId="6">#REF!</definedName>
    <definedName name="__MT68" localSheetId="12">#REF!</definedName>
    <definedName name="__MT68" localSheetId="19">#REF!</definedName>
    <definedName name="__MT68">#REF!</definedName>
    <definedName name="__MT69" localSheetId="6">#REF!</definedName>
    <definedName name="__MT69" localSheetId="12">#REF!</definedName>
    <definedName name="__MT69" localSheetId="19">#REF!</definedName>
    <definedName name="__MT69">#REF!</definedName>
    <definedName name="__MT7" localSheetId="6">#REF!</definedName>
    <definedName name="__MT7" localSheetId="12">#REF!</definedName>
    <definedName name="__MT7" localSheetId="19">#REF!</definedName>
    <definedName name="__MT7">#REF!</definedName>
    <definedName name="__MT70" localSheetId="6">#REF!</definedName>
    <definedName name="__MT70" localSheetId="12">#REF!</definedName>
    <definedName name="__MT70" localSheetId="19">#REF!</definedName>
    <definedName name="__MT70">#REF!</definedName>
    <definedName name="__MT71" localSheetId="6">#REF!</definedName>
    <definedName name="__MT71" localSheetId="12">#REF!</definedName>
    <definedName name="__MT71" localSheetId="19">#REF!</definedName>
    <definedName name="__MT71">#REF!</definedName>
    <definedName name="__MT72" localSheetId="6">#REF!</definedName>
    <definedName name="__MT72" localSheetId="12">#REF!</definedName>
    <definedName name="__MT72" localSheetId="19">#REF!</definedName>
    <definedName name="__MT72">#REF!</definedName>
    <definedName name="__MT73" localSheetId="6">#REF!</definedName>
    <definedName name="__MT73" localSheetId="12">#REF!</definedName>
    <definedName name="__MT73" localSheetId="19">#REF!</definedName>
    <definedName name="__MT73">#REF!</definedName>
    <definedName name="__MT74" localSheetId="6">#REF!</definedName>
    <definedName name="__MT74" localSheetId="12">#REF!</definedName>
    <definedName name="__MT74" localSheetId="19">#REF!</definedName>
    <definedName name="__MT74">#REF!</definedName>
    <definedName name="__MT75" localSheetId="6">#REF!</definedName>
    <definedName name="__MT75" localSheetId="12">#REF!</definedName>
    <definedName name="__MT75" localSheetId="19">#REF!</definedName>
    <definedName name="__MT75">#REF!</definedName>
    <definedName name="__MT76" localSheetId="6">#REF!</definedName>
    <definedName name="__MT76" localSheetId="12">#REF!</definedName>
    <definedName name="__MT76" localSheetId="19">#REF!</definedName>
    <definedName name="__MT76">#REF!</definedName>
    <definedName name="__MT77" localSheetId="6">#REF!</definedName>
    <definedName name="__MT77" localSheetId="12">#REF!</definedName>
    <definedName name="__MT77" localSheetId="19">#REF!</definedName>
    <definedName name="__MT77">#REF!</definedName>
    <definedName name="__MT78" localSheetId="6">#REF!</definedName>
    <definedName name="__MT78" localSheetId="12">#REF!</definedName>
    <definedName name="__MT78" localSheetId="19">#REF!</definedName>
    <definedName name="__MT78">#REF!</definedName>
    <definedName name="__MT79" localSheetId="6">#REF!</definedName>
    <definedName name="__MT79" localSheetId="12">#REF!</definedName>
    <definedName name="__MT79" localSheetId="19">#REF!</definedName>
    <definedName name="__MT79">#REF!</definedName>
    <definedName name="__MT8" localSheetId="6">#REF!</definedName>
    <definedName name="__MT8" localSheetId="12">#REF!</definedName>
    <definedName name="__MT8" localSheetId="19">#REF!</definedName>
    <definedName name="__MT8">#REF!</definedName>
    <definedName name="__MT80" localSheetId="6">#REF!</definedName>
    <definedName name="__MT80" localSheetId="12">#REF!</definedName>
    <definedName name="__MT80" localSheetId="19">#REF!</definedName>
    <definedName name="__MT80">#REF!</definedName>
    <definedName name="__MT81" localSheetId="6">#REF!</definedName>
    <definedName name="__MT81" localSheetId="12">#REF!</definedName>
    <definedName name="__MT81" localSheetId="19">#REF!</definedName>
    <definedName name="__MT81">#REF!</definedName>
    <definedName name="__MT82" localSheetId="6">#REF!</definedName>
    <definedName name="__MT82" localSheetId="12">#REF!</definedName>
    <definedName name="__MT82" localSheetId="19">#REF!</definedName>
    <definedName name="__MT82">#REF!</definedName>
    <definedName name="__MT83" localSheetId="6">#REF!</definedName>
    <definedName name="__MT83" localSheetId="12">#REF!</definedName>
    <definedName name="__MT83" localSheetId="19">#REF!</definedName>
    <definedName name="__MT83">#REF!</definedName>
    <definedName name="__MT84" localSheetId="6">#REF!</definedName>
    <definedName name="__MT84" localSheetId="12">#REF!</definedName>
    <definedName name="__MT84" localSheetId="19">#REF!</definedName>
    <definedName name="__MT84">#REF!</definedName>
    <definedName name="__MT85" localSheetId="6">#REF!</definedName>
    <definedName name="__MT85" localSheetId="12">#REF!</definedName>
    <definedName name="__MT85" localSheetId="19">#REF!</definedName>
    <definedName name="__MT85">#REF!</definedName>
    <definedName name="__MT86" localSheetId="6">#REF!</definedName>
    <definedName name="__MT86" localSheetId="12">#REF!</definedName>
    <definedName name="__MT86" localSheetId="19">#REF!</definedName>
    <definedName name="__MT86">#REF!</definedName>
    <definedName name="__MT87" localSheetId="6">#REF!</definedName>
    <definedName name="__MT87" localSheetId="12">#REF!</definedName>
    <definedName name="__MT87" localSheetId="19">#REF!</definedName>
    <definedName name="__MT87">#REF!</definedName>
    <definedName name="__MT88" localSheetId="6">#REF!</definedName>
    <definedName name="__MT88" localSheetId="12">#REF!</definedName>
    <definedName name="__MT88" localSheetId="19">#REF!</definedName>
    <definedName name="__MT88">#REF!</definedName>
    <definedName name="__MT89" localSheetId="6">#REF!</definedName>
    <definedName name="__MT89" localSheetId="12">#REF!</definedName>
    <definedName name="__MT89" localSheetId="19">#REF!</definedName>
    <definedName name="__MT89">#REF!</definedName>
    <definedName name="__MT9" localSheetId="6">#REF!</definedName>
    <definedName name="__MT9" localSheetId="12">#REF!</definedName>
    <definedName name="__MT9" localSheetId="19">#REF!</definedName>
    <definedName name="__MT9">#REF!</definedName>
    <definedName name="__MT90" localSheetId="6">#REF!</definedName>
    <definedName name="__MT90" localSheetId="12">#REF!</definedName>
    <definedName name="__MT90" localSheetId="19">#REF!</definedName>
    <definedName name="__MT90">#REF!</definedName>
    <definedName name="__MT91" localSheetId="6">#REF!</definedName>
    <definedName name="__MT91" localSheetId="12">#REF!</definedName>
    <definedName name="__MT91" localSheetId="19">#REF!</definedName>
    <definedName name="__MT91">#REF!</definedName>
    <definedName name="__MT92" localSheetId="6">#REF!</definedName>
    <definedName name="__MT92" localSheetId="12">#REF!</definedName>
    <definedName name="__MT92" localSheetId="19">#REF!</definedName>
    <definedName name="__MT92">#REF!</definedName>
    <definedName name="__MT93" localSheetId="6">#REF!</definedName>
    <definedName name="__MT93" localSheetId="12">#REF!</definedName>
    <definedName name="__MT93" localSheetId="19">#REF!</definedName>
    <definedName name="__MT93">#REF!</definedName>
    <definedName name="__MT94" localSheetId="6">#REF!</definedName>
    <definedName name="__MT94" localSheetId="12">#REF!</definedName>
    <definedName name="__MT94" localSheetId="19">#REF!</definedName>
    <definedName name="__MT94">#REF!</definedName>
    <definedName name="__MT95" localSheetId="6">#REF!</definedName>
    <definedName name="__MT95" localSheetId="12">#REF!</definedName>
    <definedName name="__MT95" localSheetId="19">#REF!</definedName>
    <definedName name="__MT95">#REF!</definedName>
    <definedName name="__MT96" localSheetId="6">#REF!</definedName>
    <definedName name="__MT96" localSheetId="12">#REF!</definedName>
    <definedName name="__MT96" localSheetId="19">#REF!</definedName>
    <definedName name="__MT96">#REF!</definedName>
    <definedName name="__MT97" localSheetId="6">#REF!</definedName>
    <definedName name="__MT97" localSheetId="12">#REF!</definedName>
    <definedName name="__MT97" localSheetId="19">#REF!</definedName>
    <definedName name="__MT97">#REF!</definedName>
    <definedName name="__MT98" localSheetId="6">#REF!</definedName>
    <definedName name="__MT98" localSheetId="12">#REF!</definedName>
    <definedName name="__MT98" localSheetId="19">#REF!</definedName>
    <definedName name="__MT98">#REF!</definedName>
    <definedName name="__MT99" localSheetId="6">#REF!</definedName>
    <definedName name="__MT99" localSheetId="12">#REF!</definedName>
    <definedName name="__MT99" localSheetId="19">#REF!</definedName>
    <definedName name="__MT99">#REF!</definedName>
    <definedName name="__o3">#REF!</definedName>
    <definedName name="__p5" localSheetId="6">#REF!</definedName>
    <definedName name="__p5" localSheetId="12">#REF!</definedName>
    <definedName name="__p5" localSheetId="19">#REF!</definedName>
    <definedName name="__p5">#REF!</definedName>
    <definedName name="__pc02">#REF!</definedName>
    <definedName name="__PC1">#REF!</definedName>
    <definedName name="__PC10">#REF!</definedName>
    <definedName name="__PC11">#REF!</definedName>
    <definedName name="__PC12">#REF!</definedName>
    <definedName name="__PC13">#REF!</definedName>
    <definedName name="__PC14">#REF!</definedName>
    <definedName name="__PC15">#REF!</definedName>
    <definedName name="__PC16">#REF!</definedName>
    <definedName name="__PC17">#REF!</definedName>
    <definedName name="__PC18">#REF!</definedName>
    <definedName name="__PC19">#REF!</definedName>
    <definedName name="__pc2" localSheetId="22">#REF!</definedName>
    <definedName name="__pc2" localSheetId="5">#REF!</definedName>
    <definedName name="__pc2" localSheetId="6">#REF!</definedName>
    <definedName name="__pc2" localSheetId="12">#REF!</definedName>
    <definedName name="__pc2" localSheetId="34">#REF!</definedName>
    <definedName name="__pc2" localSheetId="19">#REF!</definedName>
    <definedName name="__pc2" localSheetId="30">#REF!</definedName>
    <definedName name="__pc2" localSheetId="40">#REF!</definedName>
    <definedName name="__pc2" localSheetId="26">#REF!</definedName>
    <definedName name="__pc2">#REF!</definedName>
    <definedName name="__pc2_23">"$#REF!.$#REF!$#REF!"</definedName>
    <definedName name="__pc2_33">"$#REF!.$#REF!$#REF!"</definedName>
    <definedName name="__pc2_34">"$#REF!.$#REF!$#REF!"</definedName>
    <definedName name="__pc2_38">"$#REF!.$#REF!$#REF!"</definedName>
    <definedName name="__pc2_41">"$#REF!.$#REF!$#REF!"</definedName>
    <definedName name="__pc2_43">"$#REF!.$#REF!$#REF!"</definedName>
    <definedName name="__pc2_48">"$#REF!.$#REF!$#REF!"</definedName>
    <definedName name="__pc2_57">"$#REF!.$#REF!$#REF!"</definedName>
    <definedName name="__pc2_59">"$#REF!.$#REF!$#REF!"</definedName>
    <definedName name="__pc2_60">"$#REF!.$#REF!$#REF!"</definedName>
    <definedName name="__pc2_61">"$#REF!.$#REF!$#REF!"</definedName>
    <definedName name="__pc2_62">"$#REF!.$#REF!$#REF!"</definedName>
    <definedName name="__pc2_7">"$#REF!.$#REF!$#REF!"</definedName>
    <definedName name="__pc2_72">"$#REF!.$#REF!$#REF!"</definedName>
    <definedName name="__pc2_73">"$#REF!.$#REF!$#REF!"</definedName>
    <definedName name="__pc2_8">"$#REF!.$#REF!$#REF!"</definedName>
    <definedName name="__PC20" localSheetId="27">#REF!</definedName>
    <definedName name="__PC20">#REF!</definedName>
    <definedName name="__PC21" localSheetId="27">#REF!</definedName>
    <definedName name="__PC21">#REF!</definedName>
    <definedName name="__PC22" localSheetId="27">#REF!</definedName>
    <definedName name="__PC22">#REF!</definedName>
    <definedName name="__PC23">#REF!</definedName>
    <definedName name="__PC24">#REF!</definedName>
    <definedName name="__PC3">#REF!</definedName>
    <definedName name="__PC4">#REF!</definedName>
    <definedName name="__PC5">#REF!</definedName>
    <definedName name="__PC6">#REF!</definedName>
    <definedName name="__pc600">#REF!</definedName>
    <definedName name="__PC7">#REF!</definedName>
    <definedName name="__PC8">#REF!</definedName>
    <definedName name="__PC9">#REF!</definedName>
    <definedName name="__pc900">#REF!</definedName>
    <definedName name="__pi1">#REF!</definedName>
    <definedName name="__PMS2" localSheetId="6">#REF!</definedName>
    <definedName name="__PMS2" localSheetId="12">#REF!</definedName>
    <definedName name="__PMS2" localSheetId="19">#REF!</definedName>
    <definedName name="__PMS2">#REF!</definedName>
    <definedName name="__PPA14" localSheetId="6">#REF!</definedName>
    <definedName name="__PPA14" localSheetId="12">#REF!</definedName>
    <definedName name="__PPA14" localSheetId="19">#REF!</definedName>
    <definedName name="__PPA14">#REF!</definedName>
    <definedName name="__PPB154" localSheetId="6">#REF!</definedName>
    <definedName name="__PPB154" localSheetId="12">#REF!</definedName>
    <definedName name="__PPB154" localSheetId="19">#REF!</definedName>
    <definedName name="__PPB154">#REF!</definedName>
    <definedName name="__PPB155" localSheetId="6">#REF!</definedName>
    <definedName name="__PPB155" localSheetId="12">#REF!</definedName>
    <definedName name="__PPB155" localSheetId="19">#REF!</definedName>
    <definedName name="__PPB155">#REF!</definedName>
    <definedName name="__PPB16" localSheetId="6">#REF!</definedName>
    <definedName name="__PPB16" localSheetId="12">#REF!</definedName>
    <definedName name="__PPB16" localSheetId="19">#REF!</definedName>
    <definedName name="__PPB16">#REF!</definedName>
    <definedName name="__PPB17" localSheetId="6">#REF!</definedName>
    <definedName name="__PPB17" localSheetId="12">#REF!</definedName>
    <definedName name="__PPB17" localSheetId="19">#REF!</definedName>
    <definedName name="__PPB17">#REF!</definedName>
    <definedName name="__PPB18" localSheetId="6">#REF!</definedName>
    <definedName name="__PPB18" localSheetId="12">#REF!</definedName>
    <definedName name="__PPB18" localSheetId="19">#REF!</definedName>
    <definedName name="__PPB18">#REF!</definedName>
    <definedName name="__PPB19" localSheetId="6">#REF!</definedName>
    <definedName name="__PPB19" localSheetId="12">#REF!</definedName>
    <definedName name="__PPB19" localSheetId="19">#REF!</definedName>
    <definedName name="__PPB19">#REF!</definedName>
    <definedName name="__PPB2" localSheetId="6">#REF!</definedName>
    <definedName name="__PPB2" localSheetId="12">#REF!</definedName>
    <definedName name="__PPB2" localSheetId="19">#REF!</definedName>
    <definedName name="__PPB2">#REF!</definedName>
    <definedName name="__PPB20" localSheetId="6">#REF!</definedName>
    <definedName name="__PPB20" localSheetId="12">#REF!</definedName>
    <definedName name="__PPB20" localSheetId="19">#REF!</definedName>
    <definedName name="__PPB20">#REF!</definedName>
    <definedName name="__PPB21" localSheetId="6">#REF!</definedName>
    <definedName name="__PPB21" localSheetId="12">#REF!</definedName>
    <definedName name="__PPB21" localSheetId="19">#REF!</definedName>
    <definedName name="__PPB21">#REF!</definedName>
    <definedName name="__PPB22" localSheetId="6">#REF!</definedName>
    <definedName name="__PPB22" localSheetId="12">#REF!</definedName>
    <definedName name="__PPB22" localSheetId="19">#REF!</definedName>
    <definedName name="__PPB22">#REF!</definedName>
    <definedName name="__PPB23" localSheetId="6">#REF!</definedName>
    <definedName name="__PPB23" localSheetId="12">#REF!</definedName>
    <definedName name="__PPB23" localSheetId="19">#REF!</definedName>
    <definedName name="__PPB23">#REF!</definedName>
    <definedName name="__PPB24" localSheetId="6">#REF!</definedName>
    <definedName name="__PPB24" localSheetId="12">#REF!</definedName>
    <definedName name="__PPB24" localSheetId="19">#REF!</definedName>
    <definedName name="__PPB24">#REF!</definedName>
    <definedName name="__PPB25" localSheetId="6">#REF!</definedName>
    <definedName name="__PPB25" localSheetId="12">#REF!</definedName>
    <definedName name="__PPB25" localSheetId="19">#REF!</definedName>
    <definedName name="__PPB25">#REF!</definedName>
    <definedName name="__PPB26" localSheetId="6">#REF!</definedName>
    <definedName name="__PPB26" localSheetId="12">#REF!</definedName>
    <definedName name="__PPB26" localSheetId="19">#REF!</definedName>
    <definedName name="__PPB26">#REF!</definedName>
    <definedName name="__PPB27" localSheetId="6">#REF!</definedName>
    <definedName name="__PPB27" localSheetId="12">#REF!</definedName>
    <definedName name="__PPB27" localSheetId="19">#REF!</definedName>
    <definedName name="__PPB27">#REF!</definedName>
    <definedName name="__PPB28" localSheetId="6">#REF!</definedName>
    <definedName name="__PPB28" localSheetId="12">#REF!</definedName>
    <definedName name="__PPB28" localSheetId="19">#REF!</definedName>
    <definedName name="__PPB28">#REF!</definedName>
    <definedName name="__PPB29" localSheetId="6">#REF!</definedName>
    <definedName name="__PPB29" localSheetId="12">#REF!</definedName>
    <definedName name="__PPB29" localSheetId="19">#REF!</definedName>
    <definedName name="__PPB29">#REF!</definedName>
    <definedName name="__PPB3" localSheetId="6">#REF!</definedName>
    <definedName name="__PPB3" localSheetId="12">#REF!</definedName>
    <definedName name="__PPB3" localSheetId="19">#REF!</definedName>
    <definedName name="__PPB3">#REF!</definedName>
    <definedName name="__PPB30" localSheetId="6">#REF!</definedName>
    <definedName name="__PPB30" localSheetId="12">#REF!</definedName>
    <definedName name="__PPB30" localSheetId="19">#REF!</definedName>
    <definedName name="__PPB30">#REF!</definedName>
    <definedName name="__PPB31" localSheetId="6">#REF!</definedName>
    <definedName name="__PPB31" localSheetId="12">#REF!</definedName>
    <definedName name="__PPB31" localSheetId="19">#REF!</definedName>
    <definedName name="__PPB31">#REF!</definedName>
    <definedName name="__PPB32" localSheetId="6">#REF!</definedName>
    <definedName name="__PPB32" localSheetId="12">#REF!</definedName>
    <definedName name="__PPB32" localSheetId="19">#REF!</definedName>
    <definedName name="__PPB32">#REF!</definedName>
    <definedName name="__PPB33" localSheetId="6">#REF!</definedName>
    <definedName name="__PPB33" localSheetId="12">#REF!</definedName>
    <definedName name="__PPB33" localSheetId="19">#REF!</definedName>
    <definedName name="__PPB33">#REF!</definedName>
    <definedName name="__PPB34" localSheetId="6">#REF!</definedName>
    <definedName name="__PPB34" localSheetId="12">#REF!</definedName>
    <definedName name="__PPB34" localSheetId="19">#REF!</definedName>
    <definedName name="__PPB34">#REF!</definedName>
    <definedName name="__PPB35" localSheetId="6">#REF!</definedName>
    <definedName name="__PPB35" localSheetId="12">#REF!</definedName>
    <definedName name="__PPB35" localSheetId="19">#REF!</definedName>
    <definedName name="__PPB35">#REF!</definedName>
    <definedName name="__PPB36" localSheetId="6">#REF!</definedName>
    <definedName name="__PPB36" localSheetId="12">#REF!</definedName>
    <definedName name="__PPB36" localSheetId="19">#REF!</definedName>
    <definedName name="__PPB36">#REF!</definedName>
    <definedName name="__PPB37" localSheetId="6">#REF!</definedName>
    <definedName name="__PPB37" localSheetId="12">#REF!</definedName>
    <definedName name="__PPB37" localSheetId="19">#REF!</definedName>
    <definedName name="__PPB37">#REF!</definedName>
    <definedName name="__PPB38" localSheetId="6">#REF!</definedName>
    <definedName name="__PPB38" localSheetId="12">#REF!</definedName>
    <definedName name="__PPB38" localSheetId="19">#REF!</definedName>
    <definedName name="__PPB38">#REF!</definedName>
    <definedName name="__PPB39" localSheetId="6">#REF!</definedName>
    <definedName name="__PPB39" localSheetId="12">#REF!</definedName>
    <definedName name="__PPB39" localSheetId="19">#REF!</definedName>
    <definedName name="__PPB39">#REF!</definedName>
    <definedName name="__PPB4" localSheetId="6">#REF!</definedName>
    <definedName name="__PPB4" localSheetId="12">#REF!</definedName>
    <definedName name="__PPB4" localSheetId="19">#REF!</definedName>
    <definedName name="__PPB4">#REF!</definedName>
    <definedName name="__PPB40" localSheetId="6">#REF!</definedName>
    <definedName name="__PPB40" localSheetId="12">#REF!</definedName>
    <definedName name="__PPB40" localSheetId="19">#REF!</definedName>
    <definedName name="__PPB40">#REF!</definedName>
    <definedName name="__PPB41" localSheetId="6">#REF!</definedName>
    <definedName name="__PPB41" localSheetId="12">#REF!</definedName>
    <definedName name="__PPB41" localSheetId="19">#REF!</definedName>
    <definedName name="__PPB41">#REF!</definedName>
    <definedName name="__PPB42" localSheetId="6">#REF!</definedName>
    <definedName name="__PPB42" localSheetId="12">#REF!</definedName>
    <definedName name="__PPB42" localSheetId="19">#REF!</definedName>
    <definedName name="__PPB42">#REF!</definedName>
    <definedName name="__PPB43" localSheetId="6">#REF!</definedName>
    <definedName name="__PPB43" localSheetId="12">#REF!</definedName>
    <definedName name="__PPB43" localSheetId="19">#REF!</definedName>
    <definedName name="__PPB43">#REF!</definedName>
    <definedName name="__PPB44" localSheetId="6">#REF!</definedName>
    <definedName name="__PPB44" localSheetId="12">#REF!</definedName>
    <definedName name="__PPB44" localSheetId="19">#REF!</definedName>
    <definedName name="__PPB44">#REF!</definedName>
    <definedName name="__PPB45" localSheetId="6">#REF!</definedName>
    <definedName name="__PPB45" localSheetId="12">#REF!</definedName>
    <definedName name="__PPB45" localSheetId="19">#REF!</definedName>
    <definedName name="__PPB45">#REF!</definedName>
    <definedName name="__PPB46" localSheetId="6">#REF!</definedName>
    <definedName name="__PPB46" localSheetId="12">#REF!</definedName>
    <definedName name="__PPB46" localSheetId="19">#REF!</definedName>
    <definedName name="__PPB46">#REF!</definedName>
    <definedName name="__PPB47" localSheetId="6">#REF!</definedName>
    <definedName name="__PPB47" localSheetId="12">#REF!</definedName>
    <definedName name="__PPB47" localSheetId="19">#REF!</definedName>
    <definedName name="__PPB47">#REF!</definedName>
    <definedName name="__PPB48" localSheetId="6">#REF!</definedName>
    <definedName name="__PPB48" localSheetId="12">#REF!</definedName>
    <definedName name="__PPB48" localSheetId="19">#REF!</definedName>
    <definedName name="__PPB48">#REF!</definedName>
    <definedName name="__PPB49" localSheetId="6">#REF!</definedName>
    <definedName name="__PPB49" localSheetId="12">#REF!</definedName>
    <definedName name="__PPB49" localSheetId="19">#REF!</definedName>
    <definedName name="__PPB49">#REF!</definedName>
    <definedName name="__PPB5" localSheetId="6">#REF!</definedName>
    <definedName name="__PPB5" localSheetId="12">#REF!</definedName>
    <definedName name="__PPB5" localSheetId="19">#REF!</definedName>
    <definedName name="__PPB5">#REF!</definedName>
    <definedName name="__PPB50" localSheetId="6">#REF!</definedName>
    <definedName name="__PPB50" localSheetId="12">#REF!</definedName>
    <definedName name="__PPB50" localSheetId="19">#REF!</definedName>
    <definedName name="__PPB50">#REF!</definedName>
    <definedName name="__PPB51" localSheetId="6">#REF!</definedName>
    <definedName name="__PPB51" localSheetId="12">#REF!</definedName>
    <definedName name="__PPB51" localSheetId="19">#REF!</definedName>
    <definedName name="__PPB51">#REF!</definedName>
    <definedName name="__PPB52" localSheetId="6">#REF!</definedName>
    <definedName name="__PPB52" localSheetId="12">#REF!</definedName>
    <definedName name="__PPB52" localSheetId="19">#REF!</definedName>
    <definedName name="__PPB52">#REF!</definedName>
    <definedName name="__PPB53" localSheetId="6">#REF!</definedName>
    <definedName name="__PPB53" localSheetId="12">#REF!</definedName>
    <definedName name="__PPB53" localSheetId="19">#REF!</definedName>
    <definedName name="__PPB53">#REF!</definedName>
    <definedName name="__PPB54" localSheetId="6">#REF!</definedName>
    <definedName name="__PPB54" localSheetId="12">#REF!</definedName>
    <definedName name="__PPB54" localSheetId="19">#REF!</definedName>
    <definedName name="__PPB54">#REF!</definedName>
    <definedName name="__PPB55" localSheetId="6">#REF!</definedName>
    <definedName name="__PPB55" localSheetId="12">#REF!</definedName>
    <definedName name="__PPB55" localSheetId="19">#REF!</definedName>
    <definedName name="__PPB55">#REF!</definedName>
    <definedName name="__PPB56" localSheetId="6">#REF!</definedName>
    <definedName name="__PPB56" localSheetId="12">#REF!</definedName>
    <definedName name="__PPB56" localSheetId="19">#REF!</definedName>
    <definedName name="__PPB56">#REF!</definedName>
    <definedName name="__PPB57" localSheetId="6">#REF!</definedName>
    <definedName name="__PPB57" localSheetId="12">#REF!</definedName>
    <definedName name="__PPB57" localSheetId="19">#REF!</definedName>
    <definedName name="__PPB57">#REF!</definedName>
    <definedName name="__PPB58" localSheetId="6">#REF!</definedName>
    <definedName name="__PPB58" localSheetId="12">#REF!</definedName>
    <definedName name="__PPB58" localSheetId="19">#REF!</definedName>
    <definedName name="__PPB58">#REF!</definedName>
    <definedName name="__PPB59" localSheetId="6">#REF!</definedName>
    <definedName name="__PPB59" localSheetId="12">#REF!</definedName>
    <definedName name="__PPB59" localSheetId="19">#REF!</definedName>
    <definedName name="__PPB59">#REF!</definedName>
    <definedName name="__PPB6" localSheetId="6">#REF!</definedName>
    <definedName name="__PPB6" localSheetId="12">#REF!</definedName>
    <definedName name="__PPB6" localSheetId="19">#REF!</definedName>
    <definedName name="__PPB6">#REF!</definedName>
    <definedName name="__PPB60" localSheetId="6">#REF!</definedName>
    <definedName name="__PPB60" localSheetId="12">#REF!</definedName>
    <definedName name="__PPB60" localSheetId="19">#REF!</definedName>
    <definedName name="__PPB60">#REF!</definedName>
    <definedName name="__PPB61" localSheetId="6">#REF!</definedName>
    <definedName name="__PPB61" localSheetId="12">#REF!</definedName>
    <definedName name="__PPB61" localSheetId="19">#REF!</definedName>
    <definedName name="__PPB61">#REF!</definedName>
    <definedName name="__PPB62" localSheetId="6">#REF!</definedName>
    <definedName name="__PPB62" localSheetId="12">#REF!</definedName>
    <definedName name="__PPB62" localSheetId="19">#REF!</definedName>
    <definedName name="__PPB62">#REF!</definedName>
    <definedName name="__PPB63" localSheetId="6">#REF!</definedName>
    <definedName name="__PPB63" localSheetId="12">#REF!</definedName>
    <definedName name="__PPB63" localSheetId="19">#REF!</definedName>
    <definedName name="__PPB63">#REF!</definedName>
    <definedName name="__PPB64" localSheetId="6">#REF!</definedName>
    <definedName name="__PPB64" localSheetId="12">#REF!</definedName>
    <definedName name="__PPB64" localSheetId="19">#REF!</definedName>
    <definedName name="__PPB64">#REF!</definedName>
    <definedName name="__PPB65" localSheetId="6">#REF!</definedName>
    <definedName name="__PPB65" localSheetId="12">#REF!</definedName>
    <definedName name="__PPB65" localSheetId="19">#REF!</definedName>
    <definedName name="__PPB65">#REF!</definedName>
    <definedName name="__PPB66" localSheetId="6">#REF!</definedName>
    <definedName name="__PPB66" localSheetId="12">#REF!</definedName>
    <definedName name="__PPB66" localSheetId="19">#REF!</definedName>
    <definedName name="__PPB66">#REF!</definedName>
    <definedName name="__PPB67" localSheetId="6">#REF!</definedName>
    <definedName name="__PPB67" localSheetId="12">#REF!</definedName>
    <definedName name="__PPB67" localSheetId="19">#REF!</definedName>
    <definedName name="__PPB67">#REF!</definedName>
    <definedName name="__PPB68" localSheetId="6">#REF!</definedName>
    <definedName name="__PPB68" localSheetId="12">#REF!</definedName>
    <definedName name="__PPB68" localSheetId="19">#REF!</definedName>
    <definedName name="__PPB68">#REF!</definedName>
    <definedName name="__PPB69" localSheetId="6">#REF!</definedName>
    <definedName name="__PPB69" localSheetId="12">#REF!</definedName>
    <definedName name="__PPB69" localSheetId="19">#REF!</definedName>
    <definedName name="__PPB69">#REF!</definedName>
    <definedName name="__PPB7" localSheetId="6">#REF!</definedName>
    <definedName name="__PPB7" localSheetId="12">#REF!</definedName>
    <definedName name="__PPB7" localSheetId="19">#REF!</definedName>
    <definedName name="__PPB7">#REF!</definedName>
    <definedName name="__PPB70" localSheetId="6">#REF!</definedName>
    <definedName name="__PPB70" localSheetId="12">#REF!</definedName>
    <definedName name="__PPB70" localSheetId="19">#REF!</definedName>
    <definedName name="__PPB70">#REF!</definedName>
    <definedName name="__PPB71" localSheetId="6">#REF!</definedName>
    <definedName name="__PPB71" localSheetId="12">#REF!</definedName>
    <definedName name="__PPB71" localSheetId="19">#REF!</definedName>
    <definedName name="__PPB71">#REF!</definedName>
    <definedName name="__PPB72" localSheetId="6">#REF!</definedName>
    <definedName name="__PPB72" localSheetId="12">#REF!</definedName>
    <definedName name="__PPB72" localSheetId="19">#REF!</definedName>
    <definedName name="__PPB72">#REF!</definedName>
    <definedName name="__PPB73" localSheetId="6">#REF!</definedName>
    <definedName name="__PPB73" localSheetId="12">#REF!</definedName>
    <definedName name="__PPB73" localSheetId="19">#REF!</definedName>
    <definedName name="__PPB73">#REF!</definedName>
    <definedName name="__PPB74" localSheetId="6">#REF!</definedName>
    <definedName name="__PPB74" localSheetId="12">#REF!</definedName>
    <definedName name="__PPB74" localSheetId="19">#REF!</definedName>
    <definedName name="__PPB74">#REF!</definedName>
    <definedName name="__PPB75" localSheetId="6">#REF!</definedName>
    <definedName name="__PPB75" localSheetId="12">#REF!</definedName>
    <definedName name="__PPB75" localSheetId="19">#REF!</definedName>
    <definedName name="__PPB75">#REF!</definedName>
    <definedName name="__PPB76" localSheetId="6">#REF!</definedName>
    <definedName name="__PPB76" localSheetId="12">#REF!</definedName>
    <definedName name="__PPB76" localSheetId="19">#REF!</definedName>
    <definedName name="__PPB76">#REF!</definedName>
    <definedName name="__PPB77" localSheetId="6">#REF!</definedName>
    <definedName name="__PPB77" localSheetId="12">#REF!</definedName>
    <definedName name="__PPB77" localSheetId="19">#REF!</definedName>
    <definedName name="__PPB77">#REF!</definedName>
    <definedName name="__PPB78" localSheetId="6">#REF!</definedName>
    <definedName name="__PPB78" localSheetId="12">#REF!</definedName>
    <definedName name="__PPB78" localSheetId="19">#REF!</definedName>
    <definedName name="__PPB78">#REF!</definedName>
    <definedName name="__PPB79" localSheetId="6">#REF!</definedName>
    <definedName name="__PPB79" localSheetId="12">#REF!</definedName>
    <definedName name="__PPB79" localSheetId="19">#REF!</definedName>
    <definedName name="__PPB79">#REF!</definedName>
    <definedName name="__PPB8" localSheetId="6">#REF!</definedName>
    <definedName name="__PPB8" localSheetId="12">#REF!</definedName>
    <definedName name="__PPB8" localSheetId="19">#REF!</definedName>
    <definedName name="__PPB8">#REF!</definedName>
    <definedName name="__PPB80" localSheetId="6">#REF!</definedName>
    <definedName name="__PPB80" localSheetId="12">#REF!</definedName>
    <definedName name="__PPB80" localSheetId="19">#REF!</definedName>
    <definedName name="__PPB80">#REF!</definedName>
    <definedName name="__PPB81" localSheetId="6">#REF!</definedName>
    <definedName name="__PPB81" localSheetId="12">#REF!</definedName>
    <definedName name="__PPB81" localSheetId="19">#REF!</definedName>
    <definedName name="__PPB81">#REF!</definedName>
    <definedName name="__PPB82" localSheetId="6">#REF!</definedName>
    <definedName name="__PPB82" localSheetId="12">#REF!</definedName>
    <definedName name="__PPB82" localSheetId="19">#REF!</definedName>
    <definedName name="__PPB82">#REF!</definedName>
    <definedName name="__PPB83" localSheetId="6">#REF!</definedName>
    <definedName name="__PPB83" localSheetId="12">#REF!</definedName>
    <definedName name="__PPB83" localSheetId="19">#REF!</definedName>
    <definedName name="__PPB83">#REF!</definedName>
    <definedName name="__PPB84" localSheetId="6">#REF!</definedName>
    <definedName name="__PPB84" localSheetId="12">#REF!</definedName>
    <definedName name="__PPB84" localSheetId="19">#REF!</definedName>
    <definedName name="__PPB84">#REF!</definedName>
    <definedName name="__PPB85" localSheetId="6">#REF!</definedName>
    <definedName name="__PPB85" localSheetId="12">#REF!</definedName>
    <definedName name="__PPB85" localSheetId="19">#REF!</definedName>
    <definedName name="__PPB85">#REF!</definedName>
    <definedName name="__PPB86" localSheetId="6">#REF!</definedName>
    <definedName name="__PPB86" localSheetId="12">#REF!</definedName>
    <definedName name="__PPB86" localSheetId="19">#REF!</definedName>
    <definedName name="__PPB86">#REF!</definedName>
    <definedName name="__PPB87" localSheetId="6">#REF!</definedName>
    <definedName name="__PPB87" localSheetId="12">#REF!</definedName>
    <definedName name="__PPB87" localSheetId="19">#REF!</definedName>
    <definedName name="__PPB87">#REF!</definedName>
    <definedName name="__PPB88" localSheetId="6">#REF!</definedName>
    <definedName name="__PPB88" localSheetId="12">#REF!</definedName>
    <definedName name="__PPB88" localSheetId="19">#REF!</definedName>
    <definedName name="__PPB88">#REF!</definedName>
    <definedName name="__PPB89" localSheetId="6">#REF!</definedName>
    <definedName name="__PPB89" localSheetId="12">#REF!</definedName>
    <definedName name="__PPB89" localSheetId="19">#REF!</definedName>
    <definedName name="__PPB89">#REF!</definedName>
    <definedName name="__PPB9" localSheetId="6">#REF!</definedName>
    <definedName name="__PPB9" localSheetId="12">#REF!</definedName>
    <definedName name="__PPB9" localSheetId="19">#REF!</definedName>
    <definedName name="__PPB9">#REF!</definedName>
    <definedName name="__PPB90" localSheetId="6">#REF!</definedName>
    <definedName name="__PPB90" localSheetId="12">#REF!</definedName>
    <definedName name="__PPB90" localSheetId="19">#REF!</definedName>
    <definedName name="__PPB90">#REF!</definedName>
    <definedName name="__PPB91" localSheetId="6">#REF!</definedName>
    <definedName name="__PPB91" localSheetId="12">#REF!</definedName>
    <definedName name="__PPB91" localSheetId="19">#REF!</definedName>
    <definedName name="__PPB91">#REF!</definedName>
    <definedName name="__PPB92" localSheetId="6">#REF!</definedName>
    <definedName name="__PPB92" localSheetId="12">#REF!</definedName>
    <definedName name="__PPB92" localSheetId="19">#REF!</definedName>
    <definedName name="__PPB92">#REF!</definedName>
    <definedName name="__PPB93" localSheetId="6">#REF!</definedName>
    <definedName name="__PPB93" localSheetId="12">#REF!</definedName>
    <definedName name="__PPB93" localSheetId="19">#REF!</definedName>
    <definedName name="__PPB93">#REF!</definedName>
    <definedName name="__PPB94" localSheetId="6">#REF!</definedName>
    <definedName name="__PPB94" localSheetId="12">#REF!</definedName>
    <definedName name="__PPB94" localSheetId="19">#REF!</definedName>
    <definedName name="__PPB94">#REF!</definedName>
    <definedName name="__PPB95" localSheetId="6">#REF!</definedName>
    <definedName name="__PPB95" localSheetId="12">#REF!</definedName>
    <definedName name="__PPB95" localSheetId="19">#REF!</definedName>
    <definedName name="__PPB95">#REF!</definedName>
    <definedName name="__PPB96" localSheetId="6">#REF!</definedName>
    <definedName name="__PPB96" localSheetId="12">#REF!</definedName>
    <definedName name="__PPB96" localSheetId="19">#REF!</definedName>
    <definedName name="__PPB96">#REF!</definedName>
    <definedName name="__PPB97" localSheetId="6">#REF!</definedName>
    <definedName name="__PPB97" localSheetId="12">#REF!</definedName>
    <definedName name="__PPB97" localSheetId="19">#REF!</definedName>
    <definedName name="__PPB97">#REF!</definedName>
    <definedName name="__PPB98" localSheetId="6">#REF!</definedName>
    <definedName name="__PPB98" localSheetId="12">#REF!</definedName>
    <definedName name="__PPB98" localSheetId="19">#REF!</definedName>
    <definedName name="__PPB98">#REF!</definedName>
    <definedName name="__PPB99" localSheetId="6">#REF!</definedName>
    <definedName name="__PPB99" localSheetId="12">#REF!</definedName>
    <definedName name="__PPB99" localSheetId="19">#REF!</definedName>
    <definedName name="__PPB99">#REF!</definedName>
    <definedName name="__PPC1" localSheetId="6">#REF!</definedName>
    <definedName name="__PPC1" localSheetId="12">#REF!</definedName>
    <definedName name="__PPC1" localSheetId="19">#REF!</definedName>
    <definedName name="__PPC1">#REF!</definedName>
    <definedName name="__PPC10" localSheetId="6">#REF!</definedName>
    <definedName name="__PPC10" localSheetId="12">#REF!</definedName>
    <definedName name="__PPC10" localSheetId="19">#REF!</definedName>
    <definedName name="__PPC10">#REF!</definedName>
    <definedName name="__PPC100" localSheetId="6">#REF!</definedName>
    <definedName name="__PPC100" localSheetId="12">#REF!</definedName>
    <definedName name="__PPC100" localSheetId="19">#REF!</definedName>
    <definedName name="__PPC100">#REF!</definedName>
    <definedName name="__PPC101" localSheetId="6">#REF!</definedName>
    <definedName name="__PPC101" localSheetId="12">#REF!</definedName>
    <definedName name="__PPC101" localSheetId="19">#REF!</definedName>
    <definedName name="__PPC101">#REF!</definedName>
    <definedName name="__PPC102" localSheetId="6">#REF!</definedName>
    <definedName name="__PPC102" localSheetId="12">#REF!</definedName>
    <definedName name="__PPC102" localSheetId="19">#REF!</definedName>
    <definedName name="__PPC102">#REF!</definedName>
    <definedName name="__PPC103" localSheetId="6">#REF!</definedName>
    <definedName name="__PPC103" localSheetId="12">#REF!</definedName>
    <definedName name="__PPC103" localSheetId="19">#REF!</definedName>
    <definedName name="__PPC103">#REF!</definedName>
    <definedName name="__PPC104" localSheetId="6">#REF!</definedName>
    <definedName name="__PPC104" localSheetId="12">#REF!</definedName>
    <definedName name="__PPC104" localSheetId="19">#REF!</definedName>
    <definedName name="__PPC104">#REF!</definedName>
    <definedName name="__PPC105" localSheetId="6">#REF!</definedName>
    <definedName name="__PPC105" localSheetId="12">#REF!</definedName>
    <definedName name="__PPC105" localSheetId="19">#REF!</definedName>
    <definedName name="__PPC105">#REF!</definedName>
    <definedName name="__PPC106" localSheetId="6">#REF!</definedName>
    <definedName name="__PPC106" localSheetId="12">#REF!</definedName>
    <definedName name="__PPC106" localSheetId="19">#REF!</definedName>
    <definedName name="__PPC106">#REF!</definedName>
    <definedName name="__PPC107" localSheetId="6">#REF!</definedName>
    <definedName name="__PPC107" localSheetId="12">#REF!</definedName>
    <definedName name="__PPC107" localSheetId="19">#REF!</definedName>
    <definedName name="__PPC107">#REF!</definedName>
    <definedName name="__PPC108" localSheetId="6">#REF!</definedName>
    <definedName name="__PPC108" localSheetId="12">#REF!</definedName>
    <definedName name="__PPC108" localSheetId="19">#REF!</definedName>
    <definedName name="__PPC108">#REF!</definedName>
    <definedName name="__PPC109" localSheetId="6">#REF!</definedName>
    <definedName name="__PPC109" localSheetId="12">#REF!</definedName>
    <definedName name="__PPC109" localSheetId="19">#REF!</definedName>
    <definedName name="__PPC109">#REF!</definedName>
    <definedName name="__PPC11" localSheetId="6">#REF!</definedName>
    <definedName name="__PPC11" localSheetId="12">#REF!</definedName>
    <definedName name="__PPC11" localSheetId="19">#REF!</definedName>
    <definedName name="__PPC11">#REF!</definedName>
    <definedName name="__PPC110" localSheetId="6">#REF!</definedName>
    <definedName name="__PPC110" localSheetId="12">#REF!</definedName>
    <definedName name="__PPC110" localSheetId="19">#REF!</definedName>
    <definedName name="__PPC110">#REF!</definedName>
    <definedName name="__PPC111" localSheetId="6">#REF!</definedName>
    <definedName name="__PPC111" localSheetId="12">#REF!</definedName>
    <definedName name="__PPC111" localSheetId="19">#REF!</definedName>
    <definedName name="__PPC111">#REF!</definedName>
    <definedName name="__PPC112" localSheetId="6">#REF!</definedName>
    <definedName name="__PPC112" localSheetId="12">#REF!</definedName>
    <definedName name="__PPC112" localSheetId="19">#REF!</definedName>
    <definedName name="__PPC112">#REF!</definedName>
    <definedName name="__PPC113" localSheetId="6">#REF!</definedName>
    <definedName name="__PPC113" localSheetId="12">#REF!</definedName>
    <definedName name="__PPC113" localSheetId="19">#REF!</definedName>
    <definedName name="__PPC113">#REF!</definedName>
    <definedName name="__PPC114" localSheetId="6">#REF!</definedName>
    <definedName name="__PPC114" localSheetId="12">#REF!</definedName>
    <definedName name="__PPC114" localSheetId="19">#REF!</definedName>
    <definedName name="__PPC114">#REF!</definedName>
    <definedName name="__PPC115" localSheetId="6">#REF!</definedName>
    <definedName name="__PPC115" localSheetId="12">#REF!</definedName>
    <definedName name="__PPC115" localSheetId="19">#REF!</definedName>
    <definedName name="__PPC115">#REF!</definedName>
    <definedName name="__PPC116" localSheetId="6">#REF!</definedName>
    <definedName name="__PPC116" localSheetId="12">#REF!</definedName>
    <definedName name="__PPC116" localSheetId="19">#REF!</definedName>
    <definedName name="__PPC116">#REF!</definedName>
    <definedName name="__PPC117" localSheetId="6">#REF!</definedName>
    <definedName name="__PPC117" localSheetId="12">#REF!</definedName>
    <definedName name="__PPC117" localSheetId="19">#REF!</definedName>
    <definedName name="__PPC117">#REF!</definedName>
    <definedName name="__PPC118" localSheetId="6">#REF!</definedName>
    <definedName name="__PPC118" localSheetId="12">#REF!</definedName>
    <definedName name="__PPC118" localSheetId="19">#REF!</definedName>
    <definedName name="__PPC118">#REF!</definedName>
    <definedName name="__PPC119" localSheetId="6">#REF!</definedName>
    <definedName name="__PPC119" localSheetId="12">#REF!</definedName>
    <definedName name="__PPC119" localSheetId="19">#REF!</definedName>
    <definedName name="__PPC119">#REF!</definedName>
    <definedName name="__PPC12" localSheetId="6">#REF!</definedName>
    <definedName name="__PPC12" localSheetId="12">#REF!</definedName>
    <definedName name="__PPC12" localSheetId="19">#REF!</definedName>
    <definedName name="__PPC12">#REF!</definedName>
    <definedName name="__PPC120" localSheetId="6">#REF!</definedName>
    <definedName name="__PPC120" localSheetId="12">#REF!</definedName>
    <definedName name="__PPC120" localSheetId="19">#REF!</definedName>
    <definedName name="__PPC120">#REF!</definedName>
    <definedName name="__PPC121" localSheetId="6">#REF!</definedName>
    <definedName name="__PPC121" localSheetId="12">#REF!</definedName>
    <definedName name="__PPC121" localSheetId="19">#REF!</definedName>
    <definedName name="__PPC121">#REF!</definedName>
    <definedName name="__PPC122" localSheetId="6">#REF!</definedName>
    <definedName name="__PPC122" localSheetId="12">#REF!</definedName>
    <definedName name="__PPC122" localSheetId="19">#REF!</definedName>
    <definedName name="__PPC122">#REF!</definedName>
    <definedName name="__PPC123" localSheetId="6">#REF!</definedName>
    <definedName name="__PPC123" localSheetId="12">#REF!</definedName>
    <definedName name="__PPC123" localSheetId="19">#REF!</definedName>
    <definedName name="__PPC123">#REF!</definedName>
    <definedName name="__PPC124" localSheetId="6">#REF!</definedName>
    <definedName name="__PPC124" localSheetId="12">#REF!</definedName>
    <definedName name="__PPC124" localSheetId="19">#REF!</definedName>
    <definedName name="__PPC124">#REF!</definedName>
    <definedName name="__PPC125" localSheetId="6">#REF!</definedName>
    <definedName name="__PPC125" localSheetId="12">#REF!</definedName>
    <definedName name="__PPC125" localSheetId="19">#REF!</definedName>
    <definedName name="__PPC125">#REF!</definedName>
    <definedName name="__PPC126" localSheetId="6">#REF!</definedName>
    <definedName name="__PPC126" localSheetId="12">#REF!</definedName>
    <definedName name="__PPC126" localSheetId="19">#REF!</definedName>
    <definedName name="__PPC126">#REF!</definedName>
    <definedName name="__PPC127" localSheetId="6">#REF!</definedName>
    <definedName name="__PPC127" localSheetId="12">#REF!</definedName>
    <definedName name="__PPC127" localSheetId="19">#REF!</definedName>
    <definedName name="__PPC127">#REF!</definedName>
    <definedName name="__PPC128" localSheetId="6">#REF!</definedName>
    <definedName name="__PPC128" localSheetId="12">#REF!</definedName>
    <definedName name="__PPC128" localSheetId="19">#REF!</definedName>
    <definedName name="__PPC128">#REF!</definedName>
    <definedName name="__PPC129" localSheetId="6">#REF!</definedName>
    <definedName name="__PPC129" localSheetId="12">#REF!</definedName>
    <definedName name="__PPC129" localSheetId="19">#REF!</definedName>
    <definedName name="__PPC129">#REF!</definedName>
    <definedName name="__PPC13" localSheetId="6">#REF!</definedName>
    <definedName name="__PPC13" localSheetId="12">#REF!</definedName>
    <definedName name="__PPC13" localSheetId="19">#REF!</definedName>
    <definedName name="__PPC13">#REF!</definedName>
    <definedName name="__PPC130" localSheetId="6">#REF!</definedName>
    <definedName name="__PPC130" localSheetId="12">#REF!</definedName>
    <definedName name="__PPC130" localSheetId="19">#REF!</definedName>
    <definedName name="__PPC130">#REF!</definedName>
    <definedName name="__PPC131" localSheetId="6">#REF!</definedName>
    <definedName name="__PPC131" localSheetId="12">#REF!</definedName>
    <definedName name="__PPC131" localSheetId="19">#REF!</definedName>
    <definedName name="__PPC131">#REF!</definedName>
    <definedName name="__PPC132" localSheetId="6">#REF!</definedName>
    <definedName name="__PPC132" localSheetId="12">#REF!</definedName>
    <definedName name="__PPC132" localSheetId="19">#REF!</definedName>
    <definedName name="__PPC132">#REF!</definedName>
    <definedName name="__PPC133" localSheetId="6">#REF!</definedName>
    <definedName name="__PPC133" localSheetId="12">#REF!</definedName>
    <definedName name="__PPC133" localSheetId="19">#REF!</definedName>
    <definedName name="__PPC133">#REF!</definedName>
    <definedName name="__PPC134" localSheetId="6">#REF!</definedName>
    <definedName name="__PPC134" localSheetId="12">#REF!</definedName>
    <definedName name="__PPC134" localSheetId="19">#REF!</definedName>
    <definedName name="__PPC134">#REF!</definedName>
    <definedName name="__PPC135" localSheetId="6">#REF!</definedName>
    <definedName name="__PPC135" localSheetId="12">#REF!</definedName>
    <definedName name="__PPC135" localSheetId="19">#REF!</definedName>
    <definedName name="__PPC135">#REF!</definedName>
    <definedName name="__PPC136" localSheetId="6">#REF!</definedName>
    <definedName name="__PPC136" localSheetId="12">#REF!</definedName>
    <definedName name="__PPC136" localSheetId="19">#REF!</definedName>
    <definedName name="__PPC136">#REF!</definedName>
    <definedName name="__PPC137" localSheetId="6">#REF!</definedName>
    <definedName name="__PPC137" localSheetId="12">#REF!</definedName>
    <definedName name="__PPC137" localSheetId="19">#REF!</definedName>
    <definedName name="__PPC137">#REF!</definedName>
    <definedName name="__PPC138" localSheetId="6">#REF!</definedName>
    <definedName name="__PPC138" localSheetId="12">#REF!</definedName>
    <definedName name="__PPC138" localSheetId="19">#REF!</definedName>
    <definedName name="__PPC138">#REF!</definedName>
    <definedName name="__PPC139" localSheetId="6">#REF!</definedName>
    <definedName name="__PPC139" localSheetId="12">#REF!</definedName>
    <definedName name="__PPC139" localSheetId="19">#REF!</definedName>
    <definedName name="__PPC139">#REF!</definedName>
    <definedName name="__PPC14" localSheetId="6">#REF!</definedName>
    <definedName name="__PPC14" localSheetId="12">#REF!</definedName>
    <definedName name="__PPC14" localSheetId="19">#REF!</definedName>
    <definedName name="__PPC14">#REF!</definedName>
    <definedName name="__PPC140" localSheetId="6">#REF!</definedName>
    <definedName name="__PPC140" localSheetId="12">#REF!</definedName>
    <definedName name="__PPC140" localSheetId="19">#REF!</definedName>
    <definedName name="__PPC140">#REF!</definedName>
    <definedName name="__PPC141" localSheetId="6">#REF!</definedName>
    <definedName name="__PPC141" localSheetId="12">#REF!</definedName>
    <definedName name="__PPC141" localSheetId="19">#REF!</definedName>
    <definedName name="__PPC141">#REF!</definedName>
    <definedName name="__PPC142" localSheetId="6">#REF!</definedName>
    <definedName name="__PPC142" localSheetId="12">#REF!</definedName>
    <definedName name="__PPC142" localSheetId="19">#REF!</definedName>
    <definedName name="__PPC142">#REF!</definedName>
    <definedName name="__PPC143" localSheetId="6">#REF!</definedName>
    <definedName name="__PPC143" localSheetId="12">#REF!</definedName>
    <definedName name="__PPC143" localSheetId="19">#REF!</definedName>
    <definedName name="__PPC143">#REF!</definedName>
    <definedName name="__PPC144" localSheetId="6">#REF!</definedName>
    <definedName name="__PPC144" localSheetId="12">#REF!</definedName>
    <definedName name="__PPC144" localSheetId="19">#REF!</definedName>
    <definedName name="__PPC144">#REF!</definedName>
    <definedName name="__PPC145" localSheetId="6">#REF!</definedName>
    <definedName name="__PPC145" localSheetId="12">#REF!</definedName>
    <definedName name="__PPC145" localSheetId="19">#REF!</definedName>
    <definedName name="__PPC145">#REF!</definedName>
    <definedName name="__PPC146" localSheetId="6">#REF!</definedName>
    <definedName name="__PPC146" localSheetId="12">#REF!</definedName>
    <definedName name="__PPC146" localSheetId="19">#REF!</definedName>
    <definedName name="__PPC146">#REF!</definedName>
    <definedName name="__PPC147" localSheetId="6">#REF!</definedName>
    <definedName name="__PPC147" localSheetId="12">#REF!</definedName>
    <definedName name="__PPC147" localSheetId="19">#REF!</definedName>
    <definedName name="__PPC147">#REF!</definedName>
    <definedName name="__PPC148" localSheetId="6">#REF!</definedName>
    <definedName name="__PPC148" localSheetId="12">#REF!</definedName>
    <definedName name="__PPC148" localSheetId="19">#REF!</definedName>
    <definedName name="__PPC148">#REF!</definedName>
    <definedName name="__PPC149" localSheetId="6">#REF!</definedName>
    <definedName name="__PPC149" localSheetId="12">#REF!</definedName>
    <definedName name="__PPC149" localSheetId="19">#REF!</definedName>
    <definedName name="__PPC149">#REF!</definedName>
    <definedName name="__PPC15" localSheetId="6">#REF!</definedName>
    <definedName name="__PPC15" localSheetId="12">#REF!</definedName>
    <definedName name="__PPC15" localSheetId="19">#REF!</definedName>
    <definedName name="__PPC15">#REF!</definedName>
    <definedName name="__PPC150" localSheetId="6">#REF!</definedName>
    <definedName name="__PPC150" localSheetId="12">#REF!</definedName>
    <definedName name="__PPC150" localSheetId="19">#REF!</definedName>
    <definedName name="__PPC150">#REF!</definedName>
    <definedName name="__PPC151" localSheetId="6">#REF!</definedName>
    <definedName name="__PPC151" localSheetId="12">#REF!</definedName>
    <definedName name="__PPC151" localSheetId="19">#REF!</definedName>
    <definedName name="__PPC151">#REF!</definedName>
    <definedName name="__PPC152" localSheetId="6">#REF!</definedName>
    <definedName name="__PPC152" localSheetId="12">#REF!</definedName>
    <definedName name="__PPC152" localSheetId="19">#REF!</definedName>
    <definedName name="__PPC152">#REF!</definedName>
    <definedName name="__PPC153" localSheetId="6">#REF!</definedName>
    <definedName name="__PPC153" localSheetId="12">#REF!</definedName>
    <definedName name="__PPC153" localSheetId="19">#REF!</definedName>
    <definedName name="__PPC153">#REF!</definedName>
    <definedName name="__PPC154" localSheetId="6">#REF!</definedName>
    <definedName name="__PPC154" localSheetId="12">#REF!</definedName>
    <definedName name="__PPC154" localSheetId="19">#REF!</definedName>
    <definedName name="__PPC154">#REF!</definedName>
    <definedName name="__PPC155" localSheetId="6">#REF!</definedName>
    <definedName name="__PPC155" localSheetId="12">#REF!</definedName>
    <definedName name="__PPC155" localSheetId="19">#REF!</definedName>
    <definedName name="__PPC155">#REF!</definedName>
    <definedName name="__PPC16" localSheetId="6">#REF!</definedName>
    <definedName name="__PPC16" localSheetId="12">#REF!</definedName>
    <definedName name="__PPC16" localSheetId="19">#REF!</definedName>
    <definedName name="__PPC16">#REF!</definedName>
    <definedName name="__PPC17" localSheetId="6">#REF!</definedName>
    <definedName name="__PPC17" localSheetId="12">#REF!</definedName>
    <definedName name="__PPC17" localSheetId="19">#REF!</definedName>
    <definedName name="__PPC17">#REF!</definedName>
    <definedName name="__PPC18" localSheetId="6">#REF!</definedName>
    <definedName name="__PPC18" localSheetId="12">#REF!</definedName>
    <definedName name="__PPC18" localSheetId="19">#REF!</definedName>
    <definedName name="__PPC18">#REF!</definedName>
    <definedName name="__PPC19" localSheetId="6">#REF!</definedName>
    <definedName name="__PPC19" localSheetId="12">#REF!</definedName>
    <definedName name="__PPC19" localSheetId="19">#REF!</definedName>
    <definedName name="__PPC19">#REF!</definedName>
    <definedName name="__PPC2" localSheetId="6">#REF!</definedName>
    <definedName name="__PPC2" localSheetId="12">#REF!</definedName>
    <definedName name="__PPC2" localSheetId="19">#REF!</definedName>
    <definedName name="__PPC2">#REF!</definedName>
    <definedName name="__PPC20" localSheetId="6">#REF!</definedName>
    <definedName name="__PPC20" localSheetId="12">#REF!</definedName>
    <definedName name="__PPC20" localSheetId="19">#REF!</definedName>
    <definedName name="__PPC20">#REF!</definedName>
    <definedName name="__PPC21" localSheetId="6">#REF!</definedName>
    <definedName name="__PPC21" localSheetId="12">#REF!</definedName>
    <definedName name="__PPC21" localSheetId="19">#REF!</definedName>
    <definedName name="__PPC21">#REF!</definedName>
    <definedName name="__PPC22" localSheetId="6">#REF!</definedName>
    <definedName name="__PPC22" localSheetId="12">#REF!</definedName>
    <definedName name="__PPC22" localSheetId="19">#REF!</definedName>
    <definedName name="__PPC22">#REF!</definedName>
    <definedName name="__PPC23" localSheetId="6">#REF!</definedName>
    <definedName name="__PPC23" localSheetId="12">#REF!</definedName>
    <definedName name="__PPC23" localSheetId="19">#REF!</definedName>
    <definedName name="__PPC23">#REF!</definedName>
    <definedName name="__PPC24" localSheetId="6">#REF!</definedName>
    <definedName name="__PPC24" localSheetId="12">#REF!</definedName>
    <definedName name="__PPC24" localSheetId="19">#REF!</definedName>
    <definedName name="__PPC24">#REF!</definedName>
    <definedName name="__PPC25" localSheetId="6">#REF!</definedName>
    <definedName name="__PPC25" localSheetId="12">#REF!</definedName>
    <definedName name="__PPC25" localSheetId="19">#REF!</definedName>
    <definedName name="__PPC25">#REF!</definedName>
    <definedName name="__PPC26" localSheetId="6">#REF!</definedName>
    <definedName name="__PPC26" localSheetId="12">#REF!</definedName>
    <definedName name="__PPC26" localSheetId="19">#REF!</definedName>
    <definedName name="__PPC26">#REF!</definedName>
    <definedName name="__PPC27" localSheetId="6">#REF!</definedName>
    <definedName name="__PPC27" localSheetId="12">#REF!</definedName>
    <definedName name="__PPC27" localSheetId="19">#REF!</definedName>
    <definedName name="__PPC27">#REF!</definedName>
    <definedName name="__PPC28" localSheetId="6">#REF!</definedName>
    <definedName name="__PPC28" localSheetId="12">#REF!</definedName>
    <definedName name="__PPC28" localSheetId="19">#REF!</definedName>
    <definedName name="__PPC28">#REF!</definedName>
    <definedName name="__PPC29" localSheetId="6">#REF!</definedName>
    <definedName name="__PPC29" localSheetId="12">#REF!</definedName>
    <definedName name="__PPC29" localSheetId="19">#REF!</definedName>
    <definedName name="__PPC29">#REF!</definedName>
    <definedName name="__PPC3" localSheetId="6">#REF!</definedName>
    <definedName name="__PPC3" localSheetId="12">#REF!</definedName>
    <definedName name="__PPC3" localSheetId="19">#REF!</definedName>
    <definedName name="__PPC3">#REF!</definedName>
    <definedName name="__PPC30" localSheetId="6">#REF!</definedName>
    <definedName name="__PPC30" localSheetId="12">#REF!</definedName>
    <definedName name="__PPC30" localSheetId="19">#REF!</definedName>
    <definedName name="__PPC30">#REF!</definedName>
    <definedName name="__PPC31" localSheetId="6">#REF!</definedName>
    <definedName name="__PPC31" localSheetId="12">#REF!</definedName>
    <definedName name="__PPC31" localSheetId="19">#REF!</definedName>
    <definedName name="__PPC31">#REF!</definedName>
    <definedName name="__PPC32" localSheetId="6">#REF!</definedName>
    <definedName name="__PPC32" localSheetId="12">#REF!</definedName>
    <definedName name="__PPC32" localSheetId="19">#REF!</definedName>
    <definedName name="__PPC32">#REF!</definedName>
    <definedName name="__PPC33" localSheetId="6">#REF!</definedName>
    <definedName name="__PPC33" localSheetId="12">#REF!</definedName>
    <definedName name="__PPC33" localSheetId="19">#REF!</definedName>
    <definedName name="__PPC33">#REF!</definedName>
    <definedName name="__PPC34" localSheetId="6">#REF!</definedName>
    <definedName name="__PPC34" localSheetId="12">#REF!</definedName>
    <definedName name="__PPC34" localSheetId="19">#REF!</definedName>
    <definedName name="__PPC34">#REF!</definedName>
    <definedName name="__PPC35" localSheetId="6">#REF!</definedName>
    <definedName name="__PPC35" localSheetId="12">#REF!</definedName>
    <definedName name="__PPC35" localSheetId="19">#REF!</definedName>
    <definedName name="__PPC35">#REF!</definedName>
    <definedName name="__PPC36" localSheetId="6">#REF!</definedName>
    <definedName name="__PPC36" localSheetId="12">#REF!</definedName>
    <definedName name="__PPC36" localSheetId="19">#REF!</definedName>
    <definedName name="__PPC36">#REF!</definedName>
    <definedName name="__PPC37" localSheetId="6">#REF!</definedName>
    <definedName name="__PPC37" localSheetId="12">#REF!</definedName>
    <definedName name="__PPC37" localSheetId="19">#REF!</definedName>
    <definedName name="__PPC37">#REF!</definedName>
    <definedName name="__PPC38" localSheetId="6">#REF!</definedName>
    <definedName name="__PPC38" localSheetId="12">#REF!</definedName>
    <definedName name="__PPC38" localSheetId="19">#REF!</definedName>
    <definedName name="__PPC38">#REF!</definedName>
    <definedName name="__PPC39" localSheetId="6">#REF!</definedName>
    <definedName name="__PPC39" localSheetId="12">#REF!</definedName>
    <definedName name="__PPC39" localSheetId="19">#REF!</definedName>
    <definedName name="__PPC39">#REF!</definedName>
    <definedName name="__PPC4" localSheetId="6">#REF!</definedName>
    <definedName name="__PPC4" localSheetId="12">#REF!</definedName>
    <definedName name="__PPC4" localSheetId="19">#REF!</definedName>
    <definedName name="__PPC4">#REF!</definedName>
    <definedName name="__PPC40" localSheetId="6">#REF!</definedName>
    <definedName name="__PPC40" localSheetId="12">#REF!</definedName>
    <definedName name="__PPC40" localSheetId="19">#REF!</definedName>
    <definedName name="__PPC40">#REF!</definedName>
    <definedName name="__PPC41" localSheetId="6">#REF!</definedName>
    <definedName name="__PPC41" localSheetId="12">#REF!</definedName>
    <definedName name="__PPC41" localSheetId="19">#REF!</definedName>
    <definedName name="__PPC41">#REF!</definedName>
    <definedName name="__PPC42" localSheetId="6">#REF!</definedName>
    <definedName name="__PPC42" localSheetId="12">#REF!</definedName>
    <definedName name="__PPC42" localSheetId="19">#REF!</definedName>
    <definedName name="__PPC42">#REF!</definedName>
    <definedName name="__PPC43" localSheetId="6">#REF!</definedName>
    <definedName name="__PPC43" localSheetId="12">#REF!</definedName>
    <definedName name="__PPC43" localSheetId="19">#REF!</definedName>
    <definedName name="__PPC43">#REF!</definedName>
    <definedName name="__PPC44" localSheetId="6">#REF!</definedName>
    <definedName name="__PPC44" localSheetId="12">#REF!</definedName>
    <definedName name="__PPC44" localSheetId="19">#REF!</definedName>
    <definedName name="__PPC44">#REF!</definedName>
    <definedName name="__PPC45" localSheetId="6">#REF!</definedName>
    <definedName name="__PPC45" localSheetId="12">#REF!</definedName>
    <definedName name="__PPC45" localSheetId="19">#REF!</definedName>
    <definedName name="__PPC45">#REF!</definedName>
    <definedName name="__PPC46" localSheetId="6">#REF!</definedName>
    <definedName name="__PPC46" localSheetId="12">#REF!</definedName>
    <definedName name="__PPC46" localSheetId="19">#REF!</definedName>
    <definedName name="__PPC46">#REF!</definedName>
    <definedName name="__PPC47" localSheetId="6">#REF!</definedName>
    <definedName name="__PPC47" localSheetId="12">#REF!</definedName>
    <definedName name="__PPC47" localSheetId="19">#REF!</definedName>
    <definedName name="__PPC47">#REF!</definedName>
    <definedName name="__PPC48" localSheetId="6">#REF!</definedName>
    <definedName name="__PPC48" localSheetId="12">#REF!</definedName>
    <definedName name="__PPC48" localSheetId="19">#REF!</definedName>
    <definedName name="__PPC48">#REF!</definedName>
    <definedName name="__PPC49" localSheetId="6">#REF!</definedName>
    <definedName name="__PPC49" localSheetId="12">#REF!</definedName>
    <definedName name="__PPC49" localSheetId="19">#REF!</definedName>
    <definedName name="__PPC49">#REF!</definedName>
    <definedName name="__PPC5" localSheetId="6">#REF!</definedName>
    <definedName name="__PPC5" localSheetId="12">#REF!</definedName>
    <definedName name="__PPC5" localSheetId="19">#REF!</definedName>
    <definedName name="__PPC5">#REF!</definedName>
    <definedName name="__PPC50" localSheetId="6">#REF!</definedName>
    <definedName name="__PPC50" localSheetId="12">#REF!</definedName>
    <definedName name="__PPC50" localSheetId="19">#REF!</definedName>
    <definedName name="__PPC50">#REF!</definedName>
    <definedName name="__PPC51" localSheetId="6">#REF!</definedName>
    <definedName name="__PPC51" localSheetId="12">#REF!</definedName>
    <definedName name="__PPC51" localSheetId="19">#REF!</definedName>
    <definedName name="__PPC51">#REF!</definedName>
    <definedName name="__PPC52" localSheetId="6">#REF!</definedName>
    <definedName name="__PPC52" localSheetId="12">#REF!</definedName>
    <definedName name="__PPC52" localSheetId="19">#REF!</definedName>
    <definedName name="__PPC52">#REF!</definedName>
    <definedName name="__PPC53" localSheetId="6">#REF!</definedName>
    <definedName name="__PPC53" localSheetId="12">#REF!</definedName>
    <definedName name="__PPC53" localSheetId="19">#REF!</definedName>
    <definedName name="__PPC53">#REF!</definedName>
    <definedName name="__PPC54" localSheetId="6">#REF!</definedName>
    <definedName name="__PPC54" localSheetId="12">#REF!</definedName>
    <definedName name="__PPC54" localSheetId="19">#REF!</definedName>
    <definedName name="__PPC54">#REF!</definedName>
    <definedName name="__PPC55" localSheetId="6">#REF!</definedName>
    <definedName name="__PPC55" localSheetId="12">#REF!</definedName>
    <definedName name="__PPC55" localSheetId="19">#REF!</definedName>
    <definedName name="__PPC55">#REF!</definedName>
    <definedName name="__PPC56" localSheetId="6">#REF!</definedName>
    <definedName name="__PPC56" localSheetId="12">#REF!</definedName>
    <definedName name="__PPC56" localSheetId="19">#REF!</definedName>
    <definedName name="__PPC56">#REF!</definedName>
    <definedName name="__PPC57" localSheetId="6">#REF!</definedName>
    <definedName name="__PPC57" localSheetId="12">#REF!</definedName>
    <definedName name="__PPC57" localSheetId="19">#REF!</definedName>
    <definedName name="__PPC57">#REF!</definedName>
    <definedName name="__PPC58" localSheetId="6">#REF!</definedName>
    <definedName name="__PPC58" localSheetId="12">#REF!</definedName>
    <definedName name="__PPC58" localSheetId="19">#REF!</definedName>
    <definedName name="__PPC58">#REF!</definedName>
    <definedName name="__PPC59" localSheetId="6">#REF!</definedName>
    <definedName name="__PPC59" localSheetId="12">#REF!</definedName>
    <definedName name="__PPC59" localSheetId="19">#REF!</definedName>
    <definedName name="__PPC59">#REF!</definedName>
    <definedName name="__PPC6" localSheetId="6">#REF!</definedName>
    <definedName name="__PPC6" localSheetId="12">#REF!</definedName>
    <definedName name="__PPC6" localSheetId="19">#REF!</definedName>
    <definedName name="__PPC6">#REF!</definedName>
    <definedName name="__PPC60" localSheetId="6">#REF!</definedName>
    <definedName name="__PPC60" localSheetId="12">#REF!</definedName>
    <definedName name="__PPC60" localSheetId="19">#REF!</definedName>
    <definedName name="__PPC60">#REF!</definedName>
    <definedName name="__PPC61" localSheetId="6">#REF!</definedName>
    <definedName name="__PPC61" localSheetId="12">#REF!</definedName>
    <definedName name="__PPC61" localSheetId="19">#REF!</definedName>
    <definedName name="__PPC61">#REF!</definedName>
    <definedName name="__PPC62" localSheetId="6">#REF!</definedName>
    <definedName name="__PPC62" localSheetId="12">#REF!</definedName>
    <definedName name="__PPC62" localSheetId="19">#REF!</definedName>
    <definedName name="__PPC62">#REF!</definedName>
    <definedName name="__PPC63" localSheetId="6">#REF!</definedName>
    <definedName name="__PPC63" localSheetId="12">#REF!</definedName>
    <definedName name="__PPC63" localSheetId="19">#REF!</definedName>
    <definedName name="__PPC63">#REF!</definedName>
    <definedName name="__PPC64" localSheetId="6">#REF!</definedName>
    <definedName name="__PPC64" localSheetId="12">#REF!</definedName>
    <definedName name="__PPC64" localSheetId="19">#REF!</definedName>
    <definedName name="__PPC64">#REF!</definedName>
    <definedName name="__PPC65" localSheetId="6">#REF!</definedName>
    <definedName name="__PPC65" localSheetId="12">#REF!</definedName>
    <definedName name="__PPC65" localSheetId="19">#REF!</definedName>
    <definedName name="__PPC65">#REF!</definedName>
    <definedName name="__PPC66" localSheetId="6">#REF!</definedName>
    <definedName name="__PPC66" localSheetId="12">#REF!</definedName>
    <definedName name="__PPC66" localSheetId="19">#REF!</definedName>
    <definedName name="__PPC66">#REF!</definedName>
    <definedName name="__PPC67" localSheetId="6">#REF!</definedName>
    <definedName name="__PPC67" localSheetId="12">#REF!</definedName>
    <definedName name="__PPC67" localSheetId="19">#REF!</definedName>
    <definedName name="__PPC67">#REF!</definedName>
    <definedName name="__PPC68" localSheetId="6">#REF!</definedName>
    <definedName name="__PPC68" localSheetId="12">#REF!</definedName>
    <definedName name="__PPC68" localSheetId="19">#REF!</definedName>
    <definedName name="__PPC68">#REF!</definedName>
    <definedName name="__PPC69" localSheetId="6">#REF!</definedName>
    <definedName name="__PPC69" localSheetId="12">#REF!</definedName>
    <definedName name="__PPC69" localSheetId="19">#REF!</definedName>
    <definedName name="__PPC69">#REF!</definedName>
    <definedName name="__PPC7" localSheetId="6">#REF!</definedName>
    <definedName name="__PPC7" localSheetId="12">#REF!</definedName>
    <definedName name="__PPC7" localSheetId="19">#REF!</definedName>
    <definedName name="__PPC7">#REF!</definedName>
    <definedName name="__PPC70" localSheetId="6">#REF!</definedName>
    <definedName name="__PPC70" localSheetId="12">#REF!</definedName>
    <definedName name="__PPC70" localSheetId="19">#REF!</definedName>
    <definedName name="__PPC70">#REF!</definedName>
    <definedName name="__PPC71" localSheetId="6">#REF!</definedName>
    <definedName name="__PPC71" localSheetId="12">#REF!</definedName>
    <definedName name="__PPC71" localSheetId="19">#REF!</definedName>
    <definedName name="__PPC71">#REF!</definedName>
    <definedName name="__PPC72" localSheetId="6">#REF!</definedName>
    <definedName name="__PPC72" localSheetId="12">#REF!</definedName>
    <definedName name="__PPC72" localSheetId="19">#REF!</definedName>
    <definedName name="__PPC72">#REF!</definedName>
    <definedName name="__PPC73" localSheetId="6">#REF!</definedName>
    <definedName name="__PPC73" localSheetId="12">#REF!</definedName>
    <definedName name="__PPC73" localSheetId="19">#REF!</definedName>
    <definedName name="__PPC73">#REF!</definedName>
    <definedName name="__PPC74" localSheetId="6">#REF!</definedName>
    <definedName name="__PPC74" localSheetId="12">#REF!</definedName>
    <definedName name="__PPC74" localSheetId="19">#REF!</definedName>
    <definedName name="__PPC74">#REF!</definedName>
    <definedName name="__PPC75" localSheetId="6">#REF!</definedName>
    <definedName name="__PPC75" localSheetId="12">#REF!</definedName>
    <definedName name="__PPC75" localSheetId="19">#REF!</definedName>
    <definedName name="__PPC75">#REF!</definedName>
    <definedName name="__PPC76" localSheetId="6">#REF!</definedName>
    <definedName name="__PPC76" localSheetId="12">#REF!</definedName>
    <definedName name="__PPC76" localSheetId="19">#REF!</definedName>
    <definedName name="__PPC76">#REF!</definedName>
    <definedName name="__PPC77" localSheetId="6">#REF!</definedName>
    <definedName name="__PPC77" localSheetId="12">#REF!</definedName>
    <definedName name="__PPC77" localSheetId="19">#REF!</definedName>
    <definedName name="__PPC77">#REF!</definedName>
    <definedName name="__PPC78" localSheetId="6">#REF!</definedName>
    <definedName name="__PPC78" localSheetId="12">#REF!</definedName>
    <definedName name="__PPC78" localSheetId="19">#REF!</definedName>
    <definedName name="__PPC78">#REF!</definedName>
    <definedName name="__PPC79" localSheetId="6">#REF!</definedName>
    <definedName name="__PPC79" localSheetId="12">#REF!</definedName>
    <definedName name="__PPC79" localSheetId="19">#REF!</definedName>
    <definedName name="__PPC79">#REF!</definedName>
    <definedName name="__PPC8" localSheetId="6">#REF!</definedName>
    <definedName name="__PPC8" localSheetId="12">#REF!</definedName>
    <definedName name="__PPC8" localSheetId="19">#REF!</definedName>
    <definedName name="__PPC8">#REF!</definedName>
    <definedName name="__PPC80" localSheetId="6">#REF!</definedName>
    <definedName name="__PPC80" localSheetId="12">#REF!</definedName>
    <definedName name="__PPC80" localSheetId="19">#REF!</definedName>
    <definedName name="__PPC80">#REF!</definedName>
    <definedName name="__PPC81" localSheetId="6">#REF!</definedName>
    <definedName name="__PPC81" localSheetId="12">#REF!</definedName>
    <definedName name="__PPC81" localSheetId="19">#REF!</definedName>
    <definedName name="__PPC81">#REF!</definedName>
    <definedName name="__PPC82" localSheetId="6">#REF!</definedName>
    <definedName name="__PPC82" localSheetId="12">#REF!</definedName>
    <definedName name="__PPC82" localSheetId="19">#REF!</definedName>
    <definedName name="__PPC82">#REF!</definedName>
    <definedName name="__PPC83" localSheetId="6">#REF!</definedName>
    <definedName name="__PPC83" localSheetId="12">#REF!</definedName>
    <definedName name="__PPC83" localSheetId="19">#REF!</definedName>
    <definedName name="__PPC83">#REF!</definedName>
    <definedName name="__PPC84" localSheetId="6">#REF!</definedName>
    <definedName name="__PPC84" localSheetId="12">#REF!</definedName>
    <definedName name="__PPC84" localSheetId="19">#REF!</definedName>
    <definedName name="__PPC84">#REF!</definedName>
    <definedName name="__PPC85" localSheetId="6">#REF!</definedName>
    <definedName name="__PPC85" localSheetId="12">#REF!</definedName>
    <definedName name="__PPC85" localSheetId="19">#REF!</definedName>
    <definedName name="__PPC85">#REF!</definedName>
    <definedName name="__PPC86" localSheetId="6">#REF!</definedName>
    <definedName name="__PPC86" localSheetId="12">#REF!</definedName>
    <definedName name="__PPC86" localSheetId="19">#REF!</definedName>
    <definedName name="__PPC86">#REF!</definedName>
    <definedName name="__PPC87" localSheetId="6">#REF!</definedName>
    <definedName name="__PPC87" localSheetId="12">#REF!</definedName>
    <definedName name="__PPC87" localSheetId="19">#REF!</definedName>
    <definedName name="__PPC87">#REF!</definedName>
    <definedName name="__PPC88" localSheetId="6">#REF!</definedName>
    <definedName name="__PPC88" localSheetId="12">#REF!</definedName>
    <definedName name="__PPC88" localSheetId="19">#REF!</definedName>
    <definedName name="__PPC88">#REF!</definedName>
    <definedName name="__PPC89" localSheetId="6">#REF!</definedName>
    <definedName name="__PPC89" localSheetId="12">#REF!</definedName>
    <definedName name="__PPC89" localSheetId="19">#REF!</definedName>
    <definedName name="__PPC89">#REF!</definedName>
    <definedName name="__PPC9" localSheetId="6">#REF!</definedName>
    <definedName name="__PPC9" localSheetId="12">#REF!</definedName>
    <definedName name="__PPC9" localSheetId="19">#REF!</definedName>
    <definedName name="__PPC9">#REF!</definedName>
    <definedName name="__PPC90" localSheetId="6">#REF!</definedName>
    <definedName name="__PPC90" localSheetId="12">#REF!</definedName>
    <definedName name="__PPC90" localSheetId="19">#REF!</definedName>
    <definedName name="__PPC90">#REF!</definedName>
    <definedName name="__PPC91" localSheetId="6">#REF!</definedName>
    <definedName name="__PPC91" localSheetId="12">#REF!</definedName>
    <definedName name="__PPC91" localSheetId="19">#REF!</definedName>
    <definedName name="__PPC91">#REF!</definedName>
    <definedName name="__PPC92" localSheetId="6">#REF!</definedName>
    <definedName name="__PPC92" localSheetId="12">#REF!</definedName>
    <definedName name="__PPC92" localSheetId="19">#REF!</definedName>
    <definedName name="__PPC92">#REF!</definedName>
    <definedName name="__PPC93" localSheetId="6">#REF!</definedName>
    <definedName name="__PPC93" localSheetId="12">#REF!</definedName>
    <definedName name="__PPC93" localSheetId="19">#REF!</definedName>
    <definedName name="__PPC93">#REF!</definedName>
    <definedName name="__PPC94" localSheetId="6">#REF!</definedName>
    <definedName name="__PPC94" localSheetId="12">#REF!</definedName>
    <definedName name="__PPC94" localSheetId="19">#REF!</definedName>
    <definedName name="__PPC94">#REF!</definedName>
    <definedName name="__PPC95">#REF!</definedName>
    <definedName name="__PPD114" localSheetId="6">#REF!</definedName>
    <definedName name="__PPD114" localSheetId="12">#REF!</definedName>
    <definedName name="__PPD114" localSheetId="19">#REF!</definedName>
    <definedName name="__PPD114">#REF!</definedName>
    <definedName name="__PPD89">#REF!</definedName>
    <definedName name="__psc10006" localSheetId="6">#REF!</definedName>
    <definedName name="__psc10006" localSheetId="12">#REF!</definedName>
    <definedName name="__psc10006" localSheetId="34">#REF!</definedName>
    <definedName name="__psc10006" localSheetId="19">#REF!</definedName>
    <definedName name="__psc10006">#REF!</definedName>
    <definedName name="__psc10008" localSheetId="6">#REF!</definedName>
    <definedName name="__psc10008" localSheetId="12">#REF!</definedName>
    <definedName name="__psc10008" localSheetId="34">#REF!</definedName>
    <definedName name="__psc10008" localSheetId="19">#REF!</definedName>
    <definedName name="__psc10008">#REF!</definedName>
    <definedName name="__psc3506" localSheetId="6">#REF!</definedName>
    <definedName name="__psc3506" localSheetId="12">#REF!</definedName>
    <definedName name="__psc3506" localSheetId="34">#REF!</definedName>
    <definedName name="__psc3506" localSheetId="19">#REF!</definedName>
    <definedName name="__psc3506">#REF!</definedName>
    <definedName name="__psc3508" localSheetId="6">#REF!</definedName>
    <definedName name="__psc3508" localSheetId="12">#REF!</definedName>
    <definedName name="__psc3508" localSheetId="34">#REF!</definedName>
    <definedName name="__psc3508" localSheetId="19">#REF!</definedName>
    <definedName name="__psc3508">#REF!</definedName>
    <definedName name="__psc4006" localSheetId="6">#REF!</definedName>
    <definedName name="__psc4006" localSheetId="12">#REF!</definedName>
    <definedName name="__psc4006" localSheetId="34">#REF!</definedName>
    <definedName name="__psc4006" localSheetId="19">#REF!</definedName>
    <definedName name="__psc4006">#REF!</definedName>
    <definedName name="__psc4008" localSheetId="6">#REF!</definedName>
    <definedName name="__psc4008" localSheetId="12">#REF!</definedName>
    <definedName name="__psc4008" localSheetId="34">#REF!</definedName>
    <definedName name="__psc4008" localSheetId="19">#REF!</definedName>
    <definedName name="__psc4008">#REF!</definedName>
    <definedName name="__psc4506" localSheetId="6">#REF!</definedName>
    <definedName name="__psc4506" localSheetId="12">#REF!</definedName>
    <definedName name="__psc4506" localSheetId="34">#REF!</definedName>
    <definedName name="__psc4506" localSheetId="19">#REF!</definedName>
    <definedName name="__psc4506">#REF!</definedName>
    <definedName name="__psc4508" localSheetId="6">#REF!</definedName>
    <definedName name="__psc4508" localSheetId="12">#REF!</definedName>
    <definedName name="__psc4508" localSheetId="34">#REF!</definedName>
    <definedName name="__psc4508" localSheetId="19">#REF!</definedName>
    <definedName name="__psc4508">#REF!</definedName>
    <definedName name="__psc5006" localSheetId="6">#REF!</definedName>
    <definedName name="__psc5006" localSheetId="12">#REF!</definedName>
    <definedName name="__psc5006" localSheetId="34">#REF!</definedName>
    <definedName name="__psc5006" localSheetId="19">#REF!</definedName>
    <definedName name="__psc5006">#REF!</definedName>
    <definedName name="__psc5008" localSheetId="6">#REF!</definedName>
    <definedName name="__psc5008" localSheetId="12">#REF!</definedName>
    <definedName name="__psc5008" localSheetId="34">#REF!</definedName>
    <definedName name="__psc5008" localSheetId="19">#REF!</definedName>
    <definedName name="__psc5008">#REF!</definedName>
    <definedName name="__psc6006" localSheetId="6">#REF!</definedName>
    <definedName name="__psc6006" localSheetId="12">#REF!</definedName>
    <definedName name="__psc6006" localSheetId="34">#REF!</definedName>
    <definedName name="__psc6006" localSheetId="19">#REF!</definedName>
    <definedName name="__psc6006">#REF!</definedName>
    <definedName name="__psc6008" localSheetId="6">#REF!</definedName>
    <definedName name="__psc6008" localSheetId="12">#REF!</definedName>
    <definedName name="__psc6008" localSheetId="34">#REF!</definedName>
    <definedName name="__psc6008" localSheetId="19">#REF!</definedName>
    <definedName name="__psc6008">#REF!</definedName>
    <definedName name="__psc7006" localSheetId="6">#REF!</definedName>
    <definedName name="__psc7006" localSheetId="12">#REF!</definedName>
    <definedName name="__psc7006" localSheetId="34">#REF!</definedName>
    <definedName name="__psc7006" localSheetId="19">#REF!</definedName>
    <definedName name="__psc7006">#REF!</definedName>
    <definedName name="__psc7008" localSheetId="6">#REF!</definedName>
    <definedName name="__psc7008" localSheetId="12">#REF!</definedName>
    <definedName name="__psc7008" localSheetId="34">#REF!</definedName>
    <definedName name="__psc7008" localSheetId="19">#REF!</definedName>
    <definedName name="__psc7008">#REF!</definedName>
    <definedName name="__psc8006" localSheetId="6">#REF!</definedName>
    <definedName name="__psc8006" localSheetId="12">#REF!</definedName>
    <definedName name="__psc8006" localSheetId="34">#REF!</definedName>
    <definedName name="__psc8006" localSheetId="19">#REF!</definedName>
    <definedName name="__psc8006">#REF!</definedName>
    <definedName name="__psc8008" localSheetId="6">#REF!</definedName>
    <definedName name="__psc8008" localSheetId="12">#REF!</definedName>
    <definedName name="__psc8008" localSheetId="34">#REF!</definedName>
    <definedName name="__psc8008" localSheetId="19">#REF!</definedName>
    <definedName name="__psc8008">#REF!</definedName>
    <definedName name="__psc9006" localSheetId="6">#REF!</definedName>
    <definedName name="__psc9006" localSheetId="12">#REF!</definedName>
    <definedName name="__psc9006" localSheetId="34">#REF!</definedName>
    <definedName name="__psc9006" localSheetId="19">#REF!</definedName>
    <definedName name="__psc9006">#REF!</definedName>
    <definedName name="__psc9008" localSheetId="6">#REF!</definedName>
    <definedName name="__psc9008" localSheetId="12">#REF!</definedName>
    <definedName name="__psc9008" localSheetId="34">#REF!</definedName>
    <definedName name="__psc9008" localSheetId="19">#REF!</definedName>
    <definedName name="__psc9008">#REF!</definedName>
    <definedName name="__pv1" localSheetId="6">#REF!</definedName>
    <definedName name="__pv1" localSheetId="12">#REF!</definedName>
    <definedName name="__pv1" localSheetId="19">#REF!</definedName>
    <definedName name="__pv1">#REF!</definedName>
    <definedName name="__pv2" localSheetId="22">#REF!</definedName>
    <definedName name="__pv2" localSheetId="5">#REF!</definedName>
    <definedName name="__pv2" localSheetId="6">#REF!</definedName>
    <definedName name="__pv2" localSheetId="12">#REF!</definedName>
    <definedName name="__pv2" localSheetId="34">#REF!</definedName>
    <definedName name="__pv2" localSheetId="19">#REF!</definedName>
    <definedName name="__pv2" localSheetId="30">#REF!</definedName>
    <definedName name="__pv2" localSheetId="40">#REF!</definedName>
    <definedName name="__pv2" localSheetId="26">#REF!</definedName>
    <definedName name="__pv2">#REF!</definedName>
    <definedName name="__pv2_23">"$#REF!.$#REF!$#REF!"</definedName>
    <definedName name="__pv2_33">"$#REF!.$#REF!$#REF!"</definedName>
    <definedName name="__pv2_34">"$#REF!.$#REF!$#REF!"</definedName>
    <definedName name="__pv2_38">"$#REF!.$#REF!$#REF!"</definedName>
    <definedName name="__pv2_41">"$#REF!.$#REF!$#REF!"</definedName>
    <definedName name="__pv2_43">"$#REF!.$#REF!$#REF!"</definedName>
    <definedName name="__pv2_48">"$#REF!.$#REF!$#REF!"</definedName>
    <definedName name="__pv2_57">"$#REF!.$#REF!$#REF!"</definedName>
    <definedName name="__pv2_59">"$#REF!.$#REF!$#REF!"</definedName>
    <definedName name="__pv2_60">"$#REF!.$#REF!$#REF!"</definedName>
    <definedName name="__pv2_61">"$#REF!.$#REF!$#REF!"</definedName>
    <definedName name="__pv2_62">"$#REF!.$#REF!$#REF!"</definedName>
    <definedName name="__pv2_7">"$#REF!.$#REF!$#REF!"</definedName>
    <definedName name="__pv2_72">"$#REF!.$#REF!$#REF!"</definedName>
    <definedName name="__pv2_73">"$#REF!.$#REF!$#REF!"</definedName>
    <definedName name="__pv2_8">"$#REF!.$#REF!$#REF!"</definedName>
    <definedName name="__rr3_21" localSheetId="19">#REF!</definedName>
    <definedName name="__rr3_33" localSheetId="27">#REF!</definedName>
    <definedName name="__rr3_33">#REF!</definedName>
    <definedName name="__rr3_34" localSheetId="27">#REF!</definedName>
    <definedName name="__rr3_34">#REF!</definedName>
    <definedName name="__rrr1_21" localSheetId="19">#REF!</definedName>
    <definedName name="__rrr1_33" localSheetId="27">#REF!</definedName>
    <definedName name="__rrr1_33">#REF!</definedName>
    <definedName name="__rrr1_34">#REF!</definedName>
    <definedName name="__RS300" localSheetId="6">#REF!</definedName>
    <definedName name="__RS300" localSheetId="12">#REF!</definedName>
    <definedName name="__RS300" localSheetId="19">#REF!</definedName>
    <definedName name="__RS300">#REF!</definedName>
    <definedName name="__SD1">#REF!</definedName>
    <definedName name="__SD10" localSheetId="6">#REF!</definedName>
    <definedName name="__SD10" localSheetId="12">#REF!</definedName>
    <definedName name="__SD10" localSheetId="19">#REF!</definedName>
    <definedName name="__SD10">#REF!</definedName>
    <definedName name="__SD100" localSheetId="6">#REF!</definedName>
    <definedName name="__SD100" localSheetId="12">#REF!</definedName>
    <definedName name="__SD100" localSheetId="19">#REF!</definedName>
    <definedName name="__SD100">#REF!</definedName>
    <definedName name="__SD101" localSheetId="6">#REF!</definedName>
    <definedName name="__SD101" localSheetId="12">#REF!</definedName>
    <definedName name="__SD101" localSheetId="19">#REF!</definedName>
    <definedName name="__SD101">#REF!</definedName>
    <definedName name="__SD102" localSheetId="6">#REF!</definedName>
    <definedName name="__SD102" localSheetId="12">#REF!</definedName>
    <definedName name="__SD102" localSheetId="19">#REF!</definedName>
    <definedName name="__SD102">#REF!</definedName>
    <definedName name="__SD103" localSheetId="6">#REF!</definedName>
    <definedName name="__SD103" localSheetId="12">#REF!</definedName>
    <definedName name="__SD103" localSheetId="19">#REF!</definedName>
    <definedName name="__SD103">#REF!</definedName>
    <definedName name="__SD104" localSheetId="6">#REF!</definedName>
    <definedName name="__SD104" localSheetId="12">#REF!</definedName>
    <definedName name="__SD104" localSheetId="19">#REF!</definedName>
    <definedName name="__SD104">#REF!</definedName>
    <definedName name="__SD105" localSheetId="6">#REF!</definedName>
    <definedName name="__SD105" localSheetId="12">#REF!</definedName>
    <definedName name="__SD105" localSheetId="19">#REF!</definedName>
    <definedName name="__SD105">#REF!</definedName>
    <definedName name="__SD106" localSheetId="6">#REF!</definedName>
    <definedName name="__SD106" localSheetId="12">#REF!</definedName>
    <definedName name="__SD106" localSheetId="19">#REF!</definedName>
    <definedName name="__SD106">#REF!</definedName>
    <definedName name="__SD107" localSheetId="6">#REF!</definedName>
    <definedName name="__SD107" localSheetId="12">#REF!</definedName>
    <definedName name="__SD107" localSheetId="19">#REF!</definedName>
    <definedName name="__SD107">#REF!</definedName>
    <definedName name="__SD108" localSheetId="6">#REF!</definedName>
    <definedName name="__SD108" localSheetId="12">#REF!</definedName>
    <definedName name="__SD108" localSheetId="19">#REF!</definedName>
    <definedName name="__SD108">#REF!</definedName>
    <definedName name="__SD109" localSheetId="6">#REF!</definedName>
    <definedName name="__SD109" localSheetId="12">#REF!</definedName>
    <definedName name="__SD109" localSheetId="19">#REF!</definedName>
    <definedName name="__SD109">#REF!</definedName>
    <definedName name="__SD11" localSheetId="6">#REF!</definedName>
    <definedName name="__SD11" localSheetId="12">#REF!</definedName>
    <definedName name="__SD11" localSheetId="19">#REF!</definedName>
    <definedName name="__SD11">#REF!</definedName>
    <definedName name="__SD110" localSheetId="6">#REF!</definedName>
    <definedName name="__SD110" localSheetId="12">#REF!</definedName>
    <definedName name="__SD110" localSheetId="19">#REF!</definedName>
    <definedName name="__SD110">#REF!</definedName>
    <definedName name="__SD111" localSheetId="6">#REF!</definedName>
    <definedName name="__SD111" localSheetId="12">#REF!</definedName>
    <definedName name="__SD111" localSheetId="19">#REF!</definedName>
    <definedName name="__SD111">#REF!</definedName>
    <definedName name="__SD112" localSheetId="6">#REF!</definedName>
    <definedName name="__SD112" localSheetId="12">#REF!</definedName>
    <definedName name="__SD112" localSheetId="19">#REF!</definedName>
    <definedName name="__SD112">#REF!</definedName>
    <definedName name="__SD113" localSheetId="6">#REF!</definedName>
    <definedName name="__SD113" localSheetId="12">#REF!</definedName>
    <definedName name="__SD113" localSheetId="19">#REF!</definedName>
    <definedName name="__SD113">#REF!</definedName>
    <definedName name="__SD114" localSheetId="6">#REF!</definedName>
    <definedName name="__SD114" localSheetId="12">#REF!</definedName>
    <definedName name="__SD114" localSheetId="19">#REF!</definedName>
    <definedName name="__SD114">#REF!</definedName>
    <definedName name="__SD115" localSheetId="6">#REF!</definedName>
    <definedName name="__SD115" localSheetId="12">#REF!</definedName>
    <definedName name="__SD115" localSheetId="19">#REF!</definedName>
    <definedName name="__SD115">#REF!</definedName>
    <definedName name="__SD116" localSheetId="6">#REF!</definedName>
    <definedName name="__SD116" localSheetId="12">#REF!</definedName>
    <definedName name="__SD116" localSheetId="19">#REF!</definedName>
    <definedName name="__SD116">#REF!</definedName>
    <definedName name="__SD117" localSheetId="6">#REF!</definedName>
    <definedName name="__SD117" localSheetId="12">#REF!</definedName>
    <definedName name="__SD117" localSheetId="19">#REF!</definedName>
    <definedName name="__SD117">#REF!</definedName>
    <definedName name="__SD118" localSheetId="6">#REF!</definedName>
    <definedName name="__SD118" localSheetId="12">#REF!</definedName>
    <definedName name="__SD118" localSheetId="19">#REF!</definedName>
    <definedName name="__SD118">#REF!</definedName>
    <definedName name="__SD119" localSheetId="6">#REF!</definedName>
    <definedName name="__SD119" localSheetId="12">#REF!</definedName>
    <definedName name="__SD119" localSheetId="19">#REF!</definedName>
    <definedName name="__SD119">#REF!</definedName>
    <definedName name="__SD12" localSheetId="6">#REF!</definedName>
    <definedName name="__SD12" localSheetId="12">#REF!</definedName>
    <definedName name="__SD12" localSheetId="19">#REF!</definedName>
    <definedName name="__SD12">#REF!</definedName>
    <definedName name="__SD121" localSheetId="6">#REF!</definedName>
    <definedName name="__SD121" localSheetId="12">#REF!</definedName>
    <definedName name="__SD121" localSheetId="19">#REF!</definedName>
    <definedName name="__SD121">#REF!</definedName>
    <definedName name="__SD122" localSheetId="6">#REF!</definedName>
    <definedName name="__SD122" localSheetId="12">#REF!</definedName>
    <definedName name="__SD122" localSheetId="19">#REF!</definedName>
    <definedName name="__SD122">#REF!</definedName>
    <definedName name="__SD123" localSheetId="6">#REF!</definedName>
    <definedName name="__SD123" localSheetId="12">#REF!</definedName>
    <definedName name="__SD123" localSheetId="19">#REF!</definedName>
    <definedName name="__SD123">#REF!</definedName>
    <definedName name="__SD124" localSheetId="6">#REF!</definedName>
    <definedName name="__SD124" localSheetId="12">#REF!</definedName>
    <definedName name="__SD124" localSheetId="19">#REF!</definedName>
    <definedName name="__SD124">#REF!</definedName>
    <definedName name="__SD125" localSheetId="6">#REF!</definedName>
    <definedName name="__SD125" localSheetId="12">#REF!</definedName>
    <definedName name="__SD125" localSheetId="19">#REF!</definedName>
    <definedName name="__SD125">#REF!</definedName>
    <definedName name="__SD126" localSheetId="6">#REF!</definedName>
    <definedName name="__SD126" localSheetId="12">#REF!</definedName>
    <definedName name="__SD126" localSheetId="19">#REF!</definedName>
    <definedName name="__SD126">#REF!</definedName>
    <definedName name="__SD127" localSheetId="6">#REF!</definedName>
    <definedName name="__SD127" localSheetId="12">#REF!</definedName>
    <definedName name="__SD127" localSheetId="19">#REF!</definedName>
    <definedName name="__SD127">#REF!</definedName>
    <definedName name="__SD128" localSheetId="6">#REF!</definedName>
    <definedName name="__SD128" localSheetId="12">#REF!</definedName>
    <definedName name="__SD128" localSheetId="19">#REF!</definedName>
    <definedName name="__SD128">#REF!</definedName>
    <definedName name="__SD129" localSheetId="6">#REF!</definedName>
    <definedName name="__SD129" localSheetId="12">#REF!</definedName>
    <definedName name="__SD129" localSheetId="19">#REF!</definedName>
    <definedName name="__SD129">#REF!</definedName>
    <definedName name="__SD13" localSheetId="6">#REF!</definedName>
    <definedName name="__SD13" localSheetId="12">#REF!</definedName>
    <definedName name="__SD13" localSheetId="19">#REF!</definedName>
    <definedName name="__SD13">#REF!</definedName>
    <definedName name="__SD130" localSheetId="6">#REF!</definedName>
    <definedName name="__SD130" localSheetId="12">#REF!</definedName>
    <definedName name="__SD130" localSheetId="19">#REF!</definedName>
    <definedName name="__SD130">#REF!</definedName>
    <definedName name="__SD131" localSheetId="6">#REF!</definedName>
    <definedName name="__SD131" localSheetId="12">#REF!</definedName>
    <definedName name="__SD131" localSheetId="19">#REF!</definedName>
    <definedName name="__SD131">#REF!</definedName>
    <definedName name="__SD132" localSheetId="6">#REF!</definedName>
    <definedName name="__SD132" localSheetId="12">#REF!</definedName>
    <definedName name="__SD132" localSheetId="19">#REF!</definedName>
    <definedName name="__SD132">#REF!</definedName>
    <definedName name="__SD133" localSheetId="6">#REF!</definedName>
    <definedName name="__SD133" localSheetId="12">#REF!</definedName>
    <definedName name="__SD133" localSheetId="19">#REF!</definedName>
    <definedName name="__SD133">#REF!</definedName>
    <definedName name="__SD134" localSheetId="6">#REF!</definedName>
    <definedName name="__SD134" localSheetId="12">#REF!</definedName>
    <definedName name="__SD134" localSheetId="19">#REF!</definedName>
    <definedName name="__SD134">#REF!</definedName>
    <definedName name="__SD135" localSheetId="6">#REF!</definedName>
    <definedName name="__SD135" localSheetId="12">#REF!</definedName>
    <definedName name="__SD135" localSheetId="19">#REF!</definedName>
    <definedName name="__SD135">#REF!</definedName>
    <definedName name="__SD136" localSheetId="6">#REF!</definedName>
    <definedName name="__SD136" localSheetId="12">#REF!</definedName>
    <definedName name="__SD136" localSheetId="19">#REF!</definedName>
    <definedName name="__SD136">#REF!</definedName>
    <definedName name="__SD137" localSheetId="6">#REF!</definedName>
    <definedName name="__SD137" localSheetId="12">#REF!</definedName>
    <definedName name="__SD137" localSheetId="19">#REF!</definedName>
    <definedName name="__SD137">#REF!</definedName>
    <definedName name="__SD138" localSheetId="6">#REF!</definedName>
    <definedName name="__SD138" localSheetId="12">#REF!</definedName>
    <definedName name="__SD138" localSheetId="19">#REF!</definedName>
    <definedName name="__SD138">#REF!</definedName>
    <definedName name="__SD139" localSheetId="6">#REF!</definedName>
    <definedName name="__SD139" localSheetId="12">#REF!</definedName>
    <definedName name="__SD139" localSheetId="19">#REF!</definedName>
    <definedName name="__SD139">#REF!</definedName>
    <definedName name="__SD14" localSheetId="6">#REF!</definedName>
    <definedName name="__SD14" localSheetId="12">#REF!</definedName>
    <definedName name="__SD14" localSheetId="19">#REF!</definedName>
    <definedName name="__SD14">#REF!</definedName>
    <definedName name="__SD140" localSheetId="6">#REF!</definedName>
    <definedName name="__SD140" localSheetId="12">#REF!</definedName>
    <definedName name="__SD140" localSheetId="19">#REF!</definedName>
    <definedName name="__SD140">#REF!</definedName>
    <definedName name="__SD141" localSheetId="6">#REF!</definedName>
    <definedName name="__SD141" localSheetId="12">#REF!</definedName>
    <definedName name="__SD141" localSheetId="19">#REF!</definedName>
    <definedName name="__SD141">#REF!</definedName>
    <definedName name="__SD142" localSheetId="6">#REF!</definedName>
    <definedName name="__SD142" localSheetId="12">#REF!</definedName>
    <definedName name="__SD142" localSheetId="19">#REF!</definedName>
    <definedName name="__SD142">#REF!</definedName>
    <definedName name="__SD143" localSheetId="6">#REF!</definedName>
    <definedName name="__SD143" localSheetId="12">#REF!</definedName>
    <definedName name="__SD143" localSheetId="19">#REF!</definedName>
    <definedName name="__SD143">#REF!</definedName>
    <definedName name="__SD144" localSheetId="6">#REF!</definedName>
    <definedName name="__SD144" localSheetId="12">#REF!</definedName>
    <definedName name="__SD144" localSheetId="19">#REF!</definedName>
    <definedName name="__SD144">#REF!</definedName>
    <definedName name="__SD145" localSheetId="6">#REF!</definedName>
    <definedName name="__SD145" localSheetId="12">#REF!</definedName>
    <definedName name="__SD145" localSheetId="19">#REF!</definedName>
    <definedName name="__SD145">#REF!</definedName>
    <definedName name="__SD146" localSheetId="6">#REF!</definedName>
    <definedName name="__SD146" localSheetId="12">#REF!</definedName>
    <definedName name="__SD146" localSheetId="19">#REF!</definedName>
    <definedName name="__SD146">#REF!</definedName>
    <definedName name="__SD147" localSheetId="6">#REF!</definedName>
    <definedName name="__SD147" localSheetId="12">#REF!</definedName>
    <definedName name="__SD147" localSheetId="19">#REF!</definedName>
    <definedName name="__SD147">#REF!</definedName>
    <definedName name="__SD148" localSheetId="6">#REF!</definedName>
    <definedName name="__SD148" localSheetId="12">#REF!</definedName>
    <definedName name="__SD148" localSheetId="19">#REF!</definedName>
    <definedName name="__SD148">#REF!</definedName>
    <definedName name="__SD149" localSheetId="6">#REF!</definedName>
    <definedName name="__SD149" localSheetId="12">#REF!</definedName>
    <definedName name="__SD149" localSheetId="19">#REF!</definedName>
    <definedName name="__SD149">#REF!</definedName>
    <definedName name="__SD15" localSheetId="6">#REF!</definedName>
    <definedName name="__SD15" localSheetId="12">#REF!</definedName>
    <definedName name="__SD15" localSheetId="19">#REF!</definedName>
    <definedName name="__SD15">#REF!</definedName>
    <definedName name="__SD150" localSheetId="6">#REF!</definedName>
    <definedName name="__SD150" localSheetId="12">#REF!</definedName>
    <definedName name="__SD150" localSheetId="19">#REF!</definedName>
    <definedName name="__SD150">#REF!</definedName>
    <definedName name="__SD16" localSheetId="6">#REF!</definedName>
    <definedName name="__SD16" localSheetId="12">#REF!</definedName>
    <definedName name="__SD16" localSheetId="19">#REF!</definedName>
    <definedName name="__SD16">#REF!</definedName>
    <definedName name="__SD17" localSheetId="6">#REF!</definedName>
    <definedName name="__SD17" localSheetId="12">#REF!</definedName>
    <definedName name="__SD17" localSheetId="19">#REF!</definedName>
    <definedName name="__SD17">#REF!</definedName>
    <definedName name="__SD18" localSheetId="6">#REF!</definedName>
    <definedName name="__SD18" localSheetId="12">#REF!</definedName>
    <definedName name="__SD18" localSheetId="19">#REF!</definedName>
    <definedName name="__SD18">#REF!</definedName>
    <definedName name="__SD19" localSheetId="6">#REF!</definedName>
    <definedName name="__SD19" localSheetId="12">#REF!</definedName>
    <definedName name="__SD19" localSheetId="19">#REF!</definedName>
    <definedName name="__SD19">#REF!</definedName>
    <definedName name="__SD2" localSheetId="6">#REF!</definedName>
    <definedName name="__SD2" localSheetId="12">#REF!</definedName>
    <definedName name="__SD2" localSheetId="19">#REF!</definedName>
    <definedName name="__SD2">#REF!</definedName>
    <definedName name="__SD20" localSheetId="6">#REF!</definedName>
    <definedName name="__SD20" localSheetId="12">#REF!</definedName>
    <definedName name="__SD20" localSheetId="19">#REF!</definedName>
    <definedName name="__SD20">#REF!</definedName>
    <definedName name="__SD21" localSheetId="6">#REF!</definedName>
    <definedName name="__SD21" localSheetId="12">#REF!</definedName>
    <definedName name="__SD21" localSheetId="19">#REF!</definedName>
    <definedName name="__SD21">#REF!</definedName>
    <definedName name="__SD22" localSheetId="6">#REF!</definedName>
    <definedName name="__SD22" localSheetId="12">#REF!</definedName>
    <definedName name="__SD22" localSheetId="19">#REF!</definedName>
    <definedName name="__SD22">#REF!</definedName>
    <definedName name="__SD23" localSheetId="6">#REF!</definedName>
    <definedName name="__SD23" localSheetId="12">#REF!</definedName>
    <definedName name="__SD23" localSheetId="19">#REF!</definedName>
    <definedName name="__SD23">#REF!</definedName>
    <definedName name="__SD24" localSheetId="6">#REF!</definedName>
    <definedName name="__SD24" localSheetId="12">#REF!</definedName>
    <definedName name="__SD24" localSheetId="19">#REF!</definedName>
    <definedName name="__SD24">#REF!</definedName>
    <definedName name="__SD25" localSheetId="6">#REF!</definedName>
    <definedName name="__SD25" localSheetId="12">#REF!</definedName>
    <definedName name="__SD25" localSheetId="19">#REF!</definedName>
    <definedName name="__SD25">#REF!</definedName>
    <definedName name="__SD250" localSheetId="6">#REF!</definedName>
    <definedName name="__SD250" localSheetId="12">#REF!</definedName>
    <definedName name="__SD250" localSheetId="19">#REF!</definedName>
    <definedName name="__SD250">#REF!</definedName>
    <definedName name="__SD26" localSheetId="6">#REF!</definedName>
    <definedName name="__SD26" localSheetId="12">#REF!</definedName>
    <definedName name="__SD26" localSheetId="19">#REF!</definedName>
    <definedName name="__SD26">#REF!</definedName>
    <definedName name="__SD27" localSheetId="6">#REF!</definedName>
    <definedName name="__SD27" localSheetId="12">#REF!</definedName>
    <definedName name="__SD27" localSheetId="19">#REF!</definedName>
    <definedName name="__SD27">#REF!</definedName>
    <definedName name="__SD28" localSheetId="6">#REF!</definedName>
    <definedName name="__SD28" localSheetId="12">#REF!</definedName>
    <definedName name="__SD28" localSheetId="19">#REF!</definedName>
    <definedName name="__SD28">#REF!</definedName>
    <definedName name="__SD29" localSheetId="6">#REF!</definedName>
    <definedName name="__SD29" localSheetId="12">#REF!</definedName>
    <definedName name="__SD29" localSheetId="19">#REF!</definedName>
    <definedName name="__SD29">#REF!</definedName>
    <definedName name="__SD3" localSheetId="6">#REF!</definedName>
    <definedName name="__SD3" localSheetId="12">#REF!</definedName>
    <definedName name="__SD3" localSheetId="19">#REF!</definedName>
    <definedName name="__SD3">#REF!</definedName>
    <definedName name="__SD30" localSheetId="6">#REF!</definedName>
    <definedName name="__SD30" localSheetId="12">#REF!</definedName>
    <definedName name="__SD30" localSheetId="19">#REF!</definedName>
    <definedName name="__SD30">#REF!</definedName>
    <definedName name="__SD31" localSheetId="6">#REF!</definedName>
    <definedName name="__SD31" localSheetId="12">#REF!</definedName>
    <definedName name="__SD31" localSheetId="19">#REF!</definedName>
    <definedName name="__SD31">#REF!</definedName>
    <definedName name="__SD32" localSheetId="6">#REF!</definedName>
    <definedName name="__SD32" localSheetId="12">#REF!</definedName>
    <definedName name="__SD32" localSheetId="19">#REF!</definedName>
    <definedName name="__SD32">#REF!</definedName>
    <definedName name="__SD33" localSheetId="6">#REF!</definedName>
    <definedName name="__SD33" localSheetId="12">#REF!</definedName>
    <definedName name="__SD33" localSheetId="19">#REF!</definedName>
    <definedName name="__SD33">#REF!</definedName>
    <definedName name="__SD34" localSheetId="6">#REF!</definedName>
    <definedName name="__SD34" localSheetId="12">#REF!</definedName>
    <definedName name="__SD34" localSheetId="19">#REF!</definedName>
    <definedName name="__SD34">#REF!</definedName>
    <definedName name="__SD35" localSheetId="6">#REF!</definedName>
    <definedName name="__SD35" localSheetId="12">#REF!</definedName>
    <definedName name="__SD35" localSheetId="19">#REF!</definedName>
    <definedName name="__SD35">#REF!</definedName>
    <definedName name="__SD36" localSheetId="6">#REF!</definedName>
    <definedName name="__SD36" localSheetId="12">#REF!</definedName>
    <definedName name="__SD36" localSheetId="19">#REF!</definedName>
    <definedName name="__SD36">#REF!</definedName>
    <definedName name="__SD37" localSheetId="6">#REF!</definedName>
    <definedName name="__SD37" localSheetId="12">#REF!</definedName>
    <definedName name="__SD37" localSheetId="19">#REF!</definedName>
    <definedName name="__SD37">#REF!</definedName>
    <definedName name="__SD38" localSheetId="6">#REF!</definedName>
    <definedName name="__SD38" localSheetId="12">#REF!</definedName>
    <definedName name="__SD38" localSheetId="19">#REF!</definedName>
    <definedName name="__SD38">#REF!</definedName>
    <definedName name="__SD39" localSheetId="6">#REF!</definedName>
    <definedName name="__SD39" localSheetId="12">#REF!</definedName>
    <definedName name="__SD39" localSheetId="19">#REF!</definedName>
    <definedName name="__SD39">#REF!</definedName>
    <definedName name="__SD4" localSheetId="6">#REF!</definedName>
    <definedName name="__SD4" localSheetId="12">#REF!</definedName>
    <definedName name="__SD4" localSheetId="19">#REF!</definedName>
    <definedName name="__SD4">#REF!</definedName>
    <definedName name="__SD40" localSheetId="6">#REF!</definedName>
    <definedName name="__SD40" localSheetId="12">#REF!</definedName>
    <definedName name="__SD40" localSheetId="19">#REF!</definedName>
    <definedName name="__SD40">#REF!</definedName>
    <definedName name="__SD41" localSheetId="6">#REF!</definedName>
    <definedName name="__SD41" localSheetId="12">#REF!</definedName>
    <definedName name="__SD41" localSheetId="19">#REF!</definedName>
    <definedName name="__SD41">#REF!</definedName>
    <definedName name="__SD42" localSheetId="6">#REF!</definedName>
    <definedName name="__SD42" localSheetId="12">#REF!</definedName>
    <definedName name="__SD42" localSheetId="19">#REF!</definedName>
    <definedName name="__SD42">#REF!</definedName>
    <definedName name="__SD43" localSheetId="6">#REF!</definedName>
    <definedName name="__SD43" localSheetId="12">#REF!</definedName>
    <definedName name="__SD43" localSheetId="19">#REF!</definedName>
    <definedName name="__SD43">#REF!</definedName>
    <definedName name="__SD44" localSheetId="6">#REF!</definedName>
    <definedName name="__SD44" localSheetId="12">#REF!</definedName>
    <definedName name="__SD44" localSheetId="19">#REF!</definedName>
    <definedName name="__SD44">#REF!</definedName>
    <definedName name="__SD45" localSheetId="6">#REF!</definedName>
    <definedName name="__SD45" localSheetId="12">#REF!</definedName>
    <definedName name="__SD45" localSheetId="19">#REF!</definedName>
    <definedName name="__SD45">#REF!</definedName>
    <definedName name="__SD46" localSheetId="6">#REF!</definedName>
    <definedName name="__SD46" localSheetId="12">#REF!</definedName>
    <definedName name="__SD46" localSheetId="19">#REF!</definedName>
    <definedName name="__SD46">#REF!</definedName>
    <definedName name="__SD47" localSheetId="6">#REF!</definedName>
    <definedName name="__SD47" localSheetId="12">#REF!</definedName>
    <definedName name="__SD47" localSheetId="19">#REF!</definedName>
    <definedName name="__SD47">#REF!</definedName>
    <definedName name="__SD48" localSheetId="6">#REF!</definedName>
    <definedName name="__SD48" localSheetId="12">#REF!</definedName>
    <definedName name="__SD48" localSheetId="19">#REF!</definedName>
    <definedName name="__SD48">#REF!</definedName>
    <definedName name="__SD49" localSheetId="6">#REF!</definedName>
    <definedName name="__SD49" localSheetId="12">#REF!</definedName>
    <definedName name="__SD49" localSheetId="19">#REF!</definedName>
    <definedName name="__SD49">#REF!</definedName>
    <definedName name="__SD5" localSheetId="6">#REF!</definedName>
    <definedName name="__SD5" localSheetId="12">#REF!</definedName>
    <definedName name="__SD5" localSheetId="19">#REF!</definedName>
    <definedName name="__SD5">#REF!</definedName>
    <definedName name="__SD50" localSheetId="6">#REF!</definedName>
    <definedName name="__SD50" localSheetId="12">#REF!</definedName>
    <definedName name="__SD50" localSheetId="19">#REF!</definedName>
    <definedName name="__SD50">#REF!</definedName>
    <definedName name="__SD500" localSheetId="6">#REF!</definedName>
    <definedName name="__SD500" localSheetId="12">#REF!</definedName>
    <definedName name="__SD500" localSheetId="19">#REF!</definedName>
    <definedName name="__SD500">#REF!</definedName>
    <definedName name="__SD51" localSheetId="6">#REF!</definedName>
    <definedName name="__SD51" localSheetId="12">#REF!</definedName>
    <definedName name="__SD51" localSheetId="19">#REF!</definedName>
    <definedName name="__SD51">#REF!</definedName>
    <definedName name="__SD52" localSheetId="6">#REF!</definedName>
    <definedName name="__SD52" localSheetId="12">#REF!</definedName>
    <definedName name="__SD52" localSheetId="19">#REF!</definedName>
    <definedName name="__SD52">#REF!</definedName>
    <definedName name="__SD53" localSheetId="6">#REF!</definedName>
    <definedName name="__SD53" localSheetId="12">#REF!</definedName>
    <definedName name="__SD53" localSheetId="19">#REF!</definedName>
    <definedName name="__SD53">#REF!</definedName>
    <definedName name="__SD54" localSheetId="6">#REF!</definedName>
    <definedName name="__SD54" localSheetId="12">#REF!</definedName>
    <definedName name="__SD54" localSheetId="19">#REF!</definedName>
    <definedName name="__SD54">#REF!</definedName>
    <definedName name="__SD55" localSheetId="6">#REF!</definedName>
    <definedName name="__SD55" localSheetId="12">#REF!</definedName>
    <definedName name="__SD55" localSheetId="19">#REF!</definedName>
    <definedName name="__SD55">#REF!</definedName>
    <definedName name="__SD56" localSheetId="6">#REF!</definedName>
    <definedName name="__SD56" localSheetId="12">#REF!</definedName>
    <definedName name="__SD56" localSheetId="19">#REF!</definedName>
    <definedName name="__SD56">#REF!</definedName>
    <definedName name="__SD57" localSheetId="6">#REF!</definedName>
    <definedName name="__SD57" localSheetId="12">#REF!</definedName>
    <definedName name="__SD57" localSheetId="19">#REF!</definedName>
    <definedName name="__SD57">#REF!</definedName>
    <definedName name="__SD58" localSheetId="6">#REF!</definedName>
    <definedName name="__SD58" localSheetId="12">#REF!</definedName>
    <definedName name="__SD58" localSheetId="19">#REF!</definedName>
    <definedName name="__SD58">#REF!</definedName>
    <definedName name="__SD59" localSheetId="6">#REF!</definedName>
    <definedName name="__SD59" localSheetId="12">#REF!</definedName>
    <definedName name="__SD59" localSheetId="19">#REF!</definedName>
    <definedName name="__SD59">#REF!</definedName>
    <definedName name="__SD6" localSheetId="6">#REF!</definedName>
    <definedName name="__SD6" localSheetId="12">#REF!</definedName>
    <definedName name="__SD6" localSheetId="19">#REF!</definedName>
    <definedName name="__SD6">#REF!</definedName>
    <definedName name="__SD60" localSheetId="6">#REF!</definedName>
    <definedName name="__SD60" localSheetId="12">#REF!</definedName>
    <definedName name="__SD60" localSheetId="19">#REF!</definedName>
    <definedName name="__SD60">#REF!</definedName>
    <definedName name="__SD61" localSheetId="6">#REF!</definedName>
    <definedName name="__SD61" localSheetId="12">#REF!</definedName>
    <definedName name="__SD61" localSheetId="19">#REF!</definedName>
    <definedName name="__SD61">#REF!</definedName>
    <definedName name="__SD62" localSheetId="6">#REF!</definedName>
    <definedName name="__SD62" localSheetId="12">#REF!</definedName>
    <definedName name="__SD62" localSheetId="19">#REF!</definedName>
    <definedName name="__SD62">#REF!</definedName>
    <definedName name="__SD63" localSheetId="6">#REF!</definedName>
    <definedName name="__SD63" localSheetId="12">#REF!</definedName>
    <definedName name="__SD63" localSheetId="19">#REF!</definedName>
    <definedName name="__SD63">#REF!</definedName>
    <definedName name="__SD64" localSheetId="6">#REF!</definedName>
    <definedName name="__SD64" localSheetId="12">#REF!</definedName>
    <definedName name="__SD64" localSheetId="19">#REF!</definedName>
    <definedName name="__SD64">#REF!</definedName>
    <definedName name="__SD65" localSheetId="6">#REF!</definedName>
    <definedName name="__SD65" localSheetId="12">#REF!</definedName>
    <definedName name="__SD65" localSheetId="19">#REF!</definedName>
    <definedName name="__SD65">#REF!</definedName>
    <definedName name="__SD66" localSheetId="6">#REF!</definedName>
    <definedName name="__SD66" localSheetId="12">#REF!</definedName>
    <definedName name="__SD66" localSheetId="19">#REF!</definedName>
    <definedName name="__SD66">#REF!</definedName>
    <definedName name="__SD67" localSheetId="6">#REF!</definedName>
    <definedName name="__SD67" localSheetId="12">#REF!</definedName>
    <definedName name="__SD67" localSheetId="19">#REF!</definedName>
    <definedName name="__SD67">#REF!</definedName>
    <definedName name="__SD68" localSheetId="6">#REF!</definedName>
    <definedName name="__SD68" localSheetId="12">#REF!</definedName>
    <definedName name="__SD68" localSheetId="19">#REF!</definedName>
    <definedName name="__SD68">#REF!</definedName>
    <definedName name="__SD69" localSheetId="6">#REF!</definedName>
    <definedName name="__SD69" localSheetId="12">#REF!</definedName>
    <definedName name="__SD69" localSheetId="19">#REF!</definedName>
    <definedName name="__SD69">#REF!</definedName>
    <definedName name="__SD7" localSheetId="6">#REF!</definedName>
    <definedName name="__SD7" localSheetId="12">#REF!</definedName>
    <definedName name="__SD7" localSheetId="19">#REF!</definedName>
    <definedName name="__SD7">#REF!</definedName>
    <definedName name="__SD70" localSheetId="6">#REF!</definedName>
    <definedName name="__SD70" localSheetId="12">#REF!</definedName>
    <definedName name="__SD70" localSheetId="19">#REF!</definedName>
    <definedName name="__SD70">#REF!</definedName>
    <definedName name="__SD71" localSheetId="6">#REF!</definedName>
    <definedName name="__SD71" localSheetId="12">#REF!</definedName>
    <definedName name="__SD71" localSheetId="19">#REF!</definedName>
    <definedName name="__SD71">#REF!</definedName>
    <definedName name="__SD72" localSheetId="6">#REF!</definedName>
    <definedName name="__SD72" localSheetId="12">#REF!</definedName>
    <definedName name="__SD72" localSheetId="19">#REF!</definedName>
    <definedName name="__SD72">#REF!</definedName>
    <definedName name="__SD73" localSheetId="6">#REF!</definedName>
    <definedName name="__SD73" localSheetId="12">#REF!</definedName>
    <definedName name="__SD73" localSheetId="19">#REF!</definedName>
    <definedName name="__SD73">#REF!</definedName>
    <definedName name="__SD74" localSheetId="6">#REF!</definedName>
    <definedName name="__SD74" localSheetId="12">#REF!</definedName>
    <definedName name="__SD74" localSheetId="19">#REF!</definedName>
    <definedName name="__SD74">#REF!</definedName>
    <definedName name="__SD75" localSheetId="6">#REF!</definedName>
    <definedName name="__SD75" localSheetId="12">#REF!</definedName>
    <definedName name="__SD75" localSheetId="19">#REF!</definedName>
    <definedName name="__SD75">#REF!</definedName>
    <definedName name="__SD76" localSheetId="6">#REF!</definedName>
    <definedName name="__SD76" localSheetId="12">#REF!</definedName>
    <definedName name="__SD76" localSheetId="19">#REF!</definedName>
    <definedName name="__SD76">#REF!</definedName>
    <definedName name="__SD77" localSheetId="6">#REF!</definedName>
    <definedName name="__SD77" localSheetId="12">#REF!</definedName>
    <definedName name="__SD77" localSheetId="19">#REF!</definedName>
    <definedName name="__SD77">#REF!</definedName>
    <definedName name="__SD78" localSheetId="6">#REF!</definedName>
    <definedName name="__SD78" localSheetId="12">#REF!</definedName>
    <definedName name="__SD78" localSheetId="19">#REF!</definedName>
    <definedName name="__SD78">#REF!</definedName>
    <definedName name="__SD79" localSheetId="6">#REF!</definedName>
    <definedName name="__SD79" localSheetId="12">#REF!</definedName>
    <definedName name="__SD79" localSheetId="19">#REF!</definedName>
    <definedName name="__SD79">#REF!</definedName>
    <definedName name="__SD8" localSheetId="6">#REF!</definedName>
    <definedName name="__SD8" localSheetId="12">#REF!</definedName>
    <definedName name="__SD8" localSheetId="19">#REF!</definedName>
    <definedName name="__SD8">#REF!</definedName>
    <definedName name="__SD80" localSheetId="6">#REF!</definedName>
    <definedName name="__SD80" localSheetId="12">#REF!</definedName>
    <definedName name="__SD80" localSheetId="19">#REF!</definedName>
    <definedName name="__SD80">#REF!</definedName>
    <definedName name="__SD81" localSheetId="6">#REF!</definedName>
    <definedName name="__SD81" localSheetId="12">#REF!</definedName>
    <definedName name="__SD81" localSheetId="19">#REF!</definedName>
    <definedName name="__SD81">#REF!</definedName>
    <definedName name="__SD82" localSheetId="6">#REF!</definedName>
    <definedName name="__SD82" localSheetId="12">#REF!</definedName>
    <definedName name="__SD82" localSheetId="19">#REF!</definedName>
    <definedName name="__SD82">#REF!</definedName>
    <definedName name="__SD83" localSheetId="6">#REF!</definedName>
    <definedName name="__SD83" localSheetId="12">#REF!</definedName>
    <definedName name="__SD83" localSheetId="19">#REF!</definedName>
    <definedName name="__SD83">#REF!</definedName>
    <definedName name="__SD84" localSheetId="6">#REF!</definedName>
    <definedName name="__SD84" localSheetId="12">#REF!</definedName>
    <definedName name="__SD84" localSheetId="19">#REF!</definedName>
    <definedName name="__SD84">#REF!</definedName>
    <definedName name="__SD85" localSheetId="6">#REF!</definedName>
    <definedName name="__SD85" localSheetId="12">#REF!</definedName>
    <definedName name="__SD85" localSheetId="19">#REF!</definedName>
    <definedName name="__SD85">#REF!</definedName>
    <definedName name="__SD86" localSheetId="6">#REF!</definedName>
    <definedName name="__SD86" localSheetId="12">#REF!</definedName>
    <definedName name="__SD86" localSheetId="19">#REF!</definedName>
    <definedName name="__SD86">#REF!</definedName>
    <definedName name="__SD87" localSheetId="6">#REF!</definedName>
    <definedName name="__SD87" localSheetId="12">#REF!</definedName>
    <definedName name="__SD87" localSheetId="19">#REF!</definedName>
    <definedName name="__SD87">#REF!</definedName>
    <definedName name="__SD88" localSheetId="6">#REF!</definedName>
    <definedName name="__SD88" localSheetId="12">#REF!</definedName>
    <definedName name="__SD88" localSheetId="19">#REF!</definedName>
    <definedName name="__SD88">#REF!</definedName>
    <definedName name="__SD89" localSheetId="6">#REF!</definedName>
    <definedName name="__SD89" localSheetId="12">#REF!</definedName>
    <definedName name="__SD89" localSheetId="19">#REF!</definedName>
    <definedName name="__SD89">#REF!</definedName>
    <definedName name="__SD9" localSheetId="6">#REF!</definedName>
    <definedName name="__SD9" localSheetId="12">#REF!</definedName>
    <definedName name="__SD9" localSheetId="19">#REF!</definedName>
    <definedName name="__SD9">#REF!</definedName>
    <definedName name="__SD90" localSheetId="6">#REF!</definedName>
    <definedName name="__SD90" localSheetId="12">#REF!</definedName>
    <definedName name="__SD90" localSheetId="19">#REF!</definedName>
    <definedName name="__SD90">#REF!</definedName>
    <definedName name="__SD91" localSheetId="6">#REF!</definedName>
    <definedName name="__SD91" localSheetId="12">#REF!</definedName>
    <definedName name="__SD91" localSheetId="19">#REF!</definedName>
    <definedName name="__SD91">#REF!</definedName>
    <definedName name="__SD92" localSheetId="6">#REF!</definedName>
    <definedName name="__SD92" localSheetId="12">#REF!</definedName>
    <definedName name="__SD92" localSheetId="19">#REF!</definedName>
    <definedName name="__SD92">#REF!</definedName>
    <definedName name="__SD93" localSheetId="6">#REF!</definedName>
    <definedName name="__SD93" localSheetId="12">#REF!</definedName>
    <definedName name="__SD93" localSheetId="19">#REF!</definedName>
    <definedName name="__SD93">#REF!</definedName>
    <definedName name="__SD94" localSheetId="6">#REF!</definedName>
    <definedName name="__SD94" localSheetId="12">#REF!</definedName>
    <definedName name="__SD94" localSheetId="19">#REF!</definedName>
    <definedName name="__SD94">#REF!</definedName>
    <definedName name="__SD95" localSheetId="6">#REF!</definedName>
    <definedName name="__SD95" localSheetId="12">#REF!</definedName>
    <definedName name="__SD95" localSheetId="19">#REF!</definedName>
    <definedName name="__SD95">#REF!</definedName>
    <definedName name="__SD96" localSheetId="6">#REF!</definedName>
    <definedName name="__SD96" localSheetId="12">#REF!</definedName>
    <definedName name="__SD96" localSheetId="19">#REF!</definedName>
    <definedName name="__SD96">#REF!</definedName>
    <definedName name="__SD97" localSheetId="6">#REF!</definedName>
    <definedName name="__SD97" localSheetId="12">#REF!</definedName>
    <definedName name="__SD97" localSheetId="19">#REF!</definedName>
    <definedName name="__SD97">#REF!</definedName>
    <definedName name="__SD98" localSheetId="6">#REF!</definedName>
    <definedName name="__SD98" localSheetId="12">#REF!</definedName>
    <definedName name="__SD98" localSheetId="19">#REF!</definedName>
    <definedName name="__SD98">#REF!</definedName>
    <definedName name="__SD99" localSheetId="6">#REF!</definedName>
    <definedName name="__SD99" localSheetId="12">#REF!</definedName>
    <definedName name="__SD99" localSheetId="19">#REF!</definedName>
    <definedName name="__SD99">#REF!</definedName>
    <definedName name="__SO016" localSheetId="6">#REF!</definedName>
    <definedName name="__SO016" localSheetId="12">#REF!</definedName>
    <definedName name="__SO016" localSheetId="34">#REF!</definedName>
    <definedName name="__SO016" localSheetId="19">#REF!</definedName>
    <definedName name="__SO016">#REF!</definedName>
    <definedName name="__SP001" localSheetId="6">#REF!</definedName>
    <definedName name="__SP001" localSheetId="12">#REF!</definedName>
    <definedName name="__SP001" localSheetId="34">#REF!</definedName>
    <definedName name="__SP001" localSheetId="19">#REF!</definedName>
    <definedName name="__SP001">#REF!</definedName>
    <definedName name="__SP002" localSheetId="6">#REF!</definedName>
    <definedName name="__SP002" localSheetId="12">#REF!</definedName>
    <definedName name="__SP002" localSheetId="34">#REF!</definedName>
    <definedName name="__SP002" localSheetId="19">#REF!</definedName>
    <definedName name="__SP002">#REF!</definedName>
    <definedName name="__SP003" localSheetId="6">#REF!</definedName>
    <definedName name="__SP003" localSheetId="12">#REF!</definedName>
    <definedName name="__SP003" localSheetId="34">#REF!</definedName>
    <definedName name="__SP003" localSheetId="19">#REF!</definedName>
    <definedName name="__SP003">#REF!</definedName>
    <definedName name="__SP004" localSheetId="6">#REF!</definedName>
    <definedName name="__SP004" localSheetId="12">#REF!</definedName>
    <definedName name="__SP004" localSheetId="34">#REF!</definedName>
    <definedName name="__SP004" localSheetId="19">#REF!</definedName>
    <definedName name="__SP004">#REF!</definedName>
    <definedName name="__SP005" localSheetId="6">#REF!</definedName>
    <definedName name="__SP005" localSheetId="12">#REF!</definedName>
    <definedName name="__SP005" localSheetId="34">#REF!</definedName>
    <definedName name="__SP005" localSheetId="19">#REF!</definedName>
    <definedName name="__SP005">#REF!</definedName>
    <definedName name="__SP006" localSheetId="6">#REF!</definedName>
    <definedName name="__SP006" localSheetId="12">#REF!</definedName>
    <definedName name="__SP006" localSheetId="34">#REF!</definedName>
    <definedName name="__SP006" localSheetId="19">#REF!</definedName>
    <definedName name="__SP006">#REF!</definedName>
    <definedName name="__SP007" localSheetId="6">#REF!</definedName>
    <definedName name="__SP007" localSheetId="12">#REF!</definedName>
    <definedName name="__SP007" localSheetId="34">#REF!</definedName>
    <definedName name="__SP007" localSheetId="19">#REF!</definedName>
    <definedName name="__SP007">#REF!</definedName>
    <definedName name="__SP008" localSheetId="6">#REF!</definedName>
    <definedName name="__SP008" localSheetId="12">#REF!</definedName>
    <definedName name="__SP008" localSheetId="34">#REF!</definedName>
    <definedName name="__SP008" localSheetId="19">#REF!</definedName>
    <definedName name="__SP008">#REF!</definedName>
    <definedName name="__SP009" localSheetId="6">#REF!</definedName>
    <definedName name="__SP009" localSheetId="12">#REF!</definedName>
    <definedName name="__SP009" localSheetId="34">#REF!</definedName>
    <definedName name="__SP009" localSheetId="19">#REF!</definedName>
    <definedName name="__SP009">#REF!</definedName>
    <definedName name="__SP010" localSheetId="6">#REF!</definedName>
    <definedName name="__SP010" localSheetId="12">#REF!</definedName>
    <definedName name="__SP010" localSheetId="34">#REF!</definedName>
    <definedName name="__SP010" localSheetId="19">#REF!</definedName>
    <definedName name="__SP010">#REF!</definedName>
    <definedName name="__SP011" localSheetId="6">#REF!</definedName>
    <definedName name="__SP011" localSheetId="12">#REF!</definedName>
    <definedName name="__SP011" localSheetId="34">#REF!</definedName>
    <definedName name="__SP011" localSheetId="19">#REF!</definedName>
    <definedName name="__SP011">#REF!</definedName>
    <definedName name="__SP012" localSheetId="6">#REF!</definedName>
    <definedName name="__SP012" localSheetId="12">#REF!</definedName>
    <definedName name="__SP012" localSheetId="34">#REF!</definedName>
    <definedName name="__SP012" localSheetId="19">#REF!</definedName>
    <definedName name="__SP012">#REF!</definedName>
    <definedName name="__SP013" localSheetId="6">#REF!</definedName>
    <definedName name="__SP013" localSheetId="12">#REF!</definedName>
    <definedName name="__SP013" localSheetId="34">#REF!</definedName>
    <definedName name="__SP013" localSheetId="19">#REF!</definedName>
    <definedName name="__SP013">#REF!</definedName>
    <definedName name="__SP014" localSheetId="6">#REF!</definedName>
    <definedName name="__SP014" localSheetId="12">#REF!</definedName>
    <definedName name="__SP014" localSheetId="34">#REF!</definedName>
    <definedName name="__SP014" localSheetId="19">#REF!</definedName>
    <definedName name="__SP014">#REF!</definedName>
    <definedName name="__SP015" localSheetId="6">#REF!</definedName>
    <definedName name="__SP015" localSheetId="12">#REF!</definedName>
    <definedName name="__SP015" localSheetId="34">#REF!</definedName>
    <definedName name="__SP015" localSheetId="19">#REF!</definedName>
    <definedName name="__SP015">#REF!</definedName>
    <definedName name="__SP016" localSheetId="6">#REF!</definedName>
    <definedName name="__SP016" localSheetId="12">#REF!</definedName>
    <definedName name="__SP016" localSheetId="34">#REF!</definedName>
    <definedName name="__SP016" localSheetId="19">#REF!</definedName>
    <definedName name="__SP016">#REF!</definedName>
    <definedName name="__SP017" localSheetId="6">#REF!</definedName>
    <definedName name="__SP017" localSheetId="12">#REF!</definedName>
    <definedName name="__SP017" localSheetId="34">#REF!</definedName>
    <definedName name="__SP017" localSheetId="19">#REF!</definedName>
    <definedName name="__SP017">#REF!</definedName>
    <definedName name="__SP018" localSheetId="6">#REF!</definedName>
    <definedName name="__SP018" localSheetId="12">#REF!</definedName>
    <definedName name="__SP018" localSheetId="34">#REF!</definedName>
    <definedName name="__SP018" localSheetId="19">#REF!</definedName>
    <definedName name="__SP018">#REF!</definedName>
    <definedName name="__SP019" localSheetId="6">#REF!</definedName>
    <definedName name="__SP019" localSheetId="12">#REF!</definedName>
    <definedName name="__SP019" localSheetId="34">#REF!</definedName>
    <definedName name="__SP019" localSheetId="19">#REF!</definedName>
    <definedName name="__SP019">#REF!</definedName>
    <definedName name="__SP020" localSheetId="6">#REF!</definedName>
    <definedName name="__SP020" localSheetId="12">#REF!</definedName>
    <definedName name="__SP020" localSheetId="34">#REF!</definedName>
    <definedName name="__SP020" localSheetId="19">#REF!</definedName>
    <definedName name="__SP020">#REF!</definedName>
    <definedName name="__SP021" localSheetId="6">#REF!</definedName>
    <definedName name="__SP021" localSheetId="12">#REF!</definedName>
    <definedName name="__SP021" localSheetId="34">#REF!</definedName>
    <definedName name="__SP021" localSheetId="19">#REF!</definedName>
    <definedName name="__SP021">#REF!</definedName>
    <definedName name="__SP022" localSheetId="6">#REF!</definedName>
    <definedName name="__SP022" localSheetId="12">#REF!</definedName>
    <definedName name="__SP022" localSheetId="34">#REF!</definedName>
    <definedName name="__SP022" localSheetId="19">#REF!</definedName>
    <definedName name="__SP022">#REF!</definedName>
    <definedName name="__SP023" localSheetId="6">#REF!</definedName>
    <definedName name="__SP023" localSheetId="12">#REF!</definedName>
    <definedName name="__SP023" localSheetId="34">#REF!</definedName>
    <definedName name="__SP023" localSheetId="19">#REF!</definedName>
    <definedName name="__SP023">#REF!</definedName>
    <definedName name="__SP024" localSheetId="6">#REF!</definedName>
    <definedName name="__SP024" localSheetId="12">#REF!</definedName>
    <definedName name="__SP024" localSheetId="34">#REF!</definedName>
    <definedName name="__SP024" localSheetId="19">#REF!</definedName>
    <definedName name="__SP024">#REF!</definedName>
    <definedName name="__SP025" localSheetId="6">#REF!</definedName>
    <definedName name="__SP025" localSheetId="12">#REF!</definedName>
    <definedName name="__SP025" localSheetId="34">#REF!</definedName>
    <definedName name="__SP025" localSheetId="19">#REF!</definedName>
    <definedName name="__SP025">#REF!</definedName>
    <definedName name="__SP026" localSheetId="6">#REF!</definedName>
    <definedName name="__SP026" localSheetId="12">#REF!</definedName>
    <definedName name="__SP026" localSheetId="34">#REF!</definedName>
    <definedName name="__SP026" localSheetId="19">#REF!</definedName>
    <definedName name="__SP026">#REF!</definedName>
    <definedName name="__SP027" localSheetId="6">#REF!</definedName>
    <definedName name="__SP027" localSheetId="12">#REF!</definedName>
    <definedName name="__SP027" localSheetId="34">#REF!</definedName>
    <definedName name="__SP027" localSheetId="19">#REF!</definedName>
    <definedName name="__SP027">#REF!</definedName>
    <definedName name="__SP028" localSheetId="6">#REF!</definedName>
    <definedName name="__SP028" localSheetId="12">#REF!</definedName>
    <definedName name="__SP028" localSheetId="34">#REF!</definedName>
    <definedName name="__SP028" localSheetId="19">#REF!</definedName>
    <definedName name="__SP028">#REF!</definedName>
    <definedName name="__SP029" localSheetId="6">#REF!</definedName>
    <definedName name="__SP029" localSheetId="12">#REF!</definedName>
    <definedName name="__SP029" localSheetId="34">#REF!</definedName>
    <definedName name="__SP029" localSheetId="19">#REF!</definedName>
    <definedName name="__SP029">#REF!</definedName>
    <definedName name="__SP030" localSheetId="6">#REF!</definedName>
    <definedName name="__SP030" localSheetId="12">#REF!</definedName>
    <definedName name="__SP030" localSheetId="34">#REF!</definedName>
    <definedName name="__SP030" localSheetId="19">#REF!</definedName>
    <definedName name="__SP030">#REF!</definedName>
    <definedName name="__SP031" localSheetId="6">#REF!</definedName>
    <definedName name="__SP031" localSheetId="12">#REF!</definedName>
    <definedName name="__SP031" localSheetId="34">#REF!</definedName>
    <definedName name="__SP031" localSheetId="19">#REF!</definedName>
    <definedName name="__SP031">#REF!</definedName>
    <definedName name="__SP032" localSheetId="6">#REF!</definedName>
    <definedName name="__SP032" localSheetId="12">#REF!</definedName>
    <definedName name="__SP032" localSheetId="34">#REF!</definedName>
    <definedName name="__SP032" localSheetId="19">#REF!</definedName>
    <definedName name="__SP032">#REF!</definedName>
    <definedName name="__SP033" localSheetId="6">#REF!</definedName>
    <definedName name="__SP033" localSheetId="12">#REF!</definedName>
    <definedName name="__SP033" localSheetId="34">#REF!</definedName>
    <definedName name="__SP033" localSheetId="19">#REF!</definedName>
    <definedName name="__SP033">#REF!</definedName>
    <definedName name="__SP034" localSheetId="6">#REF!</definedName>
    <definedName name="__SP034" localSheetId="12">#REF!</definedName>
    <definedName name="__SP034" localSheetId="34">#REF!</definedName>
    <definedName name="__SP034" localSheetId="19">#REF!</definedName>
    <definedName name="__SP034">#REF!</definedName>
    <definedName name="__SP035" localSheetId="6">#REF!</definedName>
    <definedName name="__SP035" localSheetId="12">#REF!</definedName>
    <definedName name="__SP035" localSheetId="34">#REF!</definedName>
    <definedName name="__SP035" localSheetId="19">#REF!</definedName>
    <definedName name="__SP035">#REF!</definedName>
    <definedName name="__SP036" localSheetId="6">#REF!</definedName>
    <definedName name="__SP036" localSheetId="12">#REF!</definedName>
    <definedName name="__SP036" localSheetId="34">#REF!</definedName>
    <definedName name="__SP036" localSheetId="19">#REF!</definedName>
    <definedName name="__SP036">#REF!</definedName>
    <definedName name="__SP037" localSheetId="6">#REF!</definedName>
    <definedName name="__SP037" localSheetId="12">#REF!</definedName>
    <definedName name="__SP037" localSheetId="34">#REF!</definedName>
    <definedName name="__SP037" localSheetId="19">#REF!</definedName>
    <definedName name="__SP037">#REF!</definedName>
    <definedName name="__SP038" localSheetId="6">#REF!</definedName>
    <definedName name="__SP038" localSheetId="12">#REF!</definedName>
    <definedName name="__SP038" localSheetId="34">#REF!</definedName>
    <definedName name="__SP038" localSheetId="19">#REF!</definedName>
    <definedName name="__SP038">#REF!</definedName>
    <definedName name="__SP039" localSheetId="6">#REF!</definedName>
    <definedName name="__SP039" localSheetId="12">#REF!</definedName>
    <definedName name="__SP039" localSheetId="34">#REF!</definedName>
    <definedName name="__SP039" localSheetId="19">#REF!</definedName>
    <definedName name="__SP039">#REF!</definedName>
    <definedName name="__SP040" localSheetId="6">#REF!</definedName>
    <definedName name="__SP040" localSheetId="12">#REF!</definedName>
    <definedName name="__SP040" localSheetId="34">#REF!</definedName>
    <definedName name="__SP040" localSheetId="19">#REF!</definedName>
    <definedName name="__SP040">#REF!</definedName>
    <definedName name="__SP041" localSheetId="6">#REF!</definedName>
    <definedName name="__SP041" localSheetId="12">#REF!</definedName>
    <definedName name="__SP041" localSheetId="34">#REF!</definedName>
    <definedName name="__SP041" localSheetId="19">#REF!</definedName>
    <definedName name="__SP041">#REF!</definedName>
    <definedName name="__SP042" localSheetId="6">#REF!</definedName>
    <definedName name="__SP042" localSheetId="12">#REF!</definedName>
    <definedName name="__SP042" localSheetId="34">#REF!</definedName>
    <definedName name="__SP042" localSheetId="19">#REF!</definedName>
    <definedName name="__SP042">#REF!</definedName>
    <definedName name="__SP043" localSheetId="6">#REF!</definedName>
    <definedName name="__SP043" localSheetId="12">#REF!</definedName>
    <definedName name="__SP043" localSheetId="34">#REF!</definedName>
    <definedName name="__SP043" localSheetId="19">#REF!</definedName>
    <definedName name="__SP043">#REF!</definedName>
    <definedName name="__SP044" localSheetId="6">#REF!</definedName>
    <definedName name="__SP044" localSheetId="12">#REF!</definedName>
    <definedName name="__SP044" localSheetId="34">#REF!</definedName>
    <definedName name="__SP044" localSheetId="19">#REF!</definedName>
    <definedName name="__SP044">#REF!</definedName>
    <definedName name="__SP045" localSheetId="6">#REF!</definedName>
    <definedName name="__SP045" localSheetId="12">#REF!</definedName>
    <definedName name="__SP045" localSheetId="34">#REF!</definedName>
    <definedName name="__SP045" localSheetId="19">#REF!</definedName>
    <definedName name="__SP045">#REF!</definedName>
    <definedName name="__SP046" localSheetId="6">#REF!</definedName>
    <definedName name="__SP046" localSheetId="12">#REF!</definedName>
    <definedName name="__SP046" localSheetId="34">#REF!</definedName>
    <definedName name="__SP046" localSheetId="19">#REF!</definedName>
    <definedName name="__SP046">#REF!</definedName>
    <definedName name="__SP047" localSheetId="6">#REF!</definedName>
    <definedName name="__SP047" localSheetId="12">#REF!</definedName>
    <definedName name="__SP047" localSheetId="34">#REF!</definedName>
    <definedName name="__SP047" localSheetId="19">#REF!</definedName>
    <definedName name="__SP047">#REF!</definedName>
    <definedName name="__SP048" localSheetId="6">#REF!</definedName>
    <definedName name="__SP048" localSheetId="12">#REF!</definedName>
    <definedName name="__SP048" localSheetId="34">#REF!</definedName>
    <definedName name="__SP048" localSheetId="19">#REF!</definedName>
    <definedName name="__SP048">#REF!</definedName>
    <definedName name="__SP049" localSheetId="6">#REF!</definedName>
    <definedName name="__SP049" localSheetId="12">#REF!</definedName>
    <definedName name="__SP049" localSheetId="34">#REF!</definedName>
    <definedName name="__SP049" localSheetId="19">#REF!</definedName>
    <definedName name="__SP049">#REF!</definedName>
    <definedName name="__SP050" localSheetId="6">#REF!</definedName>
    <definedName name="__SP050" localSheetId="12">#REF!</definedName>
    <definedName name="__SP050" localSheetId="34">#REF!</definedName>
    <definedName name="__SP050" localSheetId="19">#REF!</definedName>
    <definedName name="__SP050">#REF!</definedName>
    <definedName name="__SP051" localSheetId="6">#REF!</definedName>
    <definedName name="__SP051" localSheetId="12">#REF!</definedName>
    <definedName name="__SP051" localSheetId="34">#REF!</definedName>
    <definedName name="__SP051" localSheetId="19">#REF!</definedName>
    <definedName name="__SP051">#REF!</definedName>
    <definedName name="__SP052" localSheetId="6">#REF!</definedName>
    <definedName name="__SP052" localSheetId="12">#REF!</definedName>
    <definedName name="__SP052" localSheetId="34">#REF!</definedName>
    <definedName name="__SP052" localSheetId="19">#REF!</definedName>
    <definedName name="__SP052">#REF!</definedName>
    <definedName name="__SP053" localSheetId="6">#REF!</definedName>
    <definedName name="__SP053" localSheetId="12">#REF!</definedName>
    <definedName name="__SP053" localSheetId="34">#REF!</definedName>
    <definedName name="__SP053" localSheetId="19">#REF!</definedName>
    <definedName name="__SP053">#REF!</definedName>
    <definedName name="__SP054" localSheetId="6">#REF!</definedName>
    <definedName name="__SP054" localSheetId="12">#REF!</definedName>
    <definedName name="__SP054" localSheetId="34">#REF!</definedName>
    <definedName name="__SP054" localSheetId="19">#REF!</definedName>
    <definedName name="__SP054">#REF!</definedName>
    <definedName name="__SP055" localSheetId="6">#REF!</definedName>
    <definedName name="__SP055" localSheetId="12">#REF!</definedName>
    <definedName name="__SP055" localSheetId="34">#REF!</definedName>
    <definedName name="__SP055" localSheetId="19">#REF!</definedName>
    <definedName name="__SP055">#REF!</definedName>
    <definedName name="__SP056" localSheetId="6">#REF!</definedName>
    <definedName name="__SP056" localSheetId="12">#REF!</definedName>
    <definedName name="__SP056" localSheetId="34">#REF!</definedName>
    <definedName name="__SP056" localSheetId="19">#REF!</definedName>
    <definedName name="__SP056">#REF!</definedName>
    <definedName name="__SP057" localSheetId="6">#REF!</definedName>
    <definedName name="__SP057" localSheetId="12">#REF!</definedName>
    <definedName name="__SP057" localSheetId="34">#REF!</definedName>
    <definedName name="__SP057" localSheetId="19">#REF!</definedName>
    <definedName name="__SP057">#REF!</definedName>
    <definedName name="__SP058" localSheetId="6">#REF!</definedName>
    <definedName name="__SP058" localSheetId="12">#REF!</definedName>
    <definedName name="__SP058" localSheetId="34">#REF!</definedName>
    <definedName name="__SP058" localSheetId="19">#REF!</definedName>
    <definedName name="__SP058">#REF!</definedName>
    <definedName name="__SP059" localSheetId="6">#REF!</definedName>
    <definedName name="__SP059" localSheetId="12">#REF!</definedName>
    <definedName name="__SP059" localSheetId="34">#REF!</definedName>
    <definedName name="__SP059" localSheetId="19">#REF!</definedName>
    <definedName name="__SP059">#REF!</definedName>
    <definedName name="__SP060" localSheetId="6">#REF!</definedName>
    <definedName name="__SP060" localSheetId="12">#REF!</definedName>
    <definedName name="__SP060" localSheetId="34">#REF!</definedName>
    <definedName name="__SP060" localSheetId="19">#REF!</definedName>
    <definedName name="__SP060">#REF!</definedName>
    <definedName name="__SP061" localSheetId="6">#REF!</definedName>
    <definedName name="__SP061" localSheetId="12">#REF!</definedName>
    <definedName name="__SP061" localSheetId="34">#REF!</definedName>
    <definedName name="__SP061" localSheetId="19">#REF!</definedName>
    <definedName name="__SP061">#REF!</definedName>
    <definedName name="__SP062" localSheetId="6">#REF!</definedName>
    <definedName name="__SP062" localSheetId="12">#REF!</definedName>
    <definedName name="__SP062" localSheetId="34">#REF!</definedName>
    <definedName name="__SP062" localSheetId="19">#REF!</definedName>
    <definedName name="__SP062">#REF!</definedName>
    <definedName name="__SP063" localSheetId="6">#REF!</definedName>
    <definedName name="__SP063" localSheetId="12">#REF!</definedName>
    <definedName name="__SP063" localSheetId="34">#REF!</definedName>
    <definedName name="__SP063" localSheetId="19">#REF!</definedName>
    <definedName name="__SP063">#REF!</definedName>
    <definedName name="__SP064" localSheetId="6">#REF!</definedName>
    <definedName name="__SP064" localSheetId="12">#REF!</definedName>
    <definedName name="__SP064" localSheetId="34">#REF!</definedName>
    <definedName name="__SP064" localSheetId="19">#REF!</definedName>
    <definedName name="__SP064">#REF!</definedName>
    <definedName name="__SP065" localSheetId="6">#REF!</definedName>
    <definedName name="__SP065" localSheetId="12">#REF!</definedName>
    <definedName name="__SP065" localSheetId="34">#REF!</definedName>
    <definedName name="__SP065" localSheetId="19">#REF!</definedName>
    <definedName name="__SP065">#REF!</definedName>
    <definedName name="__SP066" localSheetId="6">#REF!</definedName>
    <definedName name="__SP066" localSheetId="12">#REF!</definedName>
    <definedName name="__SP066" localSheetId="34">#REF!</definedName>
    <definedName name="__SP066" localSheetId="19">#REF!</definedName>
    <definedName name="__SP066">#REF!</definedName>
    <definedName name="__SP067" localSheetId="6">#REF!</definedName>
    <definedName name="__SP067" localSheetId="12">#REF!</definedName>
    <definedName name="__SP067" localSheetId="34">#REF!</definedName>
    <definedName name="__SP067" localSheetId="19">#REF!</definedName>
    <definedName name="__SP067">#REF!</definedName>
    <definedName name="__SP068" localSheetId="6">#REF!</definedName>
    <definedName name="__SP068" localSheetId="12">#REF!</definedName>
    <definedName name="__SP068" localSheetId="34">#REF!</definedName>
    <definedName name="__SP068" localSheetId="19">#REF!</definedName>
    <definedName name="__SP068">#REF!</definedName>
    <definedName name="__SP069" localSheetId="6">#REF!</definedName>
    <definedName name="__SP069" localSheetId="12">#REF!</definedName>
    <definedName name="__SP069" localSheetId="34">#REF!</definedName>
    <definedName name="__SP069" localSheetId="19">#REF!</definedName>
    <definedName name="__SP069">#REF!</definedName>
    <definedName name="__SP070" localSheetId="6">#REF!</definedName>
    <definedName name="__SP070" localSheetId="12">#REF!</definedName>
    <definedName name="__SP070" localSheetId="34">#REF!</definedName>
    <definedName name="__SP070" localSheetId="19">#REF!</definedName>
    <definedName name="__SP070">#REF!</definedName>
    <definedName name="__sp071" localSheetId="6">#REF!</definedName>
    <definedName name="__sp071" localSheetId="12">#REF!</definedName>
    <definedName name="__sp071" localSheetId="34">#REF!</definedName>
    <definedName name="__sp071" localSheetId="19">#REF!</definedName>
    <definedName name="__sp071">#REF!</definedName>
    <definedName name="__SP072" localSheetId="6">#REF!</definedName>
    <definedName name="__SP072" localSheetId="12">#REF!</definedName>
    <definedName name="__SP072" localSheetId="34">#REF!</definedName>
    <definedName name="__SP072" localSheetId="19">#REF!</definedName>
    <definedName name="__SP072">#REF!</definedName>
    <definedName name="__SP073" localSheetId="6">#REF!</definedName>
    <definedName name="__SP073" localSheetId="12">#REF!</definedName>
    <definedName name="__SP073" localSheetId="34">#REF!</definedName>
    <definedName name="__SP073" localSheetId="19">#REF!</definedName>
    <definedName name="__SP073">#REF!</definedName>
    <definedName name="__SP074" localSheetId="6">#REF!</definedName>
    <definedName name="__SP074" localSheetId="12">#REF!</definedName>
    <definedName name="__SP074" localSheetId="34">#REF!</definedName>
    <definedName name="__SP074" localSheetId="19">#REF!</definedName>
    <definedName name="__SP074">#REF!</definedName>
    <definedName name="__SP075" localSheetId="6">#REF!</definedName>
    <definedName name="__SP075" localSheetId="12">#REF!</definedName>
    <definedName name="__SP075" localSheetId="34">#REF!</definedName>
    <definedName name="__SP075" localSheetId="19">#REF!</definedName>
    <definedName name="__SP075">#REF!</definedName>
    <definedName name="__SP076" localSheetId="6">#REF!</definedName>
    <definedName name="__SP076" localSheetId="12">#REF!</definedName>
    <definedName name="__SP076" localSheetId="34">#REF!</definedName>
    <definedName name="__SP076" localSheetId="19">#REF!</definedName>
    <definedName name="__SP076">#REF!</definedName>
    <definedName name="__SP077" localSheetId="6">#REF!</definedName>
    <definedName name="__SP077" localSheetId="12">#REF!</definedName>
    <definedName name="__SP077" localSheetId="34">#REF!</definedName>
    <definedName name="__SP077" localSheetId="19">#REF!</definedName>
    <definedName name="__SP077">#REF!</definedName>
    <definedName name="__sp078" localSheetId="6">#REF!</definedName>
    <definedName name="__sp078" localSheetId="12">#REF!</definedName>
    <definedName name="__sp078" localSheetId="34">#REF!</definedName>
    <definedName name="__sp078" localSheetId="19">#REF!</definedName>
    <definedName name="__sp078">#REF!</definedName>
    <definedName name="__SPO79" localSheetId="6">#REF!</definedName>
    <definedName name="__SPO79" localSheetId="12">#REF!</definedName>
    <definedName name="__SPO79" localSheetId="34">#REF!</definedName>
    <definedName name="__SPO79" localSheetId="19">#REF!</definedName>
    <definedName name="__SPO79">#REF!</definedName>
    <definedName name="__ss12_21" localSheetId="19">#REF!</definedName>
    <definedName name="__ss12_33" localSheetId="27">#REF!</definedName>
    <definedName name="__ss12_33">#REF!</definedName>
    <definedName name="__ss12_34">#REF!</definedName>
    <definedName name="__ss20_21" localSheetId="19">#REF!</definedName>
    <definedName name="__ss20_33" localSheetId="27">#REF!</definedName>
    <definedName name="__ss20_33">#REF!</definedName>
    <definedName name="__ss20_34">#REF!</definedName>
    <definedName name="__ss40_21" localSheetId="19">#REF!</definedName>
    <definedName name="__ss40_33" localSheetId="27">#REF!</definedName>
    <definedName name="__ss40_33">#REF!</definedName>
    <definedName name="__ss40_34">#REF!</definedName>
    <definedName name="__sw1" localSheetId="19">#REF!</definedName>
    <definedName name="__t1">#REF!</definedName>
    <definedName name="__t2">#REF!</definedName>
    <definedName name="__tab1">#REF!</definedName>
    <definedName name="__us1" localSheetId="19">#REF!</definedName>
    <definedName name="__var04">#REF!</definedName>
    <definedName name="__var1" localSheetId="22">#REF!</definedName>
    <definedName name="__var1" localSheetId="5">#REF!</definedName>
    <definedName name="__var1" localSheetId="6">#REF!</definedName>
    <definedName name="__var1" localSheetId="12">#REF!</definedName>
    <definedName name="__var1" localSheetId="34">#REF!</definedName>
    <definedName name="__var1" localSheetId="19">#REF!</definedName>
    <definedName name="__var1" localSheetId="30">#REF!</definedName>
    <definedName name="__var1" localSheetId="40">#REF!</definedName>
    <definedName name="__var1" localSheetId="26">#REF!</definedName>
    <definedName name="__var1">#REF!</definedName>
    <definedName name="__var1_23">"$#REF!.$#REF!$#REF!"</definedName>
    <definedName name="__var1_33">"$#REF!.$#REF!$#REF!"</definedName>
    <definedName name="__var1_34">"$#REF!.$#REF!$#REF!"</definedName>
    <definedName name="__var1_38">"$#REF!.$#REF!$#REF!"</definedName>
    <definedName name="__var1_41">"$#REF!.$#REF!$#REF!"</definedName>
    <definedName name="__var1_43">"$#REF!.$#REF!$#REF!"</definedName>
    <definedName name="__var1_48">"$#REF!.$#REF!$#REF!"</definedName>
    <definedName name="__var1_57">"$#REF!.$#REF!$#REF!"</definedName>
    <definedName name="__var1_59">"$#REF!.$#REF!$#REF!"</definedName>
    <definedName name="__var1_60">"$#REF!.$#REF!$#REF!"</definedName>
    <definedName name="__var1_61">"$#REF!.$#REF!$#REF!"</definedName>
    <definedName name="__var1_62">"$#REF!.$#REF!$#REF!"</definedName>
    <definedName name="__var1_7">"$#REF!.$#REF!$#REF!"</definedName>
    <definedName name="__var1_72">"$#REF!.$#REF!$#REF!"</definedName>
    <definedName name="__var1_73">"$#REF!.$#REF!$#REF!"</definedName>
    <definedName name="__var1_8">"$#REF!.$#REF!$#REF!"</definedName>
    <definedName name="__var4" localSheetId="22">#REF!</definedName>
    <definedName name="__var4" localSheetId="5">#REF!</definedName>
    <definedName name="__var4" localSheetId="6">#REF!</definedName>
    <definedName name="__var4" localSheetId="12">#REF!</definedName>
    <definedName name="__var4" localSheetId="34">#REF!</definedName>
    <definedName name="__var4" localSheetId="19">#REF!</definedName>
    <definedName name="__var4" localSheetId="30">#REF!</definedName>
    <definedName name="__var4" localSheetId="40">#REF!</definedName>
    <definedName name="__var4" localSheetId="26">#REF!</definedName>
    <definedName name="__var4">#REF!</definedName>
    <definedName name="__var4_23">"$#REF!.$#REF!$#REF!"</definedName>
    <definedName name="__var4_33">"$#REF!.$#REF!$#REF!"</definedName>
    <definedName name="__var4_34">"$#REF!.$#REF!$#REF!"</definedName>
    <definedName name="__var4_38">"$#REF!.$#REF!$#REF!"</definedName>
    <definedName name="__var4_41">"$#REF!.$#REF!$#REF!"</definedName>
    <definedName name="__var4_43">"$#REF!.$#REF!$#REF!"</definedName>
    <definedName name="__var4_48">"$#REF!.$#REF!$#REF!"</definedName>
    <definedName name="__var4_57">"$#REF!.$#REF!$#REF!"</definedName>
    <definedName name="__var4_59">"$#REF!.$#REF!$#REF!"</definedName>
    <definedName name="__var4_60">"$#REF!.$#REF!$#REF!"</definedName>
    <definedName name="__var4_61">"$#REF!.$#REF!$#REF!"</definedName>
    <definedName name="__var4_62">"$#REF!.$#REF!$#REF!"</definedName>
    <definedName name="__var4_7">"$#REF!.$#REF!$#REF!"</definedName>
    <definedName name="__var4_72">"$#REF!.$#REF!$#REF!"</definedName>
    <definedName name="__var4_73">"$#REF!.$#REF!$#REF!"</definedName>
    <definedName name="__var4_8">"$#REF!.$#REF!$#REF!"</definedName>
    <definedName name="__vat1" localSheetId="6">#REF!</definedName>
    <definedName name="__vat1" localSheetId="12">#REF!</definedName>
    <definedName name="__vat1" localSheetId="19">#REF!</definedName>
    <definedName name="__vat1">#REF!</definedName>
    <definedName name="__vat2" localSheetId="6">#REF!</definedName>
    <definedName name="__vat2" localSheetId="12">#REF!</definedName>
    <definedName name="__vat2" localSheetId="19">#REF!</definedName>
    <definedName name="__vat2">#REF!</definedName>
    <definedName name="__xh11010" localSheetId="6">#REF!</definedName>
    <definedName name="__xh11010" localSheetId="12">#REF!</definedName>
    <definedName name="__xh11010" localSheetId="34">#REF!</definedName>
    <definedName name="__xh11010" localSheetId="19">#REF!</definedName>
    <definedName name="__xh11010">#REF!</definedName>
    <definedName name="__xh1104" localSheetId="6">#REF!</definedName>
    <definedName name="__xh1104" localSheetId="12">#REF!</definedName>
    <definedName name="__xh1104" localSheetId="34">#REF!</definedName>
    <definedName name="__xh1104" localSheetId="19">#REF!</definedName>
    <definedName name="__xh1104">#REF!</definedName>
    <definedName name="__xh1106" localSheetId="6">#REF!</definedName>
    <definedName name="__xh1106" localSheetId="12">#REF!</definedName>
    <definedName name="__xh1106" localSheetId="34">#REF!</definedName>
    <definedName name="__xh1106" localSheetId="19">#REF!</definedName>
    <definedName name="__xh1106">#REF!</definedName>
    <definedName name="__xh1108" localSheetId="6">#REF!</definedName>
    <definedName name="__xh1108" localSheetId="12">#REF!</definedName>
    <definedName name="__xh1108" localSheetId="34">#REF!</definedName>
    <definedName name="__xh1108" localSheetId="19">#REF!</definedName>
    <definedName name="__xh1108">#REF!</definedName>
    <definedName name="__xh12510" localSheetId="6">#REF!</definedName>
    <definedName name="__xh12510" localSheetId="12">#REF!</definedName>
    <definedName name="__xh12510" localSheetId="34">#REF!</definedName>
    <definedName name="__xh12510" localSheetId="19">#REF!</definedName>
    <definedName name="__xh12510">#REF!</definedName>
    <definedName name="__xh1254" localSheetId="6">#REF!</definedName>
    <definedName name="__xh1254" localSheetId="12">#REF!</definedName>
    <definedName name="__xh1254" localSheetId="34">#REF!</definedName>
    <definedName name="__xh1254" localSheetId="19">#REF!</definedName>
    <definedName name="__xh1254">#REF!</definedName>
    <definedName name="__xh1256" localSheetId="6">#REF!</definedName>
    <definedName name="__xh1256" localSheetId="12">#REF!</definedName>
    <definedName name="__xh1256" localSheetId="34">#REF!</definedName>
    <definedName name="__xh1256" localSheetId="19">#REF!</definedName>
    <definedName name="__xh1256">#REF!</definedName>
    <definedName name="__xh1258" localSheetId="6">#REF!</definedName>
    <definedName name="__xh1258" localSheetId="12">#REF!</definedName>
    <definedName name="__xh1258" localSheetId="34">#REF!</definedName>
    <definedName name="__xh1258" localSheetId="19">#REF!</definedName>
    <definedName name="__xh1258">#REF!</definedName>
    <definedName name="__xh14010" localSheetId="6">#REF!</definedName>
    <definedName name="__xh14010" localSheetId="12">#REF!</definedName>
    <definedName name="__xh14010" localSheetId="34">#REF!</definedName>
    <definedName name="__xh14010" localSheetId="19">#REF!</definedName>
    <definedName name="__xh14010">#REF!</definedName>
    <definedName name="__xh1404" localSheetId="6">#REF!</definedName>
    <definedName name="__xh1404" localSheetId="12">#REF!</definedName>
    <definedName name="__xh1404" localSheetId="34">#REF!</definedName>
    <definedName name="__xh1404" localSheetId="19">#REF!</definedName>
    <definedName name="__xh1404">#REF!</definedName>
    <definedName name="__xh1406" localSheetId="6">#REF!</definedName>
    <definedName name="__xh1406" localSheetId="12">#REF!</definedName>
    <definedName name="__xh1406" localSheetId="34">#REF!</definedName>
    <definedName name="__xh1406" localSheetId="19">#REF!</definedName>
    <definedName name="__xh1406">#REF!</definedName>
    <definedName name="__xh1408" localSheetId="6">#REF!</definedName>
    <definedName name="__xh1408" localSheetId="12">#REF!</definedName>
    <definedName name="__xh1408" localSheetId="34">#REF!</definedName>
    <definedName name="__xh1408" localSheetId="19">#REF!</definedName>
    <definedName name="__xh1408">#REF!</definedName>
    <definedName name="__xh16010" localSheetId="6">#REF!</definedName>
    <definedName name="__xh16010" localSheetId="12">#REF!</definedName>
    <definedName name="__xh16010" localSheetId="34">#REF!</definedName>
    <definedName name="__xh16010" localSheetId="19">#REF!</definedName>
    <definedName name="__xh16010">#REF!</definedName>
    <definedName name="__xh1604" localSheetId="6">#REF!</definedName>
    <definedName name="__xh1604" localSheetId="12">#REF!</definedName>
    <definedName name="__xh1604" localSheetId="34">#REF!</definedName>
    <definedName name="__xh1604" localSheetId="19">#REF!</definedName>
    <definedName name="__xh1604">#REF!</definedName>
    <definedName name="__xh1606" localSheetId="6">#REF!</definedName>
    <definedName name="__xh1606" localSheetId="12">#REF!</definedName>
    <definedName name="__xh1606" localSheetId="34">#REF!</definedName>
    <definedName name="__xh1606" localSheetId="19">#REF!</definedName>
    <definedName name="__xh1606">#REF!</definedName>
    <definedName name="__xh1608" localSheetId="6">#REF!</definedName>
    <definedName name="__xh1608" localSheetId="12">#REF!</definedName>
    <definedName name="__xh1608" localSheetId="34">#REF!</definedName>
    <definedName name="__xh1608" localSheetId="19">#REF!</definedName>
    <definedName name="__xh1608">#REF!</definedName>
    <definedName name="__xh18010" localSheetId="6">#REF!</definedName>
    <definedName name="__xh18010" localSheetId="12">#REF!</definedName>
    <definedName name="__xh18010" localSheetId="34">#REF!</definedName>
    <definedName name="__xh18010" localSheetId="19">#REF!</definedName>
    <definedName name="__xh18010">#REF!</definedName>
    <definedName name="__xh1804" localSheetId="6">#REF!</definedName>
    <definedName name="__xh1804" localSheetId="12">#REF!</definedName>
    <definedName name="__xh1804" localSheetId="34">#REF!</definedName>
    <definedName name="__xh1804" localSheetId="19">#REF!</definedName>
    <definedName name="__xh1804">#REF!</definedName>
    <definedName name="__xh1806" localSheetId="6">#REF!</definedName>
    <definedName name="__xh1806" localSheetId="12">#REF!</definedName>
    <definedName name="__xh1806" localSheetId="34">#REF!</definedName>
    <definedName name="__xh1806" localSheetId="19">#REF!</definedName>
    <definedName name="__xh1806">#REF!</definedName>
    <definedName name="__xh1808" localSheetId="6">#REF!</definedName>
    <definedName name="__xh1808" localSheetId="12">#REF!</definedName>
    <definedName name="__xh1808" localSheetId="34">#REF!</definedName>
    <definedName name="__xh1808" localSheetId="19">#REF!</definedName>
    <definedName name="__xh1808">#REF!</definedName>
    <definedName name="__xh20010" localSheetId="6">#REF!</definedName>
    <definedName name="__xh20010" localSheetId="12">#REF!</definedName>
    <definedName name="__xh20010" localSheetId="34">#REF!</definedName>
    <definedName name="__xh20010" localSheetId="19">#REF!</definedName>
    <definedName name="__xh20010">#REF!</definedName>
    <definedName name="__xh2004" localSheetId="6">#REF!</definedName>
    <definedName name="__xh2004" localSheetId="12">#REF!</definedName>
    <definedName name="__xh2004" localSheetId="34">#REF!</definedName>
    <definedName name="__xh2004" localSheetId="19">#REF!</definedName>
    <definedName name="__xh2004">#REF!</definedName>
    <definedName name="__xh2006" localSheetId="6">#REF!</definedName>
    <definedName name="__xh2006" localSheetId="12">#REF!</definedName>
    <definedName name="__xh2006" localSheetId="34">#REF!</definedName>
    <definedName name="__xh2006" localSheetId="19">#REF!</definedName>
    <definedName name="__xh2006">#REF!</definedName>
    <definedName name="__xh2008" localSheetId="6">#REF!</definedName>
    <definedName name="__xh2008" localSheetId="12">#REF!</definedName>
    <definedName name="__xh2008" localSheetId="34">#REF!</definedName>
    <definedName name="__xh2008" localSheetId="19">#REF!</definedName>
    <definedName name="__xh2008">#REF!</definedName>
    <definedName name="__xh22510" localSheetId="6">#REF!</definedName>
    <definedName name="__xh22510" localSheetId="12">#REF!</definedName>
    <definedName name="__xh22510" localSheetId="34">#REF!</definedName>
    <definedName name="__xh22510" localSheetId="19">#REF!</definedName>
    <definedName name="__xh22510">#REF!</definedName>
    <definedName name="__xh2254" localSheetId="6">#REF!</definedName>
    <definedName name="__xh2254" localSheetId="12">#REF!</definedName>
    <definedName name="__xh2254" localSheetId="34">#REF!</definedName>
    <definedName name="__xh2254" localSheetId="19">#REF!</definedName>
    <definedName name="__xh2254">#REF!</definedName>
    <definedName name="__xh2258" localSheetId="6">#REF!</definedName>
    <definedName name="__xh2258" localSheetId="12">#REF!</definedName>
    <definedName name="__xh2258" localSheetId="34">#REF!</definedName>
    <definedName name="__xh2258" localSheetId="19">#REF!</definedName>
    <definedName name="__xh2258">#REF!</definedName>
    <definedName name="__xh25010" localSheetId="6">#REF!</definedName>
    <definedName name="__xh25010" localSheetId="12">#REF!</definedName>
    <definedName name="__xh25010" localSheetId="34">#REF!</definedName>
    <definedName name="__xh25010" localSheetId="19">#REF!</definedName>
    <definedName name="__xh25010">#REF!</definedName>
    <definedName name="__xh2504" localSheetId="6">#REF!</definedName>
    <definedName name="__xh2504" localSheetId="12">#REF!</definedName>
    <definedName name="__xh2504" localSheetId="34">#REF!</definedName>
    <definedName name="__xh2504" localSheetId="19">#REF!</definedName>
    <definedName name="__xh2504">#REF!</definedName>
    <definedName name="__xh2508" localSheetId="6">#REF!</definedName>
    <definedName name="__xh2508" localSheetId="12">#REF!</definedName>
    <definedName name="__xh2508" localSheetId="34">#REF!</definedName>
    <definedName name="__xh2508" localSheetId="19">#REF!</definedName>
    <definedName name="__xh2508">#REF!</definedName>
    <definedName name="__xh28010" localSheetId="6">#REF!</definedName>
    <definedName name="__xh28010" localSheetId="12">#REF!</definedName>
    <definedName name="__xh28010" localSheetId="34">#REF!</definedName>
    <definedName name="__xh28010" localSheetId="19">#REF!</definedName>
    <definedName name="__xh28010">#REF!</definedName>
    <definedName name="__xh2804" localSheetId="6">#REF!</definedName>
    <definedName name="__xh2804" localSheetId="12">#REF!</definedName>
    <definedName name="__xh2804" localSheetId="34">#REF!</definedName>
    <definedName name="__xh2804" localSheetId="19">#REF!</definedName>
    <definedName name="__xh2804">#REF!</definedName>
    <definedName name="__xh2808" localSheetId="6">#REF!</definedName>
    <definedName name="__xh2808" localSheetId="12">#REF!</definedName>
    <definedName name="__xh2808" localSheetId="34">#REF!</definedName>
    <definedName name="__xh2808" localSheetId="19">#REF!</definedName>
    <definedName name="__xh2808">#REF!</definedName>
    <definedName name="__xh31510" localSheetId="6">#REF!</definedName>
    <definedName name="__xh31510" localSheetId="12">#REF!</definedName>
    <definedName name="__xh31510" localSheetId="34">#REF!</definedName>
    <definedName name="__xh31510" localSheetId="19">#REF!</definedName>
    <definedName name="__xh31510">#REF!</definedName>
    <definedName name="__xh3154" localSheetId="6">#REF!</definedName>
    <definedName name="__xh3154" localSheetId="12">#REF!</definedName>
    <definedName name="__xh3154" localSheetId="34">#REF!</definedName>
    <definedName name="__xh3154" localSheetId="19">#REF!</definedName>
    <definedName name="__xh3154">#REF!</definedName>
    <definedName name="__xh3158" localSheetId="6">#REF!</definedName>
    <definedName name="__xh3158" localSheetId="12">#REF!</definedName>
    <definedName name="__xh3158" localSheetId="34">#REF!</definedName>
    <definedName name="__xh3158" localSheetId="19">#REF!</definedName>
    <definedName name="__xh3158">#REF!</definedName>
    <definedName name="__xh3554" localSheetId="6">#REF!</definedName>
    <definedName name="__xh3554" localSheetId="12">#REF!</definedName>
    <definedName name="__xh3554" localSheetId="34">#REF!</definedName>
    <definedName name="__xh3554" localSheetId="19">#REF!</definedName>
    <definedName name="__xh3554">#REF!</definedName>
    <definedName name="__xh3556" localSheetId="6">#REF!</definedName>
    <definedName name="__xh3556" localSheetId="12">#REF!</definedName>
    <definedName name="__xh3556" localSheetId="34">#REF!</definedName>
    <definedName name="__xh3556" localSheetId="19">#REF!</definedName>
    <definedName name="__xh3556">#REF!</definedName>
    <definedName name="__xh6310" localSheetId="6">#REF!</definedName>
    <definedName name="__xh6310" localSheetId="12">#REF!</definedName>
    <definedName name="__xh6310" localSheetId="34">#REF!</definedName>
    <definedName name="__xh6310" localSheetId="19">#REF!</definedName>
    <definedName name="__xh6310">#REF!</definedName>
    <definedName name="__xh636" localSheetId="6">#REF!</definedName>
    <definedName name="__xh636" localSheetId="12">#REF!</definedName>
    <definedName name="__xh636" localSheetId="34">#REF!</definedName>
    <definedName name="__xh636" localSheetId="19">#REF!</definedName>
    <definedName name="__xh636">#REF!</definedName>
    <definedName name="__xh638" localSheetId="6">#REF!</definedName>
    <definedName name="__xh638" localSheetId="12">#REF!</definedName>
    <definedName name="__xh638" localSheetId="34">#REF!</definedName>
    <definedName name="__xh638" localSheetId="19">#REF!</definedName>
    <definedName name="__xh638">#REF!</definedName>
    <definedName name="__xh7510" localSheetId="6">#REF!</definedName>
    <definedName name="__xh7510" localSheetId="12">#REF!</definedName>
    <definedName name="__xh7510" localSheetId="34">#REF!</definedName>
    <definedName name="__xh7510" localSheetId="19">#REF!</definedName>
    <definedName name="__xh7510">#REF!</definedName>
    <definedName name="__xh754" localSheetId="6">#REF!</definedName>
    <definedName name="__xh754" localSheetId="12">#REF!</definedName>
    <definedName name="__xh754" localSheetId="34">#REF!</definedName>
    <definedName name="__xh754" localSheetId="19">#REF!</definedName>
    <definedName name="__xh754">#REF!</definedName>
    <definedName name="__xh756" localSheetId="6">#REF!</definedName>
    <definedName name="__xh756" localSheetId="12">#REF!</definedName>
    <definedName name="__xh756" localSheetId="34">#REF!</definedName>
    <definedName name="__xh756" localSheetId="19">#REF!</definedName>
    <definedName name="__xh756">#REF!</definedName>
    <definedName name="__xh758" localSheetId="6">#REF!</definedName>
    <definedName name="__xh758" localSheetId="12">#REF!</definedName>
    <definedName name="__xh758" localSheetId="34">#REF!</definedName>
    <definedName name="__xh758" localSheetId="19">#REF!</definedName>
    <definedName name="__xh758">#REF!</definedName>
    <definedName name="__xh9010" localSheetId="6">#REF!</definedName>
    <definedName name="__xh9010" localSheetId="12">#REF!</definedName>
    <definedName name="__xh9010" localSheetId="34">#REF!</definedName>
    <definedName name="__xh9010" localSheetId="19">#REF!</definedName>
    <definedName name="__xh9010">#REF!</definedName>
    <definedName name="__xh904" localSheetId="6">#REF!</definedName>
    <definedName name="__xh904" localSheetId="12">#REF!</definedName>
    <definedName name="__xh904" localSheetId="34">#REF!</definedName>
    <definedName name="__xh904" localSheetId="19">#REF!</definedName>
    <definedName name="__xh904">#REF!</definedName>
    <definedName name="__xh906" localSheetId="6">#REF!</definedName>
    <definedName name="__xh906" localSheetId="12">#REF!</definedName>
    <definedName name="__xh906" localSheetId="34">#REF!</definedName>
    <definedName name="__xh906" localSheetId="19">#REF!</definedName>
    <definedName name="__xh906">#REF!</definedName>
    <definedName name="__xh908" localSheetId="6">#REF!</definedName>
    <definedName name="__xh908" localSheetId="12">#REF!</definedName>
    <definedName name="__xh908" localSheetId="34">#REF!</definedName>
    <definedName name="__xh908" localSheetId="19">#REF!</definedName>
    <definedName name="__xh908">#REF!</definedName>
    <definedName name="__xk7200" localSheetId="6">#REF!</definedName>
    <definedName name="__xk7200" localSheetId="12">#REF!</definedName>
    <definedName name="__xk7200" localSheetId="34">#REF!</definedName>
    <definedName name="__xk7200" localSheetId="19">#REF!</definedName>
    <definedName name="__xk7200">#REF!</definedName>
    <definedName name="__xk7350" localSheetId="6">#REF!</definedName>
    <definedName name="__xk7350" localSheetId="12">#REF!</definedName>
    <definedName name="__xk7350" localSheetId="34">#REF!</definedName>
    <definedName name="__xk7350" localSheetId="19">#REF!</definedName>
    <definedName name="__xk7350">#REF!</definedName>
    <definedName name="__xk7400" localSheetId="6">#REF!</definedName>
    <definedName name="__xk7400" localSheetId="12">#REF!</definedName>
    <definedName name="__xk7400" localSheetId="34">#REF!</definedName>
    <definedName name="__xk7400" localSheetId="19">#REF!</definedName>
    <definedName name="__xk7400">#REF!</definedName>
    <definedName name="__xk7450" localSheetId="6">#REF!</definedName>
    <definedName name="__xk7450" localSheetId="12">#REF!</definedName>
    <definedName name="__xk7450" localSheetId="34">#REF!</definedName>
    <definedName name="__xk7450" localSheetId="19">#REF!</definedName>
    <definedName name="__xk7450">#REF!</definedName>
    <definedName name="__xk7500" localSheetId="6">#REF!</definedName>
    <definedName name="__xk7500" localSheetId="12">#REF!</definedName>
    <definedName name="__xk7500" localSheetId="34">#REF!</definedName>
    <definedName name="__xk7500" localSheetId="19">#REF!</definedName>
    <definedName name="__xk7500">#REF!</definedName>
    <definedName name="__xk7600" localSheetId="6">#REF!</definedName>
    <definedName name="__xk7600" localSheetId="12">#REF!</definedName>
    <definedName name="__xk7600" localSheetId="34">#REF!</definedName>
    <definedName name="__xk7600" localSheetId="19">#REF!</definedName>
    <definedName name="__xk7600">#REF!</definedName>
    <definedName name="__xk9100" localSheetId="6">#REF!</definedName>
    <definedName name="__xk9100" localSheetId="12">#REF!</definedName>
    <definedName name="__xk9100" localSheetId="34">#REF!</definedName>
    <definedName name="__xk9100" localSheetId="19">#REF!</definedName>
    <definedName name="__xk9100">#REF!</definedName>
    <definedName name="__xk91000" localSheetId="6">#REF!</definedName>
    <definedName name="__xk91000" localSheetId="12">#REF!</definedName>
    <definedName name="__xk91000" localSheetId="34">#REF!</definedName>
    <definedName name="__xk91000" localSheetId="19">#REF!</definedName>
    <definedName name="__xk91000">#REF!</definedName>
    <definedName name="__xk9150" localSheetId="6">#REF!</definedName>
    <definedName name="__xk9150" localSheetId="12">#REF!</definedName>
    <definedName name="__xk9150" localSheetId="34">#REF!</definedName>
    <definedName name="__xk9150" localSheetId="19">#REF!</definedName>
    <definedName name="__xk9150">#REF!</definedName>
    <definedName name="__xk9200" localSheetId="6">#REF!</definedName>
    <definedName name="__xk9200" localSheetId="12">#REF!</definedName>
    <definedName name="__xk9200" localSheetId="34">#REF!</definedName>
    <definedName name="__xk9200" localSheetId="19">#REF!</definedName>
    <definedName name="__xk9200">#REF!</definedName>
    <definedName name="__xk9250" localSheetId="6">#REF!</definedName>
    <definedName name="__xk9250" localSheetId="12">#REF!</definedName>
    <definedName name="__xk9250" localSheetId="34">#REF!</definedName>
    <definedName name="__xk9250" localSheetId="19">#REF!</definedName>
    <definedName name="__xk9250">#REF!</definedName>
    <definedName name="__xk9300" localSheetId="6">#REF!</definedName>
    <definedName name="__xk9300" localSheetId="12">#REF!</definedName>
    <definedName name="__xk9300" localSheetId="34">#REF!</definedName>
    <definedName name="__xk9300" localSheetId="19">#REF!</definedName>
    <definedName name="__xk9300">#REF!</definedName>
    <definedName name="__xk9350" localSheetId="6">#REF!</definedName>
    <definedName name="__xk9350" localSheetId="12">#REF!</definedName>
    <definedName name="__xk9350" localSheetId="34">#REF!</definedName>
    <definedName name="__xk9350" localSheetId="19">#REF!</definedName>
    <definedName name="__xk9350">#REF!</definedName>
    <definedName name="__xk9400" localSheetId="6">#REF!</definedName>
    <definedName name="__xk9400" localSheetId="12">#REF!</definedName>
    <definedName name="__xk9400" localSheetId="34">#REF!</definedName>
    <definedName name="__xk9400" localSheetId="19">#REF!</definedName>
    <definedName name="__xk9400">#REF!</definedName>
    <definedName name="__xk9450" localSheetId="6">#REF!</definedName>
    <definedName name="__xk9450" localSheetId="12">#REF!</definedName>
    <definedName name="__xk9450" localSheetId="34">#REF!</definedName>
    <definedName name="__xk9450" localSheetId="19">#REF!</definedName>
    <definedName name="__xk9450">#REF!</definedName>
    <definedName name="__xk9500" localSheetId="6">#REF!</definedName>
    <definedName name="__xk9500" localSheetId="12">#REF!</definedName>
    <definedName name="__xk9500" localSheetId="34">#REF!</definedName>
    <definedName name="__xk9500" localSheetId="19">#REF!</definedName>
    <definedName name="__xk9500">#REF!</definedName>
    <definedName name="__xk9600" localSheetId="6">#REF!</definedName>
    <definedName name="__xk9600" localSheetId="12">#REF!</definedName>
    <definedName name="__xk9600" localSheetId="34">#REF!</definedName>
    <definedName name="__xk9600" localSheetId="19">#REF!</definedName>
    <definedName name="__xk9600">#REF!</definedName>
    <definedName name="__xk9700" localSheetId="6">#REF!</definedName>
    <definedName name="__xk9700" localSheetId="12">#REF!</definedName>
    <definedName name="__xk9700" localSheetId="34">#REF!</definedName>
    <definedName name="__xk9700" localSheetId="19">#REF!</definedName>
    <definedName name="__xk9700">#REF!</definedName>
    <definedName name="__xk9750" localSheetId="6">#REF!</definedName>
    <definedName name="__xk9750" localSheetId="12">#REF!</definedName>
    <definedName name="__xk9750" localSheetId="34">#REF!</definedName>
    <definedName name="__xk9750" localSheetId="19">#REF!</definedName>
    <definedName name="__xk9750">#REF!</definedName>
    <definedName name="__xk9800" localSheetId="6">#REF!</definedName>
    <definedName name="__xk9800" localSheetId="12">#REF!</definedName>
    <definedName name="__xk9800" localSheetId="34">#REF!</definedName>
    <definedName name="__xk9800" localSheetId="19">#REF!</definedName>
    <definedName name="__xk9800">#REF!</definedName>
    <definedName name="__xk9900" localSheetId="6">#REF!</definedName>
    <definedName name="__xk9900" localSheetId="12">#REF!</definedName>
    <definedName name="__xk9900" localSheetId="34">#REF!</definedName>
    <definedName name="__xk9900" localSheetId="19">#REF!</definedName>
    <definedName name="__xk9900">#REF!</definedName>
    <definedName name="__xlfn.BAHTTEXT" hidden="1">#NAME?</definedName>
    <definedName name="__xlfn_BAHTTEXT">#N/A</definedName>
    <definedName name="__xlnm.Print_Area_33" localSheetId="6">#REF!</definedName>
    <definedName name="__xlnm.Print_Area_33" localSheetId="12">#REF!</definedName>
    <definedName name="__xlnm.Print_Area_33" localSheetId="19">#REF!</definedName>
    <definedName name="__xlnm.Print_Area_33">#REF!</definedName>
    <definedName name="__xlnm.Print_Area_34" localSheetId="6">#REF!</definedName>
    <definedName name="__xlnm.Print_Area_34" localSheetId="12">#REF!</definedName>
    <definedName name="__xlnm.Print_Area_34" localSheetId="19">#REF!</definedName>
    <definedName name="__xlnm.Print_Area_34">#REF!</definedName>
    <definedName name="__xp12510" localSheetId="6">#REF!</definedName>
    <definedName name="__xp12510" localSheetId="12">#REF!</definedName>
    <definedName name="__xp12510" localSheetId="34">#REF!</definedName>
    <definedName name="__xp12510" localSheetId="19">#REF!</definedName>
    <definedName name="__xp12510">#REF!</definedName>
    <definedName name="__xp16010" localSheetId="6">#REF!</definedName>
    <definedName name="__xp16010" localSheetId="12">#REF!</definedName>
    <definedName name="__xp16010" localSheetId="34">#REF!</definedName>
    <definedName name="__xp16010" localSheetId="19">#REF!</definedName>
    <definedName name="__xp16010">#REF!</definedName>
    <definedName name="__xp18010" localSheetId="6">#REF!</definedName>
    <definedName name="__xp18010" localSheetId="12">#REF!</definedName>
    <definedName name="__xp18010" localSheetId="34">#REF!</definedName>
    <definedName name="__xp18010" localSheetId="19">#REF!</definedName>
    <definedName name="__xp18010">#REF!</definedName>
    <definedName name="__xp20010" localSheetId="6">#REF!</definedName>
    <definedName name="__xp20010" localSheetId="12">#REF!</definedName>
    <definedName name="__xp20010" localSheetId="34">#REF!</definedName>
    <definedName name="__xp20010" localSheetId="19">#REF!</definedName>
    <definedName name="__xp20010">#REF!</definedName>
    <definedName name="__xp2004" localSheetId="6">#REF!</definedName>
    <definedName name="__xp2004" localSheetId="12">#REF!</definedName>
    <definedName name="__xp2004" localSheetId="34">#REF!</definedName>
    <definedName name="__xp2004" localSheetId="19">#REF!</definedName>
    <definedName name="__xp2004">#REF!</definedName>
    <definedName name="__xp22510" localSheetId="6">#REF!</definedName>
    <definedName name="__xp22510" localSheetId="12">#REF!</definedName>
    <definedName name="__xp22510" localSheetId="34">#REF!</definedName>
    <definedName name="__xp22510" localSheetId="19">#REF!</definedName>
    <definedName name="__xp22510">#REF!</definedName>
    <definedName name="__xp2254" localSheetId="6">#REF!</definedName>
    <definedName name="__xp2254" localSheetId="12">#REF!</definedName>
    <definedName name="__xp2254" localSheetId="34">#REF!</definedName>
    <definedName name="__xp2254" localSheetId="19">#REF!</definedName>
    <definedName name="__xp2254">#REF!</definedName>
    <definedName name="__xp2256" localSheetId="6">#REF!</definedName>
    <definedName name="__xp2256" localSheetId="12">#REF!</definedName>
    <definedName name="__xp2256" localSheetId="34">#REF!</definedName>
    <definedName name="__xp2256" localSheetId="19">#REF!</definedName>
    <definedName name="__xp2256">#REF!</definedName>
    <definedName name="__xp25010" localSheetId="6">#REF!</definedName>
    <definedName name="__xp25010" localSheetId="12">#REF!</definedName>
    <definedName name="__xp25010" localSheetId="34">#REF!</definedName>
    <definedName name="__xp25010" localSheetId="19">#REF!</definedName>
    <definedName name="__xp25010">#REF!</definedName>
    <definedName name="__xp2504" localSheetId="6">#REF!</definedName>
    <definedName name="__xp2504" localSheetId="12">#REF!</definedName>
    <definedName name="__xp2504" localSheetId="34">#REF!</definedName>
    <definedName name="__xp2504" localSheetId="19">#REF!</definedName>
    <definedName name="__xp2504">#REF!</definedName>
    <definedName name="__xp2506" localSheetId="6">#REF!</definedName>
    <definedName name="__xp2506" localSheetId="12">#REF!</definedName>
    <definedName name="__xp2506" localSheetId="34">#REF!</definedName>
    <definedName name="__xp2506" localSheetId="19">#REF!</definedName>
    <definedName name="__xp2506">#REF!</definedName>
    <definedName name="__xp28010" localSheetId="6">#REF!</definedName>
    <definedName name="__xp28010" localSheetId="12">#REF!</definedName>
    <definedName name="__xp28010" localSheetId="34">#REF!</definedName>
    <definedName name="__xp28010" localSheetId="19">#REF!</definedName>
    <definedName name="__xp28010">#REF!</definedName>
    <definedName name="__xp2804" localSheetId="6">#REF!</definedName>
    <definedName name="__xp2804" localSheetId="12">#REF!</definedName>
    <definedName name="__xp2804" localSheetId="34">#REF!</definedName>
    <definedName name="__xp2804" localSheetId="19">#REF!</definedName>
    <definedName name="__xp2804">#REF!</definedName>
    <definedName name="__xp2806" localSheetId="6">#REF!</definedName>
    <definedName name="__xp2806" localSheetId="12">#REF!</definedName>
    <definedName name="__xp2806" localSheetId="34">#REF!</definedName>
    <definedName name="__xp2806" localSheetId="19">#REF!</definedName>
    <definedName name="__xp2806">#REF!</definedName>
    <definedName name="__xp31510" localSheetId="6">#REF!</definedName>
    <definedName name="__xp31510" localSheetId="12">#REF!</definedName>
    <definedName name="__xp31510" localSheetId="34">#REF!</definedName>
    <definedName name="__xp31510" localSheetId="19">#REF!</definedName>
    <definedName name="__xp31510">#REF!</definedName>
    <definedName name="__xp3154" localSheetId="6">#REF!</definedName>
    <definedName name="__xp3154" localSheetId="12">#REF!</definedName>
    <definedName name="__xp3154" localSheetId="34">#REF!</definedName>
    <definedName name="__xp3154" localSheetId="19">#REF!</definedName>
    <definedName name="__xp3154">#REF!</definedName>
    <definedName name="__xp3156" localSheetId="6">#REF!</definedName>
    <definedName name="__xp3156" localSheetId="12">#REF!</definedName>
    <definedName name="__xp3156" localSheetId="34">#REF!</definedName>
    <definedName name="__xp3156" localSheetId="19">#REF!</definedName>
    <definedName name="__xp3156">#REF!</definedName>
    <definedName name="__xp634" localSheetId="6">#REF!</definedName>
    <definedName name="__xp634" localSheetId="12">#REF!</definedName>
    <definedName name="__xp634" localSheetId="34">#REF!</definedName>
    <definedName name="__xp634" localSheetId="19">#REF!</definedName>
    <definedName name="__xp634">#REF!</definedName>
    <definedName name="_055" localSheetId="5">#REF!</definedName>
    <definedName name="_055" localSheetId="6">#REF!</definedName>
    <definedName name="_055" localSheetId="12">#REF!</definedName>
    <definedName name="_055" localSheetId="34">#REF!</definedName>
    <definedName name="_055" localSheetId="19">#REF!</definedName>
    <definedName name="_055" localSheetId="30">#REF!</definedName>
    <definedName name="_055">#REF!</definedName>
    <definedName name="_055_33">"$#REF!.$#REF!$#REF!"</definedName>
    <definedName name="_1.76_dmm" localSheetId="27">#REF!</definedName>
    <definedName name="_1.76_dmm">#REF!</definedName>
    <definedName name="_40MM_HBG" localSheetId="5">#REF!</definedName>
    <definedName name="_40MM_HBG" localSheetId="6">#REF!</definedName>
    <definedName name="_40MM_HBG" localSheetId="12">#REF!</definedName>
    <definedName name="_40MM_HBG" localSheetId="34">#REF!</definedName>
    <definedName name="_40MM_HBG" localSheetId="19">#REF!</definedName>
    <definedName name="_40MM_HBG" localSheetId="30">#REF!</definedName>
    <definedName name="_40MM_HBG">#REF!</definedName>
    <definedName name="_65MM_HBG" localSheetId="5">#REF!</definedName>
    <definedName name="_65MM_HBG" localSheetId="6">#REF!</definedName>
    <definedName name="_65MM_HBG" localSheetId="12">#REF!</definedName>
    <definedName name="_65MM_HBG" localSheetId="34">#REF!</definedName>
    <definedName name="_65MM_HBG" localSheetId="19">#REF!</definedName>
    <definedName name="_65MM_HBG" localSheetId="30">#REF!</definedName>
    <definedName name="_65MM_HBG">#REF!</definedName>
    <definedName name="_65MM_HBT" localSheetId="5">#REF!</definedName>
    <definedName name="_65MM_HBT" localSheetId="6">#REF!</definedName>
    <definedName name="_65MM_HBT" localSheetId="12">#REF!</definedName>
    <definedName name="_65MM_HBT" localSheetId="34">#REF!</definedName>
    <definedName name="_65MM_HBT" localSheetId="19">#REF!</definedName>
    <definedName name="_65MM_HBT" localSheetId="30">#REF!</definedName>
    <definedName name="_65MM_HBT">#REF!</definedName>
    <definedName name="_65MM_OG" localSheetId="5">#REF!</definedName>
    <definedName name="_65MM_OG" localSheetId="6">#REF!</definedName>
    <definedName name="_65MM_OG" localSheetId="12">#REF!</definedName>
    <definedName name="_65MM_OG" localSheetId="34">#REF!</definedName>
    <definedName name="_65MM_OG" localSheetId="19">#REF!</definedName>
    <definedName name="_65MM_OG" localSheetId="30">#REF!</definedName>
    <definedName name="_65MM_OG">#REF!</definedName>
    <definedName name="_a3" localSheetId="19">#REF!</definedName>
    <definedName name="_abs1" localSheetId="22">#REF!</definedName>
    <definedName name="_abs1" localSheetId="5">#REF!</definedName>
    <definedName name="_abs1" localSheetId="6">#REF!</definedName>
    <definedName name="_abs1" localSheetId="12">#REF!</definedName>
    <definedName name="_abs1" localSheetId="34">#REF!</definedName>
    <definedName name="_abs1" localSheetId="19">#REF!</definedName>
    <definedName name="_abs1" localSheetId="30">#REF!</definedName>
    <definedName name="_abs1" localSheetId="40">#REF!</definedName>
    <definedName name="_abs1" localSheetId="26">#REF!</definedName>
    <definedName name="_abs1">#REF!</definedName>
    <definedName name="_atw2" localSheetId="6">#REF!</definedName>
    <definedName name="_atw2" localSheetId="12">#REF!</definedName>
    <definedName name="_atw2" localSheetId="34">#REF!</definedName>
    <definedName name="_atw2" localSheetId="19">#REF!</definedName>
    <definedName name="_atw2">#REF!</definedName>
    <definedName name="_AUX1">#REF!</definedName>
    <definedName name="_aux2" localSheetId="19">#REF!</definedName>
    <definedName name="_AUX3">#REF!</definedName>
    <definedName name="_bla1_32" localSheetId="27">#REF!</definedName>
    <definedName name="_bla1_32">#REF!</definedName>
    <definedName name="_bla1_33">#REF!</definedName>
    <definedName name="_bla1_34">#REF!</definedName>
    <definedName name="_bla1_43">#REF!</definedName>
    <definedName name="_bla1_56">#REF!</definedName>
    <definedName name="_bla1_59">#REF!</definedName>
    <definedName name="_bla1_61">#REF!</definedName>
    <definedName name="_brush" localSheetId="6">#REF!</definedName>
    <definedName name="_brush" localSheetId="12">#REF!</definedName>
    <definedName name="_brush" localSheetId="34">#REF!</definedName>
    <definedName name="_brush" localSheetId="19">#REF!</definedName>
    <definedName name="_brush">#REF!</definedName>
    <definedName name="_BSG100" localSheetId="6">#REF!</definedName>
    <definedName name="_BSG100" localSheetId="12">#REF!</definedName>
    <definedName name="_BSG100" localSheetId="19">#REF!</definedName>
    <definedName name="_BSG100">#REF!</definedName>
    <definedName name="_BSG150" localSheetId="6">#REF!</definedName>
    <definedName name="_BSG150" localSheetId="12">#REF!</definedName>
    <definedName name="_BSG150" localSheetId="19">#REF!</definedName>
    <definedName name="_BSG150">#REF!</definedName>
    <definedName name="_BSG5" localSheetId="6">#REF!</definedName>
    <definedName name="_BSG5" localSheetId="12">#REF!</definedName>
    <definedName name="_BSG5" localSheetId="19">#REF!</definedName>
    <definedName name="_BSG5">#REF!</definedName>
    <definedName name="_BSG75" localSheetId="6">#REF!</definedName>
    <definedName name="_BSG75" localSheetId="12">#REF!</definedName>
    <definedName name="_BSG75" localSheetId="19">#REF!</definedName>
    <definedName name="_BSG75">#REF!</definedName>
    <definedName name="_BTC1" localSheetId="6">#REF!</definedName>
    <definedName name="_BTC1" localSheetId="12">#REF!</definedName>
    <definedName name="_BTC1" localSheetId="19">#REF!</definedName>
    <definedName name="_BTC1">#REF!</definedName>
    <definedName name="_BTC10" localSheetId="6">#REF!</definedName>
    <definedName name="_BTC10" localSheetId="12">#REF!</definedName>
    <definedName name="_BTC10" localSheetId="19">#REF!</definedName>
    <definedName name="_BTC10">#REF!</definedName>
    <definedName name="_BTC11" localSheetId="6">#REF!</definedName>
    <definedName name="_BTC11" localSheetId="12">#REF!</definedName>
    <definedName name="_BTC11" localSheetId="19">#REF!</definedName>
    <definedName name="_BTC11">#REF!</definedName>
    <definedName name="_BTC12" localSheetId="6">#REF!</definedName>
    <definedName name="_BTC12" localSheetId="12">#REF!</definedName>
    <definedName name="_BTC12" localSheetId="19">#REF!</definedName>
    <definedName name="_BTC12">#REF!</definedName>
    <definedName name="_BTC13" localSheetId="6">#REF!</definedName>
    <definedName name="_BTC13" localSheetId="12">#REF!</definedName>
    <definedName name="_BTC13" localSheetId="19">#REF!</definedName>
    <definedName name="_BTC13">#REF!</definedName>
    <definedName name="_BTC14" localSheetId="6">#REF!</definedName>
    <definedName name="_BTC14" localSheetId="12">#REF!</definedName>
    <definedName name="_BTC14" localSheetId="19">#REF!</definedName>
    <definedName name="_BTC14">#REF!</definedName>
    <definedName name="_BTC15" localSheetId="6">#REF!</definedName>
    <definedName name="_BTC15" localSheetId="12">#REF!</definedName>
    <definedName name="_BTC15" localSheetId="19">#REF!</definedName>
    <definedName name="_BTC15">#REF!</definedName>
    <definedName name="_BTC16">#REF!</definedName>
    <definedName name="_BTC17">#REF!</definedName>
    <definedName name="_BTC18">#REF!</definedName>
    <definedName name="_BTC19">#REF!</definedName>
    <definedName name="_BTC2" localSheetId="6">#REF!</definedName>
    <definedName name="_BTC2" localSheetId="12">#REF!</definedName>
    <definedName name="_BTC2" localSheetId="19">#REF!</definedName>
    <definedName name="_BTC2">#REF!</definedName>
    <definedName name="_BTC20">#REF!</definedName>
    <definedName name="_BTC21">#REF!</definedName>
    <definedName name="_BTC22">#REF!</definedName>
    <definedName name="_BTC23">#REF!</definedName>
    <definedName name="_BTC24">#REF!</definedName>
    <definedName name="_BTC3" localSheetId="6">#REF!</definedName>
    <definedName name="_BTC3" localSheetId="12">#REF!</definedName>
    <definedName name="_BTC3" localSheetId="19">#REF!</definedName>
    <definedName name="_BTC3">#REF!</definedName>
    <definedName name="_BTC4" localSheetId="6">#REF!</definedName>
    <definedName name="_BTC4" localSheetId="12">#REF!</definedName>
    <definedName name="_BTC4" localSheetId="19">#REF!</definedName>
    <definedName name="_BTC4">#REF!</definedName>
    <definedName name="_BTC5" localSheetId="6">#REF!</definedName>
    <definedName name="_BTC5" localSheetId="12">#REF!</definedName>
    <definedName name="_BTC5" localSheetId="19">#REF!</definedName>
    <definedName name="_BTC5">#REF!</definedName>
    <definedName name="_BTC6" localSheetId="6">#REF!</definedName>
    <definedName name="_BTC6" localSheetId="12">#REF!</definedName>
    <definedName name="_BTC6" localSheetId="19">#REF!</definedName>
    <definedName name="_BTC6">#REF!</definedName>
    <definedName name="_BTC7" localSheetId="6">#REF!</definedName>
    <definedName name="_BTC7" localSheetId="12">#REF!</definedName>
    <definedName name="_BTC7" localSheetId="19">#REF!</definedName>
    <definedName name="_BTC7">#REF!</definedName>
    <definedName name="_BTC8" localSheetId="6">#REF!</definedName>
    <definedName name="_BTC8" localSheetId="12">#REF!</definedName>
    <definedName name="_BTC8" localSheetId="19">#REF!</definedName>
    <definedName name="_BTC8">#REF!</definedName>
    <definedName name="_BTC9" localSheetId="6">#REF!</definedName>
    <definedName name="_BTC9" localSheetId="12">#REF!</definedName>
    <definedName name="_BTC9" localSheetId="19">#REF!</definedName>
    <definedName name="_BTC9">#REF!</definedName>
    <definedName name="_BTR1">#REF!</definedName>
    <definedName name="_BTR10">#REF!</definedName>
    <definedName name="_BTR11">#REF!</definedName>
    <definedName name="_BTR12">#REF!</definedName>
    <definedName name="_BTR13">#REF!</definedName>
    <definedName name="_BTR14">#REF!</definedName>
    <definedName name="_BTR15">#REF!</definedName>
    <definedName name="_BTR16">#REF!</definedName>
    <definedName name="_BTR17">#REF!</definedName>
    <definedName name="_BTR18">#REF!</definedName>
    <definedName name="_BTR19">#REF!</definedName>
    <definedName name="_BTR2">#REF!</definedName>
    <definedName name="_BTR20">#REF!</definedName>
    <definedName name="_BTR21">#REF!</definedName>
    <definedName name="_BTR22">#REF!</definedName>
    <definedName name="_BTR23">#REF!</definedName>
    <definedName name="_BTR24">#REF!</definedName>
    <definedName name="_BTR3">#REF!</definedName>
    <definedName name="_BTR4">#REF!</definedName>
    <definedName name="_BTR5">#REF!</definedName>
    <definedName name="_BTR6">#REF!</definedName>
    <definedName name="_BTR7">#REF!</definedName>
    <definedName name="_BTR8">#REF!</definedName>
    <definedName name="_BTR9">#REF!</definedName>
    <definedName name="_BTS1" localSheetId="6">#REF!</definedName>
    <definedName name="_BTS1" localSheetId="12">#REF!</definedName>
    <definedName name="_BTS1" localSheetId="19">#REF!</definedName>
    <definedName name="_BTS1">#REF!</definedName>
    <definedName name="_BTS10" localSheetId="6">#REF!</definedName>
    <definedName name="_BTS10" localSheetId="12">#REF!</definedName>
    <definedName name="_BTS10" localSheetId="19">#REF!</definedName>
    <definedName name="_BTS10">#REF!</definedName>
    <definedName name="_BTS11" localSheetId="6">#REF!</definedName>
    <definedName name="_BTS11" localSheetId="12">#REF!</definedName>
    <definedName name="_BTS11" localSheetId="19">#REF!</definedName>
    <definedName name="_BTS11">#REF!</definedName>
    <definedName name="_BTS12" localSheetId="6">#REF!</definedName>
    <definedName name="_BTS12" localSheetId="12">#REF!</definedName>
    <definedName name="_BTS12" localSheetId="19">#REF!</definedName>
    <definedName name="_BTS12">#REF!</definedName>
    <definedName name="_BTS13" localSheetId="6">#REF!</definedName>
    <definedName name="_BTS13" localSheetId="12">#REF!</definedName>
    <definedName name="_BTS13" localSheetId="19">#REF!</definedName>
    <definedName name="_BTS13">#REF!</definedName>
    <definedName name="_BTS14" localSheetId="6">#REF!</definedName>
    <definedName name="_BTS14" localSheetId="12">#REF!</definedName>
    <definedName name="_BTS14" localSheetId="19">#REF!</definedName>
    <definedName name="_BTS14">#REF!</definedName>
    <definedName name="_BTS15" localSheetId="6">#REF!</definedName>
    <definedName name="_BTS15" localSheetId="12">#REF!</definedName>
    <definedName name="_BTS15" localSheetId="19">#REF!</definedName>
    <definedName name="_BTS15">#REF!</definedName>
    <definedName name="_BTS16">#REF!</definedName>
    <definedName name="_BTS17">#REF!</definedName>
    <definedName name="_BTS18">#REF!</definedName>
    <definedName name="_BTS19">#REF!</definedName>
    <definedName name="_BTS2" localSheetId="6">#REF!</definedName>
    <definedName name="_BTS2" localSheetId="12">#REF!</definedName>
    <definedName name="_BTS2" localSheetId="19">#REF!</definedName>
    <definedName name="_BTS2">#REF!</definedName>
    <definedName name="_BTS20">#REF!</definedName>
    <definedName name="_BTS21">#REF!</definedName>
    <definedName name="_BTS22">#REF!</definedName>
    <definedName name="_BTS23">#REF!</definedName>
    <definedName name="_BTS24">#REF!</definedName>
    <definedName name="_BTS3" localSheetId="6">#REF!</definedName>
    <definedName name="_BTS3" localSheetId="12">#REF!</definedName>
    <definedName name="_BTS3" localSheetId="19">#REF!</definedName>
    <definedName name="_BTS3">#REF!</definedName>
    <definedName name="_BTS4" localSheetId="6">#REF!</definedName>
    <definedName name="_BTS4" localSheetId="12">#REF!</definedName>
    <definedName name="_BTS4" localSheetId="19">#REF!</definedName>
    <definedName name="_BTS4">#REF!</definedName>
    <definedName name="_BTS5" localSheetId="6">#REF!</definedName>
    <definedName name="_BTS5" localSheetId="12">#REF!</definedName>
    <definedName name="_BTS5" localSheetId="19">#REF!</definedName>
    <definedName name="_BTS5">#REF!</definedName>
    <definedName name="_BTS6" localSheetId="6">#REF!</definedName>
    <definedName name="_BTS6" localSheetId="12">#REF!</definedName>
    <definedName name="_BTS6" localSheetId="19">#REF!</definedName>
    <definedName name="_BTS6">#REF!</definedName>
    <definedName name="_BTS7" localSheetId="6">#REF!</definedName>
    <definedName name="_BTS7" localSheetId="12">#REF!</definedName>
    <definedName name="_BTS7" localSheetId="19">#REF!</definedName>
    <definedName name="_BTS7">#REF!</definedName>
    <definedName name="_BTS8" localSheetId="6">#REF!</definedName>
    <definedName name="_BTS8" localSheetId="12">#REF!</definedName>
    <definedName name="_BTS8" localSheetId="19">#REF!</definedName>
    <definedName name="_BTS8">#REF!</definedName>
    <definedName name="_BTS9" localSheetId="6">#REF!</definedName>
    <definedName name="_BTS9" localSheetId="12">#REF!</definedName>
    <definedName name="_BTS9" localSheetId="19">#REF!</definedName>
    <definedName name="_BTS9">#REF!</definedName>
    <definedName name="_can430">40.73</definedName>
    <definedName name="_can435">43.3</definedName>
    <definedName name="_cbr1" localSheetId="5">#REF!</definedName>
    <definedName name="_cbr1" localSheetId="6">#REF!</definedName>
    <definedName name="_cbr1" localSheetId="12">#REF!</definedName>
    <definedName name="_cbr1" localSheetId="34">#REF!</definedName>
    <definedName name="_cbr1" localSheetId="19">#REF!</definedName>
    <definedName name="_cbr1" localSheetId="30">#REF!</definedName>
    <definedName name="_cbr1">#REF!</definedName>
    <definedName name="_cbr2" localSheetId="5">#REF!</definedName>
    <definedName name="_cbr2" localSheetId="6">#REF!</definedName>
    <definedName name="_cbr2" localSheetId="12">#REF!</definedName>
    <definedName name="_cbr2" localSheetId="34">#REF!</definedName>
    <definedName name="_cbr2" localSheetId="19">#REF!</definedName>
    <definedName name="_cbr2" localSheetId="30">#REF!</definedName>
    <definedName name="_cbr2">#REF!</definedName>
    <definedName name="_cbr3" localSheetId="5">#REF!</definedName>
    <definedName name="_cbr3" localSheetId="6">#REF!</definedName>
    <definedName name="_cbr3" localSheetId="12">#REF!</definedName>
    <definedName name="_cbr3" localSheetId="34">#REF!</definedName>
    <definedName name="_cbr3" localSheetId="19">#REF!</definedName>
    <definedName name="_cbr3" localSheetId="30">#REF!</definedName>
    <definedName name="_cbr3">#REF!</definedName>
    <definedName name="_cbr4" localSheetId="5">#REF!</definedName>
    <definedName name="_cbr4" localSheetId="6">#REF!</definedName>
    <definedName name="_cbr4" localSheetId="12">#REF!</definedName>
    <definedName name="_cbr4" localSheetId="19">#REF!</definedName>
    <definedName name="_cbr4" localSheetId="30">#REF!</definedName>
    <definedName name="_cbr4">#REF!</definedName>
    <definedName name="_CD2" localSheetId="6">#REF!</definedName>
    <definedName name="_CD2" localSheetId="12">#REF!</definedName>
    <definedName name="_CD2" localSheetId="19">#REF!</definedName>
    <definedName name="_CD2" localSheetId="30">#REF!</definedName>
    <definedName name="_CD2">#REF!</definedName>
    <definedName name="_CEM" localSheetId="5">#REF!</definedName>
    <definedName name="_CEM" localSheetId="6">#REF!</definedName>
    <definedName name="_CEM" localSheetId="12">#REF!</definedName>
    <definedName name="_CEM" localSheetId="34">#REF!</definedName>
    <definedName name="_CEM" localSheetId="19">#REF!</definedName>
    <definedName name="_CEM" localSheetId="30">#REF!</definedName>
    <definedName name="_CEM">#REF!</definedName>
    <definedName name="_CEM_33">"$#REF!.$#REF!$#REF!"</definedName>
    <definedName name="_ceramic" localSheetId="6">#REF!</definedName>
    <definedName name="_ceramic" localSheetId="12">#REF!</definedName>
    <definedName name="_ceramic" localSheetId="34">#REF!</definedName>
    <definedName name="_ceramic" localSheetId="19">#REF!</definedName>
    <definedName name="_ceramic">#REF!</definedName>
    <definedName name="_cp" localSheetId="6">#REF!</definedName>
    <definedName name="_cp" localSheetId="12">#REF!</definedName>
    <definedName name="_cp" localSheetId="34">#REF!</definedName>
    <definedName name="_cp" localSheetId="19">#REF!</definedName>
    <definedName name="_cp">#REF!</definedName>
    <definedName name="_dadoing" localSheetId="6">#REF!</definedName>
    <definedName name="_dadoing" localSheetId="12">#REF!</definedName>
    <definedName name="_dadoing" localSheetId="34">#REF!</definedName>
    <definedName name="_dadoing" localSheetId="19">#REF!</definedName>
    <definedName name="_dadoing">#REF!</definedName>
    <definedName name="_df3" localSheetId="6">#REF!</definedName>
    <definedName name="_df3" localSheetId="12">#REF!</definedName>
    <definedName name="_df3" localSheetId="34">#REF!</definedName>
    <definedName name="_df3" localSheetId="19">#REF!</definedName>
    <definedName name="_df3">#REF!</definedName>
    <definedName name="_emulsion" localSheetId="6">#REF!</definedName>
    <definedName name="_emulsion" localSheetId="12">#REF!</definedName>
    <definedName name="_emulsion" localSheetId="34">#REF!</definedName>
    <definedName name="_emulsion" localSheetId="19">#REF!</definedName>
    <definedName name="_emulsion">#REF!</definedName>
    <definedName name="_er1">#REF!</definedName>
    <definedName name="_ewe1" localSheetId="5">#REF!</definedName>
    <definedName name="_ewe1" localSheetId="6">#REF!</definedName>
    <definedName name="_ewe1" localSheetId="12">#REF!</definedName>
    <definedName name="_ewe1" localSheetId="34">#REF!</definedName>
    <definedName name="_ewe1" localSheetId="19">#REF!</definedName>
    <definedName name="_ewe1" localSheetId="30">#REF!</definedName>
    <definedName name="_ewe1">#REF!</definedName>
    <definedName name="_ewe2">#REF!</definedName>
    <definedName name="_f1" localSheetId="6">#REF!</definedName>
    <definedName name="_f1" localSheetId="12">#REF!</definedName>
    <definedName name="_f1" localSheetId="34">#REF!</definedName>
    <definedName name="_f1" localSheetId="19">#REF!</definedName>
    <definedName name="_f1">#REF!</definedName>
    <definedName name="_xlnm._FilterDatabase" localSheetId="27">#REF!</definedName>
    <definedName name="_xlnm._FilterDatabase" localSheetId="5">#REF!</definedName>
    <definedName name="_xlnm._FilterDatabase" localSheetId="14">#REF!</definedName>
    <definedName name="_xlnm._FilterDatabase" localSheetId="6">#REF!</definedName>
    <definedName name="_xlnm._FilterDatabase" localSheetId="12">#REF!</definedName>
    <definedName name="_xlnm._FilterDatabase" localSheetId="25" hidden="1">'Mtc-data'!#REF!</definedName>
    <definedName name="_xlnm._FilterDatabase" localSheetId="7" hidden="1">'Note File'!$A$63:$AD$100</definedName>
    <definedName name="_xlnm._FilterDatabase" localSheetId="19">#REF!</definedName>
    <definedName name="_xlnm._FilterDatabase" localSheetId="31" hidden="1">'Schedule-A'!$A$10:$P$194</definedName>
    <definedName name="_xlnm._FilterDatabase" localSheetId="30">#REF!</definedName>
    <definedName name="_xlnm._FilterDatabase">#REF!</definedName>
    <definedName name="_GBS11" localSheetId="6">#REF!</definedName>
    <definedName name="_GBS11" localSheetId="12">#REF!</definedName>
    <definedName name="_GBS11" localSheetId="19">#REF!</definedName>
    <definedName name="_GBS11">#REF!</definedName>
    <definedName name="_GBS110" localSheetId="6">#REF!</definedName>
    <definedName name="_GBS110" localSheetId="12">#REF!</definedName>
    <definedName name="_GBS110" localSheetId="19">#REF!</definedName>
    <definedName name="_GBS110">#REF!</definedName>
    <definedName name="_GBS111" localSheetId="6">#REF!</definedName>
    <definedName name="_GBS111" localSheetId="12">#REF!</definedName>
    <definedName name="_GBS111" localSheetId="19">#REF!</definedName>
    <definedName name="_GBS111">#REF!</definedName>
    <definedName name="_GBS112" localSheetId="6">#REF!</definedName>
    <definedName name="_GBS112" localSheetId="12">#REF!</definedName>
    <definedName name="_GBS112" localSheetId="19">#REF!</definedName>
    <definedName name="_GBS112">#REF!</definedName>
    <definedName name="_GBS113" localSheetId="6">#REF!</definedName>
    <definedName name="_GBS113" localSheetId="12">#REF!</definedName>
    <definedName name="_GBS113" localSheetId="19">#REF!</definedName>
    <definedName name="_GBS113">#REF!</definedName>
    <definedName name="_GBS114" localSheetId="6">#REF!</definedName>
    <definedName name="_GBS114" localSheetId="12">#REF!</definedName>
    <definedName name="_GBS114" localSheetId="19">#REF!</definedName>
    <definedName name="_GBS114">#REF!</definedName>
    <definedName name="_GBS115" localSheetId="6">#REF!</definedName>
    <definedName name="_GBS115" localSheetId="12">#REF!</definedName>
    <definedName name="_GBS115" localSheetId="19">#REF!</definedName>
    <definedName name="_GBS115">#REF!</definedName>
    <definedName name="_GBS116">#REF!</definedName>
    <definedName name="_GBS117">#REF!</definedName>
    <definedName name="_GBS118">#REF!</definedName>
    <definedName name="_GBS119">#REF!</definedName>
    <definedName name="_GBS12" localSheetId="6">#REF!</definedName>
    <definedName name="_GBS12" localSheetId="12">#REF!</definedName>
    <definedName name="_GBS12" localSheetId="19">#REF!</definedName>
    <definedName name="_GBS12">#REF!</definedName>
    <definedName name="_GBS120">#REF!</definedName>
    <definedName name="_GBS121">#REF!</definedName>
    <definedName name="_GBS122">#REF!</definedName>
    <definedName name="_GBS123">#REF!</definedName>
    <definedName name="_GBS124">#REF!</definedName>
    <definedName name="_GBS13" localSheetId="6">#REF!</definedName>
    <definedName name="_GBS13" localSheetId="12">#REF!</definedName>
    <definedName name="_GBS13" localSheetId="19">#REF!</definedName>
    <definedName name="_GBS13">#REF!</definedName>
    <definedName name="_GBS14" localSheetId="6">#REF!</definedName>
    <definedName name="_GBS14" localSheetId="12">#REF!</definedName>
    <definedName name="_GBS14" localSheetId="19">#REF!</definedName>
    <definedName name="_GBS14">#REF!</definedName>
    <definedName name="_GBS15" localSheetId="6">#REF!</definedName>
    <definedName name="_GBS15" localSheetId="12">#REF!</definedName>
    <definedName name="_GBS15" localSheetId="19">#REF!</definedName>
    <definedName name="_GBS15">#REF!</definedName>
    <definedName name="_GBS16" localSheetId="6">#REF!</definedName>
    <definedName name="_GBS16" localSheetId="12">#REF!</definedName>
    <definedName name="_GBS16" localSheetId="19">#REF!</definedName>
    <definedName name="_GBS16">#REF!</definedName>
    <definedName name="_GBS17" localSheetId="6">#REF!</definedName>
    <definedName name="_GBS17" localSheetId="12">#REF!</definedName>
    <definedName name="_GBS17" localSheetId="19">#REF!</definedName>
    <definedName name="_GBS17">#REF!</definedName>
    <definedName name="_GBS18" localSheetId="6">#REF!</definedName>
    <definedName name="_GBS18" localSheetId="12">#REF!</definedName>
    <definedName name="_GBS18" localSheetId="19">#REF!</definedName>
    <definedName name="_GBS18">#REF!</definedName>
    <definedName name="_GBS19" localSheetId="6">#REF!</definedName>
    <definedName name="_GBS19" localSheetId="12">#REF!</definedName>
    <definedName name="_GBS19" localSheetId="19">#REF!</definedName>
    <definedName name="_GBS19">#REF!</definedName>
    <definedName name="_GBS21" localSheetId="6">#REF!</definedName>
    <definedName name="_GBS21" localSheetId="12">#REF!</definedName>
    <definedName name="_GBS21" localSheetId="19">#REF!</definedName>
    <definedName name="_GBS21">#REF!</definedName>
    <definedName name="_GBS210" localSheetId="6">#REF!</definedName>
    <definedName name="_GBS210" localSheetId="12">#REF!</definedName>
    <definedName name="_GBS210" localSheetId="19">#REF!</definedName>
    <definedName name="_GBS210">#REF!</definedName>
    <definedName name="_GBS211" localSheetId="6">#REF!</definedName>
    <definedName name="_GBS211" localSheetId="12">#REF!</definedName>
    <definedName name="_GBS211" localSheetId="19">#REF!</definedName>
    <definedName name="_GBS211">#REF!</definedName>
    <definedName name="_GBS212" localSheetId="6">#REF!</definedName>
    <definedName name="_GBS212" localSheetId="12">#REF!</definedName>
    <definedName name="_GBS212" localSheetId="19">#REF!</definedName>
    <definedName name="_GBS212">#REF!</definedName>
    <definedName name="_GBS213" localSheetId="6">#REF!</definedName>
    <definedName name="_GBS213" localSheetId="12">#REF!</definedName>
    <definedName name="_GBS213" localSheetId="19">#REF!</definedName>
    <definedName name="_GBS213">#REF!</definedName>
    <definedName name="_GBS214" localSheetId="6">#REF!</definedName>
    <definedName name="_GBS214" localSheetId="12">#REF!</definedName>
    <definedName name="_GBS214" localSheetId="19">#REF!</definedName>
    <definedName name="_GBS214">#REF!</definedName>
    <definedName name="_GBS215" localSheetId="6">#REF!</definedName>
    <definedName name="_GBS215" localSheetId="12">#REF!</definedName>
    <definedName name="_GBS215" localSheetId="19">#REF!</definedName>
    <definedName name="_GBS215">#REF!</definedName>
    <definedName name="_GBS216">#REF!</definedName>
    <definedName name="_GBS217">#REF!</definedName>
    <definedName name="_GBS218">#REF!</definedName>
    <definedName name="_GBS219">#REF!</definedName>
    <definedName name="_GBS22" localSheetId="6">#REF!</definedName>
    <definedName name="_GBS22" localSheetId="12">#REF!</definedName>
    <definedName name="_GBS22" localSheetId="19">#REF!</definedName>
    <definedName name="_GBS22">#REF!</definedName>
    <definedName name="_GBS220">#REF!</definedName>
    <definedName name="_GBS221">#REF!</definedName>
    <definedName name="_GBS222">#REF!</definedName>
    <definedName name="_GBS223">#REF!</definedName>
    <definedName name="_GBS224">#REF!</definedName>
    <definedName name="_GBS23" localSheetId="6">#REF!</definedName>
    <definedName name="_GBS23" localSheetId="12">#REF!</definedName>
    <definedName name="_GBS23" localSheetId="19">#REF!</definedName>
    <definedName name="_GBS23">#REF!</definedName>
    <definedName name="_GBS24" localSheetId="6">#REF!</definedName>
    <definedName name="_GBS24" localSheetId="12">#REF!</definedName>
    <definedName name="_GBS24" localSheetId="19">#REF!</definedName>
    <definedName name="_GBS24">#REF!</definedName>
    <definedName name="_GBS25" localSheetId="6">#REF!</definedName>
    <definedName name="_GBS25" localSheetId="12">#REF!</definedName>
    <definedName name="_GBS25" localSheetId="19">#REF!</definedName>
    <definedName name="_GBS25">#REF!</definedName>
    <definedName name="_GBS26" localSheetId="6">#REF!</definedName>
    <definedName name="_GBS26" localSheetId="12">#REF!</definedName>
    <definedName name="_GBS26" localSheetId="19">#REF!</definedName>
    <definedName name="_GBS26">#REF!</definedName>
    <definedName name="_GBS27" localSheetId="6">#REF!</definedName>
    <definedName name="_GBS27" localSheetId="12">#REF!</definedName>
    <definedName name="_GBS27" localSheetId="19">#REF!</definedName>
    <definedName name="_GBS27">#REF!</definedName>
    <definedName name="_GBS28" localSheetId="6">#REF!</definedName>
    <definedName name="_GBS28" localSheetId="12">#REF!</definedName>
    <definedName name="_GBS28" localSheetId="19">#REF!</definedName>
    <definedName name="_GBS28">#REF!</definedName>
    <definedName name="_GBS29" localSheetId="6">#REF!</definedName>
    <definedName name="_GBS29" localSheetId="12">#REF!</definedName>
    <definedName name="_GBS29" localSheetId="19">#REF!</definedName>
    <definedName name="_GBS29">#REF!</definedName>
    <definedName name="_GRA" localSheetId="5">#REF!</definedName>
    <definedName name="_GRA" localSheetId="6">#REF!</definedName>
    <definedName name="_GRA" localSheetId="12">#REF!</definedName>
    <definedName name="_GRA" localSheetId="34">#REF!</definedName>
    <definedName name="_GRA" localSheetId="19">#REF!</definedName>
    <definedName name="_GRA" localSheetId="30">#REF!</definedName>
    <definedName name="_GRA">#REF!</definedName>
    <definedName name="_GRA_33">"$#REF!.$#REF!$#REF!"</definedName>
    <definedName name="_grp10003" localSheetId="6">#REF!</definedName>
    <definedName name="_grp10003" localSheetId="12">#REF!</definedName>
    <definedName name="_grp10003" localSheetId="34">#REF!</definedName>
    <definedName name="_grp10003" localSheetId="19">#REF!</definedName>
    <definedName name="_grp10003">#REF!</definedName>
    <definedName name="_grp3503" localSheetId="6">#REF!</definedName>
    <definedName name="_grp3503" localSheetId="12">#REF!</definedName>
    <definedName name="_grp3503" localSheetId="34">#REF!</definedName>
    <definedName name="_grp3503" localSheetId="19">#REF!</definedName>
    <definedName name="_grp3503">#REF!</definedName>
    <definedName name="_grp4003" localSheetId="6">#REF!</definedName>
    <definedName name="_grp4003" localSheetId="12">#REF!</definedName>
    <definedName name="_grp4003" localSheetId="34">#REF!</definedName>
    <definedName name="_grp4003" localSheetId="19">#REF!</definedName>
    <definedName name="_grp4003">#REF!</definedName>
    <definedName name="_grp4503" localSheetId="6">#REF!</definedName>
    <definedName name="_grp4503" localSheetId="12">#REF!</definedName>
    <definedName name="_grp4503" localSheetId="34">#REF!</definedName>
    <definedName name="_grp4503" localSheetId="19">#REF!</definedName>
    <definedName name="_grp4503">#REF!</definedName>
    <definedName name="_grp5003" localSheetId="6">#REF!</definedName>
    <definedName name="_grp5003" localSheetId="12">#REF!</definedName>
    <definedName name="_grp5003" localSheetId="34">#REF!</definedName>
    <definedName name="_grp5003" localSheetId="19">#REF!</definedName>
    <definedName name="_grp5003">#REF!</definedName>
    <definedName name="_grp6003" localSheetId="6">#REF!</definedName>
    <definedName name="_grp6003" localSheetId="12">#REF!</definedName>
    <definedName name="_grp6003" localSheetId="34">#REF!</definedName>
    <definedName name="_grp6003" localSheetId="19">#REF!</definedName>
    <definedName name="_grp6003">#REF!</definedName>
    <definedName name="_grp7003" localSheetId="6">#REF!</definedName>
    <definedName name="_grp7003" localSheetId="12">#REF!</definedName>
    <definedName name="_grp7003" localSheetId="34">#REF!</definedName>
    <definedName name="_grp7003" localSheetId="19">#REF!</definedName>
    <definedName name="_grp7003">#REF!</definedName>
    <definedName name="_grp8003" localSheetId="6">#REF!</definedName>
    <definedName name="_grp8003" localSheetId="12">#REF!</definedName>
    <definedName name="_grp8003" localSheetId="34">#REF!</definedName>
    <definedName name="_grp8003" localSheetId="19">#REF!</definedName>
    <definedName name="_grp8003">#REF!</definedName>
    <definedName name="_grp9003" localSheetId="6">#REF!</definedName>
    <definedName name="_grp9003" localSheetId="12">#REF!</definedName>
    <definedName name="_grp9003" localSheetId="34">#REF!</definedName>
    <definedName name="_grp9003" localSheetId="19">#REF!</definedName>
    <definedName name="_grp9003">#REF!</definedName>
    <definedName name="_grstn" localSheetId="6">#REF!</definedName>
    <definedName name="_grstn" localSheetId="12">#REF!</definedName>
    <definedName name="_grstn" localSheetId="34">#REF!</definedName>
    <definedName name="_grstn" localSheetId="19">#REF!</definedName>
    <definedName name="_grstn">#REF!</definedName>
    <definedName name="_gus1">#REF!</definedName>
    <definedName name="_hpm1">#REF!</definedName>
    <definedName name="_I06" localSheetId="5">#REF!</definedName>
    <definedName name="_I06" localSheetId="6">#REF!</definedName>
    <definedName name="_I06" localSheetId="12">#REF!</definedName>
    <definedName name="_I06" localSheetId="34">#REF!</definedName>
    <definedName name="_I06" localSheetId="19">#REF!</definedName>
    <definedName name="_I06" localSheetId="30">#REF!</definedName>
    <definedName name="_I06">#REF!</definedName>
    <definedName name="_I06_33">"$#REF!.$#REF!$#REF!"</definedName>
    <definedName name="_I10" localSheetId="5">#REF!</definedName>
    <definedName name="_I10" localSheetId="6">#REF!</definedName>
    <definedName name="_I10" localSheetId="12">#REF!</definedName>
    <definedName name="_I10" localSheetId="34">#REF!</definedName>
    <definedName name="_I10" localSheetId="19">#REF!</definedName>
    <definedName name="_I10" localSheetId="30">#REF!</definedName>
    <definedName name="_I10">#REF!</definedName>
    <definedName name="_I10_33">"$#REF!.$#REF!$#REF!"</definedName>
    <definedName name="_I12" localSheetId="5">#REF!</definedName>
    <definedName name="_I12" localSheetId="6">#REF!</definedName>
    <definedName name="_I12" localSheetId="12">#REF!</definedName>
    <definedName name="_I12" localSheetId="34">#REF!</definedName>
    <definedName name="_I12" localSheetId="19">#REF!</definedName>
    <definedName name="_I12" localSheetId="30">#REF!</definedName>
    <definedName name="_I12">#REF!</definedName>
    <definedName name="_I12_33">"$#REF!.$#REF!$#REF!"</definedName>
    <definedName name="_I150" localSheetId="5">#REF!</definedName>
    <definedName name="_I150" localSheetId="6">#REF!</definedName>
    <definedName name="_I150" localSheetId="12">#REF!</definedName>
    <definedName name="_I150" localSheetId="34">#REF!</definedName>
    <definedName name="_I150" localSheetId="19">#REF!</definedName>
    <definedName name="_I150" localSheetId="30">#REF!</definedName>
    <definedName name="_I150">#REF!</definedName>
    <definedName name="_I150_33">"$#REF!.$#REF!$#REF!"</definedName>
    <definedName name="_I20" localSheetId="5">#REF!</definedName>
    <definedName name="_I20" localSheetId="6">#REF!</definedName>
    <definedName name="_I20" localSheetId="12">#REF!</definedName>
    <definedName name="_I20" localSheetId="34">#REF!</definedName>
    <definedName name="_I20" localSheetId="19">#REF!</definedName>
    <definedName name="_I20" localSheetId="30">#REF!</definedName>
    <definedName name="_I20">#REF!</definedName>
    <definedName name="_I20_33">"$#REF!.$#REF!$#REF!"</definedName>
    <definedName name="_I25" localSheetId="5">#REF!</definedName>
    <definedName name="_I25" localSheetId="6">#REF!</definedName>
    <definedName name="_I25" localSheetId="12">#REF!</definedName>
    <definedName name="_I25" localSheetId="34">#REF!</definedName>
    <definedName name="_I25" localSheetId="19">#REF!</definedName>
    <definedName name="_I25" localSheetId="30">#REF!</definedName>
    <definedName name="_I25">#REF!</definedName>
    <definedName name="_I25_33">"$#REF!.$#REF!$#REF!"</definedName>
    <definedName name="_I40" localSheetId="5">#REF!</definedName>
    <definedName name="_I40" localSheetId="6">#REF!</definedName>
    <definedName name="_I40" localSheetId="12">#REF!</definedName>
    <definedName name="_I40" localSheetId="34">#REF!</definedName>
    <definedName name="_I40" localSheetId="19">#REF!</definedName>
    <definedName name="_I40" localSheetId="30">#REF!</definedName>
    <definedName name="_I40">#REF!</definedName>
    <definedName name="_I40_33">"$#REF!.$#REF!$#REF!"</definedName>
    <definedName name="_i5" localSheetId="27">#REF!</definedName>
    <definedName name="_i5">#REF!</definedName>
    <definedName name="_I50" localSheetId="5">#REF!</definedName>
    <definedName name="_I50" localSheetId="6">#REF!</definedName>
    <definedName name="_I50" localSheetId="12">#REF!</definedName>
    <definedName name="_I50" localSheetId="34">#REF!</definedName>
    <definedName name="_I50" localSheetId="19">#REF!</definedName>
    <definedName name="_I50" localSheetId="30">#REF!</definedName>
    <definedName name="_I50">#REF!</definedName>
    <definedName name="_I50_33">"$#REF!.$#REF!$#REF!"</definedName>
    <definedName name="_I60" localSheetId="5">#REF!</definedName>
    <definedName name="_I60" localSheetId="6">#REF!</definedName>
    <definedName name="_I60" localSheetId="12">#REF!</definedName>
    <definedName name="_I60" localSheetId="34">#REF!</definedName>
    <definedName name="_I60" localSheetId="19">#REF!</definedName>
    <definedName name="_I60" localSheetId="30">#REF!</definedName>
    <definedName name="_I60">#REF!</definedName>
    <definedName name="_I60_33">"$#REF!.$#REF!$#REF!"</definedName>
    <definedName name="_I65" localSheetId="5">#REF!</definedName>
    <definedName name="_I65" localSheetId="6">#REF!</definedName>
    <definedName name="_I65" localSheetId="12">#REF!</definedName>
    <definedName name="_I65" localSheetId="34">#REF!</definedName>
    <definedName name="_I65" localSheetId="19">#REF!</definedName>
    <definedName name="_I65" localSheetId="30">#REF!</definedName>
    <definedName name="_I65">#REF!</definedName>
    <definedName name="_I65_33">"$#REF!.$#REF!$#REF!"</definedName>
    <definedName name="_I75" localSheetId="5">#REF!</definedName>
    <definedName name="_I75" localSheetId="6">#REF!</definedName>
    <definedName name="_I75" localSheetId="12">#REF!</definedName>
    <definedName name="_I75" localSheetId="34">#REF!</definedName>
    <definedName name="_I75" localSheetId="19">#REF!</definedName>
    <definedName name="_I75" localSheetId="30">#REF!</definedName>
    <definedName name="_I75">#REF!</definedName>
    <definedName name="_I75_33">"$#REF!.$#REF!$#REF!"</definedName>
    <definedName name="_k1" localSheetId="6">#REF!</definedName>
    <definedName name="_k1" localSheetId="12">#REF!</definedName>
    <definedName name="_k1" localSheetId="19">#REF!</definedName>
    <definedName name="_k1">#REF!</definedName>
    <definedName name="_Key1" hidden="1">#REF!</definedName>
    <definedName name="_knr2" localSheetId="5">#REF!</definedName>
    <definedName name="_knr2" localSheetId="6">#REF!</definedName>
    <definedName name="_knr2" localSheetId="12">#REF!</definedName>
    <definedName name="_knr2" localSheetId="34">#REF!</definedName>
    <definedName name="_knr2" localSheetId="19">#REF!</definedName>
    <definedName name="_knr2" localSheetId="30">#REF!</definedName>
    <definedName name="_knr2">#REF!</definedName>
    <definedName name="_l1_32" localSheetId="27">#REF!</definedName>
    <definedName name="_l1_32">#REF!</definedName>
    <definedName name="_l1_33">#REF!</definedName>
    <definedName name="_l1_34">#REF!</definedName>
    <definedName name="_l1_43">#REF!</definedName>
    <definedName name="_l1_56">#REF!</definedName>
    <definedName name="_l1_59">#REF!</definedName>
    <definedName name="_l1_61">#REF!</definedName>
    <definedName name="_l12" localSheetId="5">#REF!</definedName>
    <definedName name="_l12" localSheetId="6">#REF!</definedName>
    <definedName name="_l12" localSheetId="12">#REF!</definedName>
    <definedName name="_l12" localSheetId="34">#REF!</definedName>
    <definedName name="_l12" localSheetId="19">#REF!</definedName>
    <definedName name="_l12" localSheetId="30">#REF!</definedName>
    <definedName name="_l12">#REF!</definedName>
    <definedName name="_l12_23">"$#REF!.$#REF!$#REF!"</definedName>
    <definedName name="_l12_32">"$#REF!.$#REF!$#REF!"</definedName>
    <definedName name="_l12_33">"$#REF!.$#REF!$#REF!"</definedName>
    <definedName name="_l12_34">"$#REF!.$#REF!$#REF!"</definedName>
    <definedName name="_l12_38">"$#REF!.$#REF!$#REF!"</definedName>
    <definedName name="_l12_41">"$#REF!.$#REF!$#REF!"</definedName>
    <definedName name="_l12_43">"$#REF!.$#REF!$#REF!"</definedName>
    <definedName name="_l12_48">"$#REF!.$#REF!$#REF!"</definedName>
    <definedName name="_l12_56">"$#REF!.$#REF!$#REF!"</definedName>
    <definedName name="_l12_57">"$#REF!.$#REF!$#REF!"</definedName>
    <definedName name="_l12_59">"$#REF!.$#REF!$#REF!"</definedName>
    <definedName name="_l12_60">"$#REF!.$#REF!$#REF!"</definedName>
    <definedName name="_l12_61">"$#REF!.$#REF!$#REF!"</definedName>
    <definedName name="_l12_62">"$#REF!.$#REF!$#REF!"</definedName>
    <definedName name="_l12_7">"$#REF!.$#REF!$#REF!"</definedName>
    <definedName name="_l12_72">"$#REF!.$#REF!$#REF!"</definedName>
    <definedName name="_l12_73">"$#REF!.$#REF!$#REF!"</definedName>
    <definedName name="_l12_8">"$#REF!.$#REF!$#REF!"</definedName>
    <definedName name="_l122" localSheetId="27">#REF!</definedName>
    <definedName name="_l122">#REF!</definedName>
    <definedName name="_l13" localSheetId="27">#REF!</definedName>
    <definedName name="_l13">#REF!</definedName>
    <definedName name="_l14" localSheetId="27">#REF!</definedName>
    <definedName name="_l14">#REF!</definedName>
    <definedName name="_l3" localSheetId="22">#REF!</definedName>
    <definedName name="_l3" localSheetId="5">#REF!</definedName>
    <definedName name="_l3" localSheetId="6">#REF!</definedName>
    <definedName name="_l3" localSheetId="12">#REF!</definedName>
    <definedName name="_l3" localSheetId="34">#REF!</definedName>
    <definedName name="_l3" localSheetId="19">#REF!</definedName>
    <definedName name="_l3" localSheetId="30">#REF!</definedName>
    <definedName name="_l3" localSheetId="40">#REF!</definedName>
    <definedName name="_l3" localSheetId="26">#REF!</definedName>
    <definedName name="_l3">#REF!</definedName>
    <definedName name="_l3_23">"$#REF!.$#REF!$#REF!"</definedName>
    <definedName name="_l3_32">"$#REF!.$#REF!$#REF!"</definedName>
    <definedName name="_l3_33">"$#REF!.$#REF!$#REF!"</definedName>
    <definedName name="_l3_34">"$#REF!.$#REF!$#REF!"</definedName>
    <definedName name="_l3_38">"$#REF!.$#REF!$#REF!"</definedName>
    <definedName name="_l3_41">"$#REF!.$#REF!$#REF!"</definedName>
    <definedName name="_l3_43">"$#REF!.$#REF!$#REF!"</definedName>
    <definedName name="_l3_48">"$#REF!.$#REF!$#REF!"</definedName>
    <definedName name="_l3_56">"$#REF!.$#REF!$#REF!"</definedName>
    <definedName name="_l3_57">"$#REF!.$#REF!$#REF!"</definedName>
    <definedName name="_l3_59">"$#REF!.$#REF!$#REF!"</definedName>
    <definedName name="_l3_60">"$#REF!.$#REF!$#REF!"</definedName>
    <definedName name="_l3_61">"$#REF!.$#REF!$#REF!"</definedName>
    <definedName name="_l3_62">"$#REF!.$#REF!$#REF!"</definedName>
    <definedName name="_l3_7">"$#REF!.$#REF!$#REF!"</definedName>
    <definedName name="_l3_72">"$#REF!.$#REF!$#REF!"</definedName>
    <definedName name="_l3_73">"$#REF!.$#REF!$#REF!"</definedName>
    <definedName name="_l3_8">"$#REF!.$#REF!$#REF!"</definedName>
    <definedName name="_l4_32" localSheetId="27">#REF!</definedName>
    <definedName name="_l4_32">#REF!</definedName>
    <definedName name="_l4_33" localSheetId="27">#REF!</definedName>
    <definedName name="_l4_33">#REF!</definedName>
    <definedName name="_l4_34" localSheetId="27">#REF!</definedName>
    <definedName name="_l4_34">#REF!</definedName>
    <definedName name="_l4_43">#REF!</definedName>
    <definedName name="_l4_56">#REF!</definedName>
    <definedName name="_l4_59">#REF!</definedName>
    <definedName name="_l4_61">#REF!</definedName>
    <definedName name="_l5" localSheetId="22">#REF!</definedName>
    <definedName name="_l5" localSheetId="5">#REF!</definedName>
    <definedName name="_l5" localSheetId="6">#REF!</definedName>
    <definedName name="_l5" localSheetId="12">#REF!</definedName>
    <definedName name="_l5" localSheetId="34">#REF!</definedName>
    <definedName name="_l5" localSheetId="19">#REF!</definedName>
    <definedName name="_l5" localSheetId="30">#REF!</definedName>
    <definedName name="_l5" localSheetId="40">#REF!</definedName>
    <definedName name="_l5" localSheetId="26">#REF!</definedName>
    <definedName name="_l5">#REF!</definedName>
    <definedName name="_l5_23">"$#REF!.$#REF!$#REF!"</definedName>
    <definedName name="_l5_32">"$#REF!.$#REF!$#REF!"</definedName>
    <definedName name="_l5_33">"$#REF!.$#REF!$#REF!"</definedName>
    <definedName name="_l5_34">"$#REF!.$#REF!$#REF!"</definedName>
    <definedName name="_l5_38">"$#REF!.$#REF!$#REF!"</definedName>
    <definedName name="_l5_41">"$#REF!.$#REF!$#REF!"</definedName>
    <definedName name="_l5_43">"$#REF!.$#REF!$#REF!"</definedName>
    <definedName name="_l5_48">"$#REF!.$#REF!$#REF!"</definedName>
    <definedName name="_l5_56">"$#REF!.$#REF!$#REF!"</definedName>
    <definedName name="_l5_57">"$#REF!.$#REF!$#REF!"</definedName>
    <definedName name="_l5_59">"$#REF!.$#REF!$#REF!"</definedName>
    <definedName name="_l5_60">"$#REF!.$#REF!$#REF!"</definedName>
    <definedName name="_l5_61">"$#REF!.$#REF!$#REF!"</definedName>
    <definedName name="_l5_62">"$#REF!.$#REF!$#REF!"</definedName>
    <definedName name="_l5_7">"$#REF!.$#REF!$#REF!"</definedName>
    <definedName name="_l5_72">"$#REF!.$#REF!$#REF!"</definedName>
    <definedName name="_l5_73">"$#REF!.$#REF!$#REF!"</definedName>
    <definedName name="_l5_8">"$#REF!.$#REF!$#REF!"</definedName>
    <definedName name="_lcn1" localSheetId="27">#REF!</definedName>
    <definedName name="_lcn1">#REF!</definedName>
    <definedName name="_LI9" localSheetId="6">#REF!</definedName>
    <definedName name="_LI9" localSheetId="12">#REF!</definedName>
    <definedName name="_LI9" localSheetId="19">#REF!</definedName>
    <definedName name="_LI9">#REF!</definedName>
    <definedName name="_LII9" localSheetId="6">#REF!</definedName>
    <definedName name="_LII9" localSheetId="12">#REF!</definedName>
    <definedName name="_LII9" localSheetId="19">#REF!</definedName>
    <definedName name="_LII9">#REF!</definedName>
    <definedName name="_lj600" localSheetId="19">#REF!</definedName>
    <definedName name="_lj900" localSheetId="6">#REF!</definedName>
    <definedName name="_lj900" localSheetId="12">#REF!</definedName>
    <definedName name="_lj900" localSheetId="19">#REF!</definedName>
    <definedName name="_lj900" localSheetId="30">#REF!</definedName>
    <definedName name="_lj900">#REF!</definedName>
    <definedName name="_LL3">#REF!</definedName>
    <definedName name="_lm1">#REF!</definedName>
    <definedName name="_M5" localSheetId="19">#REF!</definedName>
    <definedName name="_ma" localSheetId="6">#REF!</definedName>
    <definedName name="_ma" localSheetId="12">#REF!</definedName>
    <definedName name="_ma" localSheetId="34">#REF!</definedName>
    <definedName name="_ma" localSheetId="19">#REF!</definedName>
    <definedName name="_ma">#REF!</definedName>
    <definedName name="_ma1" localSheetId="6">#REF!</definedName>
    <definedName name="_ma1" localSheetId="12">#REF!</definedName>
    <definedName name="_ma1" localSheetId="34">#REF!</definedName>
    <definedName name="_ma1" localSheetId="19">#REF!</definedName>
    <definedName name="_ma1">#REF!</definedName>
    <definedName name="_ma2" localSheetId="6">#REF!</definedName>
    <definedName name="_ma2" localSheetId="12">#REF!</definedName>
    <definedName name="_ma2" localSheetId="34">#REF!</definedName>
    <definedName name="_ma2" localSheetId="19">#REF!</definedName>
    <definedName name="_ma2">#REF!</definedName>
    <definedName name="_melamine" localSheetId="6">#REF!</definedName>
    <definedName name="_melamine" localSheetId="12">#REF!</definedName>
    <definedName name="_melamine" localSheetId="34">#REF!</definedName>
    <definedName name="_melamine" localSheetId="19">#REF!</definedName>
    <definedName name="_melamine">#REF!</definedName>
    <definedName name="_Met22">#REF!</definedName>
    <definedName name="_Met45">#REF!</definedName>
    <definedName name="_MEt55">#REF!</definedName>
    <definedName name="_Met63">#REF!</definedName>
    <definedName name="_ML11" localSheetId="6">#REF!</definedName>
    <definedName name="_ML11" localSheetId="12">#REF!</definedName>
    <definedName name="_ML11" localSheetId="19">#REF!</definedName>
    <definedName name="_ML11">#REF!</definedName>
    <definedName name="_ML110" localSheetId="6">#REF!</definedName>
    <definedName name="_ML110" localSheetId="12">#REF!</definedName>
    <definedName name="_ML110" localSheetId="19">#REF!</definedName>
    <definedName name="_ML110">#REF!</definedName>
    <definedName name="_ML111" localSheetId="6">#REF!</definedName>
    <definedName name="_ML111" localSheetId="12">#REF!</definedName>
    <definedName name="_ML111" localSheetId="19">#REF!</definedName>
    <definedName name="_ML111">#REF!</definedName>
    <definedName name="_ML112" localSheetId="6">#REF!</definedName>
    <definedName name="_ML112" localSheetId="12">#REF!</definedName>
    <definedName name="_ML112" localSheetId="19">#REF!</definedName>
    <definedName name="_ML112">#REF!</definedName>
    <definedName name="_ML113" localSheetId="6">#REF!</definedName>
    <definedName name="_ML113" localSheetId="12">#REF!</definedName>
    <definedName name="_ML113" localSheetId="19">#REF!</definedName>
    <definedName name="_ML113">#REF!</definedName>
    <definedName name="_ML114" localSheetId="6">#REF!</definedName>
    <definedName name="_ML114" localSheetId="12">#REF!</definedName>
    <definedName name="_ML114" localSheetId="19">#REF!</definedName>
    <definedName name="_ML114">#REF!</definedName>
    <definedName name="_ML115" localSheetId="6">#REF!</definedName>
    <definedName name="_ML115" localSheetId="12">#REF!</definedName>
    <definedName name="_ML115" localSheetId="19">#REF!</definedName>
    <definedName name="_ML115">#REF!</definedName>
    <definedName name="_ML12" localSheetId="6">#REF!</definedName>
    <definedName name="_ML12" localSheetId="12">#REF!</definedName>
    <definedName name="_ML12" localSheetId="19">#REF!</definedName>
    <definedName name="_ML12">#REF!</definedName>
    <definedName name="_ML13" localSheetId="6">#REF!</definedName>
    <definedName name="_ML13" localSheetId="12">#REF!</definedName>
    <definedName name="_ML13" localSheetId="19">#REF!</definedName>
    <definedName name="_ML13">#REF!</definedName>
    <definedName name="_ML14" localSheetId="6">#REF!</definedName>
    <definedName name="_ML14" localSheetId="12">#REF!</definedName>
    <definedName name="_ML14" localSheetId="19">#REF!</definedName>
    <definedName name="_ML14">#REF!</definedName>
    <definedName name="_ML15" localSheetId="6">#REF!</definedName>
    <definedName name="_ML15" localSheetId="12">#REF!</definedName>
    <definedName name="_ML15" localSheetId="19">#REF!</definedName>
    <definedName name="_ML15">#REF!</definedName>
    <definedName name="_ML16" localSheetId="6">#REF!</definedName>
    <definedName name="_ML16" localSheetId="12">#REF!</definedName>
    <definedName name="_ML16" localSheetId="19">#REF!</definedName>
    <definedName name="_ML16">#REF!</definedName>
    <definedName name="_ML17" localSheetId="6">#REF!</definedName>
    <definedName name="_ML17" localSheetId="12">#REF!</definedName>
    <definedName name="_ML17" localSheetId="19">#REF!</definedName>
    <definedName name="_ML17">#REF!</definedName>
    <definedName name="_ML18" localSheetId="6">#REF!</definedName>
    <definedName name="_ML18" localSheetId="12">#REF!</definedName>
    <definedName name="_ML18" localSheetId="19">#REF!</definedName>
    <definedName name="_ML18">#REF!</definedName>
    <definedName name="_ML19" localSheetId="6">#REF!</definedName>
    <definedName name="_ML19" localSheetId="12">#REF!</definedName>
    <definedName name="_ML19" localSheetId="19">#REF!</definedName>
    <definedName name="_ML19">#REF!</definedName>
    <definedName name="_ML21" localSheetId="6">#REF!</definedName>
    <definedName name="_ML21" localSheetId="12">#REF!</definedName>
    <definedName name="_ML21" localSheetId="19">#REF!</definedName>
    <definedName name="_ML21">#REF!</definedName>
    <definedName name="_ML210" localSheetId="6">#REF!</definedName>
    <definedName name="_ML210" localSheetId="12">#REF!</definedName>
    <definedName name="_ML210" localSheetId="19">#REF!</definedName>
    <definedName name="_ML210">#REF!</definedName>
    <definedName name="_ML211" localSheetId="6">#REF!</definedName>
    <definedName name="_ML211" localSheetId="12">#REF!</definedName>
    <definedName name="_ML211" localSheetId="19">#REF!</definedName>
    <definedName name="_ML211">#REF!</definedName>
    <definedName name="_ML212" localSheetId="6">#REF!</definedName>
    <definedName name="_ML212" localSheetId="12">#REF!</definedName>
    <definedName name="_ML212" localSheetId="19">#REF!</definedName>
    <definedName name="_ML212">#REF!</definedName>
    <definedName name="_ML213" localSheetId="6">#REF!</definedName>
    <definedName name="_ML213" localSheetId="12">#REF!</definedName>
    <definedName name="_ML213" localSheetId="19">#REF!</definedName>
    <definedName name="_ML213">#REF!</definedName>
    <definedName name="_ML214" localSheetId="6">#REF!</definedName>
    <definedName name="_ML214" localSheetId="12">#REF!</definedName>
    <definedName name="_ML214" localSheetId="19">#REF!</definedName>
    <definedName name="_ML214">#REF!</definedName>
    <definedName name="_ML215" localSheetId="6">#REF!</definedName>
    <definedName name="_ML215" localSheetId="12">#REF!</definedName>
    <definedName name="_ML215" localSheetId="19">#REF!</definedName>
    <definedName name="_ML215">#REF!</definedName>
    <definedName name="_ML216">#REF!</definedName>
    <definedName name="_ML217">#REF!</definedName>
    <definedName name="_ML218">#REF!</definedName>
    <definedName name="_ML219">#REF!</definedName>
    <definedName name="_ML22" localSheetId="6">#REF!</definedName>
    <definedName name="_ML22" localSheetId="12">#REF!</definedName>
    <definedName name="_ML22" localSheetId="19">#REF!</definedName>
    <definedName name="_ML22">#REF!</definedName>
    <definedName name="_ML220">#REF!</definedName>
    <definedName name="_ML221">#REF!</definedName>
    <definedName name="_ML222">#REF!</definedName>
    <definedName name="_ML223">#REF!</definedName>
    <definedName name="_ML224">#REF!</definedName>
    <definedName name="_ML23" localSheetId="6">#REF!</definedName>
    <definedName name="_ML23" localSheetId="12">#REF!</definedName>
    <definedName name="_ML23" localSheetId="19">#REF!</definedName>
    <definedName name="_ML23">#REF!</definedName>
    <definedName name="_ML24" localSheetId="6">#REF!</definedName>
    <definedName name="_ML24" localSheetId="12">#REF!</definedName>
    <definedName name="_ML24" localSheetId="19">#REF!</definedName>
    <definedName name="_ML24">#REF!</definedName>
    <definedName name="_ML25" localSheetId="6">#REF!</definedName>
    <definedName name="_ML25" localSheetId="12">#REF!</definedName>
    <definedName name="_ML25" localSheetId="19">#REF!</definedName>
    <definedName name="_ML25">#REF!</definedName>
    <definedName name="_ML26" localSheetId="6">#REF!</definedName>
    <definedName name="_ML26" localSheetId="12">#REF!</definedName>
    <definedName name="_ML26" localSheetId="19">#REF!</definedName>
    <definedName name="_ML26">#REF!</definedName>
    <definedName name="_ML27" localSheetId="6">#REF!</definedName>
    <definedName name="_ML27" localSheetId="12">#REF!</definedName>
    <definedName name="_ML27" localSheetId="19">#REF!</definedName>
    <definedName name="_ML27">#REF!</definedName>
    <definedName name="_ML28" localSheetId="6">#REF!</definedName>
    <definedName name="_ML28" localSheetId="12">#REF!</definedName>
    <definedName name="_ML28" localSheetId="19">#REF!</definedName>
    <definedName name="_ML28">#REF!</definedName>
    <definedName name="_ML29" localSheetId="6">#REF!</definedName>
    <definedName name="_ML29" localSheetId="12">#REF!</definedName>
    <definedName name="_ML29" localSheetId="19">#REF!</definedName>
    <definedName name="_ML29">#REF!</definedName>
    <definedName name="_ML31" localSheetId="6">#REF!</definedName>
    <definedName name="_ML31" localSheetId="12">#REF!</definedName>
    <definedName name="_ML31" localSheetId="19">#REF!</definedName>
    <definedName name="_ML31">#REF!</definedName>
    <definedName name="_ML310" localSheetId="6">#REF!</definedName>
    <definedName name="_ML310" localSheetId="12">#REF!</definedName>
    <definedName name="_ML310" localSheetId="19">#REF!</definedName>
    <definedName name="_ML310">#REF!</definedName>
    <definedName name="_ML311" localSheetId="6">#REF!</definedName>
    <definedName name="_ML311" localSheetId="12">#REF!</definedName>
    <definedName name="_ML311" localSheetId="19">#REF!</definedName>
    <definedName name="_ML311">#REF!</definedName>
    <definedName name="_ML312" localSheetId="6">#REF!</definedName>
    <definedName name="_ML312" localSheetId="12">#REF!</definedName>
    <definedName name="_ML312" localSheetId="19">#REF!</definedName>
    <definedName name="_ML312">#REF!</definedName>
    <definedName name="_ML313" localSheetId="6">#REF!</definedName>
    <definedName name="_ML313" localSheetId="12">#REF!</definedName>
    <definedName name="_ML313" localSheetId="19">#REF!</definedName>
    <definedName name="_ML313">#REF!</definedName>
    <definedName name="_ML314" localSheetId="6">#REF!</definedName>
    <definedName name="_ML314" localSheetId="12">#REF!</definedName>
    <definedName name="_ML314" localSheetId="19">#REF!</definedName>
    <definedName name="_ML314">#REF!</definedName>
    <definedName name="_ML315" localSheetId="6">#REF!</definedName>
    <definedName name="_ML315" localSheetId="12">#REF!</definedName>
    <definedName name="_ML315" localSheetId="19">#REF!</definedName>
    <definedName name="_ML315">#REF!</definedName>
    <definedName name="_ML316">#REF!</definedName>
    <definedName name="_ML317">#REF!</definedName>
    <definedName name="_ML318">#REF!</definedName>
    <definedName name="_ML319">#REF!</definedName>
    <definedName name="_ML32" localSheetId="6">#REF!</definedName>
    <definedName name="_ML32" localSheetId="12">#REF!</definedName>
    <definedName name="_ML32" localSheetId="19">#REF!</definedName>
    <definedName name="_ML32">#REF!</definedName>
    <definedName name="_ML320">#REF!</definedName>
    <definedName name="_ML321">#REF!</definedName>
    <definedName name="_ML322">#REF!</definedName>
    <definedName name="_ML323">#REF!</definedName>
    <definedName name="_ML324">#REF!</definedName>
    <definedName name="_ML33" localSheetId="6">#REF!</definedName>
    <definedName name="_ML33" localSheetId="12">#REF!</definedName>
    <definedName name="_ML33" localSheetId="19">#REF!</definedName>
    <definedName name="_ML33">#REF!</definedName>
    <definedName name="_ML34" localSheetId="6">#REF!</definedName>
    <definedName name="_ML34" localSheetId="12">#REF!</definedName>
    <definedName name="_ML34" localSheetId="19">#REF!</definedName>
    <definedName name="_ML34">#REF!</definedName>
    <definedName name="_ML35" localSheetId="6">#REF!</definedName>
    <definedName name="_ML35" localSheetId="12">#REF!</definedName>
    <definedName name="_ML35" localSheetId="19">#REF!</definedName>
    <definedName name="_ML35">#REF!</definedName>
    <definedName name="_ML36" localSheetId="6">#REF!</definedName>
    <definedName name="_ML36" localSheetId="12">#REF!</definedName>
    <definedName name="_ML36" localSheetId="19">#REF!</definedName>
    <definedName name="_ML36">#REF!</definedName>
    <definedName name="_ML37" localSheetId="6">#REF!</definedName>
    <definedName name="_ML37" localSheetId="12">#REF!</definedName>
    <definedName name="_ML37" localSheetId="19">#REF!</definedName>
    <definedName name="_ML37">#REF!</definedName>
    <definedName name="_ML38" localSheetId="6">#REF!</definedName>
    <definedName name="_ML38" localSheetId="12">#REF!</definedName>
    <definedName name="_ML38" localSheetId="19">#REF!</definedName>
    <definedName name="_ML38">#REF!</definedName>
    <definedName name="_ML39" localSheetId="6">#REF!</definedName>
    <definedName name="_ML39" localSheetId="12">#REF!</definedName>
    <definedName name="_ML39" localSheetId="19">#REF!</definedName>
    <definedName name="_ML39">#REF!</definedName>
    <definedName name="_ML7" localSheetId="6">#REF!</definedName>
    <definedName name="_ML7" localSheetId="12">#REF!</definedName>
    <definedName name="_ML7" localSheetId="19">#REF!</definedName>
    <definedName name="_ML7">#REF!</definedName>
    <definedName name="_ML8" localSheetId="6">#REF!</definedName>
    <definedName name="_ML8" localSheetId="12">#REF!</definedName>
    <definedName name="_ML8" localSheetId="19">#REF!</definedName>
    <definedName name="_ML8">#REF!</definedName>
    <definedName name="_ML9" localSheetId="6">#REF!</definedName>
    <definedName name="_ML9" localSheetId="12">#REF!</definedName>
    <definedName name="_ML9" localSheetId="19">#REF!</definedName>
    <definedName name="_ML9">#REF!</definedName>
    <definedName name="_mm" localSheetId="6">#REF!</definedName>
    <definedName name="_mm" localSheetId="12">#REF!</definedName>
    <definedName name="_mm" localSheetId="34">#REF!</definedName>
    <definedName name="_mm" localSheetId="19">#REF!</definedName>
    <definedName name="_mm">#REF!</definedName>
    <definedName name="_mm1_32" localSheetId="27">#REF!</definedName>
    <definedName name="_mm1_32">#REF!</definedName>
    <definedName name="_mm1_33">#REF!</definedName>
    <definedName name="_mm1_34">#REF!</definedName>
    <definedName name="_mm1_43">#REF!</definedName>
    <definedName name="_mm1_56">#REF!</definedName>
    <definedName name="_mm1_59">#REF!</definedName>
    <definedName name="_mm1_61">#REF!</definedName>
    <definedName name="_mm1000">#REF!</definedName>
    <definedName name="_mm20" localSheetId="5">#REF!</definedName>
    <definedName name="_mm20" localSheetId="6">#REF!</definedName>
    <definedName name="_mm20" localSheetId="12">#REF!</definedName>
    <definedName name="_mm20" localSheetId="19">#REF!</definedName>
    <definedName name="_mm20" localSheetId="30">#REF!</definedName>
    <definedName name="_mm20">#REF!</definedName>
    <definedName name="_mm40" localSheetId="5">#REF!</definedName>
    <definedName name="_mm40" localSheetId="6">#REF!</definedName>
    <definedName name="_mm40" localSheetId="12">#REF!</definedName>
    <definedName name="_mm40" localSheetId="19">#REF!</definedName>
    <definedName name="_mm40" localSheetId="30">#REF!</definedName>
    <definedName name="_mm40">#REF!</definedName>
    <definedName name="_mm600">#REF!</definedName>
    <definedName name="_mm800">#REF!</definedName>
    <definedName name="_MT1" localSheetId="6">#REF!</definedName>
    <definedName name="_MT1" localSheetId="12">#REF!</definedName>
    <definedName name="_MT1" localSheetId="19">#REF!</definedName>
    <definedName name="_MT1">#REF!</definedName>
    <definedName name="_MT10" localSheetId="6">#REF!</definedName>
    <definedName name="_MT10" localSheetId="12">#REF!</definedName>
    <definedName name="_MT10" localSheetId="19">#REF!</definedName>
    <definedName name="_MT10">#REF!</definedName>
    <definedName name="_MT100" localSheetId="6">#REF!</definedName>
    <definedName name="_MT100" localSheetId="12">#REF!</definedName>
    <definedName name="_MT100" localSheetId="19">#REF!</definedName>
    <definedName name="_MT100">#REF!</definedName>
    <definedName name="_MT101" localSheetId="6">#REF!</definedName>
    <definedName name="_MT101" localSheetId="12">#REF!</definedName>
    <definedName name="_MT101" localSheetId="19">#REF!</definedName>
    <definedName name="_MT101">#REF!</definedName>
    <definedName name="_MT102" localSheetId="6">#REF!</definedName>
    <definedName name="_MT102" localSheetId="12">#REF!</definedName>
    <definedName name="_MT102" localSheetId="19">#REF!</definedName>
    <definedName name="_MT102">#REF!</definedName>
    <definedName name="_MT103" localSheetId="6">#REF!</definedName>
    <definedName name="_MT103" localSheetId="12">#REF!</definedName>
    <definedName name="_MT103" localSheetId="19">#REF!</definedName>
    <definedName name="_MT103">#REF!</definedName>
    <definedName name="_MT104" localSheetId="6">#REF!</definedName>
    <definedName name="_MT104" localSheetId="12">#REF!</definedName>
    <definedName name="_MT104" localSheetId="19">#REF!</definedName>
    <definedName name="_MT104">#REF!</definedName>
    <definedName name="_MT105" localSheetId="6">#REF!</definedName>
    <definedName name="_MT105" localSheetId="12">#REF!</definedName>
    <definedName name="_MT105" localSheetId="19">#REF!</definedName>
    <definedName name="_MT105">#REF!</definedName>
    <definedName name="_MT106" localSheetId="6">#REF!</definedName>
    <definedName name="_MT106" localSheetId="12">#REF!</definedName>
    <definedName name="_MT106" localSheetId="19">#REF!</definedName>
    <definedName name="_MT106">#REF!</definedName>
    <definedName name="_MT107" localSheetId="6">#REF!</definedName>
    <definedName name="_MT107" localSheetId="12">#REF!</definedName>
    <definedName name="_MT107" localSheetId="19">#REF!</definedName>
    <definedName name="_MT107">#REF!</definedName>
    <definedName name="_MT108" localSheetId="6">#REF!</definedName>
    <definedName name="_MT108" localSheetId="12">#REF!</definedName>
    <definedName name="_MT108" localSheetId="19">#REF!</definedName>
    <definedName name="_MT108">#REF!</definedName>
    <definedName name="_MT109" localSheetId="6">#REF!</definedName>
    <definedName name="_MT109" localSheetId="12">#REF!</definedName>
    <definedName name="_MT109" localSheetId="19">#REF!</definedName>
    <definedName name="_MT109">#REF!</definedName>
    <definedName name="_MT11" localSheetId="6">#REF!</definedName>
    <definedName name="_MT11" localSheetId="12">#REF!</definedName>
    <definedName name="_MT11" localSheetId="19">#REF!</definedName>
    <definedName name="_MT11">#REF!</definedName>
    <definedName name="_MT110" localSheetId="6">#REF!</definedName>
    <definedName name="_MT110" localSheetId="12">#REF!</definedName>
    <definedName name="_MT110" localSheetId="19">#REF!</definedName>
    <definedName name="_MT110">#REF!</definedName>
    <definedName name="_MT111" localSheetId="6">#REF!</definedName>
    <definedName name="_MT111" localSheetId="12">#REF!</definedName>
    <definedName name="_MT111" localSheetId="19">#REF!</definedName>
    <definedName name="_MT111">#REF!</definedName>
    <definedName name="_MT112" localSheetId="6">#REF!</definedName>
    <definedName name="_MT112" localSheetId="12">#REF!</definedName>
    <definedName name="_MT112" localSheetId="19">#REF!</definedName>
    <definedName name="_MT112">#REF!</definedName>
    <definedName name="_MT113" localSheetId="6">#REF!</definedName>
    <definedName name="_MT113" localSheetId="12">#REF!</definedName>
    <definedName name="_MT113" localSheetId="19">#REF!</definedName>
    <definedName name="_MT113">#REF!</definedName>
    <definedName name="_MT114" localSheetId="6">#REF!</definedName>
    <definedName name="_MT114" localSheetId="12">#REF!</definedName>
    <definedName name="_MT114" localSheetId="19">#REF!</definedName>
    <definedName name="_MT114">#REF!</definedName>
    <definedName name="_MT115" localSheetId="6">#REF!</definedName>
    <definedName name="_MT115" localSheetId="12">#REF!</definedName>
    <definedName name="_MT115" localSheetId="19">#REF!</definedName>
    <definedName name="_MT115">#REF!</definedName>
    <definedName name="_MT116" localSheetId="6">#REF!</definedName>
    <definedName name="_MT116" localSheetId="12">#REF!</definedName>
    <definedName name="_MT116" localSheetId="19">#REF!</definedName>
    <definedName name="_MT116">#REF!</definedName>
    <definedName name="_MT117" localSheetId="6">#REF!</definedName>
    <definedName name="_MT117" localSheetId="12">#REF!</definedName>
    <definedName name="_MT117" localSheetId="19">#REF!</definedName>
    <definedName name="_MT117">#REF!</definedName>
    <definedName name="_MT118" localSheetId="6">#REF!</definedName>
    <definedName name="_MT118" localSheetId="12">#REF!</definedName>
    <definedName name="_MT118" localSheetId="19">#REF!</definedName>
    <definedName name="_MT118">#REF!</definedName>
    <definedName name="_MT119" localSheetId="6">#REF!</definedName>
    <definedName name="_MT119" localSheetId="12">#REF!</definedName>
    <definedName name="_MT119" localSheetId="19">#REF!</definedName>
    <definedName name="_MT119">#REF!</definedName>
    <definedName name="_MT12" localSheetId="6">#REF!</definedName>
    <definedName name="_MT12" localSheetId="12">#REF!</definedName>
    <definedName name="_MT12" localSheetId="19">#REF!</definedName>
    <definedName name="_MT12">#REF!</definedName>
    <definedName name="_MT120" localSheetId="6">#REF!</definedName>
    <definedName name="_MT120" localSheetId="12">#REF!</definedName>
    <definedName name="_MT120" localSheetId="19">#REF!</definedName>
    <definedName name="_MT120">#REF!</definedName>
    <definedName name="_MT121" localSheetId="6">#REF!</definedName>
    <definedName name="_MT121" localSheetId="12">#REF!</definedName>
    <definedName name="_MT121" localSheetId="19">#REF!</definedName>
    <definedName name="_MT121">#REF!</definedName>
    <definedName name="_MT122" localSheetId="6">#REF!</definedName>
    <definedName name="_MT122" localSheetId="12">#REF!</definedName>
    <definedName name="_MT122" localSheetId="19">#REF!</definedName>
    <definedName name="_MT122">#REF!</definedName>
    <definedName name="_MT123" localSheetId="6">#REF!</definedName>
    <definedName name="_MT123" localSheetId="12">#REF!</definedName>
    <definedName name="_MT123" localSheetId="19">#REF!</definedName>
    <definedName name="_MT123">#REF!</definedName>
    <definedName name="_MT124" localSheetId="6">#REF!</definedName>
    <definedName name="_MT124" localSheetId="12">#REF!</definedName>
    <definedName name="_MT124" localSheetId="19">#REF!</definedName>
    <definedName name="_MT124">#REF!</definedName>
    <definedName name="_MT125" localSheetId="6">#REF!</definedName>
    <definedName name="_MT125" localSheetId="12">#REF!</definedName>
    <definedName name="_MT125" localSheetId="19">#REF!</definedName>
    <definedName name="_MT125">#REF!</definedName>
    <definedName name="_MT126" localSheetId="6">#REF!</definedName>
    <definedName name="_MT126" localSheetId="12">#REF!</definedName>
    <definedName name="_MT126" localSheetId="19">#REF!</definedName>
    <definedName name="_MT126">#REF!</definedName>
    <definedName name="_MT127" localSheetId="6">#REF!</definedName>
    <definedName name="_MT127" localSheetId="12">#REF!</definedName>
    <definedName name="_MT127" localSheetId="19">#REF!</definedName>
    <definedName name="_MT127">#REF!</definedName>
    <definedName name="_MT128" localSheetId="6">#REF!</definedName>
    <definedName name="_MT128" localSheetId="12">#REF!</definedName>
    <definedName name="_MT128" localSheetId="19">#REF!</definedName>
    <definedName name="_MT128">#REF!</definedName>
    <definedName name="_MT129" localSheetId="6">#REF!</definedName>
    <definedName name="_MT129" localSheetId="12">#REF!</definedName>
    <definedName name="_MT129" localSheetId="19">#REF!</definedName>
    <definedName name="_MT129">#REF!</definedName>
    <definedName name="_MT13" localSheetId="6">#REF!</definedName>
    <definedName name="_MT13" localSheetId="12">#REF!</definedName>
    <definedName name="_MT13" localSheetId="19">#REF!</definedName>
    <definedName name="_MT13">#REF!</definedName>
    <definedName name="_MT130" localSheetId="6">#REF!</definedName>
    <definedName name="_MT130" localSheetId="12">#REF!</definedName>
    <definedName name="_MT130" localSheetId="19">#REF!</definedName>
    <definedName name="_MT130">#REF!</definedName>
    <definedName name="_MT131" localSheetId="6">#REF!</definedName>
    <definedName name="_MT131" localSheetId="12">#REF!</definedName>
    <definedName name="_MT131" localSheetId="19">#REF!</definedName>
    <definedName name="_MT131">#REF!</definedName>
    <definedName name="_MT132" localSheetId="6">#REF!</definedName>
    <definedName name="_MT132" localSheetId="12">#REF!</definedName>
    <definedName name="_MT132" localSheetId="19">#REF!</definedName>
    <definedName name="_MT132">#REF!</definedName>
    <definedName name="_MT133" localSheetId="6">#REF!</definedName>
    <definedName name="_MT133" localSheetId="12">#REF!</definedName>
    <definedName name="_MT133" localSheetId="19">#REF!</definedName>
    <definedName name="_MT133">#REF!</definedName>
    <definedName name="_MT134" localSheetId="6">#REF!</definedName>
    <definedName name="_MT134" localSheetId="12">#REF!</definedName>
    <definedName name="_MT134" localSheetId="19">#REF!</definedName>
    <definedName name="_MT134">#REF!</definedName>
    <definedName name="_MT135" localSheetId="6">#REF!</definedName>
    <definedName name="_MT135" localSheetId="12">#REF!</definedName>
    <definedName name="_MT135" localSheetId="19">#REF!</definedName>
    <definedName name="_MT135">#REF!</definedName>
    <definedName name="_MT136" localSheetId="6">#REF!</definedName>
    <definedName name="_MT136" localSheetId="12">#REF!</definedName>
    <definedName name="_MT136" localSheetId="19">#REF!</definedName>
    <definedName name="_MT136">#REF!</definedName>
    <definedName name="_MT137" localSheetId="6">#REF!</definedName>
    <definedName name="_MT137" localSheetId="12">#REF!</definedName>
    <definedName name="_MT137" localSheetId="19">#REF!</definedName>
    <definedName name="_MT137">#REF!</definedName>
    <definedName name="_MT138" localSheetId="6">#REF!</definedName>
    <definedName name="_MT138" localSheetId="12">#REF!</definedName>
    <definedName name="_MT138" localSheetId="19">#REF!</definedName>
    <definedName name="_MT138">#REF!</definedName>
    <definedName name="_MT139" localSheetId="6">#REF!</definedName>
    <definedName name="_MT139" localSheetId="12">#REF!</definedName>
    <definedName name="_MT139" localSheetId="19">#REF!</definedName>
    <definedName name="_MT139">#REF!</definedName>
    <definedName name="_MT14" localSheetId="6">#REF!</definedName>
    <definedName name="_MT14" localSheetId="12">#REF!</definedName>
    <definedName name="_MT14" localSheetId="19">#REF!</definedName>
    <definedName name="_MT14">#REF!</definedName>
    <definedName name="_MT140" localSheetId="6">#REF!</definedName>
    <definedName name="_MT140" localSheetId="12">#REF!</definedName>
    <definedName name="_MT140" localSheetId="19">#REF!</definedName>
    <definedName name="_MT140">#REF!</definedName>
    <definedName name="_MT141" localSheetId="6">#REF!</definedName>
    <definedName name="_MT141" localSheetId="12">#REF!</definedName>
    <definedName name="_MT141" localSheetId="19">#REF!</definedName>
    <definedName name="_MT141">#REF!</definedName>
    <definedName name="_MT142" localSheetId="6">#REF!</definedName>
    <definedName name="_MT142" localSheetId="12">#REF!</definedName>
    <definedName name="_MT142" localSheetId="19">#REF!</definedName>
    <definedName name="_MT142">#REF!</definedName>
    <definedName name="_MT143" localSheetId="6">#REF!</definedName>
    <definedName name="_MT143" localSheetId="12">#REF!</definedName>
    <definedName name="_MT143" localSheetId="19">#REF!</definedName>
    <definedName name="_MT143">#REF!</definedName>
    <definedName name="_MT144" localSheetId="6">#REF!</definedName>
    <definedName name="_MT144" localSheetId="12">#REF!</definedName>
    <definedName name="_MT144" localSheetId="19">#REF!</definedName>
    <definedName name="_MT144">#REF!</definedName>
    <definedName name="_MT145" localSheetId="6">#REF!</definedName>
    <definedName name="_MT145" localSheetId="12">#REF!</definedName>
    <definedName name="_MT145" localSheetId="19">#REF!</definedName>
    <definedName name="_MT145">#REF!</definedName>
    <definedName name="_MT146" localSheetId="6">#REF!</definedName>
    <definedName name="_MT146" localSheetId="12">#REF!</definedName>
    <definedName name="_MT146" localSheetId="19">#REF!</definedName>
    <definedName name="_MT146">#REF!</definedName>
    <definedName name="_MT147" localSheetId="6">#REF!</definedName>
    <definedName name="_MT147" localSheetId="12">#REF!</definedName>
    <definedName name="_MT147" localSheetId="19">#REF!</definedName>
    <definedName name="_MT147">#REF!</definedName>
    <definedName name="_MT148" localSheetId="6">#REF!</definedName>
    <definedName name="_MT148" localSheetId="12">#REF!</definedName>
    <definedName name="_MT148" localSheetId="19">#REF!</definedName>
    <definedName name="_MT148">#REF!</definedName>
    <definedName name="_MT149" localSheetId="6">#REF!</definedName>
    <definedName name="_MT149" localSheetId="12">#REF!</definedName>
    <definedName name="_MT149" localSheetId="19">#REF!</definedName>
    <definedName name="_MT149">#REF!</definedName>
    <definedName name="_MT15" localSheetId="6">#REF!</definedName>
    <definedName name="_MT15" localSheetId="12">#REF!</definedName>
    <definedName name="_MT15" localSheetId="19">#REF!</definedName>
    <definedName name="_MT15">#REF!</definedName>
    <definedName name="_MT150" localSheetId="6">#REF!</definedName>
    <definedName name="_MT150" localSheetId="12">#REF!</definedName>
    <definedName name="_MT150" localSheetId="19">#REF!</definedName>
    <definedName name="_MT150">#REF!</definedName>
    <definedName name="_MT16" localSheetId="6">#REF!</definedName>
    <definedName name="_MT16" localSheetId="12">#REF!</definedName>
    <definedName name="_MT16" localSheetId="19">#REF!</definedName>
    <definedName name="_MT16">#REF!</definedName>
    <definedName name="_MT17" localSheetId="6">#REF!</definedName>
    <definedName name="_MT17" localSheetId="12">#REF!</definedName>
    <definedName name="_MT17" localSheetId="19">#REF!</definedName>
    <definedName name="_MT17">#REF!</definedName>
    <definedName name="_MT18" localSheetId="6">#REF!</definedName>
    <definedName name="_MT18" localSheetId="12">#REF!</definedName>
    <definedName name="_MT18" localSheetId="19">#REF!</definedName>
    <definedName name="_MT18">#REF!</definedName>
    <definedName name="_MT19" localSheetId="6">#REF!</definedName>
    <definedName name="_MT19" localSheetId="12">#REF!</definedName>
    <definedName name="_MT19" localSheetId="19">#REF!</definedName>
    <definedName name="_MT19">#REF!</definedName>
    <definedName name="_MT2" localSheetId="6">#REF!</definedName>
    <definedName name="_MT2" localSheetId="12">#REF!</definedName>
    <definedName name="_MT2" localSheetId="19">#REF!</definedName>
    <definedName name="_MT2">#REF!</definedName>
    <definedName name="_MT20" localSheetId="6">#REF!</definedName>
    <definedName name="_MT20" localSheetId="12">#REF!</definedName>
    <definedName name="_MT20" localSheetId="19">#REF!</definedName>
    <definedName name="_MT20">#REF!</definedName>
    <definedName name="_MT21" localSheetId="6">#REF!</definedName>
    <definedName name="_MT21" localSheetId="12">#REF!</definedName>
    <definedName name="_MT21" localSheetId="19">#REF!</definedName>
    <definedName name="_MT21">#REF!</definedName>
    <definedName name="_MT22" localSheetId="6">#REF!</definedName>
    <definedName name="_MT22" localSheetId="12">#REF!</definedName>
    <definedName name="_MT22" localSheetId="19">#REF!</definedName>
    <definedName name="_MT22">#REF!</definedName>
    <definedName name="_MT23" localSheetId="6">#REF!</definedName>
    <definedName name="_MT23" localSheetId="12">#REF!</definedName>
    <definedName name="_MT23" localSheetId="19">#REF!</definedName>
    <definedName name="_MT23">#REF!</definedName>
    <definedName name="_MT24" localSheetId="6">#REF!</definedName>
    <definedName name="_MT24" localSheetId="12">#REF!</definedName>
    <definedName name="_MT24" localSheetId="19">#REF!</definedName>
    <definedName name="_MT24">#REF!</definedName>
    <definedName name="_MT25" localSheetId="6">#REF!</definedName>
    <definedName name="_MT25" localSheetId="12">#REF!</definedName>
    <definedName name="_MT25" localSheetId="19">#REF!</definedName>
    <definedName name="_MT25">#REF!</definedName>
    <definedName name="_MT26" localSheetId="6">#REF!</definedName>
    <definedName name="_MT26" localSheetId="12">#REF!</definedName>
    <definedName name="_MT26" localSheetId="19">#REF!</definedName>
    <definedName name="_MT26">#REF!</definedName>
    <definedName name="_MT27" localSheetId="6">#REF!</definedName>
    <definedName name="_MT27" localSheetId="12">#REF!</definedName>
    <definedName name="_MT27" localSheetId="19">#REF!</definedName>
    <definedName name="_MT27">#REF!</definedName>
    <definedName name="_MT28" localSheetId="6">#REF!</definedName>
    <definedName name="_MT28" localSheetId="12">#REF!</definedName>
    <definedName name="_MT28" localSheetId="19">#REF!</definedName>
    <definedName name="_MT28">#REF!</definedName>
    <definedName name="_MT29" localSheetId="6">#REF!</definedName>
    <definedName name="_MT29" localSheetId="12">#REF!</definedName>
    <definedName name="_MT29" localSheetId="19">#REF!</definedName>
    <definedName name="_MT29">#REF!</definedName>
    <definedName name="_MT3" localSheetId="6">#REF!</definedName>
    <definedName name="_MT3" localSheetId="12">#REF!</definedName>
    <definedName name="_MT3" localSheetId="19">#REF!</definedName>
    <definedName name="_MT3">#REF!</definedName>
    <definedName name="_MT30" localSheetId="6">#REF!</definedName>
    <definedName name="_MT30" localSheetId="12">#REF!</definedName>
    <definedName name="_MT30" localSheetId="19">#REF!</definedName>
    <definedName name="_MT30">#REF!</definedName>
    <definedName name="_MT31" localSheetId="6">#REF!</definedName>
    <definedName name="_MT31" localSheetId="12">#REF!</definedName>
    <definedName name="_MT31" localSheetId="19">#REF!</definedName>
    <definedName name="_MT31">#REF!</definedName>
    <definedName name="_MT32" localSheetId="6">#REF!</definedName>
    <definedName name="_MT32" localSheetId="12">#REF!</definedName>
    <definedName name="_MT32" localSheetId="19">#REF!</definedName>
    <definedName name="_MT32">#REF!</definedName>
    <definedName name="_MT33" localSheetId="6">#REF!</definedName>
    <definedName name="_MT33" localSheetId="12">#REF!</definedName>
    <definedName name="_MT33" localSheetId="19">#REF!</definedName>
    <definedName name="_MT33">#REF!</definedName>
    <definedName name="_MT34" localSheetId="6">#REF!</definedName>
    <definedName name="_MT34" localSheetId="12">#REF!</definedName>
    <definedName name="_MT34" localSheetId="19">#REF!</definedName>
    <definedName name="_MT34">#REF!</definedName>
    <definedName name="_MT35" localSheetId="6">#REF!</definedName>
    <definedName name="_MT35" localSheetId="12">#REF!</definedName>
    <definedName name="_MT35" localSheetId="19">#REF!</definedName>
    <definedName name="_MT35">#REF!</definedName>
    <definedName name="_MT36" localSheetId="6">#REF!</definedName>
    <definedName name="_MT36" localSheetId="12">#REF!</definedName>
    <definedName name="_MT36" localSheetId="19">#REF!</definedName>
    <definedName name="_MT36">#REF!</definedName>
    <definedName name="_MT37" localSheetId="6">#REF!</definedName>
    <definedName name="_MT37" localSheetId="12">#REF!</definedName>
    <definedName name="_MT37" localSheetId="19">#REF!</definedName>
    <definedName name="_MT37">#REF!</definedName>
    <definedName name="_MT38" localSheetId="6">#REF!</definedName>
    <definedName name="_MT38" localSheetId="12">#REF!</definedName>
    <definedName name="_MT38" localSheetId="19">#REF!</definedName>
    <definedName name="_MT38">#REF!</definedName>
    <definedName name="_MT39" localSheetId="6">#REF!</definedName>
    <definedName name="_MT39" localSheetId="12">#REF!</definedName>
    <definedName name="_MT39" localSheetId="19">#REF!</definedName>
    <definedName name="_MT39">#REF!</definedName>
    <definedName name="_MT4" localSheetId="6">#REF!</definedName>
    <definedName name="_MT4" localSheetId="12">#REF!</definedName>
    <definedName name="_MT4" localSheetId="19">#REF!</definedName>
    <definedName name="_MT4">#REF!</definedName>
    <definedName name="_MT40" localSheetId="6">#REF!</definedName>
    <definedName name="_MT40" localSheetId="12">#REF!</definedName>
    <definedName name="_MT40" localSheetId="19">#REF!</definedName>
    <definedName name="_MT40">#REF!</definedName>
    <definedName name="_MT41" localSheetId="6">#REF!</definedName>
    <definedName name="_MT41" localSheetId="12">#REF!</definedName>
    <definedName name="_MT41" localSheetId="19">#REF!</definedName>
    <definedName name="_MT41">#REF!</definedName>
    <definedName name="_MT42" localSheetId="6">#REF!</definedName>
    <definedName name="_MT42" localSheetId="12">#REF!</definedName>
    <definedName name="_MT42" localSheetId="19">#REF!</definedName>
    <definedName name="_MT42">#REF!</definedName>
    <definedName name="_MT43" localSheetId="6">#REF!</definedName>
    <definedName name="_MT43" localSheetId="12">#REF!</definedName>
    <definedName name="_MT43" localSheetId="19">#REF!</definedName>
    <definedName name="_MT43">#REF!</definedName>
    <definedName name="_MT44" localSheetId="6">#REF!</definedName>
    <definedName name="_MT44" localSheetId="12">#REF!</definedName>
    <definedName name="_MT44" localSheetId="19">#REF!</definedName>
    <definedName name="_MT44">#REF!</definedName>
    <definedName name="_MT45" localSheetId="6">#REF!</definedName>
    <definedName name="_MT45" localSheetId="12">#REF!</definedName>
    <definedName name="_MT45" localSheetId="19">#REF!</definedName>
    <definedName name="_MT45">#REF!</definedName>
    <definedName name="_MT46" localSheetId="6">#REF!</definedName>
    <definedName name="_MT46" localSheetId="12">#REF!</definedName>
    <definedName name="_MT46" localSheetId="19">#REF!</definedName>
    <definedName name="_MT46">#REF!</definedName>
    <definedName name="_MT47" localSheetId="6">#REF!</definedName>
    <definedName name="_MT47" localSheetId="12">#REF!</definedName>
    <definedName name="_MT47" localSheetId="19">#REF!</definedName>
    <definedName name="_MT47">#REF!</definedName>
    <definedName name="_MT48" localSheetId="6">#REF!</definedName>
    <definedName name="_MT48" localSheetId="12">#REF!</definedName>
    <definedName name="_MT48" localSheetId="19">#REF!</definedName>
    <definedName name="_MT48">#REF!</definedName>
    <definedName name="_MT49" localSheetId="6">#REF!</definedName>
    <definedName name="_MT49" localSheetId="12">#REF!</definedName>
    <definedName name="_MT49" localSheetId="19">#REF!</definedName>
    <definedName name="_MT49">#REF!</definedName>
    <definedName name="_MT5" localSheetId="6">#REF!</definedName>
    <definedName name="_MT5" localSheetId="12">#REF!</definedName>
    <definedName name="_MT5" localSheetId="19">#REF!</definedName>
    <definedName name="_MT5">#REF!</definedName>
    <definedName name="_MT50" localSheetId="6">#REF!</definedName>
    <definedName name="_MT50" localSheetId="12">#REF!</definedName>
    <definedName name="_MT50" localSheetId="19">#REF!</definedName>
    <definedName name="_MT50">#REF!</definedName>
    <definedName name="_MT500" localSheetId="6">#REF!</definedName>
    <definedName name="_MT500" localSheetId="12">#REF!</definedName>
    <definedName name="_MT500" localSheetId="19">#REF!</definedName>
    <definedName name="_MT500">#REF!</definedName>
    <definedName name="_MT51" localSheetId="6">#REF!</definedName>
    <definedName name="_MT51" localSheetId="12">#REF!</definedName>
    <definedName name="_MT51" localSheetId="19">#REF!</definedName>
    <definedName name="_MT51">#REF!</definedName>
    <definedName name="_MT52" localSheetId="6">#REF!</definedName>
    <definedName name="_MT52" localSheetId="12">#REF!</definedName>
    <definedName name="_MT52" localSheetId="19">#REF!</definedName>
    <definedName name="_MT52">#REF!</definedName>
    <definedName name="_MT53" localSheetId="6">#REF!</definedName>
    <definedName name="_MT53" localSheetId="12">#REF!</definedName>
    <definedName name="_MT53" localSheetId="19">#REF!</definedName>
    <definedName name="_MT53">#REF!</definedName>
    <definedName name="_MT54" localSheetId="6">#REF!</definedName>
    <definedName name="_MT54" localSheetId="12">#REF!</definedName>
    <definedName name="_MT54" localSheetId="19">#REF!</definedName>
    <definedName name="_MT54">#REF!</definedName>
    <definedName name="_MT55" localSheetId="6">#REF!</definedName>
    <definedName name="_MT55" localSheetId="12">#REF!</definedName>
    <definedName name="_MT55" localSheetId="19">#REF!</definedName>
    <definedName name="_MT55">#REF!</definedName>
    <definedName name="_MT56" localSheetId="6">#REF!</definedName>
    <definedName name="_MT56" localSheetId="12">#REF!</definedName>
    <definedName name="_MT56" localSheetId="19">#REF!</definedName>
    <definedName name="_MT56">#REF!</definedName>
    <definedName name="_MT57" localSheetId="6">#REF!</definedName>
    <definedName name="_MT57" localSheetId="12">#REF!</definedName>
    <definedName name="_MT57" localSheetId="19">#REF!</definedName>
    <definedName name="_MT57">#REF!</definedName>
    <definedName name="_MT58" localSheetId="6">#REF!</definedName>
    <definedName name="_MT58" localSheetId="12">#REF!</definedName>
    <definedName name="_MT58" localSheetId="19">#REF!</definedName>
    <definedName name="_MT58">#REF!</definedName>
    <definedName name="_MT59" localSheetId="6">#REF!</definedName>
    <definedName name="_MT59" localSheetId="12">#REF!</definedName>
    <definedName name="_MT59" localSheetId="19">#REF!</definedName>
    <definedName name="_MT59">#REF!</definedName>
    <definedName name="_MT6" localSheetId="6">#REF!</definedName>
    <definedName name="_MT6" localSheetId="12">#REF!</definedName>
    <definedName name="_MT6" localSheetId="19">#REF!</definedName>
    <definedName name="_MT6">#REF!</definedName>
    <definedName name="_MT60" localSheetId="6">#REF!</definedName>
    <definedName name="_MT60" localSheetId="12">#REF!</definedName>
    <definedName name="_MT60" localSheetId="19">#REF!</definedName>
    <definedName name="_MT60">#REF!</definedName>
    <definedName name="_MT61" localSheetId="6">#REF!</definedName>
    <definedName name="_MT61" localSheetId="12">#REF!</definedName>
    <definedName name="_MT61" localSheetId="19">#REF!</definedName>
    <definedName name="_MT61">#REF!</definedName>
    <definedName name="_MT62" localSheetId="6">#REF!</definedName>
    <definedName name="_MT62" localSheetId="12">#REF!</definedName>
    <definedName name="_MT62" localSheetId="19">#REF!</definedName>
    <definedName name="_MT62">#REF!</definedName>
    <definedName name="_MT63" localSheetId="6">#REF!</definedName>
    <definedName name="_MT63" localSheetId="12">#REF!</definedName>
    <definedName name="_MT63" localSheetId="19">#REF!</definedName>
    <definedName name="_MT63">#REF!</definedName>
    <definedName name="_MT64" localSheetId="6">#REF!</definedName>
    <definedName name="_MT64" localSheetId="12">#REF!</definedName>
    <definedName name="_MT64" localSheetId="19">#REF!</definedName>
    <definedName name="_MT64">#REF!</definedName>
    <definedName name="_MT65" localSheetId="6">#REF!</definedName>
    <definedName name="_MT65" localSheetId="12">#REF!</definedName>
    <definedName name="_MT65" localSheetId="19">#REF!</definedName>
    <definedName name="_MT65">#REF!</definedName>
    <definedName name="_MT66" localSheetId="6">#REF!</definedName>
    <definedName name="_MT66" localSheetId="12">#REF!</definedName>
    <definedName name="_MT66" localSheetId="19">#REF!</definedName>
    <definedName name="_MT66">#REF!</definedName>
    <definedName name="_MT67" localSheetId="6">#REF!</definedName>
    <definedName name="_MT67" localSheetId="12">#REF!</definedName>
    <definedName name="_MT67" localSheetId="19">#REF!</definedName>
    <definedName name="_MT67">#REF!</definedName>
    <definedName name="_MT68" localSheetId="6">#REF!</definedName>
    <definedName name="_MT68" localSheetId="12">#REF!</definedName>
    <definedName name="_MT68" localSheetId="19">#REF!</definedName>
    <definedName name="_MT68">#REF!</definedName>
    <definedName name="_MT69" localSheetId="6">#REF!</definedName>
    <definedName name="_MT69" localSheetId="12">#REF!</definedName>
    <definedName name="_MT69" localSheetId="19">#REF!</definedName>
    <definedName name="_MT69">#REF!</definedName>
    <definedName name="_MT7" localSheetId="6">#REF!</definedName>
    <definedName name="_MT7" localSheetId="12">#REF!</definedName>
    <definedName name="_MT7" localSheetId="19">#REF!</definedName>
    <definedName name="_MT7">#REF!</definedName>
    <definedName name="_MT70" localSheetId="6">#REF!</definedName>
    <definedName name="_MT70" localSheetId="12">#REF!</definedName>
    <definedName name="_MT70" localSheetId="19">#REF!</definedName>
    <definedName name="_MT70">#REF!</definedName>
    <definedName name="_MT71" localSheetId="6">#REF!</definedName>
    <definedName name="_MT71" localSheetId="12">#REF!</definedName>
    <definedName name="_MT71" localSheetId="19">#REF!</definedName>
    <definedName name="_MT71">#REF!</definedName>
    <definedName name="_MT72" localSheetId="6">#REF!</definedName>
    <definedName name="_MT72" localSheetId="12">#REF!</definedName>
    <definedName name="_MT72" localSheetId="19">#REF!</definedName>
    <definedName name="_MT72">#REF!</definedName>
    <definedName name="_MT73" localSheetId="6">#REF!</definedName>
    <definedName name="_MT73" localSheetId="12">#REF!</definedName>
    <definedName name="_MT73" localSheetId="19">#REF!</definedName>
    <definedName name="_MT73">#REF!</definedName>
    <definedName name="_MT74" localSheetId="6">#REF!</definedName>
    <definedName name="_MT74" localSheetId="12">#REF!</definedName>
    <definedName name="_MT74" localSheetId="19">#REF!</definedName>
    <definedName name="_MT74">#REF!</definedName>
    <definedName name="_MT75" localSheetId="6">#REF!</definedName>
    <definedName name="_MT75" localSheetId="12">#REF!</definedName>
    <definedName name="_MT75" localSheetId="19">#REF!</definedName>
    <definedName name="_MT75">#REF!</definedName>
    <definedName name="_MT76" localSheetId="6">#REF!</definedName>
    <definedName name="_MT76" localSheetId="12">#REF!</definedName>
    <definedName name="_MT76" localSheetId="19">#REF!</definedName>
    <definedName name="_MT76">#REF!</definedName>
    <definedName name="_MT77" localSheetId="6">#REF!</definedName>
    <definedName name="_MT77" localSheetId="12">#REF!</definedName>
    <definedName name="_MT77" localSheetId="19">#REF!</definedName>
    <definedName name="_MT77">#REF!</definedName>
    <definedName name="_MT78" localSheetId="6">#REF!</definedName>
    <definedName name="_MT78" localSheetId="12">#REF!</definedName>
    <definedName name="_MT78" localSheetId="19">#REF!</definedName>
    <definedName name="_MT78">#REF!</definedName>
    <definedName name="_MT79" localSheetId="6">#REF!</definedName>
    <definedName name="_MT79" localSheetId="12">#REF!</definedName>
    <definedName name="_MT79" localSheetId="19">#REF!</definedName>
    <definedName name="_MT79">#REF!</definedName>
    <definedName name="_MT8" localSheetId="6">#REF!</definedName>
    <definedName name="_MT8" localSheetId="12">#REF!</definedName>
    <definedName name="_MT8" localSheetId="19">#REF!</definedName>
    <definedName name="_MT8">#REF!</definedName>
    <definedName name="_MT80" localSheetId="6">#REF!</definedName>
    <definedName name="_MT80" localSheetId="12">#REF!</definedName>
    <definedName name="_MT80" localSheetId="19">#REF!</definedName>
    <definedName name="_MT80">#REF!</definedName>
    <definedName name="_MT81" localSheetId="6">#REF!</definedName>
    <definedName name="_MT81" localSheetId="12">#REF!</definedName>
    <definedName name="_MT81" localSheetId="19">#REF!</definedName>
    <definedName name="_MT81">#REF!</definedName>
    <definedName name="_MT82" localSheetId="6">#REF!</definedName>
    <definedName name="_MT82" localSheetId="12">#REF!</definedName>
    <definedName name="_MT82" localSheetId="19">#REF!</definedName>
    <definedName name="_MT82">#REF!</definedName>
    <definedName name="_MT83" localSheetId="6">#REF!</definedName>
    <definedName name="_MT83" localSheetId="12">#REF!</definedName>
    <definedName name="_MT83" localSheetId="19">#REF!</definedName>
    <definedName name="_MT83">#REF!</definedName>
    <definedName name="_MT84" localSheetId="6">#REF!</definedName>
    <definedName name="_MT84" localSheetId="12">#REF!</definedName>
    <definedName name="_MT84" localSheetId="19">#REF!</definedName>
    <definedName name="_MT84">#REF!</definedName>
    <definedName name="_MT85" localSheetId="6">#REF!</definedName>
    <definedName name="_MT85" localSheetId="12">#REF!</definedName>
    <definedName name="_MT85" localSheetId="19">#REF!</definedName>
    <definedName name="_MT85">#REF!</definedName>
    <definedName name="_MT86" localSheetId="6">#REF!</definedName>
    <definedName name="_MT86" localSheetId="12">#REF!</definedName>
    <definedName name="_MT86" localSheetId="19">#REF!</definedName>
    <definedName name="_MT86">#REF!</definedName>
    <definedName name="_MT87" localSheetId="6">#REF!</definedName>
    <definedName name="_MT87" localSheetId="12">#REF!</definedName>
    <definedName name="_MT87" localSheetId="19">#REF!</definedName>
    <definedName name="_MT87">#REF!</definedName>
    <definedName name="_MT88" localSheetId="6">#REF!</definedName>
    <definedName name="_MT88" localSheetId="12">#REF!</definedName>
    <definedName name="_MT88" localSheetId="19">#REF!</definedName>
    <definedName name="_MT88">#REF!</definedName>
    <definedName name="_MT89" localSheetId="6">#REF!</definedName>
    <definedName name="_MT89" localSheetId="12">#REF!</definedName>
    <definedName name="_MT89" localSheetId="19">#REF!</definedName>
    <definedName name="_MT89">#REF!</definedName>
    <definedName name="_MT9" localSheetId="6">#REF!</definedName>
    <definedName name="_MT9" localSheetId="12">#REF!</definedName>
    <definedName name="_MT9" localSheetId="19">#REF!</definedName>
    <definedName name="_MT9">#REF!</definedName>
    <definedName name="_MT90" localSheetId="6">#REF!</definedName>
    <definedName name="_MT90" localSheetId="12">#REF!</definedName>
    <definedName name="_MT90" localSheetId="19">#REF!</definedName>
    <definedName name="_MT90">#REF!</definedName>
    <definedName name="_MT91" localSheetId="6">#REF!</definedName>
    <definedName name="_MT91" localSheetId="12">#REF!</definedName>
    <definedName name="_MT91" localSheetId="19">#REF!</definedName>
    <definedName name="_MT91">#REF!</definedName>
    <definedName name="_MT92" localSheetId="6">#REF!</definedName>
    <definedName name="_MT92" localSheetId="12">#REF!</definedName>
    <definedName name="_MT92" localSheetId="19">#REF!</definedName>
    <definedName name="_MT92">#REF!</definedName>
    <definedName name="_MT93" localSheetId="6">#REF!</definedName>
    <definedName name="_MT93" localSheetId="12">#REF!</definedName>
    <definedName name="_MT93" localSheetId="19">#REF!</definedName>
    <definedName name="_MT93">#REF!</definedName>
    <definedName name="_MT94" localSheetId="6">#REF!</definedName>
    <definedName name="_MT94" localSheetId="12">#REF!</definedName>
    <definedName name="_MT94" localSheetId="19">#REF!</definedName>
    <definedName name="_MT94">#REF!</definedName>
    <definedName name="_MT95" localSheetId="6">#REF!</definedName>
    <definedName name="_MT95" localSheetId="12">#REF!</definedName>
    <definedName name="_MT95" localSheetId="19">#REF!</definedName>
    <definedName name="_MT95">#REF!</definedName>
    <definedName name="_MT96" localSheetId="6">#REF!</definedName>
    <definedName name="_MT96" localSheetId="12">#REF!</definedName>
    <definedName name="_MT96" localSheetId="19">#REF!</definedName>
    <definedName name="_MT96">#REF!</definedName>
    <definedName name="_MT97" localSheetId="6">#REF!</definedName>
    <definedName name="_MT97" localSheetId="12">#REF!</definedName>
    <definedName name="_MT97" localSheetId="19">#REF!</definedName>
    <definedName name="_MT97">#REF!</definedName>
    <definedName name="_MT98" localSheetId="6">#REF!</definedName>
    <definedName name="_MT98" localSheetId="12">#REF!</definedName>
    <definedName name="_MT98" localSheetId="19">#REF!</definedName>
    <definedName name="_MT98">#REF!</definedName>
    <definedName name="_MT99" localSheetId="6">#REF!</definedName>
    <definedName name="_MT99" localSheetId="12">#REF!</definedName>
    <definedName name="_MT99" localSheetId="19">#REF!</definedName>
    <definedName name="_MT99">#REF!</definedName>
    <definedName name="_O10" localSheetId="5">#REF!</definedName>
    <definedName name="_O10" localSheetId="6">#REF!</definedName>
    <definedName name="_O10" localSheetId="12">#REF!</definedName>
    <definedName name="_O10" localSheetId="34">#REF!</definedName>
    <definedName name="_O10" localSheetId="19">#REF!</definedName>
    <definedName name="_O10" localSheetId="30">#REF!</definedName>
    <definedName name="_O10">#REF!</definedName>
    <definedName name="_O10_33">"$#REF!.$#REF!$#REF!"</definedName>
    <definedName name="_O100" localSheetId="5">#REF!</definedName>
    <definedName name="_O100" localSheetId="6">#REF!</definedName>
    <definedName name="_O100" localSheetId="12">#REF!</definedName>
    <definedName name="_O100" localSheetId="34">#REF!</definedName>
    <definedName name="_O100" localSheetId="19">#REF!</definedName>
    <definedName name="_O100" localSheetId="30">#REF!</definedName>
    <definedName name="_O100">#REF!</definedName>
    <definedName name="_O100_33">"$#REF!.$#REF!$#REF!"</definedName>
    <definedName name="_O12" localSheetId="5">#REF!</definedName>
    <definedName name="_O12" localSheetId="6">#REF!</definedName>
    <definedName name="_O12" localSheetId="12">#REF!</definedName>
    <definedName name="_O12" localSheetId="34">#REF!</definedName>
    <definedName name="_O12" localSheetId="19">#REF!</definedName>
    <definedName name="_O12" localSheetId="30">#REF!</definedName>
    <definedName name="_O12">#REF!</definedName>
    <definedName name="_O12_33">"$#REF!.$#REF!$#REF!"</definedName>
    <definedName name="_O150" localSheetId="5">#REF!</definedName>
    <definedName name="_O150" localSheetId="6">#REF!</definedName>
    <definedName name="_O150" localSheetId="12">#REF!</definedName>
    <definedName name="_O150" localSheetId="34">#REF!</definedName>
    <definedName name="_O150" localSheetId="19">#REF!</definedName>
    <definedName name="_O150" localSheetId="30">#REF!</definedName>
    <definedName name="_O150">#REF!</definedName>
    <definedName name="_O150_33">"$#REF!.$#REF!$#REF!"</definedName>
    <definedName name="_O20" localSheetId="5">#REF!</definedName>
    <definedName name="_O20" localSheetId="6">#REF!</definedName>
    <definedName name="_O20" localSheetId="12">#REF!</definedName>
    <definedName name="_O20" localSheetId="34">#REF!</definedName>
    <definedName name="_O20" localSheetId="19">#REF!</definedName>
    <definedName name="_O20" localSheetId="30">#REF!</definedName>
    <definedName name="_O20">#REF!</definedName>
    <definedName name="_O20_33">"$#REF!.$#REF!$#REF!"</definedName>
    <definedName name="_o3" localSheetId="27">#REF!</definedName>
    <definedName name="_o3">#REF!</definedName>
    <definedName name="_O300" localSheetId="5">#REF!</definedName>
    <definedName name="_O300" localSheetId="6">#REF!</definedName>
    <definedName name="_O300" localSheetId="12">#REF!</definedName>
    <definedName name="_O300" localSheetId="34">#REF!</definedName>
    <definedName name="_O300" localSheetId="19">#REF!</definedName>
    <definedName name="_O300" localSheetId="30">#REF!</definedName>
    <definedName name="_O300">#REF!</definedName>
    <definedName name="_O300_33">"$#REF!.$#REF!$#REF!"</definedName>
    <definedName name="_O45" localSheetId="5">#REF!</definedName>
    <definedName name="_O45" localSheetId="6">#REF!</definedName>
    <definedName name="_O45" localSheetId="12">#REF!</definedName>
    <definedName name="_O45" localSheetId="34">#REF!</definedName>
    <definedName name="_O45" localSheetId="19">#REF!</definedName>
    <definedName name="_O45" localSheetId="30">#REF!</definedName>
    <definedName name="_O45">#REF!</definedName>
    <definedName name="_O45_33">"$#REF!.$#REF!$#REF!"</definedName>
    <definedName name="_O450" localSheetId="5">#REF!</definedName>
    <definedName name="_O450" localSheetId="6">#REF!</definedName>
    <definedName name="_O450" localSheetId="12">#REF!</definedName>
    <definedName name="_O450" localSheetId="34">#REF!</definedName>
    <definedName name="_O450" localSheetId="19">#REF!</definedName>
    <definedName name="_O450" localSheetId="30">#REF!</definedName>
    <definedName name="_O450">#REF!</definedName>
    <definedName name="_O450_33">"$#REF!.$#REF!$#REF!"</definedName>
    <definedName name="_O55" localSheetId="5">#REF!</definedName>
    <definedName name="_O55" localSheetId="6">#REF!</definedName>
    <definedName name="_O55" localSheetId="12">#REF!</definedName>
    <definedName name="_O55" localSheetId="34">#REF!</definedName>
    <definedName name="_O55" localSheetId="19">#REF!</definedName>
    <definedName name="_O55" localSheetId="30">#REF!</definedName>
    <definedName name="_O55">#REF!</definedName>
    <definedName name="_O55_33">"$#REF!.$#REF!$#REF!"</definedName>
    <definedName name="_O65" localSheetId="5">#REF!</definedName>
    <definedName name="_O65" localSheetId="6">#REF!</definedName>
    <definedName name="_O65" localSheetId="12">#REF!</definedName>
    <definedName name="_O65" localSheetId="34">#REF!</definedName>
    <definedName name="_O65" localSheetId="19">#REF!</definedName>
    <definedName name="_O65" localSheetId="30">#REF!</definedName>
    <definedName name="_O65">#REF!</definedName>
    <definedName name="_O65_33">"$#REF!.$#REF!$#REF!"</definedName>
    <definedName name="_O75" localSheetId="5">#REF!</definedName>
    <definedName name="_O75" localSheetId="6">#REF!</definedName>
    <definedName name="_O75" localSheetId="12">#REF!</definedName>
    <definedName name="_O75" localSheetId="34">#REF!</definedName>
    <definedName name="_O75" localSheetId="19">#REF!</definedName>
    <definedName name="_O75" localSheetId="30">#REF!</definedName>
    <definedName name="_O75">#REF!</definedName>
    <definedName name="_O75_33">"$#REF!.$#REF!$#REF!"</definedName>
    <definedName name="_od1" localSheetId="6">#REF!</definedName>
    <definedName name="_od1" localSheetId="12">#REF!</definedName>
    <definedName name="_od1" localSheetId="34">#REF!</definedName>
    <definedName name="_od1" localSheetId="19">#REF!</definedName>
    <definedName name="_od1">#REF!</definedName>
    <definedName name="_OQUA" localSheetId="5">#REF!</definedName>
    <definedName name="_OQUA" localSheetId="6">#REF!</definedName>
    <definedName name="_OQUA" localSheetId="12">#REF!</definedName>
    <definedName name="_OQUA" localSheetId="34">#REF!</definedName>
    <definedName name="_OQUA" localSheetId="19">#REF!</definedName>
    <definedName name="_OQUA" localSheetId="30">#REF!</definedName>
    <definedName name="_OQUA">#REF!</definedName>
    <definedName name="_OQUA_33">"$#REF!.$#REF!$#REF!"</definedName>
    <definedName name="_Order1" hidden="1">255</definedName>
    <definedName name="_Order2" hidden="1">255</definedName>
    <definedName name="_p5" localSheetId="6">#REF!</definedName>
    <definedName name="_p5" localSheetId="12">#REF!</definedName>
    <definedName name="_p5" localSheetId="19">#REF!</definedName>
    <definedName name="_p5">#REF!</definedName>
    <definedName name="_pc02" localSheetId="19">#REF!</definedName>
    <definedName name="_PC1" localSheetId="19">#REF!</definedName>
    <definedName name="_PC10">#REF!</definedName>
    <definedName name="_PC11">#REF!</definedName>
    <definedName name="_PC12">#REF!</definedName>
    <definedName name="_PC13">#REF!</definedName>
    <definedName name="_PC14">#REF!</definedName>
    <definedName name="_PC15">#REF!</definedName>
    <definedName name="_PC16">#REF!</definedName>
    <definedName name="_PC17">#REF!</definedName>
    <definedName name="_PC18">#REF!</definedName>
    <definedName name="_PC19">#REF!</definedName>
    <definedName name="_pc2" localSheetId="22">#REF!</definedName>
    <definedName name="_pc2" localSheetId="5">#REF!</definedName>
    <definedName name="_pc2" localSheetId="6">#REF!</definedName>
    <definedName name="_pc2" localSheetId="12">#REF!</definedName>
    <definedName name="_pc2" localSheetId="34">#REF!</definedName>
    <definedName name="_pc2" localSheetId="19">#REF!</definedName>
    <definedName name="_pc2" localSheetId="30">#REF!</definedName>
    <definedName name="_pc2" localSheetId="40">#REF!</definedName>
    <definedName name="_pc2" localSheetId="26">#REF!</definedName>
    <definedName name="_pc2">#REF!</definedName>
    <definedName name="_pc2_23">"$#REF!.$#REF!$#REF!"</definedName>
    <definedName name="_pc2_32">"$#REF!.$#REF!$#REF!"</definedName>
    <definedName name="_pc2_33">"$#REF!.$#REF!$#REF!"</definedName>
    <definedName name="_pc2_34">"$#REF!.$#REF!$#REF!"</definedName>
    <definedName name="_pc2_38">"$#REF!.$#REF!$#REF!"</definedName>
    <definedName name="_pc2_41">"$#REF!.$#REF!$#REF!"</definedName>
    <definedName name="_pc2_43">"$#REF!.$#REF!$#REF!"</definedName>
    <definedName name="_pc2_48">"$#REF!.$#REF!$#REF!"</definedName>
    <definedName name="_pc2_56">"$#REF!.$#REF!$#REF!"</definedName>
    <definedName name="_pc2_57">"$#REF!.$#REF!$#REF!"</definedName>
    <definedName name="_pc2_59">"$#REF!.$#REF!$#REF!"</definedName>
    <definedName name="_pc2_60">"$#REF!.$#REF!$#REF!"</definedName>
    <definedName name="_pc2_61">"$#REF!.$#REF!$#REF!"</definedName>
    <definedName name="_pc2_62">"$#REF!.$#REF!$#REF!"</definedName>
    <definedName name="_pc2_7">"$#REF!.$#REF!$#REF!"</definedName>
    <definedName name="_pc2_72">"$#REF!.$#REF!$#REF!"</definedName>
    <definedName name="_pc2_73">"$#REF!.$#REF!$#REF!"</definedName>
    <definedName name="_pc2_8">"$#REF!.$#REF!$#REF!"</definedName>
    <definedName name="_PC20" localSheetId="27">#REF!</definedName>
    <definedName name="_PC20">#REF!</definedName>
    <definedName name="_PC21" localSheetId="27">#REF!</definedName>
    <definedName name="_PC21">#REF!</definedName>
    <definedName name="_PC22" localSheetId="27">#REF!</definedName>
    <definedName name="_PC22">#REF!</definedName>
    <definedName name="_PC23">#REF!</definedName>
    <definedName name="_PC24">#REF!</definedName>
    <definedName name="_PC3">#REF!</definedName>
    <definedName name="_PC4">#REF!</definedName>
    <definedName name="_PC5">#REF!</definedName>
    <definedName name="_PC6">#REF!</definedName>
    <definedName name="_pc600">#REF!</definedName>
    <definedName name="_PC7">#REF!</definedName>
    <definedName name="_PC8">#REF!</definedName>
    <definedName name="_PC9">#REF!</definedName>
    <definedName name="_pc900">#REF!</definedName>
    <definedName name="_pi1">#REF!</definedName>
    <definedName name="_PMS2" localSheetId="6">#REF!</definedName>
    <definedName name="_PMS2" localSheetId="12">#REF!</definedName>
    <definedName name="_PMS2" localSheetId="19">#REF!</definedName>
    <definedName name="_PMS2">#REF!</definedName>
    <definedName name="_PPA14" localSheetId="6">#REF!</definedName>
    <definedName name="_PPA14" localSheetId="12">#REF!</definedName>
    <definedName name="_PPA14" localSheetId="19">#REF!</definedName>
    <definedName name="_PPA14">#REF!</definedName>
    <definedName name="_PPB154" localSheetId="6">#REF!</definedName>
    <definedName name="_PPB154" localSheetId="12">#REF!</definedName>
    <definedName name="_PPB154" localSheetId="19">#REF!</definedName>
    <definedName name="_PPB154">#REF!</definedName>
    <definedName name="_PPB155" localSheetId="6">#REF!</definedName>
    <definedName name="_PPB155" localSheetId="12">#REF!</definedName>
    <definedName name="_PPB155" localSheetId="19">#REF!</definedName>
    <definedName name="_PPB155">#REF!</definedName>
    <definedName name="_PPB16" localSheetId="6">#REF!</definedName>
    <definedName name="_PPB16" localSheetId="12">#REF!</definedName>
    <definedName name="_PPB16" localSheetId="19">#REF!</definedName>
    <definedName name="_PPB16">#REF!</definedName>
    <definedName name="_PPB17" localSheetId="6">#REF!</definedName>
    <definedName name="_PPB17" localSheetId="12">#REF!</definedName>
    <definedName name="_PPB17" localSheetId="19">#REF!</definedName>
    <definedName name="_PPB17">#REF!</definedName>
    <definedName name="_PPB18" localSheetId="6">#REF!</definedName>
    <definedName name="_PPB18" localSheetId="12">#REF!</definedName>
    <definedName name="_PPB18" localSheetId="19">#REF!</definedName>
    <definedName name="_PPB18">#REF!</definedName>
    <definedName name="_PPB19" localSheetId="6">#REF!</definedName>
    <definedName name="_PPB19" localSheetId="12">#REF!</definedName>
    <definedName name="_PPB19" localSheetId="19">#REF!</definedName>
    <definedName name="_PPB19">#REF!</definedName>
    <definedName name="_PPB2" localSheetId="6">#REF!</definedName>
    <definedName name="_PPB2" localSheetId="12">#REF!</definedName>
    <definedName name="_PPB2" localSheetId="19">#REF!</definedName>
    <definedName name="_PPB2">#REF!</definedName>
    <definedName name="_PPB20" localSheetId="6">#REF!</definedName>
    <definedName name="_PPB20" localSheetId="12">#REF!</definedName>
    <definedName name="_PPB20" localSheetId="19">#REF!</definedName>
    <definedName name="_PPB20">#REF!</definedName>
    <definedName name="_PPB21" localSheetId="6">#REF!</definedName>
    <definedName name="_PPB21" localSheetId="12">#REF!</definedName>
    <definedName name="_PPB21" localSheetId="19">#REF!</definedName>
    <definedName name="_PPB21">#REF!</definedName>
    <definedName name="_PPB22" localSheetId="6">#REF!</definedName>
    <definedName name="_PPB22" localSheetId="12">#REF!</definedName>
    <definedName name="_PPB22" localSheetId="19">#REF!</definedName>
    <definedName name="_PPB22">#REF!</definedName>
    <definedName name="_PPB23" localSheetId="6">#REF!</definedName>
    <definedName name="_PPB23" localSheetId="12">#REF!</definedName>
    <definedName name="_PPB23" localSheetId="19">#REF!</definedName>
    <definedName name="_PPB23">#REF!</definedName>
    <definedName name="_PPB24" localSheetId="6">#REF!</definedName>
    <definedName name="_PPB24" localSheetId="12">#REF!</definedName>
    <definedName name="_PPB24" localSheetId="19">#REF!</definedName>
    <definedName name="_PPB24">#REF!</definedName>
    <definedName name="_PPB25" localSheetId="6">#REF!</definedName>
    <definedName name="_PPB25" localSheetId="12">#REF!</definedName>
    <definedName name="_PPB25" localSheetId="19">#REF!</definedName>
    <definedName name="_PPB25">#REF!</definedName>
    <definedName name="_PPB26" localSheetId="6">#REF!</definedName>
    <definedName name="_PPB26" localSheetId="12">#REF!</definedName>
    <definedName name="_PPB26" localSheetId="19">#REF!</definedName>
    <definedName name="_PPB26">#REF!</definedName>
    <definedName name="_PPB27" localSheetId="6">#REF!</definedName>
    <definedName name="_PPB27" localSheetId="12">#REF!</definedName>
    <definedName name="_PPB27" localSheetId="19">#REF!</definedName>
    <definedName name="_PPB27">#REF!</definedName>
    <definedName name="_PPB28" localSheetId="6">#REF!</definedName>
    <definedName name="_PPB28" localSheetId="12">#REF!</definedName>
    <definedName name="_PPB28" localSheetId="19">#REF!</definedName>
    <definedName name="_PPB28">#REF!</definedName>
    <definedName name="_PPB29" localSheetId="6">#REF!</definedName>
    <definedName name="_PPB29" localSheetId="12">#REF!</definedName>
    <definedName name="_PPB29" localSheetId="19">#REF!</definedName>
    <definedName name="_PPB29">#REF!</definedName>
    <definedName name="_PPB3" localSheetId="6">#REF!</definedName>
    <definedName name="_PPB3" localSheetId="12">#REF!</definedName>
    <definedName name="_PPB3" localSheetId="19">#REF!</definedName>
    <definedName name="_PPB3">#REF!</definedName>
    <definedName name="_PPB30" localSheetId="6">#REF!</definedName>
    <definedName name="_PPB30" localSheetId="12">#REF!</definedName>
    <definedName name="_PPB30" localSheetId="19">#REF!</definedName>
    <definedName name="_PPB30">#REF!</definedName>
    <definedName name="_PPB31" localSheetId="6">#REF!</definedName>
    <definedName name="_PPB31" localSheetId="12">#REF!</definedName>
    <definedName name="_PPB31" localSheetId="19">#REF!</definedName>
    <definedName name="_PPB31">#REF!</definedName>
    <definedName name="_PPB32" localSheetId="6">#REF!</definedName>
    <definedName name="_PPB32" localSheetId="12">#REF!</definedName>
    <definedName name="_PPB32" localSheetId="19">#REF!</definedName>
    <definedName name="_PPB32">#REF!</definedName>
    <definedName name="_PPB33" localSheetId="6">#REF!</definedName>
    <definedName name="_PPB33" localSheetId="12">#REF!</definedName>
    <definedName name="_PPB33" localSheetId="19">#REF!</definedName>
    <definedName name="_PPB33">#REF!</definedName>
    <definedName name="_PPB34" localSheetId="6">#REF!</definedName>
    <definedName name="_PPB34" localSheetId="12">#REF!</definedName>
    <definedName name="_PPB34" localSheetId="19">#REF!</definedName>
    <definedName name="_PPB34">#REF!</definedName>
    <definedName name="_PPB35" localSheetId="6">#REF!</definedName>
    <definedName name="_PPB35" localSheetId="12">#REF!</definedName>
    <definedName name="_PPB35" localSheetId="19">#REF!</definedName>
    <definedName name="_PPB35">#REF!</definedName>
    <definedName name="_PPB36" localSheetId="6">#REF!</definedName>
    <definedName name="_PPB36" localSheetId="12">#REF!</definedName>
    <definedName name="_PPB36" localSheetId="19">#REF!</definedName>
    <definedName name="_PPB36">#REF!</definedName>
    <definedName name="_PPB37" localSheetId="6">#REF!</definedName>
    <definedName name="_PPB37" localSheetId="12">#REF!</definedName>
    <definedName name="_PPB37" localSheetId="19">#REF!</definedName>
    <definedName name="_PPB37">#REF!</definedName>
    <definedName name="_PPB38" localSheetId="6">#REF!</definedName>
    <definedName name="_PPB38" localSheetId="12">#REF!</definedName>
    <definedName name="_PPB38" localSheetId="19">#REF!</definedName>
    <definedName name="_PPB38">#REF!</definedName>
    <definedName name="_PPB39" localSheetId="6">#REF!</definedName>
    <definedName name="_PPB39" localSheetId="12">#REF!</definedName>
    <definedName name="_PPB39" localSheetId="19">#REF!</definedName>
    <definedName name="_PPB39">#REF!</definedName>
    <definedName name="_PPB4" localSheetId="6">#REF!</definedName>
    <definedName name="_PPB4" localSheetId="12">#REF!</definedName>
    <definedName name="_PPB4" localSheetId="19">#REF!</definedName>
    <definedName name="_PPB4">#REF!</definedName>
    <definedName name="_PPB40" localSheetId="6">#REF!</definedName>
    <definedName name="_PPB40" localSheetId="12">#REF!</definedName>
    <definedName name="_PPB40" localSheetId="19">#REF!</definedName>
    <definedName name="_PPB40">#REF!</definedName>
    <definedName name="_PPB41" localSheetId="6">#REF!</definedName>
    <definedName name="_PPB41" localSheetId="12">#REF!</definedName>
    <definedName name="_PPB41" localSheetId="19">#REF!</definedName>
    <definedName name="_PPB41">#REF!</definedName>
    <definedName name="_PPB42" localSheetId="6">#REF!</definedName>
    <definedName name="_PPB42" localSheetId="12">#REF!</definedName>
    <definedName name="_PPB42" localSheetId="19">#REF!</definedName>
    <definedName name="_PPB42">#REF!</definedName>
    <definedName name="_PPB43" localSheetId="6">#REF!</definedName>
    <definedName name="_PPB43" localSheetId="12">#REF!</definedName>
    <definedName name="_PPB43" localSheetId="19">#REF!</definedName>
    <definedName name="_PPB43">#REF!</definedName>
    <definedName name="_PPB44" localSheetId="6">#REF!</definedName>
    <definedName name="_PPB44" localSheetId="12">#REF!</definedName>
    <definedName name="_PPB44" localSheetId="19">#REF!</definedName>
    <definedName name="_PPB44">#REF!</definedName>
    <definedName name="_PPB45" localSheetId="6">#REF!</definedName>
    <definedName name="_PPB45" localSheetId="12">#REF!</definedName>
    <definedName name="_PPB45" localSheetId="19">#REF!</definedName>
    <definedName name="_PPB45">#REF!</definedName>
    <definedName name="_PPB46" localSheetId="6">#REF!</definedName>
    <definedName name="_PPB46" localSheetId="12">#REF!</definedName>
    <definedName name="_PPB46" localSheetId="19">#REF!</definedName>
    <definedName name="_PPB46">#REF!</definedName>
    <definedName name="_PPB47" localSheetId="6">#REF!</definedName>
    <definedName name="_PPB47" localSheetId="12">#REF!</definedName>
    <definedName name="_PPB47" localSheetId="19">#REF!</definedName>
    <definedName name="_PPB47">#REF!</definedName>
    <definedName name="_PPB48" localSheetId="6">#REF!</definedName>
    <definedName name="_PPB48" localSheetId="12">#REF!</definedName>
    <definedName name="_PPB48" localSheetId="19">#REF!</definedName>
    <definedName name="_PPB48">#REF!</definedName>
    <definedName name="_PPB49" localSheetId="6">#REF!</definedName>
    <definedName name="_PPB49" localSheetId="12">#REF!</definedName>
    <definedName name="_PPB49" localSheetId="19">#REF!</definedName>
    <definedName name="_PPB49">#REF!</definedName>
    <definedName name="_PPB5" localSheetId="6">#REF!</definedName>
    <definedName name="_PPB5" localSheetId="12">#REF!</definedName>
    <definedName name="_PPB5" localSheetId="19">#REF!</definedName>
    <definedName name="_PPB5">#REF!</definedName>
    <definedName name="_PPB50" localSheetId="6">#REF!</definedName>
    <definedName name="_PPB50" localSheetId="12">#REF!</definedName>
    <definedName name="_PPB50" localSheetId="19">#REF!</definedName>
    <definedName name="_PPB50">#REF!</definedName>
    <definedName name="_PPB51" localSheetId="6">#REF!</definedName>
    <definedName name="_PPB51" localSheetId="12">#REF!</definedName>
    <definedName name="_PPB51" localSheetId="19">#REF!</definedName>
    <definedName name="_PPB51">#REF!</definedName>
    <definedName name="_PPB52" localSheetId="6">#REF!</definedName>
    <definedName name="_PPB52" localSheetId="12">#REF!</definedName>
    <definedName name="_PPB52" localSheetId="19">#REF!</definedName>
    <definedName name="_PPB52">#REF!</definedName>
    <definedName name="_PPB53" localSheetId="6">#REF!</definedName>
    <definedName name="_PPB53" localSheetId="12">#REF!</definedName>
    <definedName name="_PPB53" localSheetId="19">#REF!</definedName>
    <definedName name="_PPB53">#REF!</definedName>
    <definedName name="_PPB54" localSheetId="6">#REF!</definedName>
    <definedName name="_PPB54" localSheetId="12">#REF!</definedName>
    <definedName name="_PPB54" localSheetId="19">#REF!</definedName>
    <definedName name="_PPB54">#REF!</definedName>
    <definedName name="_PPB55" localSheetId="6">#REF!</definedName>
    <definedName name="_PPB55" localSheetId="12">#REF!</definedName>
    <definedName name="_PPB55" localSheetId="19">#REF!</definedName>
    <definedName name="_PPB55">#REF!</definedName>
    <definedName name="_PPB56" localSheetId="6">#REF!</definedName>
    <definedName name="_PPB56" localSheetId="12">#REF!</definedName>
    <definedName name="_PPB56" localSheetId="19">#REF!</definedName>
    <definedName name="_PPB56">#REF!</definedName>
    <definedName name="_PPB57" localSheetId="6">#REF!</definedName>
    <definedName name="_PPB57" localSheetId="12">#REF!</definedName>
    <definedName name="_PPB57" localSheetId="19">#REF!</definedName>
    <definedName name="_PPB57">#REF!</definedName>
    <definedName name="_PPB58" localSheetId="6">#REF!</definedName>
    <definedName name="_PPB58" localSheetId="12">#REF!</definedName>
    <definedName name="_PPB58" localSheetId="19">#REF!</definedName>
    <definedName name="_PPB58">#REF!</definedName>
    <definedName name="_PPB59" localSheetId="6">#REF!</definedName>
    <definedName name="_PPB59" localSheetId="12">#REF!</definedName>
    <definedName name="_PPB59" localSheetId="19">#REF!</definedName>
    <definedName name="_PPB59">#REF!</definedName>
    <definedName name="_PPB6" localSheetId="6">#REF!</definedName>
    <definedName name="_PPB6" localSheetId="12">#REF!</definedName>
    <definedName name="_PPB6" localSheetId="19">#REF!</definedName>
    <definedName name="_PPB6">#REF!</definedName>
    <definedName name="_PPB60" localSheetId="6">#REF!</definedName>
    <definedName name="_PPB60" localSheetId="12">#REF!</definedName>
    <definedName name="_PPB60" localSheetId="19">#REF!</definedName>
    <definedName name="_PPB60">#REF!</definedName>
    <definedName name="_PPB61" localSheetId="6">#REF!</definedName>
    <definedName name="_PPB61" localSheetId="12">#REF!</definedName>
    <definedName name="_PPB61" localSheetId="19">#REF!</definedName>
    <definedName name="_PPB61">#REF!</definedName>
    <definedName name="_PPB62" localSheetId="6">#REF!</definedName>
    <definedName name="_PPB62" localSheetId="12">#REF!</definedName>
    <definedName name="_PPB62" localSheetId="19">#REF!</definedName>
    <definedName name="_PPB62">#REF!</definedName>
    <definedName name="_PPB63" localSheetId="6">#REF!</definedName>
    <definedName name="_PPB63" localSheetId="12">#REF!</definedName>
    <definedName name="_PPB63" localSheetId="19">#REF!</definedName>
    <definedName name="_PPB63">#REF!</definedName>
    <definedName name="_PPB64" localSheetId="6">#REF!</definedName>
    <definedName name="_PPB64" localSheetId="12">#REF!</definedName>
    <definedName name="_PPB64" localSheetId="19">#REF!</definedName>
    <definedName name="_PPB64">#REF!</definedName>
    <definedName name="_PPB65" localSheetId="6">#REF!</definedName>
    <definedName name="_PPB65" localSheetId="12">#REF!</definedName>
    <definedName name="_PPB65" localSheetId="19">#REF!</definedName>
    <definedName name="_PPB65">#REF!</definedName>
    <definedName name="_PPB66" localSheetId="6">#REF!</definedName>
    <definedName name="_PPB66" localSheetId="12">#REF!</definedName>
    <definedName name="_PPB66" localSheetId="19">#REF!</definedName>
    <definedName name="_PPB66">#REF!</definedName>
    <definedName name="_PPB67" localSheetId="6">#REF!</definedName>
    <definedName name="_PPB67" localSheetId="12">#REF!</definedName>
    <definedName name="_PPB67" localSheetId="19">#REF!</definedName>
    <definedName name="_PPB67">#REF!</definedName>
    <definedName name="_PPB68" localSheetId="6">#REF!</definedName>
    <definedName name="_PPB68" localSheetId="12">#REF!</definedName>
    <definedName name="_PPB68" localSheetId="19">#REF!</definedName>
    <definedName name="_PPB68">#REF!</definedName>
    <definedName name="_PPB69" localSheetId="6">#REF!</definedName>
    <definedName name="_PPB69" localSheetId="12">#REF!</definedName>
    <definedName name="_PPB69" localSheetId="19">#REF!</definedName>
    <definedName name="_PPB69">#REF!</definedName>
    <definedName name="_PPB7" localSheetId="6">#REF!</definedName>
    <definedName name="_PPB7" localSheetId="12">#REF!</definedName>
    <definedName name="_PPB7" localSheetId="19">#REF!</definedName>
    <definedName name="_PPB7">#REF!</definedName>
    <definedName name="_PPB70" localSheetId="6">#REF!</definedName>
    <definedName name="_PPB70" localSheetId="12">#REF!</definedName>
    <definedName name="_PPB70" localSheetId="19">#REF!</definedName>
    <definedName name="_PPB70">#REF!</definedName>
    <definedName name="_PPB71" localSheetId="6">#REF!</definedName>
    <definedName name="_PPB71" localSheetId="12">#REF!</definedName>
    <definedName name="_PPB71" localSheetId="19">#REF!</definedName>
    <definedName name="_PPB71">#REF!</definedName>
    <definedName name="_PPB72" localSheetId="6">#REF!</definedName>
    <definedName name="_PPB72" localSheetId="12">#REF!</definedName>
    <definedName name="_PPB72" localSheetId="19">#REF!</definedName>
    <definedName name="_PPB72">#REF!</definedName>
    <definedName name="_PPB73" localSheetId="6">#REF!</definedName>
    <definedName name="_PPB73" localSheetId="12">#REF!</definedName>
    <definedName name="_PPB73" localSheetId="19">#REF!</definedName>
    <definedName name="_PPB73">#REF!</definedName>
    <definedName name="_PPB74" localSheetId="6">#REF!</definedName>
    <definedName name="_PPB74" localSheetId="12">#REF!</definedName>
    <definedName name="_PPB74" localSheetId="19">#REF!</definedName>
    <definedName name="_PPB74">#REF!</definedName>
    <definedName name="_PPB75" localSheetId="6">#REF!</definedName>
    <definedName name="_PPB75" localSheetId="12">#REF!</definedName>
    <definedName name="_PPB75" localSheetId="19">#REF!</definedName>
    <definedName name="_PPB75">#REF!</definedName>
    <definedName name="_PPB76" localSheetId="6">#REF!</definedName>
    <definedName name="_PPB76" localSheetId="12">#REF!</definedName>
    <definedName name="_PPB76" localSheetId="19">#REF!</definedName>
    <definedName name="_PPB76">#REF!</definedName>
    <definedName name="_PPB77" localSheetId="6">#REF!</definedName>
    <definedName name="_PPB77" localSheetId="12">#REF!</definedName>
    <definedName name="_PPB77" localSheetId="19">#REF!</definedName>
    <definedName name="_PPB77">#REF!</definedName>
    <definedName name="_PPB78" localSheetId="6">#REF!</definedName>
    <definedName name="_PPB78" localSheetId="12">#REF!</definedName>
    <definedName name="_PPB78" localSheetId="19">#REF!</definedName>
    <definedName name="_PPB78">#REF!</definedName>
    <definedName name="_PPB79" localSheetId="6">#REF!</definedName>
    <definedName name="_PPB79" localSheetId="12">#REF!</definedName>
    <definedName name="_PPB79" localSheetId="19">#REF!</definedName>
    <definedName name="_PPB79">#REF!</definedName>
    <definedName name="_PPB8" localSheetId="6">#REF!</definedName>
    <definedName name="_PPB8" localSheetId="12">#REF!</definedName>
    <definedName name="_PPB8" localSheetId="19">#REF!</definedName>
    <definedName name="_PPB8">#REF!</definedName>
    <definedName name="_PPB80" localSheetId="6">#REF!</definedName>
    <definedName name="_PPB80" localSheetId="12">#REF!</definedName>
    <definedName name="_PPB80" localSheetId="19">#REF!</definedName>
    <definedName name="_PPB80">#REF!</definedName>
    <definedName name="_PPB81" localSheetId="6">#REF!</definedName>
    <definedName name="_PPB81" localSheetId="12">#REF!</definedName>
    <definedName name="_PPB81" localSheetId="19">#REF!</definedName>
    <definedName name="_PPB81">#REF!</definedName>
    <definedName name="_PPB82" localSheetId="6">#REF!</definedName>
    <definedName name="_PPB82" localSheetId="12">#REF!</definedName>
    <definedName name="_PPB82" localSheetId="19">#REF!</definedName>
    <definedName name="_PPB82">#REF!</definedName>
    <definedName name="_PPB83" localSheetId="6">#REF!</definedName>
    <definedName name="_PPB83" localSheetId="12">#REF!</definedName>
    <definedName name="_PPB83" localSheetId="19">#REF!</definedName>
    <definedName name="_PPB83">#REF!</definedName>
    <definedName name="_PPB84" localSheetId="6">#REF!</definedName>
    <definedName name="_PPB84" localSheetId="12">#REF!</definedName>
    <definedName name="_PPB84" localSheetId="19">#REF!</definedName>
    <definedName name="_PPB84">#REF!</definedName>
    <definedName name="_PPB85" localSheetId="6">#REF!</definedName>
    <definedName name="_PPB85" localSheetId="12">#REF!</definedName>
    <definedName name="_PPB85" localSheetId="19">#REF!</definedName>
    <definedName name="_PPB85">#REF!</definedName>
    <definedName name="_PPB86" localSheetId="6">#REF!</definedName>
    <definedName name="_PPB86" localSheetId="12">#REF!</definedName>
    <definedName name="_PPB86" localSheetId="19">#REF!</definedName>
    <definedName name="_PPB86">#REF!</definedName>
    <definedName name="_PPB87" localSheetId="6">#REF!</definedName>
    <definedName name="_PPB87" localSheetId="12">#REF!</definedName>
    <definedName name="_PPB87" localSheetId="19">#REF!</definedName>
    <definedName name="_PPB87">#REF!</definedName>
    <definedName name="_PPB88" localSheetId="6">#REF!</definedName>
    <definedName name="_PPB88" localSheetId="12">#REF!</definedName>
    <definedName name="_PPB88" localSheetId="19">#REF!</definedName>
    <definedName name="_PPB88">#REF!</definedName>
    <definedName name="_PPB89" localSheetId="6">#REF!</definedName>
    <definedName name="_PPB89" localSheetId="12">#REF!</definedName>
    <definedName name="_PPB89" localSheetId="19">#REF!</definedName>
    <definedName name="_PPB89">#REF!</definedName>
    <definedName name="_PPB9" localSheetId="6">#REF!</definedName>
    <definedName name="_PPB9" localSheetId="12">#REF!</definedName>
    <definedName name="_PPB9" localSheetId="19">#REF!</definedName>
    <definedName name="_PPB9">#REF!</definedName>
    <definedName name="_PPB90" localSheetId="6">#REF!</definedName>
    <definedName name="_PPB90" localSheetId="12">#REF!</definedName>
    <definedName name="_PPB90" localSheetId="19">#REF!</definedName>
    <definedName name="_PPB90">#REF!</definedName>
    <definedName name="_PPB91" localSheetId="6">#REF!</definedName>
    <definedName name="_PPB91" localSheetId="12">#REF!</definedName>
    <definedName name="_PPB91" localSheetId="19">#REF!</definedName>
    <definedName name="_PPB91">#REF!</definedName>
    <definedName name="_PPB92" localSheetId="6">#REF!</definedName>
    <definedName name="_PPB92" localSheetId="12">#REF!</definedName>
    <definedName name="_PPB92" localSheetId="19">#REF!</definedName>
    <definedName name="_PPB92">#REF!</definedName>
    <definedName name="_PPB93" localSheetId="6">#REF!</definedName>
    <definedName name="_PPB93" localSheetId="12">#REF!</definedName>
    <definedName name="_PPB93" localSheetId="19">#REF!</definedName>
    <definedName name="_PPB93">#REF!</definedName>
    <definedName name="_PPB94" localSheetId="6">#REF!</definedName>
    <definedName name="_PPB94" localSheetId="12">#REF!</definedName>
    <definedName name="_PPB94" localSheetId="19">#REF!</definedName>
    <definedName name="_PPB94">#REF!</definedName>
    <definedName name="_PPB95" localSheetId="6">#REF!</definedName>
    <definedName name="_PPB95" localSheetId="12">#REF!</definedName>
    <definedName name="_PPB95" localSheetId="19">#REF!</definedName>
    <definedName name="_PPB95">#REF!</definedName>
    <definedName name="_PPB96" localSheetId="6">#REF!</definedName>
    <definedName name="_PPB96" localSheetId="12">#REF!</definedName>
    <definedName name="_PPB96" localSheetId="19">#REF!</definedName>
    <definedName name="_PPB96">#REF!</definedName>
    <definedName name="_PPB97" localSheetId="6">#REF!</definedName>
    <definedName name="_PPB97" localSheetId="12">#REF!</definedName>
    <definedName name="_PPB97" localSheetId="19">#REF!</definedName>
    <definedName name="_PPB97">#REF!</definedName>
    <definedName name="_PPB98" localSheetId="6">#REF!</definedName>
    <definedName name="_PPB98" localSheetId="12">#REF!</definedName>
    <definedName name="_PPB98" localSheetId="19">#REF!</definedName>
    <definedName name="_PPB98">#REF!</definedName>
    <definedName name="_PPB99" localSheetId="6">#REF!</definedName>
    <definedName name="_PPB99" localSheetId="12">#REF!</definedName>
    <definedName name="_PPB99" localSheetId="19">#REF!</definedName>
    <definedName name="_PPB99">#REF!</definedName>
    <definedName name="_PPC1" localSheetId="6">#REF!</definedName>
    <definedName name="_PPC1" localSheetId="12">#REF!</definedName>
    <definedName name="_PPC1" localSheetId="19">#REF!</definedName>
    <definedName name="_PPC1">#REF!</definedName>
    <definedName name="_PPC10" localSheetId="6">#REF!</definedName>
    <definedName name="_PPC10" localSheetId="12">#REF!</definedName>
    <definedName name="_PPC10" localSheetId="19">#REF!</definedName>
    <definedName name="_PPC10">#REF!</definedName>
    <definedName name="_PPC100" localSheetId="6">#REF!</definedName>
    <definedName name="_PPC100" localSheetId="12">#REF!</definedName>
    <definedName name="_PPC100" localSheetId="19">#REF!</definedName>
    <definedName name="_PPC100">#REF!</definedName>
    <definedName name="_PPC101" localSheetId="6">#REF!</definedName>
    <definedName name="_PPC101" localSheetId="12">#REF!</definedName>
    <definedName name="_PPC101" localSheetId="19">#REF!</definedName>
    <definedName name="_PPC101">#REF!</definedName>
    <definedName name="_PPC102" localSheetId="6">#REF!</definedName>
    <definedName name="_PPC102" localSheetId="12">#REF!</definedName>
    <definedName name="_PPC102" localSheetId="19">#REF!</definedName>
    <definedName name="_PPC102">#REF!</definedName>
    <definedName name="_PPC103" localSheetId="6">#REF!</definedName>
    <definedName name="_PPC103" localSheetId="12">#REF!</definedName>
    <definedName name="_PPC103" localSheetId="19">#REF!</definedName>
    <definedName name="_PPC103">#REF!</definedName>
    <definedName name="_PPC104" localSheetId="6">#REF!</definedName>
    <definedName name="_PPC104" localSheetId="12">#REF!</definedName>
    <definedName name="_PPC104" localSheetId="19">#REF!</definedName>
    <definedName name="_PPC104">#REF!</definedName>
    <definedName name="_PPC105" localSheetId="6">#REF!</definedName>
    <definedName name="_PPC105" localSheetId="12">#REF!</definedName>
    <definedName name="_PPC105" localSheetId="19">#REF!</definedName>
    <definedName name="_PPC105">#REF!</definedName>
    <definedName name="_PPC106" localSheetId="6">#REF!</definedName>
    <definedName name="_PPC106" localSheetId="12">#REF!</definedName>
    <definedName name="_PPC106" localSheetId="19">#REF!</definedName>
    <definedName name="_PPC106">#REF!</definedName>
    <definedName name="_PPC107" localSheetId="6">#REF!</definedName>
    <definedName name="_PPC107" localSheetId="12">#REF!</definedName>
    <definedName name="_PPC107" localSheetId="19">#REF!</definedName>
    <definedName name="_PPC107">#REF!</definedName>
    <definedName name="_PPC108" localSheetId="6">#REF!</definedName>
    <definedName name="_PPC108" localSheetId="12">#REF!</definedName>
    <definedName name="_PPC108" localSheetId="19">#REF!</definedName>
    <definedName name="_PPC108">#REF!</definedName>
    <definedName name="_PPC109" localSheetId="6">#REF!</definedName>
    <definedName name="_PPC109" localSheetId="12">#REF!</definedName>
    <definedName name="_PPC109" localSheetId="19">#REF!</definedName>
    <definedName name="_PPC109">#REF!</definedName>
    <definedName name="_PPC11" localSheetId="6">#REF!</definedName>
    <definedName name="_PPC11" localSheetId="12">#REF!</definedName>
    <definedName name="_PPC11" localSheetId="19">#REF!</definedName>
    <definedName name="_PPC11">#REF!</definedName>
    <definedName name="_PPC110" localSheetId="6">#REF!</definedName>
    <definedName name="_PPC110" localSheetId="12">#REF!</definedName>
    <definedName name="_PPC110" localSheetId="19">#REF!</definedName>
    <definedName name="_PPC110">#REF!</definedName>
    <definedName name="_PPC111" localSheetId="6">#REF!</definedName>
    <definedName name="_PPC111" localSheetId="12">#REF!</definedName>
    <definedName name="_PPC111" localSheetId="19">#REF!</definedName>
    <definedName name="_PPC111">#REF!</definedName>
    <definedName name="_PPC112" localSheetId="6">#REF!</definedName>
    <definedName name="_PPC112" localSheetId="12">#REF!</definedName>
    <definedName name="_PPC112" localSheetId="19">#REF!</definedName>
    <definedName name="_PPC112">#REF!</definedName>
    <definedName name="_PPC113" localSheetId="6">#REF!</definedName>
    <definedName name="_PPC113" localSheetId="12">#REF!</definedName>
    <definedName name="_PPC113" localSheetId="19">#REF!</definedName>
    <definedName name="_PPC113">#REF!</definedName>
    <definedName name="_PPC114" localSheetId="6">#REF!</definedName>
    <definedName name="_PPC114" localSheetId="12">#REF!</definedName>
    <definedName name="_PPC114" localSheetId="19">#REF!</definedName>
    <definedName name="_PPC114">#REF!</definedName>
    <definedName name="_PPC115" localSheetId="6">#REF!</definedName>
    <definedName name="_PPC115" localSheetId="12">#REF!</definedName>
    <definedName name="_PPC115" localSheetId="19">#REF!</definedName>
    <definedName name="_PPC115">#REF!</definedName>
    <definedName name="_PPC116" localSheetId="6">#REF!</definedName>
    <definedName name="_PPC116" localSheetId="12">#REF!</definedName>
    <definedName name="_PPC116" localSheetId="19">#REF!</definedName>
    <definedName name="_PPC116">#REF!</definedName>
    <definedName name="_PPC117" localSheetId="6">#REF!</definedName>
    <definedName name="_PPC117" localSheetId="12">#REF!</definedName>
    <definedName name="_PPC117" localSheetId="19">#REF!</definedName>
    <definedName name="_PPC117">#REF!</definedName>
    <definedName name="_PPC118" localSheetId="6">#REF!</definedName>
    <definedName name="_PPC118" localSheetId="12">#REF!</definedName>
    <definedName name="_PPC118" localSheetId="19">#REF!</definedName>
    <definedName name="_PPC118">#REF!</definedName>
    <definedName name="_PPC119" localSheetId="6">#REF!</definedName>
    <definedName name="_PPC119" localSheetId="12">#REF!</definedName>
    <definedName name="_PPC119" localSheetId="19">#REF!</definedName>
    <definedName name="_PPC119">#REF!</definedName>
    <definedName name="_PPC12" localSheetId="6">#REF!</definedName>
    <definedName name="_PPC12" localSheetId="12">#REF!</definedName>
    <definedName name="_PPC12" localSheetId="19">#REF!</definedName>
    <definedName name="_PPC12">#REF!</definedName>
    <definedName name="_PPC120" localSheetId="6">#REF!</definedName>
    <definedName name="_PPC120" localSheetId="12">#REF!</definedName>
    <definedName name="_PPC120" localSheetId="19">#REF!</definedName>
    <definedName name="_PPC120">#REF!</definedName>
    <definedName name="_PPC121" localSheetId="6">#REF!</definedName>
    <definedName name="_PPC121" localSheetId="12">#REF!</definedName>
    <definedName name="_PPC121" localSheetId="19">#REF!</definedName>
    <definedName name="_PPC121">#REF!</definedName>
    <definedName name="_PPC122" localSheetId="6">#REF!</definedName>
    <definedName name="_PPC122" localSheetId="12">#REF!</definedName>
    <definedName name="_PPC122" localSheetId="19">#REF!</definedName>
    <definedName name="_PPC122">#REF!</definedName>
    <definedName name="_PPC123" localSheetId="6">#REF!</definedName>
    <definedName name="_PPC123" localSheetId="12">#REF!</definedName>
    <definedName name="_PPC123" localSheetId="19">#REF!</definedName>
    <definedName name="_PPC123">#REF!</definedName>
    <definedName name="_PPC124" localSheetId="6">#REF!</definedName>
    <definedName name="_PPC124" localSheetId="12">#REF!</definedName>
    <definedName name="_PPC124" localSheetId="19">#REF!</definedName>
    <definedName name="_PPC124">#REF!</definedName>
    <definedName name="_PPC125" localSheetId="6">#REF!</definedName>
    <definedName name="_PPC125" localSheetId="12">#REF!</definedName>
    <definedName name="_PPC125" localSheetId="19">#REF!</definedName>
    <definedName name="_PPC125">#REF!</definedName>
    <definedName name="_PPC126" localSheetId="6">#REF!</definedName>
    <definedName name="_PPC126" localSheetId="12">#REF!</definedName>
    <definedName name="_PPC126" localSheetId="19">#REF!</definedName>
    <definedName name="_PPC126">#REF!</definedName>
    <definedName name="_PPC127" localSheetId="6">#REF!</definedName>
    <definedName name="_PPC127" localSheetId="12">#REF!</definedName>
    <definedName name="_PPC127" localSheetId="19">#REF!</definedName>
    <definedName name="_PPC127">#REF!</definedName>
    <definedName name="_PPC128" localSheetId="6">#REF!</definedName>
    <definedName name="_PPC128" localSheetId="12">#REF!</definedName>
    <definedName name="_PPC128" localSheetId="19">#REF!</definedName>
    <definedName name="_PPC128">#REF!</definedName>
    <definedName name="_PPC129" localSheetId="6">#REF!</definedName>
    <definedName name="_PPC129" localSheetId="12">#REF!</definedName>
    <definedName name="_PPC129" localSheetId="19">#REF!</definedName>
    <definedName name="_PPC129">#REF!</definedName>
    <definedName name="_PPC13" localSheetId="6">#REF!</definedName>
    <definedName name="_PPC13" localSheetId="12">#REF!</definedName>
    <definedName name="_PPC13" localSheetId="19">#REF!</definedName>
    <definedName name="_PPC13">#REF!</definedName>
    <definedName name="_PPC130" localSheetId="6">#REF!</definedName>
    <definedName name="_PPC130" localSheetId="12">#REF!</definedName>
    <definedName name="_PPC130" localSheetId="19">#REF!</definedName>
    <definedName name="_PPC130">#REF!</definedName>
    <definedName name="_PPC131" localSheetId="6">#REF!</definedName>
    <definedName name="_PPC131" localSheetId="12">#REF!</definedName>
    <definedName name="_PPC131" localSheetId="19">#REF!</definedName>
    <definedName name="_PPC131">#REF!</definedName>
    <definedName name="_PPC132" localSheetId="6">#REF!</definedName>
    <definedName name="_PPC132" localSheetId="12">#REF!</definedName>
    <definedName name="_PPC132" localSheetId="19">#REF!</definedName>
    <definedName name="_PPC132">#REF!</definedName>
    <definedName name="_PPC133" localSheetId="6">#REF!</definedName>
    <definedName name="_PPC133" localSheetId="12">#REF!</definedName>
    <definedName name="_PPC133" localSheetId="19">#REF!</definedName>
    <definedName name="_PPC133">#REF!</definedName>
    <definedName name="_PPC134" localSheetId="6">#REF!</definedName>
    <definedName name="_PPC134" localSheetId="12">#REF!</definedName>
    <definedName name="_PPC134" localSheetId="19">#REF!</definedName>
    <definedName name="_PPC134">#REF!</definedName>
    <definedName name="_PPC135" localSheetId="6">#REF!</definedName>
    <definedName name="_PPC135" localSheetId="12">#REF!</definedName>
    <definedName name="_PPC135" localSheetId="19">#REF!</definedName>
    <definedName name="_PPC135">#REF!</definedName>
    <definedName name="_PPC136" localSheetId="6">#REF!</definedName>
    <definedName name="_PPC136" localSheetId="12">#REF!</definedName>
    <definedName name="_PPC136" localSheetId="19">#REF!</definedName>
    <definedName name="_PPC136">#REF!</definedName>
    <definedName name="_PPC137" localSheetId="6">#REF!</definedName>
    <definedName name="_PPC137" localSheetId="12">#REF!</definedName>
    <definedName name="_PPC137" localSheetId="19">#REF!</definedName>
    <definedName name="_PPC137">#REF!</definedName>
    <definedName name="_PPC138" localSheetId="6">#REF!</definedName>
    <definedName name="_PPC138" localSheetId="12">#REF!</definedName>
    <definedName name="_PPC138" localSheetId="19">#REF!</definedName>
    <definedName name="_PPC138">#REF!</definedName>
    <definedName name="_PPC139" localSheetId="6">#REF!</definedName>
    <definedName name="_PPC139" localSheetId="12">#REF!</definedName>
    <definedName name="_PPC139" localSheetId="19">#REF!</definedName>
    <definedName name="_PPC139">#REF!</definedName>
    <definedName name="_PPC14" localSheetId="6">#REF!</definedName>
    <definedName name="_PPC14" localSheetId="12">#REF!</definedName>
    <definedName name="_PPC14" localSheetId="19">#REF!</definedName>
    <definedName name="_PPC14">#REF!</definedName>
    <definedName name="_PPC140" localSheetId="6">#REF!</definedName>
    <definedName name="_PPC140" localSheetId="12">#REF!</definedName>
    <definedName name="_PPC140" localSheetId="19">#REF!</definedName>
    <definedName name="_PPC140">#REF!</definedName>
    <definedName name="_PPC141" localSheetId="6">#REF!</definedName>
    <definedName name="_PPC141" localSheetId="12">#REF!</definedName>
    <definedName name="_PPC141" localSheetId="19">#REF!</definedName>
    <definedName name="_PPC141">#REF!</definedName>
    <definedName name="_PPC142" localSheetId="6">#REF!</definedName>
    <definedName name="_PPC142" localSheetId="12">#REF!</definedName>
    <definedName name="_PPC142" localSheetId="19">#REF!</definedName>
    <definedName name="_PPC142">#REF!</definedName>
    <definedName name="_PPC143" localSheetId="6">#REF!</definedName>
    <definedName name="_PPC143" localSheetId="12">#REF!</definedName>
    <definedName name="_PPC143" localSheetId="19">#REF!</definedName>
    <definedName name="_PPC143">#REF!</definedName>
    <definedName name="_PPC144" localSheetId="6">#REF!</definedName>
    <definedName name="_PPC144" localSheetId="12">#REF!</definedName>
    <definedName name="_PPC144" localSheetId="19">#REF!</definedName>
    <definedName name="_PPC144">#REF!</definedName>
    <definedName name="_PPC145" localSheetId="6">#REF!</definedName>
    <definedName name="_PPC145" localSheetId="12">#REF!</definedName>
    <definedName name="_PPC145" localSheetId="19">#REF!</definedName>
    <definedName name="_PPC145">#REF!</definedName>
    <definedName name="_PPC146" localSheetId="6">#REF!</definedName>
    <definedName name="_PPC146" localSheetId="12">#REF!</definedName>
    <definedName name="_PPC146" localSheetId="19">#REF!</definedName>
    <definedName name="_PPC146">#REF!</definedName>
    <definedName name="_PPC147" localSheetId="6">#REF!</definedName>
    <definedName name="_PPC147" localSheetId="12">#REF!</definedName>
    <definedName name="_PPC147" localSheetId="19">#REF!</definedName>
    <definedName name="_PPC147">#REF!</definedName>
    <definedName name="_PPC148" localSheetId="6">#REF!</definedName>
    <definedName name="_PPC148" localSheetId="12">#REF!</definedName>
    <definedName name="_PPC148" localSheetId="19">#REF!</definedName>
    <definedName name="_PPC148">#REF!</definedName>
    <definedName name="_PPC149" localSheetId="6">#REF!</definedName>
    <definedName name="_PPC149" localSheetId="12">#REF!</definedName>
    <definedName name="_PPC149" localSheetId="19">#REF!</definedName>
    <definedName name="_PPC149">#REF!</definedName>
    <definedName name="_PPC15" localSheetId="6">#REF!</definedName>
    <definedName name="_PPC15" localSheetId="12">#REF!</definedName>
    <definedName name="_PPC15" localSheetId="19">#REF!</definedName>
    <definedName name="_PPC15">#REF!</definedName>
    <definedName name="_PPC150" localSheetId="6">#REF!</definedName>
    <definedName name="_PPC150" localSheetId="12">#REF!</definedName>
    <definedName name="_PPC150" localSheetId="19">#REF!</definedName>
    <definedName name="_PPC150">#REF!</definedName>
    <definedName name="_PPC151" localSheetId="6">#REF!</definedName>
    <definedName name="_PPC151" localSheetId="12">#REF!</definedName>
    <definedName name="_PPC151" localSheetId="19">#REF!</definedName>
    <definedName name="_PPC151">#REF!</definedName>
    <definedName name="_PPC152" localSheetId="6">#REF!</definedName>
    <definedName name="_PPC152" localSheetId="12">#REF!</definedName>
    <definedName name="_PPC152" localSheetId="19">#REF!</definedName>
    <definedName name="_PPC152">#REF!</definedName>
    <definedName name="_PPC153" localSheetId="6">#REF!</definedName>
    <definedName name="_PPC153" localSheetId="12">#REF!</definedName>
    <definedName name="_PPC153" localSheetId="19">#REF!</definedName>
    <definedName name="_PPC153">#REF!</definedName>
    <definedName name="_PPC154" localSheetId="6">#REF!</definedName>
    <definedName name="_PPC154" localSheetId="12">#REF!</definedName>
    <definedName name="_PPC154" localSheetId="19">#REF!</definedName>
    <definedName name="_PPC154">#REF!</definedName>
    <definedName name="_PPC155" localSheetId="6">#REF!</definedName>
    <definedName name="_PPC155" localSheetId="12">#REF!</definedName>
    <definedName name="_PPC155" localSheetId="19">#REF!</definedName>
    <definedName name="_PPC155">#REF!</definedName>
    <definedName name="_PPC16" localSheetId="6">#REF!</definedName>
    <definedName name="_PPC16" localSheetId="12">#REF!</definedName>
    <definedName name="_PPC16" localSheetId="19">#REF!</definedName>
    <definedName name="_PPC16">#REF!</definedName>
    <definedName name="_PPC17" localSheetId="6">#REF!</definedName>
    <definedName name="_PPC17" localSheetId="12">#REF!</definedName>
    <definedName name="_PPC17" localSheetId="19">#REF!</definedName>
    <definedName name="_PPC17">#REF!</definedName>
    <definedName name="_PPC18" localSheetId="6">#REF!</definedName>
    <definedName name="_PPC18" localSheetId="12">#REF!</definedName>
    <definedName name="_PPC18" localSheetId="19">#REF!</definedName>
    <definedName name="_PPC18">#REF!</definedName>
    <definedName name="_PPC19" localSheetId="6">#REF!</definedName>
    <definedName name="_PPC19" localSheetId="12">#REF!</definedName>
    <definedName name="_PPC19" localSheetId="19">#REF!</definedName>
    <definedName name="_PPC19">#REF!</definedName>
    <definedName name="_PPC2" localSheetId="6">#REF!</definedName>
    <definedName name="_PPC2" localSheetId="12">#REF!</definedName>
    <definedName name="_PPC2" localSheetId="19">#REF!</definedName>
    <definedName name="_PPC2">#REF!</definedName>
    <definedName name="_PPC20" localSheetId="6">#REF!</definedName>
    <definedName name="_PPC20" localSheetId="12">#REF!</definedName>
    <definedName name="_PPC20" localSheetId="19">#REF!</definedName>
    <definedName name="_PPC20">#REF!</definedName>
    <definedName name="_PPC21" localSheetId="6">#REF!</definedName>
    <definedName name="_PPC21" localSheetId="12">#REF!</definedName>
    <definedName name="_PPC21" localSheetId="19">#REF!</definedName>
    <definedName name="_PPC21">#REF!</definedName>
    <definedName name="_PPC22" localSheetId="6">#REF!</definedName>
    <definedName name="_PPC22" localSheetId="12">#REF!</definedName>
    <definedName name="_PPC22" localSheetId="19">#REF!</definedName>
    <definedName name="_PPC22">#REF!</definedName>
    <definedName name="_PPC23" localSheetId="6">#REF!</definedName>
    <definedName name="_PPC23" localSheetId="12">#REF!</definedName>
    <definedName name="_PPC23" localSheetId="19">#REF!</definedName>
    <definedName name="_PPC23">#REF!</definedName>
    <definedName name="_PPC24" localSheetId="6">#REF!</definedName>
    <definedName name="_PPC24" localSheetId="12">#REF!</definedName>
    <definedName name="_PPC24" localSheetId="19">#REF!</definedName>
    <definedName name="_PPC24">#REF!</definedName>
    <definedName name="_PPC25" localSheetId="6">#REF!</definedName>
    <definedName name="_PPC25" localSheetId="12">#REF!</definedName>
    <definedName name="_PPC25" localSheetId="19">#REF!</definedName>
    <definedName name="_PPC25">#REF!</definedName>
    <definedName name="_PPC26" localSheetId="6">#REF!</definedName>
    <definedName name="_PPC26" localSheetId="12">#REF!</definedName>
    <definedName name="_PPC26" localSheetId="19">#REF!</definedName>
    <definedName name="_PPC26">#REF!</definedName>
    <definedName name="_PPC27" localSheetId="6">#REF!</definedName>
    <definedName name="_PPC27" localSheetId="12">#REF!</definedName>
    <definedName name="_PPC27" localSheetId="19">#REF!</definedName>
    <definedName name="_PPC27">#REF!</definedName>
    <definedName name="_PPC28" localSheetId="6">#REF!</definedName>
    <definedName name="_PPC28" localSheetId="12">#REF!</definedName>
    <definedName name="_PPC28" localSheetId="19">#REF!</definedName>
    <definedName name="_PPC28">#REF!</definedName>
    <definedName name="_PPC29" localSheetId="6">#REF!</definedName>
    <definedName name="_PPC29" localSheetId="12">#REF!</definedName>
    <definedName name="_PPC29" localSheetId="19">#REF!</definedName>
    <definedName name="_PPC29">#REF!</definedName>
    <definedName name="_PPC3" localSheetId="6">#REF!</definedName>
    <definedName name="_PPC3" localSheetId="12">#REF!</definedName>
    <definedName name="_PPC3" localSheetId="19">#REF!</definedName>
    <definedName name="_PPC3">#REF!</definedName>
    <definedName name="_PPC30" localSheetId="6">#REF!</definedName>
    <definedName name="_PPC30" localSheetId="12">#REF!</definedName>
    <definedName name="_PPC30" localSheetId="19">#REF!</definedName>
    <definedName name="_PPC30">#REF!</definedName>
    <definedName name="_PPC31" localSheetId="6">#REF!</definedName>
    <definedName name="_PPC31" localSheetId="12">#REF!</definedName>
    <definedName name="_PPC31" localSheetId="19">#REF!</definedName>
    <definedName name="_PPC31">#REF!</definedName>
    <definedName name="_PPC32" localSheetId="6">#REF!</definedName>
    <definedName name="_PPC32" localSheetId="12">#REF!</definedName>
    <definedName name="_PPC32" localSheetId="19">#REF!</definedName>
    <definedName name="_PPC32">#REF!</definedName>
    <definedName name="_PPC33" localSheetId="6">#REF!</definedName>
    <definedName name="_PPC33" localSheetId="12">#REF!</definedName>
    <definedName name="_PPC33" localSheetId="19">#REF!</definedName>
    <definedName name="_PPC33">#REF!</definedName>
    <definedName name="_PPC34" localSheetId="6">#REF!</definedName>
    <definedName name="_PPC34" localSheetId="12">#REF!</definedName>
    <definedName name="_PPC34" localSheetId="19">#REF!</definedName>
    <definedName name="_PPC34">#REF!</definedName>
    <definedName name="_PPC35" localSheetId="6">#REF!</definedName>
    <definedName name="_PPC35" localSheetId="12">#REF!</definedName>
    <definedName name="_PPC35" localSheetId="19">#REF!</definedName>
    <definedName name="_PPC35">#REF!</definedName>
    <definedName name="_PPC36" localSheetId="6">#REF!</definedName>
    <definedName name="_PPC36" localSheetId="12">#REF!</definedName>
    <definedName name="_PPC36" localSheetId="19">#REF!</definedName>
    <definedName name="_PPC36">#REF!</definedName>
    <definedName name="_PPC37" localSheetId="6">#REF!</definedName>
    <definedName name="_PPC37" localSheetId="12">#REF!</definedName>
    <definedName name="_PPC37" localSheetId="19">#REF!</definedName>
    <definedName name="_PPC37">#REF!</definedName>
    <definedName name="_PPC38" localSheetId="6">#REF!</definedName>
    <definedName name="_PPC38" localSheetId="12">#REF!</definedName>
    <definedName name="_PPC38" localSheetId="19">#REF!</definedName>
    <definedName name="_PPC38">#REF!</definedName>
    <definedName name="_PPC39" localSheetId="6">#REF!</definedName>
    <definedName name="_PPC39" localSheetId="12">#REF!</definedName>
    <definedName name="_PPC39" localSheetId="19">#REF!</definedName>
    <definedName name="_PPC39">#REF!</definedName>
    <definedName name="_PPC4" localSheetId="6">#REF!</definedName>
    <definedName name="_PPC4" localSheetId="12">#REF!</definedName>
    <definedName name="_PPC4" localSheetId="19">#REF!</definedName>
    <definedName name="_PPC4">#REF!</definedName>
    <definedName name="_PPC40" localSheetId="6">#REF!</definedName>
    <definedName name="_PPC40" localSheetId="12">#REF!</definedName>
    <definedName name="_PPC40" localSheetId="19">#REF!</definedName>
    <definedName name="_PPC40">#REF!</definedName>
    <definedName name="_PPC41" localSheetId="6">#REF!</definedName>
    <definedName name="_PPC41" localSheetId="12">#REF!</definedName>
    <definedName name="_PPC41" localSheetId="19">#REF!</definedName>
    <definedName name="_PPC41">#REF!</definedName>
    <definedName name="_PPC42" localSheetId="6">#REF!</definedName>
    <definedName name="_PPC42" localSheetId="12">#REF!</definedName>
    <definedName name="_PPC42" localSheetId="19">#REF!</definedName>
    <definedName name="_PPC42">#REF!</definedName>
    <definedName name="_PPC43" localSheetId="6">#REF!</definedName>
    <definedName name="_PPC43" localSheetId="12">#REF!</definedName>
    <definedName name="_PPC43" localSheetId="19">#REF!</definedName>
    <definedName name="_PPC43">#REF!</definedName>
    <definedName name="_PPC44" localSheetId="6">#REF!</definedName>
    <definedName name="_PPC44" localSheetId="12">#REF!</definedName>
    <definedName name="_PPC44" localSheetId="19">#REF!</definedName>
    <definedName name="_PPC44">#REF!</definedName>
    <definedName name="_PPC45" localSheetId="6">#REF!</definedName>
    <definedName name="_PPC45" localSheetId="12">#REF!</definedName>
    <definedName name="_PPC45" localSheetId="19">#REF!</definedName>
    <definedName name="_PPC45">#REF!</definedName>
    <definedName name="_PPC46" localSheetId="6">#REF!</definedName>
    <definedName name="_PPC46" localSheetId="12">#REF!</definedName>
    <definedName name="_PPC46" localSheetId="19">#REF!</definedName>
    <definedName name="_PPC46">#REF!</definedName>
    <definedName name="_PPC47" localSheetId="6">#REF!</definedName>
    <definedName name="_PPC47" localSheetId="12">#REF!</definedName>
    <definedName name="_PPC47" localSheetId="19">#REF!</definedName>
    <definedName name="_PPC47">#REF!</definedName>
    <definedName name="_PPC48" localSheetId="6">#REF!</definedName>
    <definedName name="_PPC48" localSheetId="12">#REF!</definedName>
    <definedName name="_PPC48" localSheetId="19">#REF!</definedName>
    <definedName name="_PPC48">#REF!</definedName>
    <definedName name="_PPC49" localSheetId="6">#REF!</definedName>
    <definedName name="_PPC49" localSheetId="12">#REF!</definedName>
    <definedName name="_PPC49" localSheetId="19">#REF!</definedName>
    <definedName name="_PPC49">#REF!</definedName>
    <definedName name="_PPC5" localSheetId="6">#REF!</definedName>
    <definedName name="_PPC5" localSheetId="12">#REF!</definedName>
    <definedName name="_PPC5" localSheetId="19">#REF!</definedName>
    <definedName name="_PPC5">#REF!</definedName>
    <definedName name="_PPC50" localSheetId="6">#REF!</definedName>
    <definedName name="_PPC50" localSheetId="12">#REF!</definedName>
    <definedName name="_PPC50" localSheetId="19">#REF!</definedName>
    <definedName name="_PPC50">#REF!</definedName>
    <definedName name="_PPC51" localSheetId="6">#REF!</definedName>
    <definedName name="_PPC51" localSheetId="12">#REF!</definedName>
    <definedName name="_PPC51" localSheetId="19">#REF!</definedName>
    <definedName name="_PPC51">#REF!</definedName>
    <definedName name="_PPC52" localSheetId="6">#REF!</definedName>
    <definedName name="_PPC52" localSheetId="12">#REF!</definedName>
    <definedName name="_PPC52" localSheetId="19">#REF!</definedName>
    <definedName name="_PPC52">#REF!</definedName>
    <definedName name="_PPC53" localSheetId="6">#REF!</definedName>
    <definedName name="_PPC53" localSheetId="12">#REF!</definedName>
    <definedName name="_PPC53" localSheetId="19">#REF!</definedName>
    <definedName name="_PPC53">#REF!</definedName>
    <definedName name="_PPC54" localSheetId="6">#REF!</definedName>
    <definedName name="_PPC54" localSheetId="12">#REF!</definedName>
    <definedName name="_PPC54" localSheetId="19">#REF!</definedName>
    <definedName name="_PPC54">#REF!</definedName>
    <definedName name="_PPC55" localSheetId="6">#REF!</definedName>
    <definedName name="_PPC55" localSheetId="12">#REF!</definedName>
    <definedName name="_PPC55" localSheetId="19">#REF!</definedName>
    <definedName name="_PPC55">#REF!</definedName>
    <definedName name="_PPC56" localSheetId="6">#REF!</definedName>
    <definedName name="_PPC56" localSheetId="12">#REF!</definedName>
    <definedName name="_PPC56" localSheetId="19">#REF!</definedName>
    <definedName name="_PPC56">#REF!</definedName>
    <definedName name="_PPC57" localSheetId="6">#REF!</definedName>
    <definedName name="_PPC57" localSheetId="12">#REF!</definedName>
    <definedName name="_PPC57" localSheetId="19">#REF!</definedName>
    <definedName name="_PPC57">#REF!</definedName>
    <definedName name="_PPC58" localSheetId="6">#REF!</definedName>
    <definedName name="_PPC58" localSheetId="12">#REF!</definedName>
    <definedName name="_PPC58" localSheetId="19">#REF!</definedName>
    <definedName name="_PPC58">#REF!</definedName>
    <definedName name="_PPC59" localSheetId="6">#REF!</definedName>
    <definedName name="_PPC59" localSheetId="12">#REF!</definedName>
    <definedName name="_PPC59" localSheetId="19">#REF!</definedName>
    <definedName name="_PPC59">#REF!</definedName>
    <definedName name="_PPC6" localSheetId="6">#REF!</definedName>
    <definedName name="_PPC6" localSheetId="12">#REF!</definedName>
    <definedName name="_PPC6" localSheetId="19">#REF!</definedName>
    <definedName name="_PPC6">#REF!</definedName>
    <definedName name="_PPC60" localSheetId="6">#REF!</definedName>
    <definedName name="_PPC60" localSheetId="12">#REF!</definedName>
    <definedName name="_PPC60" localSheetId="19">#REF!</definedName>
    <definedName name="_PPC60">#REF!</definedName>
    <definedName name="_PPC61" localSheetId="6">#REF!</definedName>
    <definedName name="_PPC61" localSheetId="12">#REF!</definedName>
    <definedName name="_PPC61" localSheetId="19">#REF!</definedName>
    <definedName name="_PPC61">#REF!</definedName>
    <definedName name="_PPC62" localSheetId="6">#REF!</definedName>
    <definedName name="_PPC62" localSheetId="12">#REF!</definedName>
    <definedName name="_PPC62" localSheetId="19">#REF!</definedName>
    <definedName name="_PPC62">#REF!</definedName>
    <definedName name="_PPC63" localSheetId="6">#REF!</definedName>
    <definedName name="_PPC63" localSheetId="12">#REF!</definedName>
    <definedName name="_PPC63" localSheetId="19">#REF!</definedName>
    <definedName name="_PPC63">#REF!</definedName>
    <definedName name="_PPC64" localSheetId="6">#REF!</definedName>
    <definedName name="_PPC64" localSheetId="12">#REF!</definedName>
    <definedName name="_PPC64" localSheetId="19">#REF!</definedName>
    <definedName name="_PPC64">#REF!</definedName>
    <definedName name="_PPC65" localSheetId="6">#REF!</definedName>
    <definedName name="_PPC65" localSheetId="12">#REF!</definedName>
    <definedName name="_PPC65" localSheetId="19">#REF!</definedName>
    <definedName name="_PPC65">#REF!</definedName>
    <definedName name="_PPC66" localSheetId="6">#REF!</definedName>
    <definedName name="_PPC66" localSheetId="12">#REF!</definedName>
    <definedName name="_PPC66" localSheetId="19">#REF!</definedName>
    <definedName name="_PPC66">#REF!</definedName>
    <definedName name="_PPC67" localSheetId="6">#REF!</definedName>
    <definedName name="_PPC67" localSheetId="12">#REF!</definedName>
    <definedName name="_PPC67" localSheetId="19">#REF!</definedName>
    <definedName name="_PPC67">#REF!</definedName>
    <definedName name="_PPC68" localSheetId="6">#REF!</definedName>
    <definedName name="_PPC68" localSheetId="12">#REF!</definedName>
    <definedName name="_PPC68" localSheetId="19">#REF!</definedName>
    <definedName name="_PPC68">#REF!</definedName>
    <definedName name="_PPC69" localSheetId="6">#REF!</definedName>
    <definedName name="_PPC69" localSheetId="12">#REF!</definedName>
    <definedName name="_PPC69" localSheetId="19">#REF!</definedName>
    <definedName name="_PPC69">#REF!</definedName>
    <definedName name="_PPC7" localSheetId="6">#REF!</definedName>
    <definedName name="_PPC7" localSheetId="12">#REF!</definedName>
    <definedName name="_PPC7" localSheetId="19">#REF!</definedName>
    <definedName name="_PPC7">#REF!</definedName>
    <definedName name="_PPC70" localSheetId="6">#REF!</definedName>
    <definedName name="_PPC70" localSheetId="12">#REF!</definedName>
    <definedName name="_PPC70" localSheetId="19">#REF!</definedName>
    <definedName name="_PPC70">#REF!</definedName>
    <definedName name="_PPC71" localSheetId="6">#REF!</definedName>
    <definedName name="_PPC71" localSheetId="12">#REF!</definedName>
    <definedName name="_PPC71" localSheetId="19">#REF!</definedName>
    <definedName name="_PPC71">#REF!</definedName>
    <definedName name="_PPC72" localSheetId="6">#REF!</definedName>
    <definedName name="_PPC72" localSheetId="12">#REF!</definedName>
    <definedName name="_PPC72" localSheetId="19">#REF!</definedName>
    <definedName name="_PPC72">#REF!</definedName>
    <definedName name="_PPC73" localSheetId="6">#REF!</definedName>
    <definedName name="_PPC73" localSheetId="12">#REF!</definedName>
    <definedName name="_PPC73" localSheetId="19">#REF!</definedName>
    <definedName name="_PPC73">#REF!</definedName>
    <definedName name="_PPC74" localSheetId="6">#REF!</definedName>
    <definedName name="_PPC74" localSheetId="12">#REF!</definedName>
    <definedName name="_PPC74" localSheetId="19">#REF!</definedName>
    <definedName name="_PPC74">#REF!</definedName>
    <definedName name="_PPC75" localSheetId="6">#REF!</definedName>
    <definedName name="_PPC75" localSheetId="12">#REF!</definedName>
    <definedName name="_PPC75" localSheetId="19">#REF!</definedName>
    <definedName name="_PPC75">#REF!</definedName>
    <definedName name="_PPC76" localSheetId="6">#REF!</definedName>
    <definedName name="_PPC76" localSheetId="12">#REF!</definedName>
    <definedName name="_PPC76" localSheetId="19">#REF!</definedName>
    <definedName name="_PPC76">#REF!</definedName>
    <definedName name="_PPC77" localSheetId="6">#REF!</definedName>
    <definedName name="_PPC77" localSheetId="12">#REF!</definedName>
    <definedName name="_PPC77" localSheetId="19">#REF!</definedName>
    <definedName name="_PPC77">#REF!</definedName>
    <definedName name="_PPC78" localSheetId="6">#REF!</definedName>
    <definedName name="_PPC78" localSheetId="12">#REF!</definedName>
    <definedName name="_PPC78" localSheetId="19">#REF!</definedName>
    <definedName name="_PPC78">#REF!</definedName>
    <definedName name="_PPC79" localSheetId="6">#REF!</definedName>
    <definedName name="_PPC79" localSheetId="12">#REF!</definedName>
    <definedName name="_PPC79" localSheetId="19">#REF!</definedName>
    <definedName name="_PPC79">#REF!</definedName>
    <definedName name="_PPC8" localSheetId="6">#REF!</definedName>
    <definedName name="_PPC8" localSheetId="12">#REF!</definedName>
    <definedName name="_PPC8" localSheetId="19">#REF!</definedName>
    <definedName name="_PPC8">#REF!</definedName>
    <definedName name="_PPC80" localSheetId="6">#REF!</definedName>
    <definedName name="_PPC80" localSheetId="12">#REF!</definedName>
    <definedName name="_PPC80" localSheetId="19">#REF!</definedName>
    <definedName name="_PPC80">#REF!</definedName>
    <definedName name="_PPC81" localSheetId="6">#REF!</definedName>
    <definedName name="_PPC81" localSheetId="12">#REF!</definedName>
    <definedName name="_PPC81" localSheetId="19">#REF!</definedName>
    <definedName name="_PPC81">#REF!</definedName>
    <definedName name="_PPC82" localSheetId="6">#REF!</definedName>
    <definedName name="_PPC82" localSheetId="12">#REF!</definedName>
    <definedName name="_PPC82" localSheetId="19">#REF!</definedName>
    <definedName name="_PPC82">#REF!</definedName>
    <definedName name="_PPC83" localSheetId="6">#REF!</definedName>
    <definedName name="_PPC83" localSheetId="12">#REF!</definedName>
    <definedName name="_PPC83" localSheetId="19">#REF!</definedName>
    <definedName name="_PPC83">#REF!</definedName>
    <definedName name="_PPC84" localSheetId="6">#REF!</definedName>
    <definedName name="_PPC84" localSheetId="12">#REF!</definedName>
    <definedName name="_PPC84" localSheetId="19">#REF!</definedName>
    <definedName name="_PPC84">#REF!</definedName>
    <definedName name="_PPC85" localSheetId="6">#REF!</definedName>
    <definedName name="_PPC85" localSheetId="12">#REF!</definedName>
    <definedName name="_PPC85" localSheetId="19">#REF!</definedName>
    <definedName name="_PPC85">#REF!</definedName>
    <definedName name="_PPC86" localSheetId="6">#REF!</definedName>
    <definedName name="_PPC86" localSheetId="12">#REF!</definedName>
    <definedName name="_PPC86" localSheetId="19">#REF!</definedName>
    <definedName name="_PPC86">#REF!</definedName>
    <definedName name="_PPC87" localSheetId="6">#REF!</definedName>
    <definedName name="_PPC87" localSheetId="12">#REF!</definedName>
    <definedName name="_PPC87" localSheetId="19">#REF!</definedName>
    <definedName name="_PPC87">#REF!</definedName>
    <definedName name="_PPC88" localSheetId="6">#REF!</definedName>
    <definedName name="_PPC88" localSheetId="12">#REF!</definedName>
    <definedName name="_PPC88" localSheetId="19">#REF!</definedName>
    <definedName name="_PPC88">#REF!</definedName>
    <definedName name="_PPC89" localSheetId="6">#REF!</definedName>
    <definedName name="_PPC89" localSheetId="12">#REF!</definedName>
    <definedName name="_PPC89" localSheetId="19">#REF!</definedName>
    <definedName name="_PPC89">#REF!</definedName>
    <definedName name="_PPC9" localSheetId="6">#REF!</definedName>
    <definedName name="_PPC9" localSheetId="12">#REF!</definedName>
    <definedName name="_PPC9" localSheetId="19">#REF!</definedName>
    <definedName name="_PPC9">#REF!</definedName>
    <definedName name="_PPC90" localSheetId="6">#REF!</definedName>
    <definedName name="_PPC90" localSheetId="12">#REF!</definedName>
    <definedName name="_PPC90" localSheetId="19">#REF!</definedName>
    <definedName name="_PPC90">#REF!</definedName>
    <definedName name="_PPC91" localSheetId="6">#REF!</definedName>
    <definedName name="_PPC91" localSheetId="12">#REF!</definedName>
    <definedName name="_PPC91" localSheetId="19">#REF!</definedName>
    <definedName name="_PPC91">#REF!</definedName>
    <definedName name="_PPC92" localSheetId="6">#REF!</definedName>
    <definedName name="_PPC92" localSheetId="12">#REF!</definedName>
    <definedName name="_PPC92" localSheetId="19">#REF!</definedName>
    <definedName name="_PPC92">#REF!</definedName>
    <definedName name="_PPC93" localSheetId="6">#REF!</definedName>
    <definedName name="_PPC93" localSheetId="12">#REF!</definedName>
    <definedName name="_PPC93" localSheetId="19">#REF!</definedName>
    <definedName name="_PPC93">#REF!</definedName>
    <definedName name="_PPC94" localSheetId="6">#REF!</definedName>
    <definedName name="_PPC94" localSheetId="12">#REF!</definedName>
    <definedName name="_PPC94" localSheetId="19">#REF!</definedName>
    <definedName name="_PPC94">#REF!</definedName>
    <definedName name="_PPC95" localSheetId="6">#REF!</definedName>
    <definedName name="_PPC95" localSheetId="12">#REF!</definedName>
    <definedName name="_PPC95" localSheetId="19">#REF!</definedName>
    <definedName name="_PPC95">#REF!</definedName>
    <definedName name="_PPD114" localSheetId="6">#REF!</definedName>
    <definedName name="_PPD114" localSheetId="12">#REF!</definedName>
    <definedName name="_PPD114" localSheetId="19">#REF!</definedName>
    <definedName name="_PPD114">#REF!</definedName>
    <definedName name="_PPD89" localSheetId="6">#REF!</definedName>
    <definedName name="_PPD89" localSheetId="12">#REF!</definedName>
    <definedName name="_PPD89" localSheetId="19">#REF!</definedName>
    <definedName name="_PPD89">#REF!</definedName>
    <definedName name="_psc10006" localSheetId="6">#REF!</definedName>
    <definedName name="_psc10006" localSheetId="12">#REF!</definedName>
    <definedName name="_psc10006" localSheetId="34">#REF!</definedName>
    <definedName name="_psc10006" localSheetId="19">#REF!</definedName>
    <definedName name="_psc10006">#REF!</definedName>
    <definedName name="_psc10008" localSheetId="6">#REF!</definedName>
    <definedName name="_psc10008" localSheetId="12">#REF!</definedName>
    <definedName name="_psc10008" localSheetId="34">#REF!</definedName>
    <definedName name="_psc10008" localSheetId="19">#REF!</definedName>
    <definedName name="_psc10008">#REF!</definedName>
    <definedName name="_psc3506" localSheetId="6">#REF!</definedName>
    <definedName name="_psc3506" localSheetId="12">#REF!</definedName>
    <definedName name="_psc3506" localSheetId="34">#REF!</definedName>
    <definedName name="_psc3506" localSheetId="19">#REF!</definedName>
    <definedName name="_psc3506">#REF!</definedName>
    <definedName name="_psc3508" localSheetId="6">#REF!</definedName>
    <definedName name="_psc3508" localSheetId="12">#REF!</definedName>
    <definedName name="_psc3508" localSheetId="34">#REF!</definedName>
    <definedName name="_psc3508" localSheetId="19">#REF!</definedName>
    <definedName name="_psc3508">#REF!</definedName>
    <definedName name="_psc4006" localSheetId="6">#REF!</definedName>
    <definedName name="_psc4006" localSheetId="12">#REF!</definedName>
    <definedName name="_psc4006" localSheetId="34">#REF!</definedName>
    <definedName name="_psc4006" localSheetId="19">#REF!</definedName>
    <definedName name="_psc4006">#REF!</definedName>
    <definedName name="_psc4008" localSheetId="6">#REF!</definedName>
    <definedName name="_psc4008" localSheetId="12">#REF!</definedName>
    <definedName name="_psc4008" localSheetId="34">#REF!</definedName>
    <definedName name="_psc4008" localSheetId="19">#REF!</definedName>
    <definedName name="_psc4008">#REF!</definedName>
    <definedName name="_psc4506" localSheetId="6">#REF!</definedName>
    <definedName name="_psc4506" localSheetId="12">#REF!</definedName>
    <definedName name="_psc4506" localSheetId="34">#REF!</definedName>
    <definedName name="_psc4506" localSheetId="19">#REF!</definedName>
    <definedName name="_psc4506">#REF!</definedName>
    <definedName name="_psc4508" localSheetId="6">#REF!</definedName>
    <definedName name="_psc4508" localSheetId="12">#REF!</definedName>
    <definedName name="_psc4508" localSheetId="34">#REF!</definedName>
    <definedName name="_psc4508" localSheetId="19">#REF!</definedName>
    <definedName name="_psc4508">#REF!</definedName>
    <definedName name="_psc5006" localSheetId="6">#REF!</definedName>
    <definedName name="_psc5006" localSheetId="12">#REF!</definedName>
    <definedName name="_psc5006" localSheetId="34">#REF!</definedName>
    <definedName name="_psc5006" localSheetId="19">#REF!</definedName>
    <definedName name="_psc5006">#REF!</definedName>
    <definedName name="_psc5008" localSheetId="6">#REF!</definedName>
    <definedName name="_psc5008" localSheetId="12">#REF!</definedName>
    <definedName name="_psc5008" localSheetId="34">#REF!</definedName>
    <definedName name="_psc5008" localSheetId="19">#REF!</definedName>
    <definedName name="_psc5008">#REF!</definedName>
    <definedName name="_psc6006" localSheetId="6">#REF!</definedName>
    <definedName name="_psc6006" localSheetId="12">#REF!</definedName>
    <definedName name="_psc6006" localSheetId="34">#REF!</definedName>
    <definedName name="_psc6006" localSheetId="19">#REF!</definedName>
    <definedName name="_psc6006">#REF!</definedName>
    <definedName name="_psc6008" localSheetId="6">#REF!</definedName>
    <definedName name="_psc6008" localSheetId="12">#REF!</definedName>
    <definedName name="_psc6008" localSheetId="34">#REF!</definedName>
    <definedName name="_psc6008" localSheetId="19">#REF!</definedName>
    <definedName name="_psc6008">#REF!</definedName>
    <definedName name="_psc7006" localSheetId="6">#REF!</definedName>
    <definedName name="_psc7006" localSheetId="12">#REF!</definedName>
    <definedName name="_psc7006" localSheetId="34">#REF!</definedName>
    <definedName name="_psc7006" localSheetId="19">#REF!</definedName>
    <definedName name="_psc7006">#REF!</definedName>
    <definedName name="_psc7008" localSheetId="6">#REF!</definedName>
    <definedName name="_psc7008" localSheetId="12">#REF!</definedName>
    <definedName name="_psc7008" localSheetId="34">#REF!</definedName>
    <definedName name="_psc7008" localSheetId="19">#REF!</definedName>
    <definedName name="_psc7008">#REF!</definedName>
    <definedName name="_psc8006" localSheetId="6">#REF!</definedName>
    <definedName name="_psc8006" localSheetId="12">#REF!</definedName>
    <definedName name="_psc8006" localSheetId="34">#REF!</definedName>
    <definedName name="_psc8006" localSheetId="19">#REF!</definedName>
    <definedName name="_psc8006">#REF!</definedName>
    <definedName name="_psc8008" localSheetId="6">#REF!</definedName>
    <definedName name="_psc8008" localSheetId="12">#REF!</definedName>
    <definedName name="_psc8008" localSheetId="34">#REF!</definedName>
    <definedName name="_psc8008" localSheetId="19">#REF!</definedName>
    <definedName name="_psc8008">#REF!</definedName>
    <definedName name="_psc9006" localSheetId="6">#REF!</definedName>
    <definedName name="_psc9006" localSheetId="12">#REF!</definedName>
    <definedName name="_psc9006" localSheetId="34">#REF!</definedName>
    <definedName name="_psc9006" localSheetId="19">#REF!</definedName>
    <definedName name="_psc9006">#REF!</definedName>
    <definedName name="_psc9008" localSheetId="6">#REF!</definedName>
    <definedName name="_psc9008" localSheetId="12">#REF!</definedName>
    <definedName name="_psc9008" localSheetId="34">#REF!</definedName>
    <definedName name="_psc9008" localSheetId="19">#REF!</definedName>
    <definedName name="_psc9008">#REF!</definedName>
    <definedName name="_pv1" localSheetId="5">#REF!</definedName>
    <definedName name="_pv1" localSheetId="6">#REF!</definedName>
    <definedName name="_pv1" localSheetId="12">#REF!</definedName>
    <definedName name="_pv1" localSheetId="19">#REF!</definedName>
    <definedName name="_pv1" localSheetId="30">#REF!</definedName>
    <definedName name="_pv1">#REF!</definedName>
    <definedName name="_pv2" localSheetId="22">#REF!</definedName>
    <definedName name="_pv2" localSheetId="5">#REF!</definedName>
    <definedName name="_pv2" localSheetId="6">#REF!</definedName>
    <definedName name="_pv2" localSheetId="12">#REF!</definedName>
    <definedName name="_pv2" localSheetId="34">#REF!</definedName>
    <definedName name="_pv2" localSheetId="19">#REF!</definedName>
    <definedName name="_pv2" localSheetId="30">#REF!</definedName>
    <definedName name="_pv2" localSheetId="40">#REF!</definedName>
    <definedName name="_pv2" localSheetId="26">#REF!</definedName>
    <definedName name="_pv2">#REF!</definedName>
    <definedName name="_pv2_23">"$#REF!.$#REF!$#REF!"</definedName>
    <definedName name="_pv2_32">"$#REF!.$#REF!$#REF!"</definedName>
    <definedName name="_pv2_33">"$#REF!.$#REF!$#REF!"</definedName>
    <definedName name="_pv2_34">"$#REF!.$#REF!$#REF!"</definedName>
    <definedName name="_pv2_38">"$#REF!.$#REF!$#REF!"</definedName>
    <definedName name="_pv2_41">"$#REF!.$#REF!$#REF!"</definedName>
    <definedName name="_pv2_43">"$#REF!.$#REF!$#REF!"</definedName>
    <definedName name="_pv2_48">"$#REF!.$#REF!$#REF!"</definedName>
    <definedName name="_pv2_56">"$#REF!.$#REF!$#REF!"</definedName>
    <definedName name="_pv2_57">"$#REF!.$#REF!$#REF!"</definedName>
    <definedName name="_pv2_59">"$#REF!.$#REF!$#REF!"</definedName>
    <definedName name="_pv2_60">"$#REF!.$#REF!$#REF!"</definedName>
    <definedName name="_pv2_61">"$#REF!.$#REF!$#REF!"</definedName>
    <definedName name="_pv2_62">"$#REF!.$#REF!$#REF!"</definedName>
    <definedName name="_pv2_7">"$#REF!.$#REF!$#REF!"</definedName>
    <definedName name="_pv2_72">"$#REF!.$#REF!$#REF!"</definedName>
    <definedName name="_pv2_73">"$#REF!.$#REF!$#REF!"</definedName>
    <definedName name="_pv2_8">"$#REF!.$#REF!$#REF!"</definedName>
    <definedName name="_QUA" localSheetId="5">#REF!</definedName>
    <definedName name="_QUA" localSheetId="6">#REF!</definedName>
    <definedName name="_QUA" localSheetId="12">#REF!</definedName>
    <definedName name="_QUA" localSheetId="34">#REF!</definedName>
    <definedName name="_QUA" localSheetId="19">#REF!</definedName>
    <definedName name="_QUA" localSheetId="30">#REF!</definedName>
    <definedName name="_QUA">#REF!</definedName>
    <definedName name="_QUA_33">"$#REF!.$#REF!$#REF!"</definedName>
    <definedName name="_QUA_RABBISH" localSheetId="5">#REF!</definedName>
    <definedName name="_QUA_RABBISH" localSheetId="6">#REF!</definedName>
    <definedName name="_QUA_RABBISH" localSheetId="12">#REF!</definedName>
    <definedName name="_QUA_RABBISH" localSheetId="34">#REF!</definedName>
    <definedName name="_QUA_RABBISH" localSheetId="19">#REF!</definedName>
    <definedName name="_QUA_RABBISH" localSheetId="30">#REF!</definedName>
    <definedName name="_QUA_RABBISH">#REF!</definedName>
    <definedName name="_QUA_RABBISH_33">"$#REF!.$#REF!$#REF!"</definedName>
    <definedName name="_rabbit" localSheetId="6">#REF!</definedName>
    <definedName name="_rabbit" localSheetId="12">#REF!</definedName>
    <definedName name="_rabbit" localSheetId="34">#REF!</definedName>
    <definedName name="_rabbit" localSheetId="19">#REF!</definedName>
    <definedName name="_rabbit">#REF!</definedName>
    <definedName name="_rr3_32" localSheetId="27">#REF!</definedName>
    <definedName name="_rr3_32">#REF!</definedName>
    <definedName name="_rr3_33">#REF!</definedName>
    <definedName name="_rr3_34">#REF!</definedName>
    <definedName name="_rr3_43">#REF!</definedName>
    <definedName name="_rr3_56">#REF!</definedName>
    <definedName name="_rr3_59">#REF!</definedName>
    <definedName name="_rr3_61">#REF!</definedName>
    <definedName name="_rrr1_32" localSheetId="27">#REF!</definedName>
    <definedName name="_rrr1_32">#REF!</definedName>
    <definedName name="_rrr1_33">#REF!</definedName>
    <definedName name="_rrr1_34">#REF!</definedName>
    <definedName name="_rrr1_43">#REF!</definedName>
    <definedName name="_rrr1_56">#REF!</definedName>
    <definedName name="_rrr1_59">#REF!</definedName>
    <definedName name="_rrr1_61">#REF!</definedName>
    <definedName name="_RS300" localSheetId="6">#REF!</definedName>
    <definedName name="_RS300" localSheetId="12">#REF!</definedName>
    <definedName name="_RS300" localSheetId="19">#REF!</definedName>
    <definedName name="_RS300">#REF!</definedName>
    <definedName name="_S06" localSheetId="5">#REF!</definedName>
    <definedName name="_S06" localSheetId="6">#REF!</definedName>
    <definedName name="_S06" localSheetId="12">#REF!</definedName>
    <definedName name="_S06" localSheetId="34">#REF!</definedName>
    <definedName name="_S06" localSheetId="19">#REF!</definedName>
    <definedName name="_S06" localSheetId="30">#REF!</definedName>
    <definedName name="_S06">#REF!</definedName>
    <definedName name="_S06_33">"$#REF!.$#REF!$#REF!"</definedName>
    <definedName name="_s1" localSheetId="6">#REF!</definedName>
    <definedName name="_s1" localSheetId="12">#REF!</definedName>
    <definedName name="_s1" localSheetId="34">#REF!</definedName>
    <definedName name="_s1" localSheetId="19">#REF!</definedName>
    <definedName name="_s1">#REF!</definedName>
    <definedName name="_S10" localSheetId="5">#REF!</definedName>
    <definedName name="_S10" localSheetId="6">#REF!</definedName>
    <definedName name="_S10" localSheetId="12">#REF!</definedName>
    <definedName name="_S10" localSheetId="34">#REF!</definedName>
    <definedName name="_S10" localSheetId="19">#REF!</definedName>
    <definedName name="_S10" localSheetId="30">#REF!</definedName>
    <definedName name="_S10">#REF!</definedName>
    <definedName name="_S10_33">"$#REF!.$#REF!$#REF!"</definedName>
    <definedName name="_S100" localSheetId="5">#REF!</definedName>
    <definedName name="_S100" localSheetId="6">#REF!</definedName>
    <definedName name="_S100" localSheetId="12">#REF!</definedName>
    <definedName name="_S100" localSheetId="34">#REF!</definedName>
    <definedName name="_S100" localSheetId="19">#REF!</definedName>
    <definedName name="_S100" localSheetId="30">#REF!</definedName>
    <definedName name="_S100">#REF!</definedName>
    <definedName name="_S100_33">"$#REF!.$#REF!$#REF!"</definedName>
    <definedName name="_S12" localSheetId="5">#REF!</definedName>
    <definedName name="_S12" localSheetId="6">#REF!</definedName>
    <definedName name="_S12" localSheetId="12">#REF!</definedName>
    <definedName name="_S12" localSheetId="34">#REF!</definedName>
    <definedName name="_S12" localSheetId="19">#REF!</definedName>
    <definedName name="_S12" localSheetId="30">#REF!</definedName>
    <definedName name="_S12">#REF!</definedName>
    <definedName name="_S12_33">"$#REF!.$#REF!$#REF!"</definedName>
    <definedName name="_s2" localSheetId="6">#REF!</definedName>
    <definedName name="_s2" localSheetId="12">#REF!</definedName>
    <definedName name="_s2" localSheetId="19">#REF!</definedName>
    <definedName name="_s2">#REF!</definedName>
    <definedName name="_S20" localSheetId="5">#REF!</definedName>
    <definedName name="_S20" localSheetId="6">#REF!</definedName>
    <definedName name="_S20" localSheetId="12">#REF!</definedName>
    <definedName name="_S20" localSheetId="34">#REF!</definedName>
    <definedName name="_S20" localSheetId="19">#REF!</definedName>
    <definedName name="_S20" localSheetId="30">#REF!</definedName>
    <definedName name="_S20">#REF!</definedName>
    <definedName name="_S20_33">"$#REF!.$#REF!$#REF!"</definedName>
    <definedName name="_S25" localSheetId="5">#REF!</definedName>
    <definedName name="_S25" localSheetId="6">#REF!</definedName>
    <definedName name="_S25" localSheetId="12">#REF!</definedName>
    <definedName name="_S25" localSheetId="34">#REF!</definedName>
    <definedName name="_S25" localSheetId="19">#REF!</definedName>
    <definedName name="_S25" localSheetId="30">#REF!</definedName>
    <definedName name="_S25">#REF!</definedName>
    <definedName name="_S25_33">"$#REF!.$#REF!$#REF!"</definedName>
    <definedName name="_S40" localSheetId="5">#REF!</definedName>
    <definedName name="_S40" localSheetId="6">#REF!</definedName>
    <definedName name="_S40" localSheetId="12">#REF!</definedName>
    <definedName name="_S40" localSheetId="34">#REF!</definedName>
    <definedName name="_S40" localSheetId="19">#REF!</definedName>
    <definedName name="_S40" localSheetId="30">#REF!</definedName>
    <definedName name="_S40">#REF!</definedName>
    <definedName name="_S40_33">"$#REF!.$#REF!$#REF!"</definedName>
    <definedName name="_S50" localSheetId="5">#REF!</definedName>
    <definedName name="_S50" localSheetId="6">#REF!</definedName>
    <definedName name="_S50" localSheetId="12">#REF!</definedName>
    <definedName name="_S50" localSheetId="34">#REF!</definedName>
    <definedName name="_S50" localSheetId="19">#REF!</definedName>
    <definedName name="_S50" localSheetId="30">#REF!</definedName>
    <definedName name="_S50">#REF!</definedName>
    <definedName name="_S50_33">"$#REF!.$#REF!$#REF!"</definedName>
    <definedName name="_S60" localSheetId="5">#REF!</definedName>
    <definedName name="_S60" localSheetId="6">#REF!</definedName>
    <definedName name="_S60" localSheetId="12">#REF!</definedName>
    <definedName name="_S60" localSheetId="34">#REF!</definedName>
    <definedName name="_S60" localSheetId="19">#REF!</definedName>
    <definedName name="_S60" localSheetId="30">#REF!</definedName>
    <definedName name="_S60">#REF!</definedName>
    <definedName name="_S60_33">"$#REF!.$#REF!$#REF!"</definedName>
    <definedName name="_S65" localSheetId="5">#REF!</definedName>
    <definedName name="_S65" localSheetId="6">#REF!</definedName>
    <definedName name="_S65" localSheetId="12">#REF!</definedName>
    <definedName name="_S65" localSheetId="34">#REF!</definedName>
    <definedName name="_S65" localSheetId="19">#REF!</definedName>
    <definedName name="_S65" localSheetId="30">#REF!</definedName>
    <definedName name="_S65">#REF!</definedName>
    <definedName name="_S65_33">"$#REF!.$#REF!$#REF!"</definedName>
    <definedName name="_S75" localSheetId="5">#REF!</definedName>
    <definedName name="_S75" localSheetId="6">#REF!</definedName>
    <definedName name="_S75" localSheetId="12">#REF!</definedName>
    <definedName name="_S75" localSheetId="34">#REF!</definedName>
    <definedName name="_S75" localSheetId="19">#REF!</definedName>
    <definedName name="_S75" localSheetId="30">#REF!</definedName>
    <definedName name="_S75">#REF!</definedName>
    <definedName name="_S75_33">"$#REF!.$#REF!$#REF!"</definedName>
    <definedName name="_SANF" localSheetId="5">#REF!</definedName>
    <definedName name="_SANF" localSheetId="6">#REF!</definedName>
    <definedName name="_SANF" localSheetId="12">#REF!</definedName>
    <definedName name="_SANF" localSheetId="34">#REF!</definedName>
    <definedName name="_SANF" localSheetId="19">#REF!</definedName>
    <definedName name="_SANF" localSheetId="30">#REF!</definedName>
    <definedName name="_SANF">#REF!</definedName>
    <definedName name="_SANF_33">"$#REF!.$#REF!$#REF!"</definedName>
    <definedName name="_SANM" localSheetId="5">#REF!</definedName>
    <definedName name="_SANM" localSheetId="6">#REF!</definedName>
    <definedName name="_SANM" localSheetId="12">#REF!</definedName>
    <definedName name="_SANM" localSheetId="34">#REF!</definedName>
    <definedName name="_SANM" localSheetId="19">#REF!</definedName>
    <definedName name="_SANM" localSheetId="30">#REF!</definedName>
    <definedName name="_SANM">#REF!</definedName>
    <definedName name="_SANM_33">"$#REF!.$#REF!$#REF!"</definedName>
    <definedName name="_SD1" localSheetId="27">#REF!</definedName>
    <definedName name="_SD1">#REF!</definedName>
    <definedName name="_SD10" localSheetId="6">#REF!</definedName>
    <definedName name="_SD10" localSheetId="12">#REF!</definedName>
    <definedName name="_SD10" localSheetId="19">#REF!</definedName>
    <definedName name="_SD10">#REF!</definedName>
    <definedName name="_SD100" localSheetId="6">#REF!</definedName>
    <definedName name="_SD100" localSheetId="12">#REF!</definedName>
    <definedName name="_SD100" localSheetId="19">#REF!</definedName>
    <definedName name="_SD100">#REF!</definedName>
    <definedName name="_SD101" localSheetId="6">#REF!</definedName>
    <definedName name="_SD101" localSheetId="12">#REF!</definedName>
    <definedName name="_SD101" localSheetId="19">#REF!</definedName>
    <definedName name="_SD101">#REF!</definedName>
    <definedName name="_SD102" localSheetId="6">#REF!</definedName>
    <definedName name="_SD102" localSheetId="12">#REF!</definedName>
    <definedName name="_SD102" localSheetId="19">#REF!</definedName>
    <definedName name="_SD102">#REF!</definedName>
    <definedName name="_SD103" localSheetId="6">#REF!</definedName>
    <definedName name="_SD103" localSheetId="12">#REF!</definedName>
    <definedName name="_SD103" localSheetId="19">#REF!</definedName>
    <definedName name="_SD103">#REF!</definedName>
    <definedName name="_SD104" localSheetId="6">#REF!</definedName>
    <definedName name="_SD104" localSheetId="12">#REF!</definedName>
    <definedName name="_SD104" localSheetId="19">#REF!</definedName>
    <definedName name="_SD104">#REF!</definedName>
    <definedName name="_SD105" localSheetId="6">#REF!</definedName>
    <definedName name="_SD105" localSheetId="12">#REF!</definedName>
    <definedName name="_SD105" localSheetId="19">#REF!</definedName>
    <definedName name="_SD105">#REF!</definedName>
    <definedName name="_SD106" localSheetId="6">#REF!</definedName>
    <definedName name="_SD106" localSheetId="12">#REF!</definedName>
    <definedName name="_SD106" localSheetId="19">#REF!</definedName>
    <definedName name="_SD106">#REF!</definedName>
    <definedName name="_SD107" localSheetId="6">#REF!</definedName>
    <definedName name="_SD107" localSheetId="12">#REF!</definedName>
    <definedName name="_SD107" localSheetId="19">#REF!</definedName>
    <definedName name="_SD107">#REF!</definedName>
    <definedName name="_SD108" localSheetId="6">#REF!</definedName>
    <definedName name="_SD108" localSheetId="12">#REF!</definedName>
    <definedName name="_SD108" localSheetId="19">#REF!</definedName>
    <definedName name="_SD108">#REF!</definedName>
    <definedName name="_SD109" localSheetId="6">#REF!</definedName>
    <definedName name="_SD109" localSheetId="12">#REF!</definedName>
    <definedName name="_SD109" localSheetId="19">#REF!</definedName>
    <definedName name="_SD109">#REF!</definedName>
    <definedName name="_SD11" localSheetId="6">#REF!</definedName>
    <definedName name="_SD11" localSheetId="12">#REF!</definedName>
    <definedName name="_SD11" localSheetId="19">#REF!</definedName>
    <definedName name="_SD11">#REF!</definedName>
    <definedName name="_SD110" localSheetId="6">#REF!</definedName>
    <definedName name="_SD110" localSheetId="12">#REF!</definedName>
    <definedName name="_SD110" localSheetId="19">#REF!</definedName>
    <definedName name="_SD110">#REF!</definedName>
    <definedName name="_SD111" localSheetId="6">#REF!</definedName>
    <definedName name="_SD111" localSheetId="12">#REF!</definedName>
    <definedName name="_SD111" localSheetId="19">#REF!</definedName>
    <definedName name="_SD111">#REF!</definedName>
    <definedName name="_SD112" localSheetId="6">#REF!</definedName>
    <definedName name="_SD112" localSheetId="12">#REF!</definedName>
    <definedName name="_SD112" localSheetId="19">#REF!</definedName>
    <definedName name="_SD112">#REF!</definedName>
    <definedName name="_SD113" localSheetId="6">#REF!</definedName>
    <definedName name="_SD113" localSheetId="12">#REF!</definedName>
    <definedName name="_SD113" localSheetId="19">#REF!</definedName>
    <definedName name="_SD113">#REF!</definedName>
    <definedName name="_SD114" localSheetId="6">#REF!</definedName>
    <definedName name="_SD114" localSheetId="12">#REF!</definedName>
    <definedName name="_SD114" localSheetId="19">#REF!</definedName>
    <definedName name="_SD114">#REF!</definedName>
    <definedName name="_SD115" localSheetId="6">#REF!</definedName>
    <definedName name="_SD115" localSheetId="12">#REF!</definedName>
    <definedName name="_SD115" localSheetId="19">#REF!</definedName>
    <definedName name="_SD115">#REF!</definedName>
    <definedName name="_SD116" localSheetId="6">#REF!</definedName>
    <definedName name="_SD116" localSheetId="12">#REF!</definedName>
    <definedName name="_SD116" localSheetId="19">#REF!</definedName>
    <definedName name="_SD116">#REF!</definedName>
    <definedName name="_SD117" localSheetId="6">#REF!</definedName>
    <definedName name="_SD117" localSheetId="12">#REF!</definedName>
    <definedName name="_SD117" localSheetId="19">#REF!</definedName>
    <definedName name="_SD117">#REF!</definedName>
    <definedName name="_SD118" localSheetId="6">#REF!</definedName>
    <definedName name="_SD118" localSheetId="12">#REF!</definedName>
    <definedName name="_SD118" localSheetId="19">#REF!</definedName>
    <definedName name="_SD118">#REF!</definedName>
    <definedName name="_SD119" localSheetId="6">#REF!</definedName>
    <definedName name="_SD119" localSheetId="12">#REF!</definedName>
    <definedName name="_SD119" localSheetId="19">#REF!</definedName>
    <definedName name="_SD119">#REF!</definedName>
    <definedName name="_SD12" localSheetId="6">#REF!</definedName>
    <definedName name="_SD12" localSheetId="12">#REF!</definedName>
    <definedName name="_SD12" localSheetId="19">#REF!</definedName>
    <definedName name="_SD12">#REF!</definedName>
    <definedName name="_SD120" localSheetId="6">#REF!</definedName>
    <definedName name="_SD120" localSheetId="12">#REF!</definedName>
    <definedName name="_SD120" localSheetId="19">#REF!</definedName>
    <definedName name="_SD120">#REF!</definedName>
    <definedName name="_SD121" localSheetId="6">#REF!</definedName>
    <definedName name="_SD121" localSheetId="12">#REF!</definedName>
    <definedName name="_SD121" localSheetId="19">#REF!</definedName>
    <definedName name="_SD121">#REF!</definedName>
    <definedName name="_SD122" localSheetId="6">#REF!</definedName>
    <definedName name="_SD122" localSheetId="12">#REF!</definedName>
    <definedName name="_SD122" localSheetId="19">#REF!</definedName>
    <definedName name="_SD122">#REF!</definedName>
    <definedName name="_SD123" localSheetId="6">#REF!</definedName>
    <definedName name="_SD123" localSheetId="12">#REF!</definedName>
    <definedName name="_SD123" localSheetId="19">#REF!</definedName>
    <definedName name="_SD123">#REF!</definedName>
    <definedName name="_SD124" localSheetId="6">#REF!</definedName>
    <definedName name="_SD124" localSheetId="12">#REF!</definedName>
    <definedName name="_SD124" localSheetId="19">#REF!</definedName>
    <definedName name="_SD124">#REF!</definedName>
    <definedName name="_SD125" localSheetId="6">#REF!</definedName>
    <definedName name="_SD125" localSheetId="12">#REF!</definedName>
    <definedName name="_SD125" localSheetId="19">#REF!</definedName>
    <definedName name="_SD125">#REF!</definedName>
    <definedName name="_SD126" localSheetId="6">#REF!</definedName>
    <definedName name="_SD126" localSheetId="12">#REF!</definedName>
    <definedName name="_SD126" localSheetId="19">#REF!</definedName>
    <definedName name="_SD126">#REF!</definedName>
    <definedName name="_SD127" localSheetId="6">#REF!</definedName>
    <definedName name="_SD127" localSheetId="12">#REF!</definedName>
    <definedName name="_SD127" localSheetId="19">#REF!</definedName>
    <definedName name="_SD127">#REF!</definedName>
    <definedName name="_SD128" localSheetId="6">#REF!</definedName>
    <definedName name="_SD128" localSheetId="12">#REF!</definedName>
    <definedName name="_SD128" localSheetId="19">#REF!</definedName>
    <definedName name="_SD128">#REF!</definedName>
    <definedName name="_SD129" localSheetId="6">#REF!</definedName>
    <definedName name="_SD129" localSheetId="12">#REF!</definedName>
    <definedName name="_SD129" localSheetId="19">#REF!</definedName>
    <definedName name="_SD129">#REF!</definedName>
    <definedName name="_SD13" localSheetId="6">#REF!</definedName>
    <definedName name="_SD13" localSheetId="12">#REF!</definedName>
    <definedName name="_SD13" localSheetId="19">#REF!</definedName>
    <definedName name="_SD13">#REF!</definedName>
    <definedName name="_SD130" localSheetId="6">#REF!</definedName>
    <definedName name="_SD130" localSheetId="12">#REF!</definedName>
    <definedName name="_SD130" localSheetId="19">#REF!</definedName>
    <definedName name="_SD130">#REF!</definedName>
    <definedName name="_SD131" localSheetId="6">#REF!</definedName>
    <definedName name="_SD131" localSheetId="12">#REF!</definedName>
    <definedName name="_SD131" localSheetId="19">#REF!</definedName>
    <definedName name="_SD131">#REF!</definedName>
    <definedName name="_SD132" localSheetId="6">#REF!</definedName>
    <definedName name="_SD132" localSheetId="12">#REF!</definedName>
    <definedName name="_SD132" localSheetId="19">#REF!</definedName>
    <definedName name="_SD132">#REF!</definedName>
    <definedName name="_SD133" localSheetId="6">#REF!</definedName>
    <definedName name="_SD133" localSheetId="12">#REF!</definedName>
    <definedName name="_SD133" localSheetId="19">#REF!</definedName>
    <definedName name="_SD133">#REF!</definedName>
    <definedName name="_SD134" localSheetId="6">#REF!</definedName>
    <definedName name="_SD134" localSheetId="12">#REF!</definedName>
    <definedName name="_SD134" localSheetId="19">#REF!</definedName>
    <definedName name="_SD134">#REF!</definedName>
    <definedName name="_SD135" localSheetId="6">#REF!</definedName>
    <definedName name="_SD135" localSheetId="12">#REF!</definedName>
    <definedName name="_SD135" localSheetId="19">#REF!</definedName>
    <definedName name="_SD135">#REF!</definedName>
    <definedName name="_SD136" localSheetId="6">#REF!</definedName>
    <definedName name="_SD136" localSheetId="12">#REF!</definedName>
    <definedName name="_SD136" localSheetId="19">#REF!</definedName>
    <definedName name="_SD136">#REF!</definedName>
    <definedName name="_SD137" localSheetId="6">#REF!</definedName>
    <definedName name="_SD137" localSheetId="12">#REF!</definedName>
    <definedName name="_SD137" localSheetId="19">#REF!</definedName>
    <definedName name="_SD137">#REF!</definedName>
    <definedName name="_SD138" localSheetId="6">#REF!</definedName>
    <definedName name="_SD138" localSheetId="12">#REF!</definedName>
    <definedName name="_SD138" localSheetId="19">#REF!</definedName>
    <definedName name="_SD138">#REF!</definedName>
    <definedName name="_SD139" localSheetId="6">#REF!</definedName>
    <definedName name="_SD139" localSheetId="12">#REF!</definedName>
    <definedName name="_SD139" localSheetId="19">#REF!</definedName>
    <definedName name="_SD139">#REF!</definedName>
    <definedName name="_SD14" localSheetId="6">#REF!</definedName>
    <definedName name="_SD14" localSheetId="12">#REF!</definedName>
    <definedName name="_SD14" localSheetId="19">#REF!</definedName>
    <definedName name="_SD14">#REF!</definedName>
    <definedName name="_SD140" localSheetId="6">#REF!</definedName>
    <definedName name="_SD140" localSheetId="12">#REF!</definedName>
    <definedName name="_SD140" localSheetId="19">#REF!</definedName>
    <definedName name="_SD140">#REF!</definedName>
    <definedName name="_SD141" localSheetId="6">#REF!</definedName>
    <definedName name="_SD141" localSheetId="12">#REF!</definedName>
    <definedName name="_SD141" localSheetId="19">#REF!</definedName>
    <definedName name="_SD141">#REF!</definedName>
    <definedName name="_SD142" localSheetId="6">#REF!</definedName>
    <definedName name="_SD142" localSheetId="12">#REF!</definedName>
    <definedName name="_SD142" localSheetId="19">#REF!</definedName>
    <definedName name="_SD142">#REF!</definedName>
    <definedName name="_SD143" localSheetId="6">#REF!</definedName>
    <definedName name="_SD143" localSheetId="12">#REF!</definedName>
    <definedName name="_SD143" localSheetId="19">#REF!</definedName>
    <definedName name="_SD143">#REF!</definedName>
    <definedName name="_SD144" localSheetId="6">#REF!</definedName>
    <definedName name="_SD144" localSheetId="12">#REF!</definedName>
    <definedName name="_SD144" localSheetId="19">#REF!</definedName>
    <definedName name="_SD144">#REF!</definedName>
    <definedName name="_SD145" localSheetId="6">#REF!</definedName>
    <definedName name="_SD145" localSheetId="12">#REF!</definedName>
    <definedName name="_SD145" localSheetId="19">#REF!</definedName>
    <definedName name="_SD145">#REF!</definedName>
    <definedName name="_SD146" localSheetId="6">#REF!</definedName>
    <definedName name="_SD146" localSheetId="12">#REF!</definedName>
    <definedName name="_SD146" localSheetId="19">#REF!</definedName>
    <definedName name="_SD146">#REF!</definedName>
    <definedName name="_SD147" localSheetId="6">#REF!</definedName>
    <definedName name="_SD147" localSheetId="12">#REF!</definedName>
    <definedName name="_SD147" localSheetId="19">#REF!</definedName>
    <definedName name="_SD147">#REF!</definedName>
    <definedName name="_SD148" localSheetId="6">#REF!</definedName>
    <definedName name="_SD148" localSheetId="12">#REF!</definedName>
    <definedName name="_SD148" localSheetId="19">#REF!</definedName>
    <definedName name="_SD148">#REF!</definedName>
    <definedName name="_SD149" localSheetId="6">#REF!</definedName>
    <definedName name="_SD149" localSheetId="12">#REF!</definedName>
    <definedName name="_SD149" localSheetId="19">#REF!</definedName>
    <definedName name="_SD149">#REF!</definedName>
    <definedName name="_SD15" localSheetId="6">#REF!</definedName>
    <definedName name="_SD15" localSheetId="12">#REF!</definedName>
    <definedName name="_SD15" localSheetId="19">#REF!</definedName>
    <definedName name="_SD15">#REF!</definedName>
    <definedName name="_SD150" localSheetId="6">#REF!</definedName>
    <definedName name="_SD150" localSheetId="12">#REF!</definedName>
    <definedName name="_SD150" localSheetId="19">#REF!</definedName>
    <definedName name="_SD150">#REF!</definedName>
    <definedName name="_SD16" localSheetId="6">#REF!</definedName>
    <definedName name="_SD16" localSheetId="12">#REF!</definedName>
    <definedName name="_SD16" localSheetId="19">#REF!</definedName>
    <definedName name="_SD16">#REF!</definedName>
    <definedName name="_SD17" localSheetId="6">#REF!</definedName>
    <definedName name="_SD17" localSheetId="12">#REF!</definedName>
    <definedName name="_SD17" localSheetId="19">#REF!</definedName>
    <definedName name="_SD17">#REF!</definedName>
    <definedName name="_SD18" localSheetId="6">#REF!</definedName>
    <definedName name="_SD18" localSheetId="12">#REF!</definedName>
    <definedName name="_SD18" localSheetId="19">#REF!</definedName>
    <definedName name="_SD18">#REF!</definedName>
    <definedName name="_SD19" localSheetId="6">#REF!</definedName>
    <definedName name="_SD19" localSheetId="12">#REF!</definedName>
    <definedName name="_SD19" localSheetId="19">#REF!</definedName>
    <definedName name="_SD19">#REF!</definedName>
    <definedName name="_SD2" localSheetId="6">#REF!</definedName>
    <definedName name="_SD2" localSheetId="12">#REF!</definedName>
    <definedName name="_SD2" localSheetId="19">#REF!</definedName>
    <definedName name="_SD2">#REF!</definedName>
    <definedName name="_SD20" localSheetId="6">#REF!</definedName>
    <definedName name="_SD20" localSheetId="12">#REF!</definedName>
    <definedName name="_SD20" localSheetId="19">#REF!</definedName>
    <definedName name="_SD20">#REF!</definedName>
    <definedName name="_SD21" localSheetId="6">#REF!</definedName>
    <definedName name="_SD21" localSheetId="12">#REF!</definedName>
    <definedName name="_SD21" localSheetId="19">#REF!</definedName>
    <definedName name="_SD21">#REF!</definedName>
    <definedName name="_SD22" localSheetId="6">#REF!</definedName>
    <definedName name="_SD22" localSheetId="12">#REF!</definedName>
    <definedName name="_SD22" localSheetId="19">#REF!</definedName>
    <definedName name="_SD22">#REF!</definedName>
    <definedName name="_SD23" localSheetId="6">#REF!</definedName>
    <definedName name="_SD23" localSheetId="12">#REF!</definedName>
    <definedName name="_SD23" localSheetId="19">#REF!</definedName>
    <definedName name="_SD23">#REF!</definedName>
    <definedName name="_SD24" localSheetId="6">#REF!</definedName>
    <definedName name="_SD24" localSheetId="12">#REF!</definedName>
    <definedName name="_SD24" localSheetId="19">#REF!</definedName>
    <definedName name="_SD24">#REF!</definedName>
    <definedName name="_SD25" localSheetId="6">#REF!</definedName>
    <definedName name="_SD25" localSheetId="12">#REF!</definedName>
    <definedName name="_SD25" localSheetId="19">#REF!</definedName>
    <definedName name="_SD25">#REF!</definedName>
    <definedName name="_SD250" localSheetId="6">#REF!</definedName>
    <definedName name="_SD250" localSheetId="12">#REF!</definedName>
    <definedName name="_SD250" localSheetId="19">#REF!</definedName>
    <definedName name="_SD250">#REF!</definedName>
    <definedName name="_SD26" localSheetId="6">#REF!</definedName>
    <definedName name="_SD26" localSheetId="12">#REF!</definedName>
    <definedName name="_SD26" localSheetId="19">#REF!</definedName>
    <definedName name="_SD26">#REF!</definedName>
    <definedName name="_SD27" localSheetId="6">#REF!</definedName>
    <definedName name="_SD27" localSheetId="12">#REF!</definedName>
    <definedName name="_SD27" localSheetId="19">#REF!</definedName>
    <definedName name="_SD27">#REF!</definedName>
    <definedName name="_SD28" localSheetId="6">#REF!</definedName>
    <definedName name="_SD28" localSheetId="12">#REF!</definedName>
    <definedName name="_SD28" localSheetId="19">#REF!</definedName>
    <definedName name="_SD28">#REF!</definedName>
    <definedName name="_SD29" localSheetId="6">#REF!</definedName>
    <definedName name="_SD29" localSheetId="12">#REF!</definedName>
    <definedName name="_SD29" localSheetId="19">#REF!</definedName>
    <definedName name="_SD29">#REF!</definedName>
    <definedName name="_SD3" localSheetId="6">#REF!</definedName>
    <definedName name="_SD3" localSheetId="12">#REF!</definedName>
    <definedName name="_SD3" localSheetId="19">#REF!</definedName>
    <definedName name="_SD3">#REF!</definedName>
    <definedName name="_SD30" localSheetId="6">#REF!</definedName>
    <definedName name="_SD30" localSheetId="12">#REF!</definedName>
    <definedName name="_SD30" localSheetId="19">#REF!</definedName>
    <definedName name="_SD30">#REF!</definedName>
    <definedName name="_SD31" localSheetId="6">#REF!</definedName>
    <definedName name="_SD31" localSheetId="12">#REF!</definedName>
    <definedName name="_SD31" localSheetId="19">#REF!</definedName>
    <definedName name="_SD31">#REF!</definedName>
    <definedName name="_SD32" localSheetId="6">#REF!</definedName>
    <definedName name="_SD32" localSheetId="12">#REF!</definedName>
    <definedName name="_SD32" localSheetId="19">#REF!</definedName>
    <definedName name="_SD32">#REF!</definedName>
    <definedName name="_SD33" localSheetId="6">#REF!</definedName>
    <definedName name="_SD33" localSheetId="12">#REF!</definedName>
    <definedName name="_SD33" localSheetId="19">#REF!</definedName>
    <definedName name="_SD33">#REF!</definedName>
    <definedName name="_SD34" localSheetId="6">#REF!</definedName>
    <definedName name="_SD34" localSheetId="12">#REF!</definedName>
    <definedName name="_SD34" localSheetId="19">#REF!</definedName>
    <definedName name="_SD34">#REF!</definedName>
    <definedName name="_SD35" localSheetId="6">#REF!</definedName>
    <definedName name="_SD35" localSheetId="12">#REF!</definedName>
    <definedName name="_SD35" localSheetId="19">#REF!</definedName>
    <definedName name="_SD35">#REF!</definedName>
    <definedName name="_SD36" localSheetId="6">#REF!</definedName>
    <definedName name="_SD36" localSheetId="12">#REF!</definedName>
    <definedName name="_SD36" localSheetId="19">#REF!</definedName>
    <definedName name="_SD36">#REF!</definedName>
    <definedName name="_SD37" localSheetId="6">#REF!</definedName>
    <definedName name="_SD37" localSheetId="12">#REF!</definedName>
    <definedName name="_SD37" localSheetId="19">#REF!</definedName>
    <definedName name="_SD37">#REF!</definedName>
    <definedName name="_SD38" localSheetId="6">#REF!</definedName>
    <definedName name="_SD38" localSheetId="12">#REF!</definedName>
    <definedName name="_SD38" localSheetId="19">#REF!</definedName>
    <definedName name="_SD38">#REF!</definedName>
    <definedName name="_SD39" localSheetId="6">#REF!</definedName>
    <definedName name="_SD39" localSheetId="12">#REF!</definedName>
    <definedName name="_SD39" localSheetId="19">#REF!</definedName>
    <definedName name="_SD39">#REF!</definedName>
    <definedName name="_SD4" localSheetId="6">#REF!</definedName>
    <definedName name="_SD4" localSheetId="12">#REF!</definedName>
    <definedName name="_SD4" localSheetId="19">#REF!</definedName>
    <definedName name="_SD4">#REF!</definedName>
    <definedName name="_SD40" localSheetId="6">#REF!</definedName>
    <definedName name="_SD40" localSheetId="12">#REF!</definedName>
    <definedName name="_SD40" localSheetId="19">#REF!</definedName>
    <definedName name="_SD40">#REF!</definedName>
    <definedName name="_SD41" localSheetId="6">#REF!</definedName>
    <definedName name="_SD41" localSheetId="12">#REF!</definedName>
    <definedName name="_SD41" localSheetId="19">#REF!</definedName>
    <definedName name="_SD41">#REF!</definedName>
    <definedName name="_SD42" localSheetId="6">#REF!</definedName>
    <definedName name="_SD42" localSheetId="12">#REF!</definedName>
    <definedName name="_SD42" localSheetId="19">#REF!</definedName>
    <definedName name="_SD42">#REF!</definedName>
    <definedName name="_SD43" localSheetId="6">#REF!</definedName>
    <definedName name="_SD43" localSheetId="12">#REF!</definedName>
    <definedName name="_SD43" localSheetId="19">#REF!</definedName>
    <definedName name="_SD43">#REF!</definedName>
    <definedName name="_SD44" localSheetId="6">#REF!</definedName>
    <definedName name="_SD44" localSheetId="12">#REF!</definedName>
    <definedName name="_SD44" localSheetId="19">#REF!</definedName>
    <definedName name="_SD44">#REF!</definedName>
    <definedName name="_SD45" localSheetId="6">#REF!</definedName>
    <definedName name="_SD45" localSheetId="12">#REF!</definedName>
    <definedName name="_SD45" localSheetId="19">#REF!</definedName>
    <definedName name="_SD45">#REF!</definedName>
    <definedName name="_SD46" localSheetId="6">#REF!</definedName>
    <definedName name="_SD46" localSheetId="12">#REF!</definedName>
    <definedName name="_SD46" localSheetId="19">#REF!</definedName>
    <definedName name="_SD46">#REF!</definedName>
    <definedName name="_SD47" localSheetId="6">#REF!</definedName>
    <definedName name="_SD47" localSheetId="12">#REF!</definedName>
    <definedName name="_SD47" localSheetId="19">#REF!</definedName>
    <definedName name="_SD47">#REF!</definedName>
    <definedName name="_SD48" localSheetId="6">#REF!</definedName>
    <definedName name="_SD48" localSheetId="12">#REF!</definedName>
    <definedName name="_SD48" localSheetId="19">#REF!</definedName>
    <definedName name="_SD48">#REF!</definedName>
    <definedName name="_SD49" localSheetId="6">#REF!</definedName>
    <definedName name="_SD49" localSheetId="12">#REF!</definedName>
    <definedName name="_SD49" localSheetId="19">#REF!</definedName>
    <definedName name="_SD49">#REF!</definedName>
    <definedName name="_SD5" localSheetId="6">#REF!</definedName>
    <definedName name="_SD5" localSheetId="12">#REF!</definedName>
    <definedName name="_SD5" localSheetId="19">#REF!</definedName>
    <definedName name="_SD5">#REF!</definedName>
    <definedName name="_SD50" localSheetId="6">#REF!</definedName>
    <definedName name="_SD50" localSheetId="12">#REF!</definedName>
    <definedName name="_SD50" localSheetId="19">#REF!</definedName>
    <definedName name="_SD50">#REF!</definedName>
    <definedName name="_SD500" localSheetId="6">#REF!</definedName>
    <definedName name="_SD500" localSheetId="12">#REF!</definedName>
    <definedName name="_SD500" localSheetId="19">#REF!</definedName>
    <definedName name="_SD500">#REF!</definedName>
    <definedName name="_SD51" localSheetId="6">#REF!</definedName>
    <definedName name="_SD51" localSheetId="12">#REF!</definedName>
    <definedName name="_SD51" localSheetId="19">#REF!</definedName>
    <definedName name="_SD51">#REF!</definedName>
    <definedName name="_SD52" localSheetId="6">#REF!</definedName>
    <definedName name="_SD52" localSheetId="12">#REF!</definedName>
    <definedName name="_SD52" localSheetId="19">#REF!</definedName>
    <definedName name="_SD52">#REF!</definedName>
    <definedName name="_SD53" localSheetId="6">#REF!</definedName>
    <definedName name="_SD53" localSheetId="12">#REF!</definedName>
    <definedName name="_SD53" localSheetId="19">#REF!</definedName>
    <definedName name="_SD53">#REF!</definedName>
    <definedName name="_SD54" localSheetId="6">#REF!</definedName>
    <definedName name="_SD54" localSheetId="12">#REF!</definedName>
    <definedName name="_SD54" localSheetId="19">#REF!</definedName>
    <definedName name="_SD54">#REF!</definedName>
    <definedName name="_SD55" localSheetId="6">#REF!</definedName>
    <definedName name="_SD55" localSheetId="12">#REF!</definedName>
    <definedName name="_SD55" localSheetId="19">#REF!</definedName>
    <definedName name="_SD55">#REF!</definedName>
    <definedName name="_SD56" localSheetId="6">#REF!</definedName>
    <definedName name="_SD56" localSheetId="12">#REF!</definedName>
    <definedName name="_SD56" localSheetId="19">#REF!</definedName>
    <definedName name="_SD56">#REF!</definedName>
    <definedName name="_SD57" localSheetId="6">#REF!</definedName>
    <definedName name="_SD57" localSheetId="12">#REF!</definedName>
    <definedName name="_SD57" localSheetId="19">#REF!</definedName>
    <definedName name="_SD57">#REF!</definedName>
    <definedName name="_SD58" localSheetId="6">#REF!</definedName>
    <definedName name="_SD58" localSheetId="12">#REF!</definedName>
    <definedName name="_SD58" localSheetId="19">#REF!</definedName>
    <definedName name="_SD58">#REF!</definedName>
    <definedName name="_SD59" localSheetId="6">#REF!</definedName>
    <definedName name="_SD59" localSheetId="12">#REF!</definedName>
    <definedName name="_SD59" localSheetId="19">#REF!</definedName>
    <definedName name="_SD59">#REF!</definedName>
    <definedName name="_SD6" localSheetId="6">#REF!</definedName>
    <definedName name="_SD6" localSheetId="12">#REF!</definedName>
    <definedName name="_SD6" localSheetId="19">#REF!</definedName>
    <definedName name="_SD6">#REF!</definedName>
    <definedName name="_SD60" localSheetId="6">#REF!</definedName>
    <definedName name="_SD60" localSheetId="12">#REF!</definedName>
    <definedName name="_SD60" localSheetId="19">#REF!</definedName>
    <definedName name="_SD60">#REF!</definedName>
    <definedName name="_SD61" localSheetId="6">#REF!</definedName>
    <definedName name="_SD61" localSheetId="12">#REF!</definedName>
    <definedName name="_SD61" localSheetId="19">#REF!</definedName>
    <definedName name="_SD61">#REF!</definedName>
    <definedName name="_SD62" localSheetId="6">#REF!</definedName>
    <definedName name="_SD62" localSheetId="12">#REF!</definedName>
    <definedName name="_SD62" localSheetId="19">#REF!</definedName>
    <definedName name="_SD62">#REF!</definedName>
    <definedName name="_SD63" localSheetId="6">#REF!</definedName>
    <definedName name="_SD63" localSheetId="12">#REF!</definedName>
    <definedName name="_SD63" localSheetId="19">#REF!</definedName>
    <definedName name="_SD63">#REF!</definedName>
    <definedName name="_SD64" localSheetId="6">#REF!</definedName>
    <definedName name="_SD64" localSheetId="12">#REF!</definedName>
    <definedName name="_SD64" localSheetId="19">#REF!</definedName>
    <definedName name="_SD64">#REF!</definedName>
    <definedName name="_SD65" localSheetId="6">#REF!</definedName>
    <definedName name="_SD65" localSheetId="12">#REF!</definedName>
    <definedName name="_SD65" localSheetId="19">#REF!</definedName>
    <definedName name="_SD65">#REF!</definedName>
    <definedName name="_SD66" localSheetId="6">#REF!</definedName>
    <definedName name="_SD66" localSheetId="12">#REF!</definedName>
    <definedName name="_SD66" localSheetId="19">#REF!</definedName>
    <definedName name="_SD66">#REF!</definedName>
    <definedName name="_SD67" localSheetId="6">#REF!</definedName>
    <definedName name="_SD67" localSheetId="12">#REF!</definedName>
    <definedName name="_SD67" localSheetId="19">#REF!</definedName>
    <definedName name="_SD67">#REF!</definedName>
    <definedName name="_SD68" localSheetId="6">#REF!</definedName>
    <definedName name="_SD68" localSheetId="12">#REF!</definedName>
    <definedName name="_SD68" localSheetId="19">#REF!</definedName>
    <definedName name="_SD68">#REF!</definedName>
    <definedName name="_SD69" localSheetId="6">#REF!</definedName>
    <definedName name="_SD69" localSheetId="12">#REF!</definedName>
    <definedName name="_SD69" localSheetId="19">#REF!</definedName>
    <definedName name="_SD69">#REF!</definedName>
    <definedName name="_SD7" localSheetId="6">#REF!</definedName>
    <definedName name="_SD7" localSheetId="12">#REF!</definedName>
    <definedName name="_SD7" localSheetId="19">#REF!</definedName>
    <definedName name="_SD7">#REF!</definedName>
    <definedName name="_SD70" localSheetId="6">#REF!</definedName>
    <definedName name="_SD70" localSheetId="12">#REF!</definedName>
    <definedName name="_SD70" localSheetId="19">#REF!</definedName>
    <definedName name="_SD70">#REF!</definedName>
    <definedName name="_SD71" localSheetId="6">#REF!</definedName>
    <definedName name="_SD71" localSheetId="12">#REF!</definedName>
    <definedName name="_SD71" localSheetId="19">#REF!</definedName>
    <definedName name="_SD71">#REF!</definedName>
    <definedName name="_SD72" localSheetId="6">#REF!</definedName>
    <definedName name="_SD72" localSheetId="12">#REF!</definedName>
    <definedName name="_SD72" localSheetId="19">#REF!</definedName>
    <definedName name="_SD72">#REF!</definedName>
    <definedName name="_SD73" localSheetId="6">#REF!</definedName>
    <definedName name="_SD73" localSheetId="12">#REF!</definedName>
    <definedName name="_SD73" localSheetId="19">#REF!</definedName>
    <definedName name="_SD73">#REF!</definedName>
    <definedName name="_SD74" localSheetId="6">#REF!</definedName>
    <definedName name="_SD74" localSheetId="12">#REF!</definedName>
    <definedName name="_SD74" localSheetId="19">#REF!</definedName>
    <definedName name="_SD74">#REF!</definedName>
    <definedName name="_SD75" localSheetId="6">#REF!</definedName>
    <definedName name="_SD75" localSheetId="12">#REF!</definedName>
    <definedName name="_SD75" localSheetId="19">#REF!</definedName>
    <definedName name="_SD75">#REF!</definedName>
    <definedName name="_SD76" localSheetId="6">#REF!</definedName>
    <definedName name="_SD76" localSheetId="12">#REF!</definedName>
    <definedName name="_SD76" localSheetId="19">#REF!</definedName>
    <definedName name="_SD76">#REF!</definedName>
    <definedName name="_SD77" localSheetId="6">#REF!</definedName>
    <definedName name="_SD77" localSheetId="12">#REF!</definedName>
    <definedName name="_SD77" localSheetId="19">#REF!</definedName>
    <definedName name="_SD77">#REF!</definedName>
    <definedName name="_SD78" localSheetId="6">#REF!</definedName>
    <definedName name="_SD78" localSheetId="12">#REF!</definedName>
    <definedName name="_SD78" localSheetId="19">#REF!</definedName>
    <definedName name="_SD78">#REF!</definedName>
    <definedName name="_SD79" localSheetId="6">#REF!</definedName>
    <definedName name="_SD79" localSheetId="12">#REF!</definedName>
    <definedName name="_SD79" localSheetId="19">#REF!</definedName>
    <definedName name="_SD79">#REF!</definedName>
    <definedName name="_SD8" localSheetId="6">#REF!</definedName>
    <definedName name="_SD8" localSheetId="12">#REF!</definedName>
    <definedName name="_SD8" localSheetId="19">#REF!</definedName>
    <definedName name="_SD8">#REF!</definedName>
    <definedName name="_SD80" localSheetId="6">#REF!</definedName>
    <definedName name="_SD80" localSheetId="12">#REF!</definedName>
    <definedName name="_SD80" localSheetId="19">#REF!</definedName>
    <definedName name="_SD80">#REF!</definedName>
    <definedName name="_SD81" localSheetId="6">#REF!</definedName>
    <definedName name="_SD81" localSheetId="12">#REF!</definedName>
    <definedName name="_SD81" localSheetId="19">#REF!</definedName>
    <definedName name="_SD81">#REF!</definedName>
    <definedName name="_SD82" localSheetId="6">#REF!</definedName>
    <definedName name="_SD82" localSheetId="12">#REF!</definedName>
    <definedName name="_SD82" localSheetId="19">#REF!</definedName>
    <definedName name="_SD82">#REF!</definedName>
    <definedName name="_SD83" localSheetId="6">#REF!</definedName>
    <definedName name="_SD83" localSheetId="12">#REF!</definedName>
    <definedName name="_SD83" localSheetId="19">#REF!</definedName>
    <definedName name="_SD83">#REF!</definedName>
    <definedName name="_SD84" localSheetId="6">#REF!</definedName>
    <definedName name="_SD84" localSheetId="12">#REF!</definedName>
    <definedName name="_SD84" localSheetId="19">#REF!</definedName>
    <definedName name="_SD84">#REF!</definedName>
    <definedName name="_SD85" localSheetId="6">#REF!</definedName>
    <definedName name="_SD85" localSheetId="12">#REF!</definedName>
    <definedName name="_SD85" localSheetId="19">#REF!</definedName>
    <definedName name="_SD85">#REF!</definedName>
    <definedName name="_SD86" localSheetId="6">#REF!</definedName>
    <definedName name="_SD86" localSheetId="12">#REF!</definedName>
    <definedName name="_SD86" localSheetId="19">#REF!</definedName>
    <definedName name="_SD86">#REF!</definedName>
    <definedName name="_SD87" localSheetId="6">#REF!</definedName>
    <definedName name="_SD87" localSheetId="12">#REF!</definedName>
    <definedName name="_SD87" localSheetId="19">#REF!</definedName>
    <definedName name="_SD87">#REF!</definedName>
    <definedName name="_SD88" localSheetId="6">#REF!</definedName>
    <definedName name="_SD88" localSheetId="12">#REF!</definedName>
    <definedName name="_SD88" localSheetId="19">#REF!</definedName>
    <definedName name="_SD88">#REF!</definedName>
    <definedName name="_SD89" localSheetId="6">#REF!</definedName>
    <definedName name="_SD89" localSheetId="12">#REF!</definedName>
    <definedName name="_SD89" localSheetId="19">#REF!</definedName>
    <definedName name="_SD89">#REF!</definedName>
    <definedName name="_SD9" localSheetId="6">#REF!</definedName>
    <definedName name="_SD9" localSheetId="12">#REF!</definedName>
    <definedName name="_SD9" localSheetId="19">#REF!</definedName>
    <definedName name="_SD9">#REF!</definedName>
    <definedName name="_SD90" localSheetId="6">#REF!</definedName>
    <definedName name="_SD90" localSheetId="12">#REF!</definedName>
    <definedName name="_SD90" localSheetId="19">#REF!</definedName>
    <definedName name="_SD90">#REF!</definedName>
    <definedName name="_SD91" localSheetId="6">#REF!</definedName>
    <definedName name="_SD91" localSheetId="12">#REF!</definedName>
    <definedName name="_SD91" localSheetId="19">#REF!</definedName>
    <definedName name="_SD91">#REF!</definedName>
    <definedName name="_SD92" localSheetId="6">#REF!</definedName>
    <definedName name="_SD92" localSheetId="12">#REF!</definedName>
    <definedName name="_SD92" localSheetId="19">#REF!</definedName>
    <definedName name="_SD92">#REF!</definedName>
    <definedName name="_SD93" localSheetId="6">#REF!</definedName>
    <definedName name="_SD93" localSheetId="12">#REF!</definedName>
    <definedName name="_SD93" localSheetId="19">#REF!</definedName>
    <definedName name="_SD93">#REF!</definedName>
    <definedName name="_SD94" localSheetId="6">#REF!</definedName>
    <definedName name="_SD94" localSheetId="12">#REF!</definedName>
    <definedName name="_SD94" localSheetId="19">#REF!</definedName>
    <definedName name="_SD94">#REF!</definedName>
    <definedName name="_SD95" localSheetId="6">#REF!</definedName>
    <definedName name="_SD95" localSheetId="12">#REF!</definedName>
    <definedName name="_SD95" localSheetId="19">#REF!</definedName>
    <definedName name="_SD95">#REF!</definedName>
    <definedName name="_SD96" localSheetId="6">#REF!</definedName>
    <definedName name="_SD96" localSheetId="12">#REF!</definedName>
    <definedName name="_SD96" localSheetId="19">#REF!</definedName>
    <definedName name="_SD96">#REF!</definedName>
    <definedName name="_SD97" localSheetId="6">#REF!</definedName>
    <definedName name="_SD97" localSheetId="12">#REF!</definedName>
    <definedName name="_SD97" localSheetId="19">#REF!</definedName>
    <definedName name="_SD97">#REF!</definedName>
    <definedName name="_SD98" localSheetId="6">#REF!</definedName>
    <definedName name="_SD98" localSheetId="12">#REF!</definedName>
    <definedName name="_SD98" localSheetId="19">#REF!</definedName>
    <definedName name="_SD98">#REF!</definedName>
    <definedName name="_SD99" localSheetId="6">#REF!</definedName>
    <definedName name="_SD99" localSheetId="12">#REF!</definedName>
    <definedName name="_SD99" localSheetId="19">#REF!</definedName>
    <definedName name="_SD99">#REF!</definedName>
    <definedName name="_shahbad" localSheetId="6">#REF!</definedName>
    <definedName name="_shahbad" localSheetId="12">#REF!</definedName>
    <definedName name="_shahbad" localSheetId="34">#REF!</definedName>
    <definedName name="_shahbad" localSheetId="19">#REF!</definedName>
    <definedName name="_shahbad">#REF!</definedName>
    <definedName name="_skirting_grn" localSheetId="6">#REF!</definedName>
    <definedName name="_skirting_grn" localSheetId="12">#REF!</definedName>
    <definedName name="_skirting_grn" localSheetId="34">#REF!</definedName>
    <definedName name="_skirting_grn" localSheetId="19">#REF!</definedName>
    <definedName name="_skirting_grn">#REF!</definedName>
    <definedName name="_skirting_vit" localSheetId="6">#REF!</definedName>
    <definedName name="_skirting_vit" localSheetId="12">#REF!</definedName>
    <definedName name="_skirting_vit" localSheetId="34">#REF!</definedName>
    <definedName name="_skirting_vit" localSheetId="19">#REF!</definedName>
    <definedName name="_skirting_vit">#REF!</definedName>
    <definedName name="_SO016" localSheetId="6">#REF!</definedName>
    <definedName name="_SO016" localSheetId="12">#REF!</definedName>
    <definedName name="_SO016" localSheetId="34">#REF!</definedName>
    <definedName name="_SO016" localSheetId="19">#REF!</definedName>
    <definedName name="_SO016">#REF!</definedName>
    <definedName name="_Sort" localSheetId="19" hidden="1">#REF!</definedName>
    <definedName name="_SP001" localSheetId="6">#REF!</definedName>
    <definedName name="_SP001" localSheetId="12">#REF!</definedName>
    <definedName name="_SP001" localSheetId="34">#REF!</definedName>
    <definedName name="_SP001" localSheetId="19">#REF!</definedName>
    <definedName name="_SP001">#REF!</definedName>
    <definedName name="_SP002" localSheetId="6">#REF!</definedName>
    <definedName name="_SP002" localSheetId="12">#REF!</definedName>
    <definedName name="_SP002" localSheetId="34">#REF!</definedName>
    <definedName name="_SP002" localSheetId="19">#REF!</definedName>
    <definedName name="_SP002">#REF!</definedName>
    <definedName name="_SP003" localSheetId="6">#REF!</definedName>
    <definedName name="_SP003" localSheetId="12">#REF!</definedName>
    <definedName name="_SP003" localSheetId="34">#REF!</definedName>
    <definedName name="_SP003" localSheetId="19">#REF!</definedName>
    <definedName name="_SP003">#REF!</definedName>
    <definedName name="_SP004" localSheetId="6">#REF!</definedName>
    <definedName name="_SP004" localSheetId="12">#REF!</definedName>
    <definedName name="_SP004" localSheetId="34">#REF!</definedName>
    <definedName name="_SP004" localSheetId="19">#REF!</definedName>
    <definedName name="_SP004">#REF!</definedName>
    <definedName name="_SP005" localSheetId="6">#REF!</definedName>
    <definedName name="_SP005" localSheetId="12">#REF!</definedName>
    <definedName name="_SP005" localSheetId="34">#REF!</definedName>
    <definedName name="_SP005" localSheetId="19">#REF!</definedName>
    <definedName name="_SP005">#REF!</definedName>
    <definedName name="_SP006" localSheetId="6">#REF!</definedName>
    <definedName name="_SP006" localSheetId="12">#REF!</definedName>
    <definedName name="_SP006" localSheetId="34">#REF!</definedName>
    <definedName name="_SP006" localSheetId="19">#REF!</definedName>
    <definedName name="_SP006">#REF!</definedName>
    <definedName name="_SP007" localSheetId="6">#REF!</definedName>
    <definedName name="_SP007" localSheetId="12">#REF!</definedName>
    <definedName name="_SP007" localSheetId="34">#REF!</definedName>
    <definedName name="_SP007" localSheetId="19">#REF!</definedName>
    <definedName name="_SP007">#REF!</definedName>
    <definedName name="_SP008" localSheetId="6">#REF!</definedName>
    <definedName name="_SP008" localSheetId="12">#REF!</definedName>
    <definedName name="_SP008" localSheetId="34">#REF!</definedName>
    <definedName name="_SP008" localSheetId="19">#REF!</definedName>
    <definedName name="_SP008">#REF!</definedName>
    <definedName name="_SP009" localSheetId="6">#REF!</definedName>
    <definedName name="_SP009" localSheetId="12">#REF!</definedName>
    <definedName name="_SP009" localSheetId="34">#REF!</definedName>
    <definedName name="_SP009" localSheetId="19">#REF!</definedName>
    <definedName name="_SP009">#REF!</definedName>
    <definedName name="_SP010" localSheetId="6">#REF!</definedName>
    <definedName name="_SP010" localSheetId="12">#REF!</definedName>
    <definedName name="_SP010" localSheetId="34">#REF!</definedName>
    <definedName name="_SP010" localSheetId="19">#REF!</definedName>
    <definedName name="_SP010">#REF!</definedName>
    <definedName name="_SP011" localSheetId="6">#REF!</definedName>
    <definedName name="_SP011" localSheetId="12">#REF!</definedName>
    <definedName name="_SP011" localSheetId="34">#REF!</definedName>
    <definedName name="_SP011" localSheetId="19">#REF!</definedName>
    <definedName name="_SP011">#REF!</definedName>
    <definedName name="_SP012" localSheetId="6">#REF!</definedName>
    <definedName name="_SP012" localSheetId="12">#REF!</definedName>
    <definedName name="_SP012" localSheetId="34">#REF!</definedName>
    <definedName name="_SP012" localSheetId="19">#REF!</definedName>
    <definedName name="_SP012">#REF!</definedName>
    <definedName name="_SP013" localSheetId="6">#REF!</definedName>
    <definedName name="_SP013" localSheetId="12">#REF!</definedName>
    <definedName name="_SP013" localSheetId="34">#REF!</definedName>
    <definedName name="_SP013" localSheetId="19">#REF!</definedName>
    <definedName name="_SP013">#REF!</definedName>
    <definedName name="_SP014" localSheetId="6">#REF!</definedName>
    <definedName name="_SP014" localSheetId="12">#REF!</definedName>
    <definedName name="_SP014" localSheetId="34">#REF!</definedName>
    <definedName name="_SP014" localSheetId="19">#REF!</definedName>
    <definedName name="_SP014">#REF!</definedName>
    <definedName name="_SP015" localSheetId="6">#REF!</definedName>
    <definedName name="_SP015" localSheetId="12">#REF!</definedName>
    <definedName name="_SP015" localSheetId="34">#REF!</definedName>
    <definedName name="_SP015" localSheetId="19">#REF!</definedName>
    <definedName name="_SP015">#REF!</definedName>
    <definedName name="_SP016" localSheetId="6">#REF!</definedName>
    <definedName name="_SP016" localSheetId="12">#REF!</definedName>
    <definedName name="_SP016" localSheetId="34">#REF!</definedName>
    <definedName name="_SP016" localSheetId="19">#REF!</definedName>
    <definedName name="_SP016">#REF!</definedName>
    <definedName name="_SP017" localSheetId="6">#REF!</definedName>
    <definedName name="_SP017" localSheetId="12">#REF!</definedName>
    <definedName name="_SP017" localSheetId="34">#REF!</definedName>
    <definedName name="_SP017" localSheetId="19">#REF!</definedName>
    <definedName name="_SP017">#REF!</definedName>
    <definedName name="_SP018" localSheetId="6">#REF!</definedName>
    <definedName name="_SP018" localSheetId="12">#REF!</definedName>
    <definedName name="_SP018" localSheetId="34">#REF!</definedName>
    <definedName name="_SP018" localSheetId="19">#REF!</definedName>
    <definedName name="_SP018">#REF!</definedName>
    <definedName name="_SP019" localSheetId="6">#REF!</definedName>
    <definedName name="_SP019" localSheetId="12">#REF!</definedName>
    <definedName name="_SP019" localSheetId="34">#REF!</definedName>
    <definedName name="_SP019" localSheetId="19">#REF!</definedName>
    <definedName name="_SP019">#REF!</definedName>
    <definedName name="_SP020" localSheetId="6">#REF!</definedName>
    <definedName name="_SP020" localSheetId="12">#REF!</definedName>
    <definedName name="_SP020" localSheetId="34">#REF!</definedName>
    <definedName name="_SP020" localSheetId="19">#REF!</definedName>
    <definedName name="_SP020">#REF!</definedName>
    <definedName name="_SP021" localSheetId="6">#REF!</definedName>
    <definedName name="_SP021" localSheetId="12">#REF!</definedName>
    <definedName name="_SP021" localSheetId="34">#REF!</definedName>
    <definedName name="_SP021" localSheetId="19">#REF!</definedName>
    <definedName name="_SP021">#REF!</definedName>
    <definedName name="_SP022" localSheetId="6">#REF!</definedName>
    <definedName name="_SP022" localSheetId="12">#REF!</definedName>
    <definedName name="_SP022" localSheetId="34">#REF!</definedName>
    <definedName name="_SP022" localSheetId="19">#REF!</definedName>
    <definedName name="_SP022">#REF!</definedName>
    <definedName name="_SP023" localSheetId="6">#REF!</definedName>
    <definedName name="_SP023" localSheetId="12">#REF!</definedName>
    <definedName name="_SP023" localSheetId="34">#REF!</definedName>
    <definedName name="_SP023" localSheetId="19">#REF!</definedName>
    <definedName name="_SP023">#REF!</definedName>
    <definedName name="_SP024" localSheetId="6">#REF!</definedName>
    <definedName name="_SP024" localSheetId="12">#REF!</definedName>
    <definedName name="_SP024" localSheetId="34">#REF!</definedName>
    <definedName name="_SP024" localSheetId="19">#REF!</definedName>
    <definedName name="_SP024">#REF!</definedName>
    <definedName name="_SP025" localSheetId="6">#REF!</definedName>
    <definedName name="_SP025" localSheetId="12">#REF!</definedName>
    <definedName name="_SP025" localSheetId="34">#REF!</definedName>
    <definedName name="_SP025" localSheetId="19">#REF!</definedName>
    <definedName name="_SP025">#REF!</definedName>
    <definedName name="_SP026" localSheetId="6">#REF!</definedName>
    <definedName name="_SP026" localSheetId="12">#REF!</definedName>
    <definedName name="_SP026" localSheetId="34">#REF!</definedName>
    <definedName name="_SP026" localSheetId="19">#REF!</definedName>
    <definedName name="_SP026">#REF!</definedName>
    <definedName name="_SP027" localSheetId="6">#REF!</definedName>
    <definedName name="_SP027" localSheetId="12">#REF!</definedName>
    <definedName name="_SP027" localSheetId="34">#REF!</definedName>
    <definedName name="_SP027" localSheetId="19">#REF!</definedName>
    <definedName name="_SP027">#REF!</definedName>
    <definedName name="_SP028" localSheetId="6">#REF!</definedName>
    <definedName name="_SP028" localSheetId="12">#REF!</definedName>
    <definedName name="_SP028" localSheetId="34">#REF!</definedName>
    <definedName name="_SP028" localSheetId="19">#REF!</definedName>
    <definedName name="_SP028">#REF!</definedName>
    <definedName name="_SP029" localSheetId="6">#REF!</definedName>
    <definedName name="_SP029" localSheetId="12">#REF!</definedName>
    <definedName name="_SP029" localSheetId="34">#REF!</definedName>
    <definedName name="_SP029" localSheetId="19">#REF!</definedName>
    <definedName name="_SP029">#REF!</definedName>
    <definedName name="_SP030" localSheetId="6">#REF!</definedName>
    <definedName name="_SP030" localSheetId="12">#REF!</definedName>
    <definedName name="_SP030" localSheetId="34">#REF!</definedName>
    <definedName name="_SP030" localSheetId="19">#REF!</definedName>
    <definedName name="_SP030">#REF!</definedName>
    <definedName name="_SP031" localSheetId="6">#REF!</definedName>
    <definedName name="_SP031" localSheetId="12">#REF!</definedName>
    <definedName name="_SP031" localSheetId="34">#REF!</definedName>
    <definedName name="_SP031" localSheetId="19">#REF!</definedName>
    <definedName name="_SP031">#REF!</definedName>
    <definedName name="_SP032" localSheetId="6">#REF!</definedName>
    <definedName name="_SP032" localSheetId="12">#REF!</definedName>
    <definedName name="_SP032" localSheetId="34">#REF!</definedName>
    <definedName name="_SP032" localSheetId="19">#REF!</definedName>
    <definedName name="_SP032">#REF!</definedName>
    <definedName name="_SP033" localSheetId="6">#REF!</definedName>
    <definedName name="_SP033" localSheetId="12">#REF!</definedName>
    <definedName name="_SP033" localSheetId="34">#REF!</definedName>
    <definedName name="_SP033" localSheetId="19">#REF!</definedName>
    <definedName name="_SP033">#REF!</definedName>
    <definedName name="_SP034" localSheetId="6">#REF!</definedName>
    <definedName name="_SP034" localSheetId="12">#REF!</definedName>
    <definedName name="_SP034" localSheetId="34">#REF!</definedName>
    <definedName name="_SP034" localSheetId="19">#REF!</definedName>
    <definedName name="_SP034">#REF!</definedName>
    <definedName name="_SP035" localSheetId="6">#REF!</definedName>
    <definedName name="_SP035" localSheetId="12">#REF!</definedName>
    <definedName name="_SP035" localSheetId="34">#REF!</definedName>
    <definedName name="_SP035" localSheetId="19">#REF!</definedName>
    <definedName name="_SP035">#REF!</definedName>
    <definedName name="_SP036" localSheetId="6">#REF!</definedName>
    <definedName name="_SP036" localSheetId="12">#REF!</definedName>
    <definedName name="_SP036" localSheetId="34">#REF!</definedName>
    <definedName name="_SP036" localSheetId="19">#REF!</definedName>
    <definedName name="_SP036">#REF!</definedName>
    <definedName name="_SP037" localSheetId="6">#REF!</definedName>
    <definedName name="_SP037" localSheetId="12">#REF!</definedName>
    <definedName name="_SP037" localSheetId="34">#REF!</definedName>
    <definedName name="_SP037" localSheetId="19">#REF!</definedName>
    <definedName name="_SP037">#REF!</definedName>
    <definedName name="_SP038" localSheetId="6">#REF!</definedName>
    <definedName name="_SP038" localSheetId="12">#REF!</definedName>
    <definedName name="_SP038" localSheetId="34">#REF!</definedName>
    <definedName name="_SP038" localSheetId="19">#REF!</definedName>
    <definedName name="_SP038">#REF!</definedName>
    <definedName name="_SP039" localSheetId="6">#REF!</definedName>
    <definedName name="_SP039" localSheetId="12">#REF!</definedName>
    <definedName name="_SP039" localSheetId="34">#REF!</definedName>
    <definedName name="_SP039" localSheetId="19">#REF!</definedName>
    <definedName name="_SP039">#REF!</definedName>
    <definedName name="_SP040" localSheetId="6">#REF!</definedName>
    <definedName name="_SP040" localSheetId="12">#REF!</definedName>
    <definedName name="_SP040" localSheetId="34">#REF!</definedName>
    <definedName name="_SP040" localSheetId="19">#REF!</definedName>
    <definedName name="_SP040">#REF!</definedName>
    <definedName name="_SP041" localSheetId="6">#REF!</definedName>
    <definedName name="_SP041" localSheetId="12">#REF!</definedName>
    <definedName name="_SP041" localSheetId="34">#REF!</definedName>
    <definedName name="_SP041" localSheetId="19">#REF!</definedName>
    <definedName name="_SP041">#REF!</definedName>
    <definedName name="_SP042" localSheetId="6">#REF!</definedName>
    <definedName name="_SP042" localSheetId="12">#REF!</definedName>
    <definedName name="_SP042" localSheetId="34">#REF!</definedName>
    <definedName name="_SP042" localSheetId="19">#REF!</definedName>
    <definedName name="_SP042">#REF!</definedName>
    <definedName name="_SP043" localSheetId="6">#REF!</definedName>
    <definedName name="_SP043" localSheetId="12">#REF!</definedName>
    <definedName name="_SP043" localSheetId="34">#REF!</definedName>
    <definedName name="_SP043" localSheetId="19">#REF!</definedName>
    <definedName name="_SP043">#REF!</definedName>
    <definedName name="_SP044" localSheetId="6">#REF!</definedName>
    <definedName name="_SP044" localSheetId="12">#REF!</definedName>
    <definedName name="_SP044" localSheetId="34">#REF!</definedName>
    <definedName name="_SP044" localSheetId="19">#REF!</definedName>
    <definedName name="_SP044">#REF!</definedName>
    <definedName name="_SP045" localSheetId="6">#REF!</definedName>
    <definedName name="_SP045" localSheetId="12">#REF!</definedName>
    <definedName name="_SP045" localSheetId="34">#REF!</definedName>
    <definedName name="_SP045" localSheetId="19">#REF!</definedName>
    <definedName name="_SP045">#REF!</definedName>
    <definedName name="_SP046" localSheetId="6">#REF!</definedName>
    <definedName name="_SP046" localSheetId="12">#REF!</definedName>
    <definedName name="_SP046" localSheetId="34">#REF!</definedName>
    <definedName name="_SP046" localSheetId="19">#REF!</definedName>
    <definedName name="_SP046">#REF!</definedName>
    <definedName name="_SP047" localSheetId="6">#REF!</definedName>
    <definedName name="_SP047" localSheetId="12">#REF!</definedName>
    <definedName name="_SP047" localSheetId="34">#REF!</definedName>
    <definedName name="_SP047" localSheetId="19">#REF!</definedName>
    <definedName name="_SP047">#REF!</definedName>
    <definedName name="_SP048" localSheetId="6">#REF!</definedName>
    <definedName name="_SP048" localSheetId="12">#REF!</definedName>
    <definedName name="_SP048" localSheetId="34">#REF!</definedName>
    <definedName name="_SP048" localSheetId="19">#REF!</definedName>
    <definedName name="_SP048">#REF!</definedName>
    <definedName name="_SP049" localSheetId="6">#REF!</definedName>
    <definedName name="_SP049" localSheetId="12">#REF!</definedName>
    <definedName name="_SP049" localSheetId="34">#REF!</definedName>
    <definedName name="_SP049" localSheetId="19">#REF!</definedName>
    <definedName name="_SP049">#REF!</definedName>
    <definedName name="_SP050" localSheetId="6">#REF!</definedName>
    <definedName name="_SP050" localSheetId="12">#REF!</definedName>
    <definedName name="_SP050" localSheetId="34">#REF!</definedName>
    <definedName name="_SP050" localSheetId="19">#REF!</definedName>
    <definedName name="_SP050">#REF!</definedName>
    <definedName name="_SP051" localSheetId="6">#REF!</definedName>
    <definedName name="_SP051" localSheetId="12">#REF!</definedName>
    <definedName name="_SP051" localSheetId="34">#REF!</definedName>
    <definedName name="_SP051" localSheetId="19">#REF!</definedName>
    <definedName name="_SP051">#REF!</definedName>
    <definedName name="_SP052" localSheetId="6">#REF!</definedName>
    <definedName name="_SP052" localSheetId="12">#REF!</definedName>
    <definedName name="_SP052" localSheetId="34">#REF!</definedName>
    <definedName name="_SP052" localSheetId="19">#REF!</definedName>
    <definedName name="_SP052">#REF!</definedName>
    <definedName name="_SP053" localSheetId="6">#REF!</definedName>
    <definedName name="_SP053" localSheetId="12">#REF!</definedName>
    <definedName name="_SP053" localSheetId="34">#REF!</definedName>
    <definedName name="_SP053" localSheetId="19">#REF!</definedName>
    <definedName name="_SP053">#REF!</definedName>
    <definedName name="_SP054" localSheetId="6">#REF!</definedName>
    <definedName name="_SP054" localSheetId="12">#REF!</definedName>
    <definedName name="_SP054" localSheetId="34">#REF!</definedName>
    <definedName name="_SP054" localSheetId="19">#REF!</definedName>
    <definedName name="_SP054">#REF!</definedName>
    <definedName name="_SP055" localSheetId="6">#REF!</definedName>
    <definedName name="_SP055" localSheetId="12">#REF!</definedName>
    <definedName name="_SP055" localSheetId="34">#REF!</definedName>
    <definedName name="_SP055" localSheetId="19">#REF!</definedName>
    <definedName name="_SP055">#REF!</definedName>
    <definedName name="_SP056" localSheetId="6">#REF!</definedName>
    <definedName name="_SP056" localSheetId="12">#REF!</definedName>
    <definedName name="_SP056" localSheetId="34">#REF!</definedName>
    <definedName name="_SP056" localSheetId="19">#REF!</definedName>
    <definedName name="_SP056">#REF!</definedName>
    <definedName name="_SP057" localSheetId="6">#REF!</definedName>
    <definedName name="_SP057" localSheetId="12">#REF!</definedName>
    <definedName name="_SP057" localSheetId="34">#REF!</definedName>
    <definedName name="_SP057" localSheetId="19">#REF!</definedName>
    <definedName name="_SP057">#REF!</definedName>
    <definedName name="_SP058" localSheetId="6">#REF!</definedName>
    <definedName name="_SP058" localSheetId="12">#REF!</definedName>
    <definedName name="_SP058" localSheetId="34">#REF!</definedName>
    <definedName name="_SP058" localSheetId="19">#REF!</definedName>
    <definedName name="_SP058">#REF!</definedName>
    <definedName name="_SP059" localSheetId="6">#REF!</definedName>
    <definedName name="_SP059" localSheetId="12">#REF!</definedName>
    <definedName name="_SP059" localSheetId="34">#REF!</definedName>
    <definedName name="_SP059" localSheetId="19">#REF!</definedName>
    <definedName name="_SP059">#REF!</definedName>
    <definedName name="_SP060" localSheetId="6">#REF!</definedName>
    <definedName name="_SP060" localSheetId="12">#REF!</definedName>
    <definedName name="_SP060" localSheetId="34">#REF!</definedName>
    <definedName name="_SP060" localSheetId="19">#REF!</definedName>
    <definedName name="_SP060">#REF!</definedName>
    <definedName name="_SP061" localSheetId="6">#REF!</definedName>
    <definedName name="_SP061" localSheetId="12">#REF!</definedName>
    <definedName name="_SP061" localSheetId="34">#REF!</definedName>
    <definedName name="_SP061" localSheetId="19">#REF!</definedName>
    <definedName name="_SP061">#REF!</definedName>
    <definedName name="_SP062" localSheetId="6">#REF!</definedName>
    <definedName name="_SP062" localSheetId="12">#REF!</definedName>
    <definedName name="_SP062" localSheetId="34">#REF!</definedName>
    <definedName name="_SP062" localSheetId="19">#REF!</definedName>
    <definedName name="_SP062">#REF!</definedName>
    <definedName name="_SP063" localSheetId="6">#REF!</definedName>
    <definedName name="_SP063" localSheetId="12">#REF!</definedName>
    <definedName name="_SP063" localSheetId="34">#REF!</definedName>
    <definedName name="_SP063" localSheetId="19">#REF!</definedName>
    <definedName name="_SP063">#REF!</definedName>
    <definedName name="_SP064" localSheetId="6">#REF!</definedName>
    <definedName name="_SP064" localSheetId="12">#REF!</definedName>
    <definedName name="_SP064" localSheetId="34">#REF!</definedName>
    <definedName name="_SP064" localSheetId="19">#REF!</definedName>
    <definedName name="_SP064">#REF!</definedName>
    <definedName name="_SP065" localSheetId="6">#REF!</definedName>
    <definedName name="_SP065" localSheetId="12">#REF!</definedName>
    <definedName name="_SP065" localSheetId="34">#REF!</definedName>
    <definedName name="_SP065" localSheetId="19">#REF!</definedName>
    <definedName name="_SP065">#REF!</definedName>
    <definedName name="_SP066" localSheetId="6">#REF!</definedName>
    <definedName name="_SP066" localSheetId="12">#REF!</definedName>
    <definedName name="_SP066" localSheetId="34">#REF!</definedName>
    <definedName name="_SP066" localSheetId="19">#REF!</definedName>
    <definedName name="_SP066">#REF!</definedName>
    <definedName name="_SP067" localSheetId="6">#REF!</definedName>
    <definedName name="_SP067" localSheetId="12">#REF!</definedName>
    <definedName name="_SP067" localSheetId="34">#REF!</definedName>
    <definedName name="_SP067" localSheetId="19">#REF!</definedName>
    <definedName name="_SP067">#REF!</definedName>
    <definedName name="_SP068" localSheetId="6">#REF!</definedName>
    <definedName name="_SP068" localSheetId="12">#REF!</definedName>
    <definedName name="_SP068" localSheetId="34">#REF!</definedName>
    <definedName name="_SP068" localSheetId="19">#REF!</definedName>
    <definedName name="_SP068">#REF!</definedName>
    <definedName name="_SP069" localSheetId="6">#REF!</definedName>
    <definedName name="_SP069" localSheetId="12">#REF!</definedName>
    <definedName name="_SP069" localSheetId="34">#REF!</definedName>
    <definedName name="_SP069" localSheetId="19">#REF!</definedName>
    <definedName name="_SP069">#REF!</definedName>
    <definedName name="_SP070" localSheetId="6">#REF!</definedName>
    <definedName name="_SP070" localSheetId="12">#REF!</definedName>
    <definedName name="_SP070" localSheetId="34">#REF!</definedName>
    <definedName name="_SP070" localSheetId="19">#REF!</definedName>
    <definedName name="_SP070">#REF!</definedName>
    <definedName name="_sp071" localSheetId="6">#REF!</definedName>
    <definedName name="_sp071" localSheetId="12">#REF!</definedName>
    <definedName name="_sp071" localSheetId="34">#REF!</definedName>
    <definedName name="_sp071" localSheetId="19">#REF!</definedName>
    <definedName name="_sp071">#REF!</definedName>
    <definedName name="_SP072" localSheetId="6">#REF!</definedName>
    <definedName name="_SP072" localSheetId="12">#REF!</definedName>
    <definedName name="_SP072" localSheetId="34">#REF!</definedName>
    <definedName name="_SP072" localSheetId="19">#REF!</definedName>
    <definedName name="_SP072">#REF!</definedName>
    <definedName name="_SP073" localSheetId="6">#REF!</definedName>
    <definedName name="_SP073" localSheetId="12">#REF!</definedName>
    <definedName name="_SP073" localSheetId="34">#REF!</definedName>
    <definedName name="_SP073" localSheetId="19">#REF!</definedName>
    <definedName name="_SP073">#REF!</definedName>
    <definedName name="_SP074" localSheetId="6">#REF!</definedName>
    <definedName name="_SP074" localSheetId="12">#REF!</definedName>
    <definedName name="_SP074" localSheetId="34">#REF!</definedName>
    <definedName name="_SP074" localSheetId="19">#REF!</definedName>
    <definedName name="_SP074">#REF!</definedName>
    <definedName name="_SP075" localSheetId="6">#REF!</definedName>
    <definedName name="_SP075" localSheetId="12">#REF!</definedName>
    <definedName name="_SP075" localSheetId="34">#REF!</definedName>
    <definedName name="_SP075" localSheetId="19">#REF!</definedName>
    <definedName name="_SP075">#REF!</definedName>
    <definedName name="_SP076" localSheetId="6">#REF!</definedName>
    <definedName name="_SP076" localSheetId="12">#REF!</definedName>
    <definedName name="_SP076" localSheetId="34">#REF!</definedName>
    <definedName name="_SP076" localSheetId="19">#REF!</definedName>
    <definedName name="_SP076">#REF!</definedName>
    <definedName name="_SP077" localSheetId="6">#REF!</definedName>
    <definedName name="_SP077" localSheetId="12">#REF!</definedName>
    <definedName name="_SP077" localSheetId="34">#REF!</definedName>
    <definedName name="_SP077" localSheetId="19">#REF!</definedName>
    <definedName name="_SP077">#REF!</definedName>
    <definedName name="_sp078" localSheetId="6">#REF!</definedName>
    <definedName name="_sp078" localSheetId="12">#REF!</definedName>
    <definedName name="_sp078" localSheetId="34">#REF!</definedName>
    <definedName name="_sp078" localSheetId="19">#REF!</definedName>
    <definedName name="_sp078">#REF!</definedName>
    <definedName name="_SPO79" localSheetId="6">#REF!</definedName>
    <definedName name="_SPO79" localSheetId="12">#REF!</definedName>
    <definedName name="_SPO79" localSheetId="34">#REF!</definedName>
    <definedName name="_SPO79" localSheetId="19">#REF!</definedName>
    <definedName name="_SPO79">#REF!</definedName>
    <definedName name="_ss12_32" localSheetId="27">#REF!</definedName>
    <definedName name="_ss12_32">#REF!</definedName>
    <definedName name="_ss12_33">#REF!</definedName>
    <definedName name="_ss12_34">#REF!</definedName>
    <definedName name="_ss12_43">#REF!</definedName>
    <definedName name="_ss12_56">#REF!</definedName>
    <definedName name="_ss12_59">#REF!</definedName>
    <definedName name="_ss12_61">#REF!</definedName>
    <definedName name="_ss20_32" localSheetId="27">#REF!</definedName>
    <definedName name="_ss20_32">#REF!</definedName>
    <definedName name="_ss20_33">#REF!</definedName>
    <definedName name="_ss20_34">#REF!</definedName>
    <definedName name="_ss20_43">#REF!</definedName>
    <definedName name="_ss20_56">#REF!</definedName>
    <definedName name="_ss20_59">#REF!</definedName>
    <definedName name="_ss20_61">#REF!</definedName>
    <definedName name="_ss40_32" localSheetId="27">#REF!</definedName>
    <definedName name="_ss40_32">#REF!</definedName>
    <definedName name="_ss40_33">#REF!</definedName>
    <definedName name="_ss40_34">#REF!</definedName>
    <definedName name="_ss40_43">#REF!</definedName>
    <definedName name="_ss40_56">#REF!</definedName>
    <definedName name="_ss40_59">#REF!</definedName>
    <definedName name="_ss40_61">#REF!</definedName>
    <definedName name="_ST" localSheetId="5">#REF!</definedName>
    <definedName name="_ST" localSheetId="6">#REF!</definedName>
    <definedName name="_ST" localSheetId="12">#REF!</definedName>
    <definedName name="_ST" localSheetId="34">#REF!</definedName>
    <definedName name="_ST" localSheetId="19">#REF!</definedName>
    <definedName name="_ST" localSheetId="30">#REF!</definedName>
    <definedName name="_ST">#REF!</definedName>
    <definedName name="_ST_33">"$#REF!.$#REF!$#REF!"</definedName>
    <definedName name="_sw1" localSheetId="27">#REF!</definedName>
    <definedName name="_sw1">#REF!</definedName>
    <definedName name="_t1" localSheetId="5">#REF!</definedName>
    <definedName name="_t1" localSheetId="6">#REF!</definedName>
    <definedName name="_t1" localSheetId="12">#REF!</definedName>
    <definedName name="_t1" localSheetId="19">#REF!</definedName>
    <definedName name="_t1" localSheetId="30">#REF!</definedName>
    <definedName name="_t1">#REF!</definedName>
    <definedName name="_t2" localSheetId="5">#REF!</definedName>
    <definedName name="_t2" localSheetId="6">#REF!</definedName>
    <definedName name="_t2" localSheetId="12">#REF!</definedName>
    <definedName name="_t2" localSheetId="19">#REF!</definedName>
    <definedName name="_t2" localSheetId="30">#REF!</definedName>
    <definedName name="_t2">#REF!</definedName>
    <definedName name="_tab1" localSheetId="5">#REF!</definedName>
    <definedName name="_tab1" localSheetId="6">#REF!</definedName>
    <definedName name="_tab1" localSheetId="12">#REF!</definedName>
    <definedName name="_tab1" localSheetId="19">#REF!</definedName>
    <definedName name="_tab1" localSheetId="30">#REF!</definedName>
    <definedName name="_tab1">#REF!</definedName>
    <definedName name="_th_week_water_transp_habs">#REF!</definedName>
    <definedName name="_tw2" localSheetId="6">#REF!</definedName>
    <definedName name="_tw2" localSheetId="12">#REF!</definedName>
    <definedName name="_tw2" localSheetId="34">#REF!</definedName>
    <definedName name="_tw2" localSheetId="19">#REF!</definedName>
    <definedName name="_tw2">#REF!</definedName>
    <definedName name="_us1">#REF!</definedName>
    <definedName name="_var04">#REF!</definedName>
    <definedName name="_var1" localSheetId="22">#REF!</definedName>
    <definedName name="_var1" localSheetId="5">#REF!</definedName>
    <definedName name="_var1" localSheetId="6">#REF!</definedName>
    <definedName name="_var1" localSheetId="12">#REF!</definedName>
    <definedName name="_var1" localSheetId="34">#REF!</definedName>
    <definedName name="_var1" localSheetId="19">#REF!</definedName>
    <definedName name="_var1" localSheetId="30">#REF!</definedName>
    <definedName name="_var1" localSheetId="40">#REF!</definedName>
    <definedName name="_var1" localSheetId="26">#REF!</definedName>
    <definedName name="_var1">#REF!</definedName>
    <definedName name="_var1_23">"$#REF!.$#REF!$#REF!"</definedName>
    <definedName name="_var1_32">"$#REF!.$#REF!$#REF!"</definedName>
    <definedName name="_var1_33">"$#REF!.$#REF!$#REF!"</definedName>
    <definedName name="_var1_34">"$#REF!.$#REF!$#REF!"</definedName>
    <definedName name="_var1_38">"$#REF!.$#REF!$#REF!"</definedName>
    <definedName name="_var1_41">"$#REF!.$#REF!$#REF!"</definedName>
    <definedName name="_var1_43">"$#REF!.$#REF!$#REF!"</definedName>
    <definedName name="_var1_48">"$#REF!.$#REF!$#REF!"</definedName>
    <definedName name="_var1_56">"$#REF!.$#REF!$#REF!"</definedName>
    <definedName name="_var1_57">"$#REF!.$#REF!$#REF!"</definedName>
    <definedName name="_var1_59">"$#REF!.$#REF!$#REF!"</definedName>
    <definedName name="_var1_60">"$#REF!.$#REF!$#REF!"</definedName>
    <definedName name="_var1_61">"$#REF!.$#REF!$#REF!"</definedName>
    <definedName name="_var1_62">"$#REF!.$#REF!$#REF!"</definedName>
    <definedName name="_var1_7">"$#REF!.$#REF!$#REF!"</definedName>
    <definedName name="_var1_72">"$#REF!.$#REF!$#REF!"</definedName>
    <definedName name="_var1_73">"$#REF!.$#REF!$#REF!"</definedName>
    <definedName name="_var1_8">"$#REF!.$#REF!$#REF!"</definedName>
    <definedName name="_var2" localSheetId="6">#REF!</definedName>
    <definedName name="_var2" localSheetId="12">#REF!</definedName>
    <definedName name="_var2" localSheetId="19">#REF!</definedName>
    <definedName name="_var2">#REF!</definedName>
    <definedName name="_var4" localSheetId="22">#REF!</definedName>
    <definedName name="_var4" localSheetId="5">#REF!</definedName>
    <definedName name="_var4" localSheetId="6">#REF!</definedName>
    <definedName name="_var4" localSheetId="12">#REF!</definedName>
    <definedName name="_var4" localSheetId="34">#REF!</definedName>
    <definedName name="_var4" localSheetId="19">#REF!</definedName>
    <definedName name="_var4" localSheetId="30">#REF!</definedName>
    <definedName name="_var4" localSheetId="40">#REF!</definedName>
    <definedName name="_var4" localSheetId="26">#REF!</definedName>
    <definedName name="_var4">#REF!</definedName>
    <definedName name="_var4_23">"$#REF!.$#REF!$#REF!"</definedName>
    <definedName name="_var4_32">"$#REF!.$#REF!$#REF!"</definedName>
    <definedName name="_var4_33">"$#REF!.$#REF!$#REF!"</definedName>
    <definedName name="_var4_34">"$#REF!.$#REF!$#REF!"</definedName>
    <definedName name="_var4_38">"$#REF!.$#REF!$#REF!"</definedName>
    <definedName name="_var4_41">"$#REF!.$#REF!$#REF!"</definedName>
    <definedName name="_var4_43">"$#REF!.$#REF!$#REF!"</definedName>
    <definedName name="_var4_48">"$#REF!.$#REF!$#REF!"</definedName>
    <definedName name="_var4_56">"$#REF!.$#REF!$#REF!"</definedName>
    <definedName name="_var4_57">"$#REF!.$#REF!$#REF!"</definedName>
    <definedName name="_var4_59">"$#REF!.$#REF!$#REF!"</definedName>
    <definedName name="_var4_60">"$#REF!.$#REF!$#REF!"</definedName>
    <definedName name="_var4_61">"$#REF!.$#REF!$#REF!"</definedName>
    <definedName name="_var4_62">"$#REF!.$#REF!$#REF!"</definedName>
    <definedName name="_var4_7">"$#REF!.$#REF!$#REF!"</definedName>
    <definedName name="_var4_72">"$#REF!.$#REF!$#REF!"</definedName>
    <definedName name="_var4_73">"$#REF!.$#REF!$#REF!"</definedName>
    <definedName name="_var4_8">"$#REF!.$#REF!$#REF!"</definedName>
    <definedName name="_vat" localSheetId="6">#REF!</definedName>
    <definedName name="_vat" localSheetId="12">#REF!</definedName>
    <definedName name="_vat" localSheetId="34">#REF!</definedName>
    <definedName name="_vat" localSheetId="19">#REF!</definedName>
    <definedName name="_vat">#REF!</definedName>
    <definedName name="_vat1" localSheetId="5">#REF!</definedName>
    <definedName name="_vat1" localSheetId="6">#REF!</definedName>
    <definedName name="_vat1" localSheetId="12">#REF!</definedName>
    <definedName name="_vat1" localSheetId="19">#REF!</definedName>
    <definedName name="_vat1" localSheetId="30">#REF!</definedName>
    <definedName name="_vat1">#REF!</definedName>
    <definedName name="_vat2" localSheetId="5">#REF!</definedName>
    <definedName name="_vat2" localSheetId="6">#REF!</definedName>
    <definedName name="_vat2" localSheetId="12">#REF!</definedName>
    <definedName name="_vat2" localSheetId="19">#REF!</definedName>
    <definedName name="_vat2" localSheetId="30">#REF!</definedName>
    <definedName name="_vat2">#REF!</definedName>
    <definedName name="_vzrzam" localSheetId="5">#REF!</definedName>
    <definedName name="_vzrzam" localSheetId="6">#REF!</definedName>
    <definedName name="_vzrzam" localSheetId="12">#REF!</definedName>
    <definedName name="_vzrzam" localSheetId="34">#REF!</definedName>
    <definedName name="_vzrzam" localSheetId="19">#REF!</definedName>
    <definedName name="_vzrzam" localSheetId="30">#REF!</definedName>
    <definedName name="_vzrzam">#REF!</definedName>
    <definedName name="_woodprimer" localSheetId="6">#REF!</definedName>
    <definedName name="_woodprimer" localSheetId="12">#REF!</definedName>
    <definedName name="_woodprimer" localSheetId="34">#REF!</definedName>
    <definedName name="_woodprimer" localSheetId="19">#REF!</definedName>
    <definedName name="_woodprimer">#REF!</definedName>
    <definedName name="_wp" localSheetId="6">#REF!</definedName>
    <definedName name="_wp" localSheetId="12">#REF!</definedName>
    <definedName name="_wp" localSheetId="34">#REF!</definedName>
    <definedName name="_wp" localSheetId="19">#REF!</definedName>
    <definedName name="_wp">#REF!</definedName>
    <definedName name="_xcc1153" localSheetId="6">#REF!</definedName>
    <definedName name="_xcc1153" localSheetId="12">#REF!</definedName>
    <definedName name="_xcc1153" localSheetId="19">#REF!</definedName>
    <definedName name="_xcc1153" localSheetId="30">#REF!</definedName>
    <definedName name="_xcc1153">#REF!</definedName>
    <definedName name="_xcc124" localSheetId="6">#REF!</definedName>
    <definedName name="_xcc124" localSheetId="12">#REF!</definedName>
    <definedName name="_xcc124" localSheetId="19">#REF!</definedName>
    <definedName name="_xcc124" localSheetId="30">#REF!</definedName>
    <definedName name="_xcc124">#REF!</definedName>
    <definedName name="_xcc136" localSheetId="6">#REF!</definedName>
    <definedName name="_xcc136" localSheetId="12">#REF!</definedName>
    <definedName name="_xcc136" localSheetId="19">#REF!</definedName>
    <definedName name="_xcc136" localSheetId="30">#REF!</definedName>
    <definedName name="_xcc136">#REF!</definedName>
    <definedName name="_xcc148" localSheetId="6">#REF!</definedName>
    <definedName name="_xcc148" localSheetId="12">#REF!</definedName>
    <definedName name="_xcc148" localSheetId="19">#REF!</definedName>
    <definedName name="_xcc148" localSheetId="30">#REF!</definedName>
    <definedName name="_xcc148">#REF!</definedName>
    <definedName name="_xcc1510" localSheetId="6">#REF!</definedName>
    <definedName name="_xcc1510" localSheetId="12">#REF!</definedName>
    <definedName name="_xcc1510" localSheetId="19">#REF!</definedName>
    <definedName name="_xcc1510" localSheetId="30">#REF!</definedName>
    <definedName name="_xcc1510">#REF!</definedName>
    <definedName name="_xcm16" localSheetId="6">#REF!</definedName>
    <definedName name="_xcm16" localSheetId="12">#REF!</definedName>
    <definedName name="_xcm16" localSheetId="19">#REF!</definedName>
    <definedName name="_xcm16" localSheetId="30">#REF!</definedName>
    <definedName name="_xcm16">#REF!</definedName>
    <definedName name="_xh11010" localSheetId="6">#REF!</definedName>
    <definedName name="_xh11010" localSheetId="12">#REF!</definedName>
    <definedName name="_xh11010" localSheetId="34">#REF!</definedName>
    <definedName name="_xh11010" localSheetId="19">#REF!</definedName>
    <definedName name="_xh11010">#REF!</definedName>
    <definedName name="_xh1104" localSheetId="6">#REF!</definedName>
    <definedName name="_xh1104" localSheetId="12">#REF!</definedName>
    <definedName name="_xh1104" localSheetId="34">#REF!</definedName>
    <definedName name="_xh1104" localSheetId="19">#REF!</definedName>
    <definedName name="_xh1104">#REF!</definedName>
    <definedName name="_xh1106" localSheetId="6">#REF!</definedName>
    <definedName name="_xh1106" localSheetId="12">#REF!</definedName>
    <definedName name="_xh1106" localSheetId="34">#REF!</definedName>
    <definedName name="_xh1106" localSheetId="19">#REF!</definedName>
    <definedName name="_xh1106">#REF!</definedName>
    <definedName name="_xh1108" localSheetId="6">#REF!</definedName>
    <definedName name="_xh1108" localSheetId="12">#REF!</definedName>
    <definedName name="_xh1108" localSheetId="34">#REF!</definedName>
    <definedName name="_xh1108" localSheetId="19">#REF!</definedName>
    <definedName name="_xh1108">#REF!</definedName>
    <definedName name="_xh12510" localSheetId="6">#REF!</definedName>
    <definedName name="_xh12510" localSheetId="12">#REF!</definedName>
    <definedName name="_xh12510" localSheetId="34">#REF!</definedName>
    <definedName name="_xh12510" localSheetId="19">#REF!</definedName>
    <definedName name="_xh12510">#REF!</definedName>
    <definedName name="_xh1254" localSheetId="6">#REF!</definedName>
    <definedName name="_xh1254" localSheetId="12">#REF!</definedName>
    <definedName name="_xh1254" localSheetId="34">#REF!</definedName>
    <definedName name="_xh1254" localSheetId="19">#REF!</definedName>
    <definedName name="_xh1254">#REF!</definedName>
    <definedName name="_xh1256" localSheetId="6">#REF!</definedName>
    <definedName name="_xh1256" localSheetId="12">#REF!</definedName>
    <definedName name="_xh1256" localSheetId="34">#REF!</definedName>
    <definedName name="_xh1256" localSheetId="19">#REF!</definedName>
    <definedName name="_xh1256">#REF!</definedName>
    <definedName name="_xh1258" localSheetId="6">#REF!</definedName>
    <definedName name="_xh1258" localSheetId="12">#REF!</definedName>
    <definedName name="_xh1258" localSheetId="34">#REF!</definedName>
    <definedName name="_xh1258" localSheetId="19">#REF!</definedName>
    <definedName name="_xh1258">#REF!</definedName>
    <definedName name="_xh14010" localSheetId="6">#REF!</definedName>
    <definedName name="_xh14010" localSheetId="12">#REF!</definedName>
    <definedName name="_xh14010" localSheetId="34">#REF!</definedName>
    <definedName name="_xh14010" localSheetId="19">#REF!</definedName>
    <definedName name="_xh14010">#REF!</definedName>
    <definedName name="_xh1404" localSheetId="6">#REF!</definedName>
    <definedName name="_xh1404" localSheetId="12">#REF!</definedName>
    <definedName name="_xh1404" localSheetId="34">#REF!</definedName>
    <definedName name="_xh1404" localSheetId="19">#REF!</definedName>
    <definedName name="_xh1404">#REF!</definedName>
    <definedName name="_xh1406" localSheetId="6">#REF!</definedName>
    <definedName name="_xh1406" localSheetId="12">#REF!</definedName>
    <definedName name="_xh1406" localSheetId="34">#REF!</definedName>
    <definedName name="_xh1406" localSheetId="19">#REF!</definedName>
    <definedName name="_xh1406">#REF!</definedName>
    <definedName name="_xh1408" localSheetId="6">#REF!</definedName>
    <definedName name="_xh1408" localSheetId="12">#REF!</definedName>
    <definedName name="_xh1408" localSheetId="34">#REF!</definedName>
    <definedName name="_xh1408" localSheetId="19">#REF!</definedName>
    <definedName name="_xh1408">#REF!</definedName>
    <definedName name="_xh16010" localSheetId="6">#REF!</definedName>
    <definedName name="_xh16010" localSheetId="12">#REF!</definedName>
    <definedName name="_xh16010" localSheetId="34">#REF!</definedName>
    <definedName name="_xh16010" localSheetId="19">#REF!</definedName>
    <definedName name="_xh16010">#REF!</definedName>
    <definedName name="_xh1604" localSheetId="6">#REF!</definedName>
    <definedName name="_xh1604" localSheetId="12">#REF!</definedName>
    <definedName name="_xh1604" localSheetId="34">#REF!</definedName>
    <definedName name="_xh1604" localSheetId="19">#REF!</definedName>
    <definedName name="_xh1604">#REF!</definedName>
    <definedName name="_xh1606" localSheetId="6">#REF!</definedName>
    <definedName name="_xh1606" localSheetId="12">#REF!</definedName>
    <definedName name="_xh1606" localSheetId="34">#REF!</definedName>
    <definedName name="_xh1606" localSheetId="19">#REF!</definedName>
    <definedName name="_xh1606">#REF!</definedName>
    <definedName name="_xh1608" localSheetId="6">#REF!</definedName>
    <definedName name="_xh1608" localSheetId="12">#REF!</definedName>
    <definedName name="_xh1608" localSheetId="34">#REF!</definedName>
    <definedName name="_xh1608" localSheetId="19">#REF!</definedName>
    <definedName name="_xh1608">#REF!</definedName>
    <definedName name="_xh18010" localSheetId="6">#REF!</definedName>
    <definedName name="_xh18010" localSheetId="12">#REF!</definedName>
    <definedName name="_xh18010" localSheetId="34">#REF!</definedName>
    <definedName name="_xh18010" localSheetId="19">#REF!</definedName>
    <definedName name="_xh18010">#REF!</definedName>
    <definedName name="_xh1804" localSheetId="6">#REF!</definedName>
    <definedName name="_xh1804" localSheetId="12">#REF!</definedName>
    <definedName name="_xh1804" localSheetId="34">#REF!</definedName>
    <definedName name="_xh1804" localSheetId="19">#REF!</definedName>
    <definedName name="_xh1804">#REF!</definedName>
    <definedName name="_xh1806" localSheetId="6">#REF!</definedName>
    <definedName name="_xh1806" localSheetId="12">#REF!</definedName>
    <definedName name="_xh1806" localSheetId="34">#REF!</definedName>
    <definedName name="_xh1806" localSheetId="19">#REF!</definedName>
    <definedName name="_xh1806">#REF!</definedName>
    <definedName name="_xh1808" localSheetId="6">#REF!</definedName>
    <definedName name="_xh1808" localSheetId="12">#REF!</definedName>
    <definedName name="_xh1808" localSheetId="34">#REF!</definedName>
    <definedName name="_xh1808" localSheetId="19">#REF!</definedName>
    <definedName name="_xh1808">#REF!</definedName>
    <definedName name="_xh20010" localSheetId="6">#REF!</definedName>
    <definedName name="_xh20010" localSheetId="12">#REF!</definedName>
    <definedName name="_xh20010" localSheetId="34">#REF!</definedName>
    <definedName name="_xh20010" localSheetId="19">#REF!</definedName>
    <definedName name="_xh20010">#REF!</definedName>
    <definedName name="_xh2004" localSheetId="6">#REF!</definedName>
    <definedName name="_xh2004" localSheetId="12">#REF!</definedName>
    <definedName name="_xh2004" localSheetId="34">#REF!</definedName>
    <definedName name="_xh2004" localSheetId="19">#REF!</definedName>
    <definedName name="_xh2004">#REF!</definedName>
    <definedName name="_xh2006" localSheetId="6">#REF!</definedName>
    <definedName name="_xh2006" localSheetId="12">#REF!</definedName>
    <definedName name="_xh2006" localSheetId="34">#REF!</definedName>
    <definedName name="_xh2006" localSheetId="19">#REF!</definedName>
    <definedName name="_xh2006">#REF!</definedName>
    <definedName name="_xh2008" localSheetId="6">#REF!</definedName>
    <definedName name="_xh2008" localSheetId="12">#REF!</definedName>
    <definedName name="_xh2008" localSheetId="34">#REF!</definedName>
    <definedName name="_xh2008" localSheetId="19">#REF!</definedName>
    <definedName name="_xh2008">#REF!</definedName>
    <definedName name="_xh22510" localSheetId="6">#REF!</definedName>
    <definedName name="_xh22510" localSheetId="12">#REF!</definedName>
    <definedName name="_xh22510" localSheetId="34">#REF!</definedName>
    <definedName name="_xh22510" localSheetId="19">#REF!</definedName>
    <definedName name="_xh22510">#REF!</definedName>
    <definedName name="_xh2254" localSheetId="6">#REF!</definedName>
    <definedName name="_xh2254" localSheetId="12">#REF!</definedName>
    <definedName name="_xh2254" localSheetId="34">#REF!</definedName>
    <definedName name="_xh2254" localSheetId="19">#REF!</definedName>
    <definedName name="_xh2254">#REF!</definedName>
    <definedName name="_xh2258" localSheetId="6">#REF!</definedName>
    <definedName name="_xh2258" localSheetId="12">#REF!</definedName>
    <definedName name="_xh2258" localSheetId="34">#REF!</definedName>
    <definedName name="_xh2258" localSheetId="19">#REF!</definedName>
    <definedName name="_xh2258">#REF!</definedName>
    <definedName name="_xh25010" localSheetId="6">#REF!</definedName>
    <definedName name="_xh25010" localSheetId="12">#REF!</definedName>
    <definedName name="_xh25010" localSheetId="34">#REF!</definedName>
    <definedName name="_xh25010" localSheetId="19">#REF!</definedName>
    <definedName name="_xh25010">#REF!</definedName>
    <definedName name="_xh2504" localSheetId="6">#REF!</definedName>
    <definedName name="_xh2504" localSheetId="12">#REF!</definedName>
    <definedName name="_xh2504" localSheetId="34">#REF!</definedName>
    <definedName name="_xh2504" localSheetId="19">#REF!</definedName>
    <definedName name="_xh2504">#REF!</definedName>
    <definedName name="_xh2508" localSheetId="6">#REF!</definedName>
    <definedName name="_xh2508" localSheetId="12">#REF!</definedName>
    <definedName name="_xh2508" localSheetId="34">#REF!</definedName>
    <definedName name="_xh2508" localSheetId="19">#REF!</definedName>
    <definedName name="_xh2508">#REF!</definedName>
    <definedName name="_xh28010" localSheetId="6">#REF!</definedName>
    <definedName name="_xh28010" localSheetId="12">#REF!</definedName>
    <definedName name="_xh28010" localSheetId="34">#REF!</definedName>
    <definedName name="_xh28010" localSheetId="19">#REF!</definedName>
    <definedName name="_xh28010">#REF!</definedName>
    <definedName name="_xh2804" localSheetId="6">#REF!</definedName>
    <definedName name="_xh2804" localSheetId="12">#REF!</definedName>
    <definedName name="_xh2804" localSheetId="34">#REF!</definedName>
    <definedName name="_xh2804" localSheetId="19">#REF!</definedName>
    <definedName name="_xh2804">#REF!</definedName>
    <definedName name="_xh2808" localSheetId="6">#REF!</definedName>
    <definedName name="_xh2808" localSheetId="12">#REF!</definedName>
    <definedName name="_xh2808" localSheetId="34">#REF!</definedName>
    <definedName name="_xh2808" localSheetId="19">#REF!</definedName>
    <definedName name="_xh2808">#REF!</definedName>
    <definedName name="_xh31510" localSheetId="6">#REF!</definedName>
    <definedName name="_xh31510" localSheetId="12">#REF!</definedName>
    <definedName name="_xh31510" localSheetId="34">#REF!</definedName>
    <definedName name="_xh31510" localSheetId="19">#REF!</definedName>
    <definedName name="_xh31510">#REF!</definedName>
    <definedName name="_xh3154" localSheetId="6">#REF!</definedName>
    <definedName name="_xh3154" localSheetId="12">#REF!</definedName>
    <definedName name="_xh3154" localSheetId="34">#REF!</definedName>
    <definedName name="_xh3154" localSheetId="19">#REF!</definedName>
    <definedName name="_xh3154">#REF!</definedName>
    <definedName name="_xh3158" localSheetId="6">#REF!</definedName>
    <definedName name="_xh3158" localSheetId="12">#REF!</definedName>
    <definedName name="_xh3158" localSheetId="34">#REF!</definedName>
    <definedName name="_xh3158" localSheetId="19">#REF!</definedName>
    <definedName name="_xh3158">#REF!</definedName>
    <definedName name="_xh3554" localSheetId="6">#REF!</definedName>
    <definedName name="_xh3554" localSheetId="12">#REF!</definedName>
    <definedName name="_xh3554" localSheetId="34">#REF!</definedName>
    <definedName name="_xh3554" localSheetId="19">#REF!</definedName>
    <definedName name="_xh3554">#REF!</definedName>
    <definedName name="_xh3556" localSheetId="6">#REF!</definedName>
    <definedName name="_xh3556" localSheetId="12">#REF!</definedName>
    <definedName name="_xh3556" localSheetId="34">#REF!</definedName>
    <definedName name="_xh3556" localSheetId="19">#REF!</definedName>
    <definedName name="_xh3556">#REF!</definedName>
    <definedName name="_xh6310" localSheetId="6">#REF!</definedName>
    <definedName name="_xh6310" localSheetId="12">#REF!</definedName>
    <definedName name="_xh6310" localSheetId="34">#REF!</definedName>
    <definedName name="_xh6310" localSheetId="19">#REF!</definedName>
    <definedName name="_xh6310">#REF!</definedName>
    <definedName name="_xh636" localSheetId="6">#REF!</definedName>
    <definedName name="_xh636" localSheetId="12">#REF!</definedName>
    <definedName name="_xh636" localSheetId="34">#REF!</definedName>
    <definedName name="_xh636" localSheetId="19">#REF!</definedName>
    <definedName name="_xh636">#REF!</definedName>
    <definedName name="_xh638" localSheetId="6">#REF!</definedName>
    <definedName name="_xh638" localSheetId="12">#REF!</definedName>
    <definedName name="_xh638" localSheetId="34">#REF!</definedName>
    <definedName name="_xh638" localSheetId="19">#REF!</definedName>
    <definedName name="_xh638">#REF!</definedName>
    <definedName name="_xh7510" localSheetId="6">#REF!</definedName>
    <definedName name="_xh7510" localSheetId="12">#REF!</definedName>
    <definedName name="_xh7510" localSheetId="34">#REF!</definedName>
    <definedName name="_xh7510" localSheetId="19">#REF!</definedName>
    <definedName name="_xh7510">#REF!</definedName>
    <definedName name="_xh754" localSheetId="6">#REF!</definedName>
    <definedName name="_xh754" localSheetId="12">#REF!</definedName>
    <definedName name="_xh754" localSheetId="34">#REF!</definedName>
    <definedName name="_xh754" localSheetId="19">#REF!</definedName>
    <definedName name="_xh754">#REF!</definedName>
    <definedName name="_xh756" localSheetId="6">#REF!</definedName>
    <definedName name="_xh756" localSheetId="12">#REF!</definedName>
    <definedName name="_xh756" localSheetId="34">#REF!</definedName>
    <definedName name="_xh756" localSheetId="19">#REF!</definedName>
    <definedName name="_xh756">#REF!</definedName>
    <definedName name="_xh758" localSheetId="6">#REF!</definedName>
    <definedName name="_xh758" localSheetId="12">#REF!</definedName>
    <definedName name="_xh758" localSheetId="34">#REF!</definedName>
    <definedName name="_xh758" localSheetId="19">#REF!</definedName>
    <definedName name="_xh758">#REF!</definedName>
    <definedName name="_xh9010" localSheetId="6">#REF!</definedName>
    <definedName name="_xh9010" localSheetId="12">#REF!</definedName>
    <definedName name="_xh9010" localSheetId="34">#REF!</definedName>
    <definedName name="_xh9010" localSheetId="19">#REF!</definedName>
    <definedName name="_xh9010">#REF!</definedName>
    <definedName name="_xh904" localSheetId="6">#REF!</definedName>
    <definedName name="_xh904" localSheetId="12">#REF!</definedName>
    <definedName name="_xh904" localSheetId="34">#REF!</definedName>
    <definedName name="_xh904" localSheetId="19">#REF!</definedName>
    <definedName name="_xh904">#REF!</definedName>
    <definedName name="_xh906" localSheetId="6">#REF!</definedName>
    <definedName name="_xh906" localSheetId="12">#REF!</definedName>
    <definedName name="_xh906" localSheetId="34">#REF!</definedName>
    <definedName name="_xh906" localSheetId="19">#REF!</definedName>
    <definedName name="_xh906">#REF!</definedName>
    <definedName name="_xh908" localSheetId="6">#REF!</definedName>
    <definedName name="_xh908" localSheetId="12">#REF!</definedName>
    <definedName name="_xh908" localSheetId="34">#REF!</definedName>
    <definedName name="_xh908" localSheetId="19">#REF!</definedName>
    <definedName name="_xh908">#REF!</definedName>
    <definedName name="_xk7200" localSheetId="6">#REF!</definedName>
    <definedName name="_xk7200" localSheetId="12">#REF!</definedName>
    <definedName name="_xk7200" localSheetId="34">#REF!</definedName>
    <definedName name="_xk7200" localSheetId="19">#REF!</definedName>
    <definedName name="_xk7200">#REF!</definedName>
    <definedName name="_xk7350" localSheetId="6">#REF!</definedName>
    <definedName name="_xk7350" localSheetId="12">#REF!</definedName>
    <definedName name="_xk7350" localSheetId="34">#REF!</definedName>
    <definedName name="_xk7350" localSheetId="19">#REF!</definedName>
    <definedName name="_xk7350">#REF!</definedName>
    <definedName name="_xk7400" localSheetId="6">#REF!</definedName>
    <definedName name="_xk7400" localSheetId="12">#REF!</definedName>
    <definedName name="_xk7400" localSheetId="34">#REF!</definedName>
    <definedName name="_xk7400" localSheetId="19">#REF!</definedName>
    <definedName name="_xk7400">#REF!</definedName>
    <definedName name="_xk7450" localSheetId="6">#REF!</definedName>
    <definedName name="_xk7450" localSheetId="12">#REF!</definedName>
    <definedName name="_xk7450" localSheetId="34">#REF!</definedName>
    <definedName name="_xk7450" localSheetId="19">#REF!</definedName>
    <definedName name="_xk7450">#REF!</definedName>
    <definedName name="_xk7500" localSheetId="6">#REF!</definedName>
    <definedName name="_xk7500" localSheetId="12">#REF!</definedName>
    <definedName name="_xk7500" localSheetId="34">#REF!</definedName>
    <definedName name="_xk7500" localSheetId="19">#REF!</definedName>
    <definedName name="_xk7500">#REF!</definedName>
    <definedName name="_xk7600" localSheetId="6">#REF!</definedName>
    <definedName name="_xk7600" localSheetId="12">#REF!</definedName>
    <definedName name="_xk7600" localSheetId="34">#REF!</definedName>
    <definedName name="_xk7600" localSheetId="19">#REF!</definedName>
    <definedName name="_xk7600">#REF!</definedName>
    <definedName name="_xk9100" localSheetId="6">#REF!</definedName>
    <definedName name="_xk9100" localSheetId="12">#REF!</definedName>
    <definedName name="_xk9100" localSheetId="34">#REF!</definedName>
    <definedName name="_xk9100" localSheetId="19">#REF!</definedName>
    <definedName name="_xk9100">#REF!</definedName>
    <definedName name="_xk91000" localSheetId="6">#REF!</definedName>
    <definedName name="_xk91000" localSheetId="12">#REF!</definedName>
    <definedName name="_xk91000" localSheetId="34">#REF!</definedName>
    <definedName name="_xk91000" localSheetId="19">#REF!</definedName>
    <definedName name="_xk91000">#REF!</definedName>
    <definedName name="_xk9150" localSheetId="6">#REF!</definedName>
    <definedName name="_xk9150" localSheetId="12">#REF!</definedName>
    <definedName name="_xk9150" localSheetId="34">#REF!</definedName>
    <definedName name="_xk9150" localSheetId="19">#REF!</definedName>
    <definedName name="_xk9150">#REF!</definedName>
    <definedName name="_xk9200" localSheetId="6">#REF!</definedName>
    <definedName name="_xk9200" localSheetId="12">#REF!</definedName>
    <definedName name="_xk9200" localSheetId="34">#REF!</definedName>
    <definedName name="_xk9200" localSheetId="19">#REF!</definedName>
    <definedName name="_xk9200">#REF!</definedName>
    <definedName name="_xk9250" localSheetId="6">#REF!</definedName>
    <definedName name="_xk9250" localSheetId="12">#REF!</definedName>
    <definedName name="_xk9250" localSheetId="34">#REF!</definedName>
    <definedName name="_xk9250" localSheetId="19">#REF!</definedName>
    <definedName name="_xk9250">#REF!</definedName>
    <definedName name="_xk9300" localSheetId="6">#REF!</definedName>
    <definedName name="_xk9300" localSheetId="12">#REF!</definedName>
    <definedName name="_xk9300" localSheetId="34">#REF!</definedName>
    <definedName name="_xk9300" localSheetId="19">#REF!</definedName>
    <definedName name="_xk9300">#REF!</definedName>
    <definedName name="_xk9350" localSheetId="6">#REF!</definedName>
    <definedName name="_xk9350" localSheetId="12">#REF!</definedName>
    <definedName name="_xk9350" localSheetId="34">#REF!</definedName>
    <definedName name="_xk9350" localSheetId="19">#REF!</definedName>
    <definedName name="_xk9350">#REF!</definedName>
    <definedName name="_xk9400" localSheetId="6">#REF!</definedName>
    <definedName name="_xk9400" localSheetId="12">#REF!</definedName>
    <definedName name="_xk9400" localSheetId="34">#REF!</definedName>
    <definedName name="_xk9400" localSheetId="19">#REF!</definedName>
    <definedName name="_xk9400">#REF!</definedName>
    <definedName name="_xk9450" localSheetId="6">#REF!</definedName>
    <definedName name="_xk9450" localSheetId="12">#REF!</definedName>
    <definedName name="_xk9450" localSheetId="34">#REF!</definedName>
    <definedName name="_xk9450" localSheetId="19">#REF!</definedName>
    <definedName name="_xk9450">#REF!</definedName>
    <definedName name="_xk9500" localSheetId="6">#REF!</definedName>
    <definedName name="_xk9500" localSheetId="12">#REF!</definedName>
    <definedName name="_xk9500" localSheetId="34">#REF!</definedName>
    <definedName name="_xk9500" localSheetId="19">#REF!</definedName>
    <definedName name="_xk9500">#REF!</definedName>
    <definedName name="_xk9600" localSheetId="6">#REF!</definedName>
    <definedName name="_xk9600" localSheetId="12">#REF!</definedName>
    <definedName name="_xk9600" localSheetId="34">#REF!</definedName>
    <definedName name="_xk9600" localSheetId="19">#REF!</definedName>
    <definedName name="_xk9600">#REF!</definedName>
    <definedName name="_xk9700" localSheetId="6">#REF!</definedName>
    <definedName name="_xk9700" localSheetId="12">#REF!</definedName>
    <definedName name="_xk9700" localSheetId="34">#REF!</definedName>
    <definedName name="_xk9700" localSheetId="19">#REF!</definedName>
    <definedName name="_xk9700">#REF!</definedName>
    <definedName name="_xk9750" localSheetId="6">#REF!</definedName>
    <definedName name="_xk9750" localSheetId="12">#REF!</definedName>
    <definedName name="_xk9750" localSheetId="34">#REF!</definedName>
    <definedName name="_xk9750" localSheetId="19">#REF!</definedName>
    <definedName name="_xk9750">#REF!</definedName>
    <definedName name="_xk9800" localSheetId="6">#REF!</definedName>
    <definedName name="_xk9800" localSheetId="12">#REF!</definedName>
    <definedName name="_xk9800" localSheetId="34">#REF!</definedName>
    <definedName name="_xk9800" localSheetId="19">#REF!</definedName>
    <definedName name="_xk9800">#REF!</definedName>
    <definedName name="_xk9900" localSheetId="6">#REF!</definedName>
    <definedName name="_xk9900" localSheetId="12">#REF!</definedName>
    <definedName name="_xk9900" localSheetId="34">#REF!</definedName>
    <definedName name="_xk9900" localSheetId="19">#REF!</definedName>
    <definedName name="_xk9900">#REF!</definedName>
    <definedName name="_xp12510" localSheetId="6">#REF!</definedName>
    <definedName name="_xp12510" localSheetId="12">#REF!</definedName>
    <definedName name="_xp12510" localSheetId="34">#REF!</definedName>
    <definedName name="_xp12510" localSheetId="19">#REF!</definedName>
    <definedName name="_xp12510">#REF!</definedName>
    <definedName name="_xp16010" localSheetId="6">#REF!</definedName>
    <definedName name="_xp16010" localSheetId="12">#REF!</definedName>
    <definedName name="_xp16010" localSheetId="34">#REF!</definedName>
    <definedName name="_xp16010" localSheetId="19">#REF!</definedName>
    <definedName name="_xp16010">#REF!</definedName>
    <definedName name="_xp18010" localSheetId="6">#REF!</definedName>
    <definedName name="_xp18010" localSheetId="12">#REF!</definedName>
    <definedName name="_xp18010" localSheetId="34">#REF!</definedName>
    <definedName name="_xp18010" localSheetId="19">#REF!</definedName>
    <definedName name="_xp18010">#REF!</definedName>
    <definedName name="_xp20010" localSheetId="6">#REF!</definedName>
    <definedName name="_xp20010" localSheetId="12">#REF!</definedName>
    <definedName name="_xp20010" localSheetId="34">#REF!</definedName>
    <definedName name="_xp20010" localSheetId="19">#REF!</definedName>
    <definedName name="_xp20010">#REF!</definedName>
    <definedName name="_xp2004" localSheetId="6">#REF!</definedName>
    <definedName name="_xp2004" localSheetId="12">#REF!</definedName>
    <definedName name="_xp2004" localSheetId="34">#REF!</definedName>
    <definedName name="_xp2004" localSheetId="19">#REF!</definedName>
    <definedName name="_xp2004">#REF!</definedName>
    <definedName name="_xp22510" localSheetId="6">#REF!</definedName>
    <definedName name="_xp22510" localSheetId="12">#REF!</definedName>
    <definedName name="_xp22510" localSheetId="34">#REF!</definedName>
    <definedName name="_xp22510" localSheetId="19">#REF!</definedName>
    <definedName name="_xp22510">#REF!</definedName>
    <definedName name="_xp2254" localSheetId="6">#REF!</definedName>
    <definedName name="_xp2254" localSheetId="12">#REF!</definedName>
    <definedName name="_xp2254" localSheetId="34">#REF!</definedName>
    <definedName name="_xp2254" localSheetId="19">#REF!</definedName>
    <definedName name="_xp2254">#REF!</definedName>
    <definedName name="_xp2256" localSheetId="6">#REF!</definedName>
    <definedName name="_xp2256" localSheetId="12">#REF!</definedName>
    <definedName name="_xp2256" localSheetId="34">#REF!</definedName>
    <definedName name="_xp2256" localSheetId="19">#REF!</definedName>
    <definedName name="_xp2256">#REF!</definedName>
    <definedName name="_xp25010" localSheetId="6">#REF!</definedName>
    <definedName name="_xp25010" localSheetId="12">#REF!</definedName>
    <definedName name="_xp25010" localSheetId="34">#REF!</definedName>
    <definedName name="_xp25010" localSheetId="19">#REF!</definedName>
    <definedName name="_xp25010">#REF!</definedName>
    <definedName name="_xp2504" localSheetId="6">#REF!</definedName>
    <definedName name="_xp2504" localSheetId="12">#REF!</definedName>
    <definedName name="_xp2504" localSheetId="34">#REF!</definedName>
    <definedName name="_xp2504" localSheetId="19">#REF!</definedName>
    <definedName name="_xp2504">#REF!</definedName>
    <definedName name="_xp2506" localSheetId="6">#REF!</definedName>
    <definedName name="_xp2506" localSheetId="12">#REF!</definedName>
    <definedName name="_xp2506" localSheetId="34">#REF!</definedName>
    <definedName name="_xp2506" localSheetId="19">#REF!</definedName>
    <definedName name="_xp2506">#REF!</definedName>
    <definedName name="_xp28010" localSheetId="6">#REF!</definedName>
    <definedName name="_xp28010" localSheetId="12">#REF!</definedName>
    <definedName name="_xp28010" localSheetId="34">#REF!</definedName>
    <definedName name="_xp28010" localSheetId="19">#REF!</definedName>
    <definedName name="_xp28010">#REF!</definedName>
    <definedName name="_xp2804" localSheetId="6">#REF!</definedName>
    <definedName name="_xp2804" localSheetId="12">#REF!</definedName>
    <definedName name="_xp2804" localSheetId="34">#REF!</definedName>
    <definedName name="_xp2804" localSheetId="19">#REF!</definedName>
    <definedName name="_xp2804">#REF!</definedName>
    <definedName name="_xp2806" localSheetId="6">#REF!</definedName>
    <definedName name="_xp2806" localSheetId="12">#REF!</definedName>
    <definedName name="_xp2806" localSheetId="34">#REF!</definedName>
    <definedName name="_xp2806" localSheetId="19">#REF!</definedName>
    <definedName name="_xp2806">#REF!</definedName>
    <definedName name="_xp31510" localSheetId="6">#REF!</definedName>
    <definedName name="_xp31510" localSheetId="12">#REF!</definedName>
    <definedName name="_xp31510" localSheetId="34">#REF!</definedName>
    <definedName name="_xp31510" localSheetId="19">#REF!</definedName>
    <definedName name="_xp31510">#REF!</definedName>
    <definedName name="_xp3154" localSheetId="6">#REF!</definedName>
    <definedName name="_xp3154" localSheetId="12">#REF!</definedName>
    <definedName name="_xp3154" localSheetId="34">#REF!</definedName>
    <definedName name="_xp3154" localSheetId="19">#REF!</definedName>
    <definedName name="_xp3154">#REF!</definedName>
    <definedName name="_xp3156" localSheetId="6">#REF!</definedName>
    <definedName name="_xp3156" localSheetId="12">#REF!</definedName>
    <definedName name="_xp3156" localSheetId="34">#REF!</definedName>
    <definedName name="_xp3156" localSheetId="19">#REF!</definedName>
    <definedName name="_xp3156">#REF!</definedName>
    <definedName name="_xp634" localSheetId="6">#REF!</definedName>
    <definedName name="_xp634" localSheetId="12">#REF!</definedName>
    <definedName name="_xp634" localSheetId="34">#REF!</definedName>
    <definedName name="_xp634" localSheetId="19">#REF!</definedName>
    <definedName name="_xp634">#REF!</definedName>
    <definedName name="a" localSheetId="22">#REF!</definedName>
    <definedName name="a" localSheetId="5">#REF!</definedName>
    <definedName name="a" localSheetId="6">#REF!</definedName>
    <definedName name="a" localSheetId="12">#REF!</definedName>
    <definedName name="a" localSheetId="34">#REF!</definedName>
    <definedName name="a" localSheetId="19">#REF!</definedName>
    <definedName name="a" localSheetId="30">#REF!</definedName>
    <definedName name="a" localSheetId="40">#REF!</definedName>
    <definedName name="a" localSheetId="26">#REF!</definedName>
    <definedName name="a">#REF!</definedName>
    <definedName name="a_33">"$#REF!.$#REF!$#REF!"</definedName>
    <definedName name="a_34">"$#REF!.$#REF!$#REF!"</definedName>
    <definedName name="aaa" localSheetId="5">#REF!</definedName>
    <definedName name="aaa" localSheetId="6">#REF!</definedName>
    <definedName name="aaa" localSheetId="12">#REF!</definedName>
    <definedName name="aaa" localSheetId="34">#REF!</definedName>
    <definedName name="aaa" localSheetId="19">#REF!</definedName>
    <definedName name="aaa" localSheetId="30">#REF!</definedName>
    <definedName name="aaa">#REF!</definedName>
    <definedName name="aaaa" localSheetId="19" hidden="1">{"'ridftotal'!$A$4:$S$27"}</definedName>
    <definedName name="aaaaaaa" localSheetId="27" hidden="1">{"'ridftotal'!$A$4:$S$27"}</definedName>
    <definedName name="aaaaaaa" localSheetId="22" hidden="1">{"'ridftotal'!$A$4:$S$27"}</definedName>
    <definedName name="aaaaaaa" localSheetId="14" hidden="1">{"'ridftotal'!$A$4:$S$27"}</definedName>
    <definedName name="aaaaaaa" localSheetId="19" hidden="1">{"'ridftotal'!$A$4:$S$27"}</definedName>
    <definedName name="aaaaaaa" localSheetId="30" hidden="1">{"'ridftotal'!$A$4:$S$27"}</definedName>
    <definedName name="aaaaaaa" hidden="1">{"'ridftotal'!$A$4:$S$27"}</definedName>
    <definedName name="aaaaaaaaaaaaaa" localSheetId="27" hidden="1">{"'ridftotal'!$A$4:$S$27"}</definedName>
    <definedName name="aaaaaaaaaaaaaa" localSheetId="22" hidden="1">{"'ridftotal'!$A$4:$S$27"}</definedName>
    <definedName name="aaaaaaaaaaaaaa" localSheetId="14" hidden="1">{"'ridftotal'!$A$4:$S$27"}</definedName>
    <definedName name="aaaaaaaaaaaaaa" localSheetId="19" hidden="1">{"'ridftotal'!$A$4:$S$27"}</definedName>
    <definedName name="aaaaaaaaaaaaaa" localSheetId="30" hidden="1">{"'ridftotal'!$A$4:$S$27"}</definedName>
    <definedName name="aaaaaaaaaaaaaa" hidden="1">{"'ridftotal'!$A$4:$S$27"}</definedName>
    <definedName name="aaaaaaaaaaaaaaaaaaaaa">#REF!</definedName>
    <definedName name="AAF" localSheetId="6">#REF!</definedName>
    <definedName name="AAF" localSheetId="12">#REF!</definedName>
    <definedName name="AAF" localSheetId="19">#REF!</definedName>
    <definedName name="AAF">#REF!</definedName>
    <definedName name="aastrb" localSheetId="6">#REF!</definedName>
    <definedName name="aastrb" localSheetId="12">#REF!</definedName>
    <definedName name="aastrb" localSheetId="34">#REF!</definedName>
    <definedName name="aastrb" localSheetId="19">#REF!</definedName>
    <definedName name="aastrb">#REF!</definedName>
    <definedName name="aat" localSheetId="5">#REF!</definedName>
    <definedName name="aat" localSheetId="6">#REF!</definedName>
    <definedName name="aat" localSheetId="12">#REF!</definedName>
    <definedName name="aat" localSheetId="19">#REF!</definedName>
    <definedName name="aat" localSheetId="30">#REF!</definedName>
    <definedName name="aat">#REF!</definedName>
    <definedName name="aawa">#REF!</definedName>
    <definedName name="ab" localSheetId="19" hidden="1">{"'ridftotal'!$A$4:$S$27"}</definedName>
    <definedName name="Abbbbb" localSheetId="22">#REF!</definedName>
    <definedName name="Abbbbb" localSheetId="5">#REF!</definedName>
    <definedName name="Abbbbb" localSheetId="6">#REF!</definedName>
    <definedName name="Abbbbb" localSheetId="12">#REF!</definedName>
    <definedName name="Abbbbb" localSheetId="34">#REF!</definedName>
    <definedName name="Abbbbb" localSheetId="19">#REF!</definedName>
    <definedName name="Abbbbb" localSheetId="30">#REF!</definedName>
    <definedName name="Abbbbb" localSheetId="40">#REF!</definedName>
    <definedName name="Abbbbb" localSheetId="26">#REF!</definedName>
    <definedName name="Abbbbb">#REF!</definedName>
    <definedName name="ABC" localSheetId="5">#REF!</definedName>
    <definedName name="ABC" localSheetId="6">#REF!</definedName>
    <definedName name="ABC" localSheetId="12">#REF!</definedName>
    <definedName name="ABC" localSheetId="19">#REF!</definedName>
    <definedName name="ABC" localSheetId="30">#REF!</definedName>
    <definedName name="ABC">#REF!</definedName>
    <definedName name="abcd" localSheetId="6">#REF!</definedName>
    <definedName name="abcd" localSheetId="12">#REF!</definedName>
    <definedName name="abcd" localSheetId="19">#REF!</definedName>
    <definedName name="abcd">#REF!</definedName>
    <definedName name="abcdefgh">#REF!</definedName>
    <definedName name="abs">#REF!</definedName>
    <definedName name="AC" localSheetId="22">#REF!</definedName>
    <definedName name="AC" localSheetId="5">#REF!</definedName>
    <definedName name="AC" localSheetId="6">#REF!</definedName>
    <definedName name="AC" localSheetId="12">#REF!</definedName>
    <definedName name="AC" localSheetId="34">#REF!</definedName>
    <definedName name="AC" localSheetId="19">#REF!</definedName>
    <definedName name="AC" localSheetId="30">#REF!</definedName>
    <definedName name="AC" localSheetId="40">#REF!</definedName>
    <definedName name="AC" localSheetId="26">#REF!</definedName>
    <definedName name="AC">#REF!</definedName>
    <definedName name="ac_sheet" localSheetId="6">#REF!</definedName>
    <definedName name="ac_sheet" localSheetId="12">#REF!</definedName>
    <definedName name="ac_sheet" localSheetId="34">#REF!</definedName>
    <definedName name="ac_sheet" localSheetId="19">#REF!</definedName>
    <definedName name="ac_sheet">#REF!</definedName>
    <definedName name="AccessDatabase" hidden="1">"C:\RWS_Reports\ww\Spillww0203.mdb"</definedName>
    <definedName name="acl" localSheetId="19">#REF!</definedName>
    <definedName name="ACMFL" localSheetId="14">#REF!</definedName>
    <definedName name="ACMFL" localSheetId="6">#REF!</definedName>
    <definedName name="ACMFL" localSheetId="12">#REF!</definedName>
    <definedName name="ACMFL" localSheetId="19">#REF!</definedName>
    <definedName name="ACMFL">#REF!</definedName>
    <definedName name="acs">#REF!</definedName>
    <definedName name="acsheet">#REF!</definedName>
    <definedName name="actual" localSheetId="6">#REF!</definedName>
    <definedName name="actual" localSheetId="12">#REF!</definedName>
    <definedName name="actual" localSheetId="34">#REF!</definedName>
    <definedName name="actual" localSheetId="19">#REF!</definedName>
    <definedName name="actual">#REF!</definedName>
    <definedName name="AD" localSheetId="14">#REF!</definedName>
    <definedName name="AD" localSheetId="6">#REF!</definedName>
    <definedName name="AD" localSheetId="12">#REF!</definedName>
    <definedName name="AD" localSheetId="19">#REF!</definedName>
    <definedName name="AD">#REF!</definedName>
    <definedName name="Address" localSheetId="22">#REF!</definedName>
    <definedName name="Address" localSheetId="5">#REF!</definedName>
    <definedName name="Address" localSheetId="6">#REF!</definedName>
    <definedName name="Address" localSheetId="12">#REF!</definedName>
    <definedName name="ADDRESS" localSheetId="34">#REF!</definedName>
    <definedName name="Address" localSheetId="19">#REF!</definedName>
    <definedName name="Address" localSheetId="30">#REF!</definedName>
    <definedName name="Address" localSheetId="40">#REF!</definedName>
    <definedName name="Address" localSheetId="26">#REF!</definedName>
    <definedName name="Address">#REF!</definedName>
    <definedName name="ADFI" localSheetId="6">#REF!</definedName>
    <definedName name="ADFI" localSheetId="12">#REF!</definedName>
    <definedName name="ADFI" localSheetId="19">#REF!</definedName>
    <definedName name="ADFI">#REF!</definedName>
    <definedName name="ADFII" localSheetId="6">#REF!</definedName>
    <definedName name="ADFII" localSheetId="12">#REF!</definedName>
    <definedName name="ADFII" localSheetId="19">#REF!</definedName>
    <definedName name="ADFII">#REF!</definedName>
    <definedName name="ADFIII" localSheetId="6">#REF!</definedName>
    <definedName name="ADFIII" localSheetId="12">#REF!</definedName>
    <definedName name="ADFIII" localSheetId="19">#REF!</definedName>
    <definedName name="ADFIII">#REF!</definedName>
    <definedName name="Admin__Building" localSheetId="6">#REF!</definedName>
    <definedName name="Admin__Building" localSheetId="12">#REF!</definedName>
    <definedName name="Admin__Building" localSheetId="34">#REF!</definedName>
    <definedName name="Admin__Building" localSheetId="19">#REF!</definedName>
    <definedName name="Admin__Building">#REF!</definedName>
    <definedName name="adsa" localSheetId="6">#REF!</definedName>
    <definedName name="adsa" localSheetId="12">#REF!</definedName>
    <definedName name="adsa" localSheetId="19">#REF!</definedName>
    <definedName name="adsa" localSheetId="30">#REF!</definedName>
    <definedName name="adsa">#REF!</definedName>
    <definedName name="ae" localSheetId="27">#REF!</definedName>
    <definedName name="ae">#REF!</definedName>
    <definedName name="ae_33">#N/A</definedName>
    <definedName name="ae_34">#N/A</definedName>
    <definedName name="AEE" localSheetId="22">#REF!</definedName>
    <definedName name="AEF" localSheetId="14">#REF!</definedName>
    <definedName name="AEF" localSheetId="6">#REF!</definedName>
    <definedName name="AEF" localSheetId="12">#REF!</definedName>
    <definedName name="AEF" localSheetId="19">#REF!</definedName>
    <definedName name="AEF">#REF!</definedName>
    <definedName name="AF" localSheetId="14">#REF!</definedName>
    <definedName name="AF" localSheetId="6">#REF!</definedName>
    <definedName name="AF" localSheetId="12">#REF!</definedName>
    <definedName name="AF" localSheetId="19">#REF!</definedName>
    <definedName name="AF">#REF!</definedName>
    <definedName name="AGRA_SHOULDERS" localSheetId="22">#REF!</definedName>
    <definedName name="AGRA_SHOULDERS" localSheetId="5">#REF!</definedName>
    <definedName name="AGRA_SHOULDERS" localSheetId="6">#REF!</definedName>
    <definedName name="AGRA_SHOULDERS" localSheetId="12">#REF!</definedName>
    <definedName name="AGRA_SHOULDERS" localSheetId="34">#REF!</definedName>
    <definedName name="AGRA_SHOULDERS" localSheetId="19">#REF!</definedName>
    <definedName name="AGRA_SHOULDERS" localSheetId="30">#REF!</definedName>
    <definedName name="AGRA_SHOULDERS" localSheetId="40">#REF!</definedName>
    <definedName name="AGRA_SHOULDERS" localSheetId="26">#REF!</definedName>
    <definedName name="AGRA_SHOULDERS">#REF!</definedName>
    <definedName name="ai" localSheetId="6">#REF!</definedName>
    <definedName name="ai" localSheetId="12">#REF!</definedName>
    <definedName name="ai" localSheetId="34">#REF!</definedName>
    <definedName name="ai" localSheetId="19">#REF!</definedName>
    <definedName name="ai">#REF!</definedName>
    <definedName name="aii" localSheetId="6">#REF!</definedName>
    <definedName name="aii" localSheetId="12">#REF!</definedName>
    <definedName name="aii" localSheetId="34">#REF!</definedName>
    <definedName name="aii" localSheetId="19">#REF!</definedName>
    <definedName name="aii">#REF!</definedName>
    <definedName name="airvalve" localSheetId="5">#REF!</definedName>
    <definedName name="airvalve" localSheetId="6">#REF!</definedName>
    <definedName name="airvalve" localSheetId="12">#REF!</definedName>
    <definedName name="airvalve" localSheetId="19">#REF!</definedName>
    <definedName name="airvalve" localSheetId="30">#REF!</definedName>
    <definedName name="airvalve">#REF!</definedName>
    <definedName name="AIRVALVES" localSheetId="5">#REF!</definedName>
    <definedName name="AIRVALVES" localSheetId="6">#REF!</definedName>
    <definedName name="AIRVALVES" localSheetId="12">#REF!</definedName>
    <definedName name="AIRVALVES" localSheetId="19">#REF!</definedName>
    <definedName name="AIRVALVES" localSheetId="30">#REF!</definedName>
    <definedName name="AIRVALVES">#REF!</definedName>
    <definedName name="akash">#REF!</definedName>
    <definedName name="al" localSheetId="27" hidden="1">{"'ridftotal'!$A$4:$S$27"}</definedName>
    <definedName name="al" localSheetId="22" hidden="1">{"'ridftotal'!$A$4:$S$27"}</definedName>
    <definedName name="al" localSheetId="14" hidden="1">{"'ridftotal'!$A$4:$S$27"}</definedName>
    <definedName name="al" localSheetId="19" hidden="1">{"'ridftotal'!$A$4:$S$27"}</definedName>
    <definedName name="al" localSheetId="30" hidden="1">{"'ridftotal'!$A$4:$S$27"}</definedName>
    <definedName name="al" hidden="1">{"'ridftotal'!$A$4:$S$27"}</definedName>
    <definedName name="ald" localSheetId="6">#REF!</definedName>
    <definedName name="ald" localSheetId="12">#REF!</definedName>
    <definedName name="ald" localSheetId="34">#REF!</definedName>
    <definedName name="ald" localSheetId="19">#REF!</definedName>
    <definedName name="ald">#REF!</definedName>
    <definedName name="AMOUNT" localSheetId="6">#REF!</definedName>
    <definedName name="AMOUNT" localSheetId="12">#REF!</definedName>
    <definedName name="AMOUNT" localSheetId="34">#REF!</definedName>
    <definedName name="AMOUNT" localSheetId="19">#REF!</definedName>
    <definedName name="AMOUNT">#REF!</definedName>
    <definedName name="Aname" localSheetId="22">#REF!</definedName>
    <definedName name="Aname" localSheetId="5">#REF!</definedName>
    <definedName name="Aname" localSheetId="6">#REF!</definedName>
    <definedName name="Aname" localSheetId="12">#REF!</definedName>
    <definedName name="Aname" localSheetId="34">#REF!</definedName>
    <definedName name="Aname" localSheetId="19">#REF!</definedName>
    <definedName name="Aname" localSheetId="30">#REF!</definedName>
    <definedName name="Aname" localSheetId="40">#REF!</definedName>
    <definedName name="Aname" localSheetId="26">#REF!</definedName>
    <definedName name="Aname">#REF!</definedName>
    <definedName name="angan">#REF!</definedName>
    <definedName name="anganwadi">#REF!</definedName>
    <definedName name="ANIL" localSheetId="19">#REF!</definedName>
    <definedName name="anscount" hidden="1">1</definedName>
    <definedName name="antitermite" localSheetId="6">#REF!</definedName>
    <definedName name="antitermite" localSheetId="12">#REF!</definedName>
    <definedName name="antitermite" localSheetId="34">#REF!</definedName>
    <definedName name="antitermite" localSheetId="19">#REF!</definedName>
    <definedName name="antitermite">#REF!</definedName>
    <definedName name="ap">#REF!</definedName>
    <definedName name="APJI" localSheetId="14">#REF!</definedName>
    <definedName name="APJI" localSheetId="6">#REF!</definedName>
    <definedName name="APJI" localSheetId="12">#REF!</definedName>
    <definedName name="APJI" localSheetId="19">#REF!</definedName>
    <definedName name="APJI">#REF!</definedName>
    <definedName name="APJII" localSheetId="14">#REF!</definedName>
    <definedName name="APJII" localSheetId="6">#REF!</definedName>
    <definedName name="APJII" localSheetId="12">#REF!</definedName>
    <definedName name="APJII" localSheetId="19">#REF!</definedName>
    <definedName name="APJII">#REF!</definedName>
    <definedName name="APJIII" localSheetId="6">#REF!</definedName>
    <definedName name="APJIII" localSheetId="12">#REF!</definedName>
    <definedName name="APJIII" localSheetId="19">#REF!</definedName>
    <definedName name="APJIII">#REF!</definedName>
    <definedName name="Arb" localSheetId="6">#REF!</definedName>
    <definedName name="Arb" localSheetId="12">#REF!</definedName>
    <definedName name="Arb" localSheetId="34">#REF!</definedName>
    <definedName name="Arb" localSheetId="19">#REF!</definedName>
    <definedName name="Arb">#REF!</definedName>
    <definedName name="arc">#REF!</definedName>
    <definedName name="as" localSheetId="34">#REF!</definedName>
    <definedName name="as10.1.12" localSheetId="19">#REF!</definedName>
    <definedName name="asc" localSheetId="6">#REF!</definedName>
    <definedName name="asc" localSheetId="12">#REF!</definedName>
    <definedName name="asc" localSheetId="34">#REF!</definedName>
    <definedName name="asc" localSheetId="19">#REF!</definedName>
    <definedName name="asc">#REF!</definedName>
    <definedName name="ASCSD" localSheetId="22">#REF!</definedName>
    <definedName name="ASCSD" localSheetId="5">#REF!</definedName>
    <definedName name="ASCSD" localSheetId="6">#REF!</definedName>
    <definedName name="ASCSD" localSheetId="12">#REF!</definedName>
    <definedName name="ASCSD" localSheetId="34">#REF!</definedName>
    <definedName name="ASCSD" localSheetId="19">#REF!</definedName>
    <definedName name="ASCSD" localSheetId="30">#REF!</definedName>
    <definedName name="ASCSD" localSheetId="40">#REF!</definedName>
    <definedName name="ASCSD" localSheetId="26">#REF!</definedName>
    <definedName name="ASCSD">#REF!</definedName>
    <definedName name="asd" localSheetId="19">#REF!</definedName>
    <definedName name="asd" localSheetId="30" hidden="1">{"'ridftotal'!$A$4:$S$27"}</definedName>
    <definedName name="ASDF" localSheetId="27" hidden="1">{"'ridftotal'!$A$4:$S$27"}</definedName>
    <definedName name="ASDF" localSheetId="22" hidden="1">{"'ridftotal'!$A$4:$S$27"}</definedName>
    <definedName name="ASDF" localSheetId="14" hidden="1">{"'ridftotal'!$A$4:$S$27"}</definedName>
    <definedName name="ASDF" localSheetId="34" hidden="1">{"'ridftotal'!$A$4:$S$27"}</definedName>
    <definedName name="ASDF" localSheetId="21" hidden="1">{"'ridftotal'!$A$4:$S$27"}</definedName>
    <definedName name="ASDF" localSheetId="19" hidden="1">{"'ridftotal'!$A$4:$S$27"}</definedName>
    <definedName name="ASDF" localSheetId="32" hidden="1">{"'ridftotal'!$A$4:$S$27"}</definedName>
    <definedName name="ASDF" localSheetId="30" hidden="1">{"'ridftotal'!$A$4:$S$27"}</definedName>
    <definedName name="ASDF" localSheetId="11" hidden="1">{"'ridftotal'!$A$4:$S$27"}</definedName>
    <definedName name="ASDF" localSheetId="3" hidden="1">{"'ridftotal'!$A$4:$S$27"}</definedName>
    <definedName name="ASDF" hidden="1">{"'ridftotal'!$A$4:$S$27"}</definedName>
    <definedName name="asds" localSheetId="6">#REF!</definedName>
    <definedName name="asds" localSheetId="12">#REF!</definedName>
    <definedName name="asds" localSheetId="34">#REF!</definedName>
    <definedName name="asds" localSheetId="19">#REF!</definedName>
    <definedName name="asds">#REF!</definedName>
    <definedName name="asf" localSheetId="22">#REF!</definedName>
    <definedName name="asf" localSheetId="5">#REF!</definedName>
    <definedName name="asf" localSheetId="6">#REF!</definedName>
    <definedName name="asf" localSheetId="12">#REF!</definedName>
    <definedName name="asf" localSheetId="34">#REF!</definedName>
    <definedName name="asf" localSheetId="19">#REF!</definedName>
    <definedName name="asf" localSheetId="30">#REF!</definedName>
    <definedName name="asf" localSheetId="40">#REF!</definedName>
    <definedName name="asf" localSheetId="26">#REF!</definedName>
    <definedName name="asf">#REF!</definedName>
    <definedName name="asf_33">"$#REF!.$#REF!$#REF!"</definedName>
    <definedName name="asf_34">"$#REF!.$#REF!$#REF!"</definedName>
    <definedName name="ASFDA" localSheetId="27" hidden="1">{"'ridftotal'!$A$4:$S$27"}</definedName>
    <definedName name="ASFDA" localSheetId="22" hidden="1">{"'ridftotal'!$A$4:$S$27"}</definedName>
    <definedName name="ASFDA" localSheetId="14" hidden="1">{"'ridftotal'!$A$4:$S$27"}</definedName>
    <definedName name="ASFDA" localSheetId="34" hidden="1">{"'ridftotal'!$A$4:$S$27"}</definedName>
    <definedName name="ASFDA" localSheetId="21" hidden="1">{"'ridftotal'!$A$4:$S$27"}</definedName>
    <definedName name="ASFDA" localSheetId="19" hidden="1">{"'ridftotal'!$A$4:$S$27"}</definedName>
    <definedName name="ASFDA" localSheetId="32" hidden="1">{"'ridftotal'!$A$4:$S$27"}</definedName>
    <definedName name="ASFDA" localSheetId="30" hidden="1">{"'ridftotal'!$A$4:$S$27"}</definedName>
    <definedName name="ASFDA" localSheetId="11" hidden="1">{"'ridftotal'!$A$4:$S$27"}</definedName>
    <definedName name="ASFDA" localSheetId="3" hidden="1">{"'ridftotal'!$A$4:$S$27"}</definedName>
    <definedName name="ASFDA" hidden="1">{"'ridftotal'!$A$4:$S$27"}</definedName>
    <definedName name="asfsdf" localSheetId="19">#REF!</definedName>
    <definedName name="ash" localSheetId="6">#REF!</definedName>
    <definedName name="ash" localSheetId="12">#REF!</definedName>
    <definedName name="ash" localSheetId="34">#REF!</definedName>
    <definedName name="ash" localSheetId="19">#REF!</definedName>
    <definedName name="ash">#REF!</definedName>
    <definedName name="asmin" localSheetId="6">#REF!</definedName>
    <definedName name="asmin" localSheetId="12">#REF!</definedName>
    <definedName name="asmin" localSheetId="34">#REF!</definedName>
    <definedName name="asmin" localSheetId="19">#REF!</definedName>
    <definedName name="asmin">#REF!</definedName>
    <definedName name="asr" localSheetId="6">#REF!</definedName>
    <definedName name="asr" localSheetId="12">#REF!</definedName>
    <definedName name="asr" localSheetId="19">#REF!</definedName>
    <definedName name="asr">#REF!</definedName>
    <definedName name="astas" localSheetId="6">#REF!</definedName>
    <definedName name="astas" localSheetId="12">#REF!</definedName>
    <definedName name="astas" localSheetId="34">#REF!</definedName>
    <definedName name="astas" localSheetId="19">#REF!</definedName>
    <definedName name="astas">#REF!</definedName>
    <definedName name="astb" localSheetId="6">#REF!</definedName>
    <definedName name="astb" localSheetId="12">#REF!</definedName>
    <definedName name="astb" localSheetId="34">#REF!</definedName>
    <definedName name="astb" localSheetId="19">#REF!</definedName>
    <definedName name="astb">#REF!</definedName>
    <definedName name="astdm" localSheetId="6">#REF!</definedName>
    <definedName name="astdm" localSheetId="12">#REF!</definedName>
    <definedName name="astdm" localSheetId="34">#REF!</definedName>
    <definedName name="astdm" localSheetId="19">#REF!</definedName>
    <definedName name="astdm">#REF!</definedName>
    <definedName name="Asth" localSheetId="6">#REF!</definedName>
    <definedName name="Asth" localSheetId="12">#REF!</definedName>
    <definedName name="Asth" localSheetId="34">#REF!</definedName>
    <definedName name="Asth" localSheetId="19">#REF!</definedName>
    <definedName name="Asth">#REF!</definedName>
    <definedName name="asti" localSheetId="6">#REF!</definedName>
    <definedName name="asti" localSheetId="12">#REF!</definedName>
    <definedName name="asti" localSheetId="34">#REF!</definedName>
    <definedName name="asti" localSheetId="19">#REF!</definedName>
    <definedName name="asti">#REF!</definedName>
    <definedName name="astm" localSheetId="6">#REF!</definedName>
    <definedName name="astm" localSheetId="12">#REF!</definedName>
    <definedName name="astm" localSheetId="34">#REF!</definedName>
    <definedName name="astm" localSheetId="19">#REF!</definedName>
    <definedName name="astm">#REF!</definedName>
    <definedName name="astmid" localSheetId="6">#REF!</definedName>
    <definedName name="astmid" localSheetId="12">#REF!</definedName>
    <definedName name="astmid" localSheetId="34">#REF!</definedName>
    <definedName name="astmid" localSheetId="19">#REF!</definedName>
    <definedName name="astmid">#REF!</definedName>
    <definedName name="astmin" localSheetId="6">#REF!</definedName>
    <definedName name="astmin" localSheetId="12">#REF!</definedName>
    <definedName name="astmin" localSheetId="34">#REF!</definedName>
    <definedName name="astmin" localSheetId="19">#REF!</definedName>
    <definedName name="astmin">#REF!</definedName>
    <definedName name="asto" localSheetId="6">#REF!</definedName>
    <definedName name="asto" localSheetId="12">#REF!</definedName>
    <definedName name="asto" localSheetId="34">#REF!</definedName>
    <definedName name="asto" localSheetId="19">#REF!</definedName>
    <definedName name="asto">#REF!</definedName>
    <definedName name="astr" localSheetId="6">#REF!</definedName>
    <definedName name="astr" localSheetId="12">#REF!</definedName>
    <definedName name="astr" localSheetId="34">#REF!</definedName>
    <definedName name="astr" localSheetId="19">#REF!</definedName>
    <definedName name="astr">#REF!</definedName>
    <definedName name="astsup" localSheetId="6">#REF!</definedName>
    <definedName name="astsup" localSheetId="12">#REF!</definedName>
    <definedName name="astsup" localSheetId="34">#REF!</definedName>
    <definedName name="astsup" localSheetId="19">#REF!</definedName>
    <definedName name="astsup">#REF!</definedName>
    <definedName name="asttp" localSheetId="6">#REF!</definedName>
    <definedName name="asttp" localSheetId="12">#REF!</definedName>
    <definedName name="asttp" localSheetId="34">#REF!</definedName>
    <definedName name="asttp" localSheetId="19">#REF!</definedName>
    <definedName name="asttp">#REF!</definedName>
    <definedName name="asttrb" localSheetId="6">#REF!</definedName>
    <definedName name="asttrb" localSheetId="12">#REF!</definedName>
    <definedName name="asttrb" localSheetId="34">#REF!</definedName>
    <definedName name="asttrb" localSheetId="19">#REF!</definedName>
    <definedName name="asttrb">#REF!</definedName>
    <definedName name="ASWE" localSheetId="6">#REF!</definedName>
    <definedName name="ASWE" localSheetId="12">#REF!</definedName>
    <definedName name="ASWE" localSheetId="19">#REF!</definedName>
    <definedName name="ASWE">#REF!</definedName>
    <definedName name="ASWR" localSheetId="6">#REF!</definedName>
    <definedName name="ASWR" localSheetId="12">#REF!</definedName>
    <definedName name="ASWR" localSheetId="19">#REF!</definedName>
    <definedName name="ASWR">#REF!</definedName>
    <definedName name="aswsws">#REF!</definedName>
    <definedName name="at">#REF!</definedName>
    <definedName name="ATACK" localSheetId="22">#REF!</definedName>
    <definedName name="ATACK" localSheetId="5">#REF!</definedName>
    <definedName name="ATACK" localSheetId="6">#REF!</definedName>
    <definedName name="ATACK" localSheetId="12">#REF!</definedName>
    <definedName name="ATACK" localSheetId="34">#REF!</definedName>
    <definedName name="ATACK" localSheetId="19">#REF!</definedName>
    <definedName name="ATACK" localSheetId="30">#REF!</definedName>
    <definedName name="ATACK" localSheetId="40">#REF!</definedName>
    <definedName name="ATACK" localSheetId="26">#REF!</definedName>
    <definedName name="ATACK">#REF!</definedName>
    <definedName name="att" localSheetId="6">#REF!</definedName>
    <definedName name="att" localSheetId="12">#REF!</definedName>
    <definedName name="att" localSheetId="34">#REF!</definedName>
    <definedName name="att" localSheetId="19">#REF!</definedName>
    <definedName name="att">#REF!</definedName>
    <definedName name="AU" localSheetId="6">#REF!</definedName>
    <definedName name="AU" localSheetId="12">#REF!</definedName>
    <definedName name="AU" localSheetId="19">#REF!</definedName>
    <definedName name="AU">#REF!</definedName>
    <definedName name="AUX">#REF!</definedName>
    <definedName name="AWBM2" localSheetId="22">#REF!</definedName>
    <definedName name="AWBM2" localSheetId="5">#REF!</definedName>
    <definedName name="AWBM2" localSheetId="6">#REF!</definedName>
    <definedName name="AWBM2" localSheetId="12">#REF!</definedName>
    <definedName name="AWBM2" localSheetId="34">#REF!</definedName>
    <definedName name="AWBM2" localSheetId="19">#REF!</definedName>
    <definedName name="AWBM2" localSheetId="30">#REF!</definedName>
    <definedName name="AWBM2" localSheetId="40">#REF!</definedName>
    <definedName name="AWBM2" localSheetId="26">#REF!</definedName>
    <definedName name="AWBM2">#REF!</definedName>
    <definedName name="AWBM3" localSheetId="22">#REF!</definedName>
    <definedName name="AWBM3" localSheetId="5">#REF!</definedName>
    <definedName name="AWBM3" localSheetId="6">#REF!</definedName>
    <definedName name="AWBM3" localSheetId="12">#REF!</definedName>
    <definedName name="AWBM3" localSheetId="34">#REF!</definedName>
    <definedName name="AWBM3" localSheetId="19">#REF!</definedName>
    <definedName name="AWBM3" localSheetId="30">#REF!</definedName>
    <definedName name="AWBM3" localSheetId="40">#REF!</definedName>
    <definedName name="AWBM3" localSheetId="26">#REF!</definedName>
    <definedName name="AWBM3">#REF!</definedName>
    <definedName name="b" localSheetId="22">#REF!</definedName>
    <definedName name="b" localSheetId="5">#REF!</definedName>
    <definedName name="b" localSheetId="6">#REF!</definedName>
    <definedName name="b" localSheetId="12">#REF!</definedName>
    <definedName name="b" localSheetId="34">#REF!</definedName>
    <definedName name="b" localSheetId="19">#REF!</definedName>
    <definedName name="b" localSheetId="30">#REF!</definedName>
    <definedName name="b" localSheetId="40">#REF!</definedName>
    <definedName name="b" localSheetId="26">#REF!</definedName>
    <definedName name="b">#REF!</definedName>
    <definedName name="b_43">"$#REF!.$H$3:$J$6"</definedName>
    <definedName name="b_59">"$#REF!.$H$3:$J$6"</definedName>
    <definedName name="b_61">"$#REF!.$H$3:$J$6"</definedName>
    <definedName name="BA" localSheetId="6">#REF!</definedName>
    <definedName name="BA" localSheetId="12">#REF!</definedName>
    <definedName name="BA" localSheetId="19">#REF!</definedName>
    <definedName name="BA">#REF!</definedName>
    <definedName name="BackFilling_Gravel">#REF!</definedName>
    <definedName name="bar_bender" localSheetId="6">#REF!</definedName>
    <definedName name="bar_bender" localSheetId="12">#REF!</definedName>
    <definedName name="bar_bender" localSheetId="34">#REF!</definedName>
    <definedName name="bar_bender" localSheetId="19">#REF!</definedName>
    <definedName name="bar_bender">#REF!</definedName>
    <definedName name="bbbbb" localSheetId="22">#REF!</definedName>
    <definedName name="bbbbb" localSheetId="5">#REF!</definedName>
    <definedName name="bbbbb" localSheetId="6">#REF!</definedName>
    <definedName name="bbbbb" localSheetId="12">#REF!</definedName>
    <definedName name="bbbbb" localSheetId="34">#REF!</definedName>
    <definedName name="bbbbb" localSheetId="19">#REF!</definedName>
    <definedName name="bbbbb" localSheetId="30">#REF!</definedName>
    <definedName name="bbbbb" localSheetId="40">#REF!</definedName>
    <definedName name="bbbbb" localSheetId="26">#REF!</definedName>
    <definedName name="bbbbb">#REF!</definedName>
    <definedName name="BBD" localSheetId="6">#REF!</definedName>
    <definedName name="BBD" localSheetId="12">#REF!</definedName>
    <definedName name="BBD" localSheetId="19">#REF!</definedName>
    <definedName name="BBD">#REF!</definedName>
    <definedName name="BBW" localSheetId="6">#REF!</definedName>
    <definedName name="BBW" localSheetId="12">#REF!</definedName>
    <definedName name="BBW" localSheetId="19">#REF!</definedName>
    <definedName name="BBW">#REF!</definedName>
    <definedName name="bdfdh" localSheetId="19">#REF!</definedName>
    <definedName name="BDK" localSheetId="6">#REF!</definedName>
    <definedName name="BDK" localSheetId="12">#REF!</definedName>
    <definedName name="BDK" localSheetId="19">#REF!</definedName>
    <definedName name="BDK">#REF!</definedName>
    <definedName name="BE" localSheetId="6">#REF!</definedName>
    <definedName name="BE" localSheetId="12">#REF!</definedName>
    <definedName name="BE" localSheetId="19">#REF!</definedName>
    <definedName name="BE">#REF!</definedName>
    <definedName name="Beam_Length" localSheetId="6">#REF!</definedName>
    <definedName name="Beam_Length" localSheetId="12">#REF!</definedName>
    <definedName name="Beam_Length" localSheetId="34">#REF!</definedName>
    <definedName name="Beam_Length" localSheetId="19">#REF!</definedName>
    <definedName name="Beam_Length">#REF!</definedName>
    <definedName name="bfh" localSheetId="6">#REF!</definedName>
    <definedName name="bfh" localSheetId="12">#REF!</definedName>
    <definedName name="bfh" localSheetId="34">#REF!</definedName>
    <definedName name="bfh" localSheetId="19">#REF!</definedName>
    <definedName name="bfh">#REF!</definedName>
    <definedName name="bh" localSheetId="6">#REF!</definedName>
    <definedName name="bh" localSheetId="12">#REF!</definedName>
    <definedName name="bh" localSheetId="34">#REF!</definedName>
    <definedName name="bh" localSheetId="19">#REF!</definedName>
    <definedName name="bh">#REF!</definedName>
    <definedName name="Bi" localSheetId="19">#REF!</definedName>
    <definedName name="Bi">#REF!</definedName>
    <definedName name="BINDING" localSheetId="5">#REF!</definedName>
    <definedName name="BINDING" localSheetId="6">#REF!</definedName>
    <definedName name="BINDING" localSheetId="12">#REF!</definedName>
    <definedName name="BINDING" localSheetId="34">#REF!</definedName>
    <definedName name="BINDING" localSheetId="19">#REF!</definedName>
    <definedName name="BINDING" localSheetId="30">#REF!</definedName>
    <definedName name="BINDING">#REF!</definedName>
    <definedName name="bindingwire" localSheetId="6">#REF!</definedName>
    <definedName name="bindingwire" localSheetId="12">#REF!</definedName>
    <definedName name="bindingwire" localSheetId="34">#REF!</definedName>
    <definedName name="bindingwire" localSheetId="19">#REF!</definedName>
    <definedName name="bindingwire">#REF!</definedName>
    <definedName name="bl" localSheetId="5">#REF!</definedName>
    <definedName name="BL" localSheetId="6">#REF!</definedName>
    <definedName name="BL" localSheetId="12">#REF!</definedName>
    <definedName name="bl" localSheetId="34">#REF!</definedName>
    <definedName name="BL" localSheetId="19">#REF!</definedName>
    <definedName name="BL">#REF!</definedName>
    <definedName name="BLA">#REF!</definedName>
    <definedName name="bla1_33">#REF!</definedName>
    <definedName name="bla1_34">#REF!</definedName>
    <definedName name="blast_21" localSheetId="19">#REF!</definedName>
    <definedName name="blast_33" localSheetId="27">#REF!</definedName>
    <definedName name="blast_33">#REF!</definedName>
    <definedName name="blast_34">#REF!</definedName>
    <definedName name="blasting" localSheetId="19">#REF!</definedName>
    <definedName name="BLF" localSheetId="14">#REF!</definedName>
    <definedName name="BLF" localSheetId="6">#REF!</definedName>
    <definedName name="BLF" localSheetId="12">#REF!</definedName>
    <definedName name="BLF" localSheetId="19">#REF!</definedName>
    <definedName name="BLF">#REF!</definedName>
    <definedName name="bmas" localSheetId="6">#REF!</definedName>
    <definedName name="bmas" localSheetId="12">#REF!</definedName>
    <definedName name="bmas" localSheetId="34">#REF!</definedName>
    <definedName name="bmas" localSheetId="19">#REF!</definedName>
    <definedName name="bmas">#REF!</definedName>
    <definedName name="bmcf" localSheetId="6">#REF!</definedName>
    <definedName name="bmcf" localSheetId="12">#REF!</definedName>
    <definedName name="bmcf" localSheetId="34">#REF!</definedName>
    <definedName name="bmcf" localSheetId="19">#REF!</definedName>
    <definedName name="bmcf">#REF!</definedName>
    <definedName name="bmcfo" localSheetId="6">#REF!</definedName>
    <definedName name="bmcfo" localSheetId="12">#REF!</definedName>
    <definedName name="bmcfo" localSheetId="34">#REF!</definedName>
    <definedName name="bmcfo" localSheetId="19">#REF!</definedName>
    <definedName name="bmcfo">#REF!</definedName>
    <definedName name="bmm" localSheetId="6">#REF!</definedName>
    <definedName name="bmm" localSheetId="12">#REF!</definedName>
    <definedName name="bmm" localSheetId="34">#REF!</definedName>
    <definedName name="bmm" localSheetId="19">#REF!</definedName>
    <definedName name="bmm">#REF!</definedName>
    <definedName name="bmo" localSheetId="6">#REF!</definedName>
    <definedName name="bmo" localSheetId="12">#REF!</definedName>
    <definedName name="bmo" localSheetId="34">#REF!</definedName>
    <definedName name="bmo" localSheetId="19">#REF!</definedName>
    <definedName name="bmo">#REF!</definedName>
    <definedName name="bmpcf" localSheetId="6">#REF!</definedName>
    <definedName name="bmpcf" localSheetId="12">#REF!</definedName>
    <definedName name="bmpcf" localSheetId="34">#REF!</definedName>
    <definedName name="bmpcf" localSheetId="19">#REF!</definedName>
    <definedName name="bmpcf">#REF!</definedName>
    <definedName name="bmpcfo" localSheetId="6">#REF!</definedName>
    <definedName name="bmpcfo" localSheetId="12">#REF!</definedName>
    <definedName name="bmpcfo" localSheetId="34">#REF!</definedName>
    <definedName name="bmpcfo" localSheetId="19">#REF!</definedName>
    <definedName name="bmpcfo">#REF!</definedName>
    <definedName name="bo" localSheetId="22">#REF!</definedName>
    <definedName name="bo" localSheetId="5">#REF!</definedName>
    <definedName name="bo" localSheetId="6">#REF!</definedName>
    <definedName name="bo" localSheetId="12">#REF!</definedName>
    <definedName name="bo" localSheetId="34">#REF!</definedName>
    <definedName name="bo" localSheetId="19">#REF!</definedName>
    <definedName name="bo" localSheetId="30">#REF!</definedName>
    <definedName name="bo" localSheetId="40">#REF!</definedName>
    <definedName name="bo" localSheetId="26">#REF!</definedName>
    <definedName name="bo">#REF!</definedName>
    <definedName name="boo" localSheetId="22">#REF!</definedName>
    <definedName name="boo" localSheetId="5">#REF!</definedName>
    <definedName name="boo" localSheetId="6">#REF!</definedName>
    <definedName name="boo" localSheetId="12">#REF!</definedName>
    <definedName name="boo" localSheetId="34">#REF!</definedName>
    <definedName name="boo" localSheetId="19">#REF!</definedName>
    <definedName name="boo" localSheetId="30">#REF!</definedName>
    <definedName name="boo" localSheetId="40">#REF!</definedName>
    <definedName name="boo" localSheetId="26">#REF!</definedName>
    <definedName name="boo">#REF!</definedName>
    <definedName name="Bore_wells" localSheetId="22">#REF!</definedName>
    <definedName name="Bore_wells" localSheetId="5">#REF!</definedName>
    <definedName name="Bore_wells" localSheetId="6">#REF!</definedName>
    <definedName name="Bore_wells" localSheetId="12">#REF!</definedName>
    <definedName name="Bore_wells" localSheetId="34">#REF!</definedName>
    <definedName name="Bore_wells" localSheetId="19">#REF!</definedName>
    <definedName name="Bore_wells" localSheetId="30">#REF!</definedName>
    <definedName name="Bore_wells" localSheetId="40">#REF!</definedName>
    <definedName name="Bore_wells" localSheetId="26">#REF!</definedName>
    <definedName name="Bore_wells">#REF!</definedName>
    <definedName name="boreWell" localSheetId="5">#REF!</definedName>
    <definedName name="boreWell" localSheetId="6">#REF!</definedName>
    <definedName name="boreWell" localSheetId="12">#REF!</definedName>
    <definedName name="boreWell" localSheetId="19">#REF!</definedName>
    <definedName name="boreWell" localSheetId="30">#REF!</definedName>
    <definedName name="boreWell">#REF!</definedName>
    <definedName name="borewells" localSheetId="5">#REF!</definedName>
    <definedName name="borewells" localSheetId="6">#REF!</definedName>
    <definedName name="borewells" localSheetId="12">#REF!</definedName>
    <definedName name="borewells" localSheetId="19">#REF!</definedName>
    <definedName name="borewells" localSheetId="30">#REF!</definedName>
    <definedName name="borewells">#REF!</definedName>
    <definedName name="BOTTOMDOMEONETOSIX" localSheetId="5">#REF!</definedName>
    <definedName name="BOTTOMDOMEONETOSIX" localSheetId="6">#REF!</definedName>
    <definedName name="BOTTOMDOMEONETOSIX" localSheetId="12">#REF!</definedName>
    <definedName name="BOTTOMDOMEONETOSIX" localSheetId="19">#REF!</definedName>
    <definedName name="BOTTOMDOMEONETOSIX" localSheetId="30">#REF!</definedName>
    <definedName name="BOTTOMDOMEONETOSIX">#REF!</definedName>
    <definedName name="BOTTOMDOMESIXTOTHIRTEEN" localSheetId="5">#REF!</definedName>
    <definedName name="BOTTOMDOMESIXTOTHIRTEEN" localSheetId="6">#REF!</definedName>
    <definedName name="BOTTOMDOMESIXTOTHIRTEEN" localSheetId="12">#REF!</definedName>
    <definedName name="BOTTOMDOMESIXTOTHIRTEEN" localSheetId="19">#REF!</definedName>
    <definedName name="BOTTOMDOMESIXTOTHIRTEEN" localSheetId="30">#REF!</definedName>
    <definedName name="BOTTOMDOMESIXTOTHIRTEEN">#REF!</definedName>
    <definedName name="BOTTOMRINGGIRDERONETOSIX" localSheetId="5">#REF!</definedName>
    <definedName name="BOTTOMRINGGIRDERONETOSIX" localSheetId="6">#REF!</definedName>
    <definedName name="BOTTOMRINGGIRDERONETOSIX" localSheetId="12">#REF!</definedName>
    <definedName name="BOTTOMRINGGIRDERONETOSIX" localSheetId="19">#REF!</definedName>
    <definedName name="BOTTOMRINGGIRDERONETOSIX" localSheetId="30">#REF!</definedName>
    <definedName name="BOTTOMRINGGIRDERONETOSIX">#REF!</definedName>
    <definedName name="BOTTOMRINGGIRDERSEVENTOTHIRTEEN" localSheetId="5">#REF!</definedName>
    <definedName name="BOTTOMRINGGIRDERSEVENTOTHIRTEEN" localSheetId="6">#REF!</definedName>
    <definedName name="BOTTOMRINGGIRDERSEVENTOTHIRTEEN" localSheetId="12">#REF!</definedName>
    <definedName name="BOTTOMRINGGIRDERSEVENTOTHIRTEEN" localSheetId="19">#REF!</definedName>
    <definedName name="BOTTOMRINGGIRDERSEVENTOTHIRTEEN" localSheetId="30">#REF!</definedName>
    <definedName name="BOTTOMRINGGIRDERSEVENTOTHIRTEEN">#REF!</definedName>
    <definedName name="BoulderApron">#REF!</definedName>
    <definedName name="bp" localSheetId="6">#REF!</definedName>
    <definedName name="bp" localSheetId="12">#REF!</definedName>
    <definedName name="bp" localSheetId="34">#REF!</definedName>
    <definedName name="bp" localSheetId="19">#REF!</definedName>
    <definedName name="bp">#REF!</definedName>
    <definedName name="bpd" localSheetId="6">#REF!</definedName>
    <definedName name="bpd" localSheetId="12">#REF!</definedName>
    <definedName name="bpd" localSheetId="19">#REF!</definedName>
    <definedName name="bpd">#REF!</definedName>
    <definedName name="br" localSheetId="19" hidden="1">{"'ridftotal'!$A$4:$S$27"}</definedName>
    <definedName name="br_230" localSheetId="6">#REF!</definedName>
    <definedName name="br_230" localSheetId="12">#REF!</definedName>
    <definedName name="br_230" localSheetId="34">#REF!</definedName>
    <definedName name="br_230" localSheetId="19">#REF!</definedName>
    <definedName name="br_230">#REF!</definedName>
    <definedName name="brgf">#REF!</definedName>
    <definedName name="brick" localSheetId="22">#REF!</definedName>
    <definedName name="brick" localSheetId="5">#REF!</definedName>
    <definedName name="brick" localSheetId="6">#REF!</definedName>
    <definedName name="brick" localSheetId="12">#REF!</definedName>
    <definedName name="brick" localSheetId="34">#REF!</definedName>
    <definedName name="brick" localSheetId="19">#REF!</definedName>
    <definedName name="brick" localSheetId="30">#REF!</definedName>
    <definedName name="brick" localSheetId="40">#REF!</definedName>
    <definedName name="brick" localSheetId="26">#REF!</definedName>
    <definedName name="brick">#REF!</definedName>
    <definedName name="brick_23">"$#REF!.$#REF!$#REF!"</definedName>
    <definedName name="brick_32">"$#REF!.$#REF!$#REF!"</definedName>
    <definedName name="brick_33">"$#REF!.$#REF!$#REF!"</definedName>
    <definedName name="brick_34">"$#REF!.$#REF!$#REF!"</definedName>
    <definedName name="brick_38">"$#REF!.$#REF!$#REF!"</definedName>
    <definedName name="brick_41">"$#REF!.$#REF!$#REF!"</definedName>
    <definedName name="brick_43">"$#REF!.$#REF!$#REF!"</definedName>
    <definedName name="brick_48">"$#REF!.$#REF!$#REF!"</definedName>
    <definedName name="brick_56">"$#REF!.$#REF!$#REF!"</definedName>
    <definedName name="brick_57">"$#REF!.$#REF!$#REF!"</definedName>
    <definedName name="brick_59">"$#REF!.$#REF!$#REF!"</definedName>
    <definedName name="brick_60">"$#REF!.$#REF!$#REF!"</definedName>
    <definedName name="brick_61">"$#REF!.$#REF!$#REF!"</definedName>
    <definedName name="brick_62">"$#REF!.$#REF!$#REF!"</definedName>
    <definedName name="brick_7">"$#REF!.$#REF!$#REF!"</definedName>
    <definedName name="brick_72">"$#REF!.$#REF!$#REF!"</definedName>
    <definedName name="brick_73">"$#REF!.$#REF!$#REF!"</definedName>
    <definedName name="brick_8">"$#REF!.$#REF!$#REF!"</definedName>
    <definedName name="brick_four" localSheetId="6">#REF!</definedName>
    <definedName name="brick_four" localSheetId="12">#REF!</definedName>
    <definedName name="brick_four" localSheetId="34">#REF!</definedName>
    <definedName name="brick_four" localSheetId="19">#REF!</definedName>
    <definedName name="brick_four">#REF!</definedName>
    <definedName name="brick_nine" localSheetId="6">#REF!</definedName>
    <definedName name="brick_nine" localSheetId="12">#REF!</definedName>
    <definedName name="brick_nine" localSheetId="34">#REF!</definedName>
    <definedName name="brick_nine" localSheetId="19">#REF!</definedName>
    <definedName name="brick_nine">#REF!</definedName>
    <definedName name="Bricks" localSheetId="22">#REF!</definedName>
    <definedName name="Bricks" localSheetId="5">#REF!</definedName>
    <definedName name="Bricks" localSheetId="6">#REF!</definedName>
    <definedName name="Bricks" localSheetId="12">#REF!</definedName>
    <definedName name="Bricks" localSheetId="34">#REF!</definedName>
    <definedName name="Bricks" localSheetId="19">#REF!</definedName>
    <definedName name="Bricks" localSheetId="30">#REF!</definedName>
    <definedName name="Bricks" localSheetId="40">#REF!</definedName>
    <definedName name="Bricks" localSheetId="26">#REF!</definedName>
    <definedName name="Bricks">#REF!</definedName>
    <definedName name="Bricks_23">"$#REF!.$#REF!$#REF!"</definedName>
    <definedName name="Bricks_32">"$#REF!.$#REF!$#REF!"</definedName>
    <definedName name="Bricks_33">"$#REF!.$#REF!$#REF!"</definedName>
    <definedName name="Bricks_34">"$#REF!.$#REF!$#REF!"</definedName>
    <definedName name="Bricks_38">"$#REF!.$#REF!$#REF!"</definedName>
    <definedName name="Bricks_41">"$#REF!.$#REF!$#REF!"</definedName>
    <definedName name="Bricks_43">"$#REF!.$#REF!$#REF!"</definedName>
    <definedName name="Bricks_48">"$#REF!.$#REF!$#REF!"</definedName>
    <definedName name="Bricks_56">"$#REF!.$#REF!$#REF!"</definedName>
    <definedName name="Bricks_57">"$#REF!.$#REF!$#REF!"</definedName>
    <definedName name="Bricks_59">"$#REF!.$#REF!$#REF!"</definedName>
    <definedName name="Bricks_60">"$#REF!.$#REF!$#REF!"</definedName>
    <definedName name="Bricks_61">"$#REF!.$#REF!$#REF!"</definedName>
    <definedName name="Bricks_62">"$#REF!.$#REF!$#REF!"</definedName>
    <definedName name="Bricks_7">"$#REF!.$#REF!$#REF!"</definedName>
    <definedName name="Bricks_72">"$#REF!.$#REF!$#REF!"</definedName>
    <definedName name="Bricks_73">"$#REF!.$#REF!$#REF!"</definedName>
    <definedName name="Bricks_8">"$#REF!.$#REF!$#REF!"</definedName>
    <definedName name="Bridge" localSheetId="5">#REF!</definedName>
    <definedName name="Bridge" localSheetId="6">#REF!</definedName>
    <definedName name="Bridge" localSheetId="12">#REF!</definedName>
    <definedName name="Bridge" localSheetId="34">#REF!</definedName>
    <definedName name="Bridge" localSheetId="19">#REF!</definedName>
    <definedName name="Bridge" localSheetId="30">#REF!</definedName>
    <definedName name="Bridge">#REF!</definedName>
    <definedName name="Bridge_33">"$#REF!.$#REF!$#REF!:$#REF!$#REF!"</definedName>
    <definedName name="Bridge_38">"$#REF!.$#REF!$#REF!:$#REF!$#REF!"</definedName>
    <definedName name="Bridge_41">"$#REF!.$#REF!$#REF!:$#REF!$#REF!"</definedName>
    <definedName name="Bridge_7">"$#REF!.$#REF!$#REF!:$#REF!$#REF!"</definedName>
    <definedName name="Bridge_8">"$#REF!.$#REF!$#REF!:$#REF!$#REF!"</definedName>
    <definedName name="brk" localSheetId="6">#REF!</definedName>
    <definedName name="brk" localSheetId="12">#REF!</definedName>
    <definedName name="brk" localSheetId="19">#REF!</definedName>
    <definedName name="brk" localSheetId="30">#REF!</definedName>
    <definedName name="brk">#REF!</definedName>
    <definedName name="BSG" localSheetId="5">#REF!</definedName>
    <definedName name="BSG" localSheetId="6">#REF!</definedName>
    <definedName name="BSG" localSheetId="12">#REF!</definedName>
    <definedName name="BSG" localSheetId="34">#REF!</definedName>
    <definedName name="BSG" localSheetId="19">#REF!</definedName>
    <definedName name="BSG" localSheetId="30">#REF!</definedName>
    <definedName name="BSG">#REF!</definedName>
    <definedName name="bsth" localSheetId="6">#REF!</definedName>
    <definedName name="bsth" localSheetId="12">#REF!</definedName>
    <definedName name="bsth" localSheetId="34">#REF!</definedName>
    <definedName name="bsth" localSheetId="19">#REF!</definedName>
    <definedName name="bsth">#REF!</definedName>
    <definedName name="bsthi" localSheetId="6">#REF!</definedName>
    <definedName name="bsthi" localSheetId="12">#REF!</definedName>
    <definedName name="bsthi" localSheetId="34">#REF!</definedName>
    <definedName name="bsthi" localSheetId="19">#REF!</definedName>
    <definedName name="bsthi">#REF!</definedName>
    <definedName name="bt" localSheetId="5">#REF!</definedName>
    <definedName name="BT" localSheetId="6">#REF!</definedName>
    <definedName name="BT" localSheetId="12">#REF!</definedName>
    <definedName name="BT" localSheetId="34">#REF!</definedName>
    <definedName name="BT" localSheetId="19">#REF!</definedName>
    <definedName name="BT" localSheetId="30">#REF!</definedName>
    <definedName name="BT">#REF!</definedName>
    <definedName name="bt_boil">#REF!</definedName>
    <definedName name="bt_lead">#REF!</definedName>
    <definedName name="BT_MIX_SEAL" localSheetId="5">#REF!</definedName>
    <definedName name="BT_MIX_SEAL" localSheetId="6">#REF!</definedName>
    <definedName name="BT_MIX_SEAL" localSheetId="12">#REF!</definedName>
    <definedName name="BT_MIX_SEAL" localSheetId="34">#REF!</definedName>
    <definedName name="BT_MIX_SEAL" localSheetId="19">#REF!</definedName>
    <definedName name="BT_MIX_SEAL" localSheetId="30">#REF!</definedName>
    <definedName name="BT_MIX_SEAL">#REF!</definedName>
    <definedName name="bt_rate">#REF!</definedName>
    <definedName name="BT_Rate_60_70" localSheetId="14">lead!$J$40</definedName>
    <definedName name="BT_Rate_60_70">lead!$J$40</definedName>
    <definedName name="BT_SEAL_COAT" localSheetId="5">#REF!</definedName>
    <definedName name="BT_SEAL_COAT" localSheetId="6">#REF!</definedName>
    <definedName name="BT_SEAL_COAT" localSheetId="12">#REF!</definedName>
    <definedName name="BT_SEAL_COAT" localSheetId="34">#REF!</definedName>
    <definedName name="BT_SEAL_COAT" localSheetId="19">#REF!</definedName>
    <definedName name="BT_SEAL_COAT" localSheetId="30">#REF!</definedName>
    <definedName name="BT_SEAL_COAT">#REF!</definedName>
    <definedName name="BT_SEAL_ON_BTSD" localSheetId="5">#REF!</definedName>
    <definedName name="BT_SEAL_ON_BTSD" localSheetId="6">#REF!</definedName>
    <definedName name="BT_SEAL_ON_BTSD" localSheetId="12">#REF!</definedName>
    <definedName name="BT_SEAL_ON_BTSD" localSheetId="34">#REF!</definedName>
    <definedName name="BT_SEAL_ON_BTSD" localSheetId="19">#REF!</definedName>
    <definedName name="BT_SEAL_ON_BTSD" localSheetId="30">#REF!</definedName>
    <definedName name="BT_SEAL_ON_BTSD">#REF!</definedName>
    <definedName name="BT_SINGLE_30.45" localSheetId="5">#REF!</definedName>
    <definedName name="BT_SINGLE_30.45" localSheetId="6">#REF!</definedName>
    <definedName name="BT_SINGLE_30.45" localSheetId="12">#REF!</definedName>
    <definedName name="BT_SINGLE_30.45" localSheetId="34">#REF!</definedName>
    <definedName name="BT_SINGLE_30.45" localSheetId="19">#REF!</definedName>
    <definedName name="BT_SINGLE_30.45" localSheetId="30">#REF!</definedName>
    <definedName name="BT_SINGLE_30.45">#REF!</definedName>
    <definedName name="BT_TypeA_SealCoat">#REF!</definedName>
    <definedName name="BT_TypeA_SealCoat_HMP">#REF!</definedName>
    <definedName name="BT_TypeB_SealCoat">#REF!</definedName>
    <definedName name="BT_TypeB_SealCoat_HMP">#REF!</definedName>
    <definedName name="BT_TypeC_SealCoat">#REF!</definedName>
    <definedName name="BT_WEARING_COAT" localSheetId="5">#REF!</definedName>
    <definedName name="BT_WEARING_COAT" localSheetId="6">#REF!</definedName>
    <definedName name="BT_WEARING_COAT" localSheetId="12">#REF!</definedName>
    <definedName name="BT_WEARING_COAT" localSheetId="34">#REF!</definedName>
    <definedName name="BT_WEARING_COAT" localSheetId="19">#REF!</definedName>
    <definedName name="BT_WEARING_COAT" localSheetId="30">#REF!</definedName>
    <definedName name="BT_WEARING_COAT">#REF!</definedName>
    <definedName name="BTC" localSheetId="6">#REF!</definedName>
    <definedName name="BTC" localSheetId="12">#REF!</definedName>
    <definedName name="BTC" localSheetId="19">#REF!</definedName>
    <definedName name="BTC">#REF!</definedName>
    <definedName name="BTEMULTIONSS1" localSheetId="5">#REF!</definedName>
    <definedName name="BTEMULTIONSS1" localSheetId="6">#REF!</definedName>
    <definedName name="BTEMULTIONSS1" localSheetId="12">#REF!</definedName>
    <definedName name="BTEMULTIONSS1" localSheetId="19">#REF!</definedName>
    <definedName name="BTEMULTIONSS1" localSheetId="30">#REF!</definedName>
    <definedName name="BTEMULTIONSS1">#REF!</definedName>
    <definedName name="BTL" localSheetId="22">#REF!</definedName>
    <definedName name="BTL" localSheetId="30">#REF!</definedName>
    <definedName name="BTSD_23" localSheetId="5">#REF!</definedName>
    <definedName name="BTSD_23" localSheetId="6">#REF!</definedName>
    <definedName name="BTSD_23" localSheetId="12">#REF!</definedName>
    <definedName name="BTSD_23" localSheetId="34">#REF!</definedName>
    <definedName name="BTSD_23" localSheetId="19">#REF!</definedName>
    <definedName name="BTSD_23" localSheetId="30">#REF!</definedName>
    <definedName name="BTSD_23">#REF!</definedName>
    <definedName name="BTSD_DRY" localSheetId="5">#REF!</definedName>
    <definedName name="BTSD_DRY" localSheetId="6">#REF!</definedName>
    <definedName name="BTSD_DRY" localSheetId="12">#REF!</definedName>
    <definedName name="BTSD_DRY" localSheetId="34">#REF!</definedName>
    <definedName name="BTSD_DRY" localSheetId="19">#REF!</definedName>
    <definedName name="BTSD_DRY" localSheetId="30">#REF!</definedName>
    <definedName name="BTSD_DRY">#REF!</definedName>
    <definedName name="BTSD_SEAL" localSheetId="5">#REF!</definedName>
    <definedName name="BTSD_SEAL" localSheetId="6">#REF!</definedName>
    <definedName name="BTSD_SEAL" localSheetId="12">#REF!</definedName>
    <definedName name="BTSD_SEAL" localSheetId="34">#REF!</definedName>
    <definedName name="BTSD_SEAL" localSheetId="19">#REF!</definedName>
    <definedName name="BTSD_SEAL" localSheetId="30">#REF!</definedName>
    <definedName name="BTSD_SEAL">#REF!</definedName>
    <definedName name="BTSD_SingleCoat">#REF!</definedName>
    <definedName name="buildings" localSheetId="6">#REF!</definedName>
    <definedName name="buildings" localSheetId="12">#REF!</definedName>
    <definedName name="buildings" localSheetId="34">#REF!</definedName>
    <definedName name="buildings" localSheetId="19">#REF!</definedName>
    <definedName name="buildings">#REF!</definedName>
    <definedName name="Button_1">"tlbww_details"</definedName>
    <definedName name="BV" localSheetId="27">#REF!</definedName>
    <definedName name="BV">#REF!</definedName>
    <definedName name="bvghght" localSheetId="27">#REF!</definedName>
    <definedName name="bvghght">#REF!</definedName>
    <definedName name="bw" localSheetId="5">#REF!</definedName>
    <definedName name="bw" localSheetId="6">#REF!</definedName>
    <definedName name="bw" localSheetId="12">#REF!</definedName>
    <definedName name="bw" localSheetId="19">#REF!</definedName>
    <definedName name="bw" localSheetId="30">#REF!</definedName>
    <definedName name="bw">#REF!</definedName>
    <definedName name="BWB" localSheetId="14">#REF!</definedName>
    <definedName name="BWB" localSheetId="6">#REF!</definedName>
    <definedName name="BWB" localSheetId="12">#REF!</definedName>
    <definedName name="BWB" localSheetId="19">#REF!</definedName>
    <definedName name="BWB">#REF!</definedName>
    <definedName name="BWP" localSheetId="14">#REF!</definedName>
    <definedName name="BWP" localSheetId="6">#REF!</definedName>
    <definedName name="BWP" localSheetId="12">#REF!</definedName>
    <definedName name="BWP" localSheetId="19">#REF!</definedName>
    <definedName name="BWP">#REF!</definedName>
    <definedName name="bx" localSheetId="22">#REF!</definedName>
    <definedName name="bx" localSheetId="5">#REF!</definedName>
    <definedName name="bx" localSheetId="6">#REF!</definedName>
    <definedName name="bx" localSheetId="12">#REF!</definedName>
    <definedName name="bx" localSheetId="34">#REF!</definedName>
    <definedName name="bx" localSheetId="19">#REF!</definedName>
    <definedName name="bx" localSheetId="30">#REF!</definedName>
    <definedName name="bx" localSheetId="40">#REF!</definedName>
    <definedName name="bx" localSheetId="26">#REF!</definedName>
    <definedName name="bx">#REF!</definedName>
    <definedName name="C.M_1isto5" localSheetId="19">#REF!</definedName>
    <definedName name="C_" localSheetId="14">#REF!</definedName>
    <definedName name="C_" localSheetId="6">#REF!</definedName>
    <definedName name="C_" localSheetId="12">#REF!</definedName>
    <definedName name="C_" localSheetId="19">#REF!</definedName>
    <definedName name="C_">#REF!</definedName>
    <definedName name="c_c136">#REF!</definedName>
    <definedName name="C824." localSheetId="6">#REF!</definedName>
    <definedName name="C824." localSheetId="12">#REF!</definedName>
    <definedName name="C824." localSheetId="19">#REF!</definedName>
    <definedName name="C824." localSheetId="30">#REF!</definedName>
    <definedName name="C824.">#REF!</definedName>
    <definedName name="calculations">#REF!</definedName>
    <definedName name="CANTILEVERONETOSIX" localSheetId="5">#REF!</definedName>
    <definedName name="CANTILEVERONETOSIX" localSheetId="6">#REF!</definedName>
    <definedName name="CANTILEVERONETOSIX" localSheetId="12">#REF!</definedName>
    <definedName name="CANTILEVERONETOSIX" localSheetId="19">#REF!</definedName>
    <definedName name="CANTILEVERONETOSIX" localSheetId="30">#REF!</definedName>
    <definedName name="CANTILEVERONETOSIX">#REF!</definedName>
    <definedName name="CANTILEVERSEVENTOTHIRTEEN" localSheetId="5">#REF!</definedName>
    <definedName name="CANTILEVERSEVENTOTHIRTEEN" localSheetId="6">#REF!</definedName>
    <definedName name="CANTILEVERSEVENTOTHIRTEEN" localSheetId="12">#REF!</definedName>
    <definedName name="CANTILEVERSEVENTOTHIRTEEN" localSheetId="19">#REF!</definedName>
    <definedName name="CANTILEVERSEVENTOTHIRTEEN" localSheetId="30">#REF!</definedName>
    <definedName name="CANTILEVERSEVENTOTHIRTEEN">#REF!</definedName>
    <definedName name="CAS">#REF!</definedName>
    <definedName name="CAUSEWAY" localSheetId="22">#REF!</definedName>
    <definedName name="CAUSEWAY" localSheetId="5">#REF!</definedName>
    <definedName name="CAUSEWAY" localSheetId="6">#REF!</definedName>
    <definedName name="CAUSEWAY" localSheetId="12">#REF!</definedName>
    <definedName name="CAUSEWAY" localSheetId="34">#REF!</definedName>
    <definedName name="CAUSEWAY" localSheetId="19">#REF!</definedName>
    <definedName name="CAUSEWAY" localSheetId="30">#REF!</definedName>
    <definedName name="CAUSEWAY" localSheetId="40">#REF!</definedName>
    <definedName name="CAUSEWAY" localSheetId="26">#REF!</definedName>
    <definedName name="CAUSEWAY">#REF!</definedName>
    <definedName name="cb" localSheetId="6">#REF!</definedName>
    <definedName name="cb" localSheetId="12">#REF!</definedName>
    <definedName name="cb" localSheetId="34">#REF!</definedName>
    <definedName name="cb" localSheetId="19">#REF!</definedName>
    <definedName name="cb">#REF!</definedName>
    <definedName name="cbeams" localSheetId="19">#REF!</definedName>
    <definedName name="cbr">#REF!</definedName>
    <definedName name="cc" localSheetId="5">#REF!</definedName>
    <definedName name="CC" localSheetId="6">#REF!</definedName>
    <definedName name="CC" localSheetId="12">#REF!</definedName>
    <definedName name="cc" localSheetId="34">#REF!</definedName>
    <definedName name="CC" localSheetId="19">#REF!</definedName>
    <definedName name="cc" localSheetId="30">#REF!</definedName>
    <definedName name="CC">#REF!</definedName>
    <definedName name="CC_M15_HWs_SCs" localSheetId="19">#REF!</definedName>
    <definedName name="CC1.2.4" localSheetId="19">#REF!</definedName>
    <definedName name="cc1.5.10" localSheetId="27">#REF!</definedName>
    <definedName name="cc1.5.10">#REF!</definedName>
    <definedName name="cci" localSheetId="6">#REF!</definedName>
    <definedName name="cci" localSheetId="12">#REF!</definedName>
    <definedName name="cci" localSheetId="34">#REF!</definedName>
    <definedName name="cci" localSheetId="19">#REF!</definedName>
    <definedName name="cci">#REF!</definedName>
    <definedName name="ccir" localSheetId="22">#REF!</definedName>
    <definedName name="ccir" localSheetId="5">#REF!</definedName>
    <definedName name="ccir" localSheetId="6">#REF!</definedName>
    <definedName name="ccir" localSheetId="12">#REF!</definedName>
    <definedName name="ccir" localSheetId="34">#REF!</definedName>
    <definedName name="ccir" localSheetId="19">#REF!</definedName>
    <definedName name="ccir" localSheetId="30">#REF!</definedName>
    <definedName name="ccir" localSheetId="40">#REF!</definedName>
    <definedName name="ccir" localSheetId="26">#REF!</definedName>
    <definedName name="ccir">#REF!</definedName>
    <definedName name="CCL" localSheetId="22">#REF!</definedName>
    <definedName name="CCL" localSheetId="30">#REF!</definedName>
    <definedName name="ccp" localSheetId="19">#REF!</definedName>
    <definedName name="CCP_M30">#REF!</definedName>
    <definedName name="ccwc1" localSheetId="19">#REF!</definedName>
    <definedName name="ccwc2">#REF!</definedName>
    <definedName name="cd" localSheetId="22">#REF!</definedName>
    <definedName name="cd" localSheetId="5">#REF!</definedName>
    <definedName name="cd" localSheetId="6">#REF!</definedName>
    <definedName name="cd" localSheetId="12">#REF!</definedName>
    <definedName name="cd" localSheetId="34">#REF!</definedName>
    <definedName name="cd" localSheetId="19">#REF!</definedName>
    <definedName name="cd" localSheetId="30">#REF!</definedName>
    <definedName name="cd" localSheetId="40">#REF!</definedName>
    <definedName name="cd" localSheetId="26">#REF!</definedName>
    <definedName name="cd">#REF!</definedName>
    <definedName name="cd_33">"$#REF!.$#REF!$#REF!"</definedName>
    <definedName name="cd_34">"$#REF!.$#REF!$#REF!"</definedName>
    <definedName name="cd10mm" localSheetId="19">#REF!</definedName>
    <definedName name="cd12mm" localSheetId="27">#REF!</definedName>
    <definedName name="cd12mm">#REF!</definedName>
    <definedName name="cd20mm" localSheetId="27">#REF!</definedName>
    <definedName name="cd20mm">#REF!</definedName>
    <definedName name="cd25mm">#REF!</definedName>
    <definedName name="cd2m" localSheetId="6">#REF!</definedName>
    <definedName name="cd2m" localSheetId="12">#REF!</definedName>
    <definedName name="cd2m" localSheetId="19">#REF!</definedName>
    <definedName name="cd2m">#REF!</definedName>
    <definedName name="cd40mm">#REF!</definedName>
    <definedName name="cd40mm08">#REF!</definedName>
    <definedName name="cd6mm">#REF!</definedName>
    <definedName name="CDABSTRACT">#REF!</definedName>
    <definedName name="cddata" localSheetId="22">#REF!</definedName>
    <definedName name="cddata" localSheetId="5">#REF!</definedName>
    <definedName name="cddata" localSheetId="6">#REF!</definedName>
    <definedName name="cddata" localSheetId="12">#REF!</definedName>
    <definedName name="cddata" localSheetId="34">#REF!</definedName>
    <definedName name="cddata" localSheetId="19">#REF!</definedName>
    <definedName name="cddata" localSheetId="30">#REF!</definedName>
    <definedName name="cddata" localSheetId="40">#REF!</definedName>
    <definedName name="cddata" localSheetId="26">#REF!</definedName>
    <definedName name="cddata">#REF!</definedName>
    <definedName name="CDECV" localSheetId="22">#REF!</definedName>
    <definedName name="CDECV" localSheetId="5">#REF!</definedName>
    <definedName name="CDECV" localSheetId="6">#REF!</definedName>
    <definedName name="CDECV" localSheetId="12">#REF!</definedName>
    <definedName name="CDECV" localSheetId="34">#REF!</definedName>
    <definedName name="CDECV" localSheetId="19">#REF!</definedName>
    <definedName name="CDECV" localSheetId="30">#REF!</definedName>
    <definedName name="CDECV" localSheetId="40">#REF!</definedName>
    <definedName name="CDECV" localSheetId="26">#REF!</definedName>
    <definedName name="CDECV">#REF!</definedName>
    <definedName name="CDN" localSheetId="22">#REF!</definedName>
    <definedName name="CDN" localSheetId="30">#REF!</definedName>
    <definedName name="CDNO" localSheetId="22">#REF!</definedName>
    <definedName name="CDNO" localSheetId="5">#REF!</definedName>
    <definedName name="CDNO" localSheetId="6">#REF!</definedName>
    <definedName name="CDNO" localSheetId="12">#REF!</definedName>
    <definedName name="CDNO" localSheetId="34">#REF!</definedName>
    <definedName name="CDNO" localSheetId="19">#REF!</definedName>
    <definedName name="CDNO" localSheetId="30">#REF!</definedName>
    <definedName name="CDNO" localSheetId="40">#REF!</definedName>
    <definedName name="CDNO" localSheetId="26">#REF!</definedName>
    <definedName name="CDNO">#REF!</definedName>
    <definedName name="cdno_600" localSheetId="22">#REF!</definedName>
    <definedName name="cdno_600" localSheetId="5">#REF!</definedName>
    <definedName name="cdno_600" localSheetId="6">#REF!</definedName>
    <definedName name="cdno_600" localSheetId="12">#REF!</definedName>
    <definedName name="cdno_600" localSheetId="34">#REF!</definedName>
    <definedName name="cdno_600" localSheetId="19">#REF!</definedName>
    <definedName name="cdno_600" localSheetId="30">#REF!</definedName>
    <definedName name="cdno_600" localSheetId="40">#REF!</definedName>
    <definedName name="cdno_600" localSheetId="26">#REF!</definedName>
    <definedName name="cdno_600">#REF!</definedName>
    <definedName name="CDSC" localSheetId="22">#REF!</definedName>
    <definedName name="CDSC" localSheetId="30">#REF!</definedName>
    <definedName name="ce" localSheetId="19">#REF!</definedName>
    <definedName name="CEMENT" localSheetId="5">#REF!</definedName>
    <definedName name="CEMENT" localSheetId="6">#REF!</definedName>
    <definedName name="CEMENT" localSheetId="12">#REF!</definedName>
    <definedName name="cement" localSheetId="34">#REF!</definedName>
    <definedName name="CEMENT" localSheetId="19">#REF!</definedName>
    <definedName name="CEMENT" localSheetId="30">#REF!</definedName>
    <definedName name="CEMENT">#REF!</definedName>
    <definedName name="cementpaint" localSheetId="19">#REF!</definedName>
    <definedName name="cenchrcol" localSheetId="6">#REF!</definedName>
    <definedName name="cenchrcol" localSheetId="12">#REF!</definedName>
    <definedName name="cenchrcol" localSheetId="34">#REF!</definedName>
    <definedName name="cenchrcol" localSheetId="19">#REF!</definedName>
    <definedName name="cenchrcol">#REF!</definedName>
    <definedName name="cenchrfoot" localSheetId="6">#REF!</definedName>
    <definedName name="cenchrfoot" localSheetId="12">#REF!</definedName>
    <definedName name="cenchrfoot" localSheetId="34">#REF!</definedName>
    <definedName name="cenchrfoot" localSheetId="19">#REF!</definedName>
    <definedName name="cenchrfoot">#REF!</definedName>
    <definedName name="cenchrpb" localSheetId="6">#REF!</definedName>
    <definedName name="cenchrpb" localSheetId="12">#REF!</definedName>
    <definedName name="cenchrpb" localSheetId="34">#REF!</definedName>
    <definedName name="cenchrpb" localSheetId="19">#REF!</definedName>
    <definedName name="cenchrpb">#REF!</definedName>
    <definedName name="cenchrped" localSheetId="6">#REF!</definedName>
    <definedName name="cenchrped" localSheetId="12">#REF!</definedName>
    <definedName name="cenchrped" localSheetId="34">#REF!</definedName>
    <definedName name="cenchrped" localSheetId="19">#REF!</definedName>
    <definedName name="cenchrped">#REF!</definedName>
    <definedName name="ceramic" localSheetId="6">#REF!</definedName>
    <definedName name="ceramic" localSheetId="12">#REF!</definedName>
    <definedName name="ceramic" localSheetId="34">#REF!</definedName>
    <definedName name="ceramic" localSheetId="19">#REF!</definedName>
    <definedName name="ceramic">#REF!</definedName>
    <definedName name="CEW">#REF!</definedName>
    <definedName name="cfb">#REF!</definedName>
    <definedName name="cg" localSheetId="6">#REF!</definedName>
    <definedName name="cg" localSheetId="12">#REF!</definedName>
    <definedName name="cg" localSheetId="34">#REF!</definedName>
    <definedName name="cg" localSheetId="19">#REF!</definedName>
    <definedName name="cg">#REF!</definedName>
    <definedName name="CGEI" localSheetId="6">#REF!</definedName>
    <definedName name="CGEI" localSheetId="12">#REF!</definedName>
    <definedName name="CGEI" localSheetId="19">#REF!</definedName>
    <definedName name="CGEI">#REF!</definedName>
    <definedName name="CGEII" localSheetId="6">#REF!</definedName>
    <definedName name="CGEII" localSheetId="12">#REF!</definedName>
    <definedName name="CGEII" localSheetId="19">#REF!</definedName>
    <definedName name="CGEII">#REF!</definedName>
    <definedName name="CGEIII" localSheetId="6">#REF!</definedName>
    <definedName name="CGEIII" localSheetId="12">#REF!</definedName>
    <definedName name="CGEIII" localSheetId="19">#REF!</definedName>
    <definedName name="CGEIII">#REF!</definedName>
    <definedName name="CGEIV" localSheetId="6">#REF!</definedName>
    <definedName name="CGEIV" localSheetId="12">#REF!</definedName>
    <definedName name="CGEIV" localSheetId="19">#REF!</definedName>
    <definedName name="CGEIV">#REF!</definedName>
    <definedName name="CGI" localSheetId="6">#REF!</definedName>
    <definedName name="CGI" localSheetId="12">#REF!</definedName>
    <definedName name="CGI" localSheetId="19">#REF!</definedName>
    <definedName name="CGI">#REF!</definedName>
    <definedName name="CGII" localSheetId="6">#REF!</definedName>
    <definedName name="CGII" localSheetId="12">#REF!</definedName>
    <definedName name="CGII" localSheetId="19">#REF!</definedName>
    <definedName name="CGII">#REF!</definedName>
    <definedName name="CGIII" localSheetId="6">#REF!</definedName>
    <definedName name="CGIII" localSheetId="12">#REF!</definedName>
    <definedName name="CGIII" localSheetId="19">#REF!</definedName>
    <definedName name="CGIII">#REF!</definedName>
    <definedName name="CGIV" localSheetId="6">#REF!</definedName>
    <definedName name="CGIV" localSheetId="12">#REF!</definedName>
    <definedName name="CGIV" localSheetId="19">#REF!</definedName>
    <definedName name="CGIV">#REF!</definedName>
    <definedName name="chdyrrr_23">#N/A</definedName>
    <definedName name="chdyrrr_33">#N/A</definedName>
    <definedName name="chdyrrr_38">#N/A</definedName>
    <definedName name="chdyrrr_41">#N/A</definedName>
    <definedName name="chdyrrr_43">#N/A</definedName>
    <definedName name="chdyrrr_48">#N/A</definedName>
    <definedName name="chdyrrr_57">#N/A</definedName>
    <definedName name="chdyrrr_59">#N/A</definedName>
    <definedName name="chdyrrr_60">#N/A</definedName>
    <definedName name="chdyrrr_61">#N/A</definedName>
    <definedName name="chdyrrr_62">#N/A</definedName>
    <definedName name="chdyrrr_7">#N/A</definedName>
    <definedName name="chdyrrr_72">#N/A</definedName>
    <definedName name="chdyrrr_73">#N/A</definedName>
    <definedName name="chdyrrr_8">#N/A</definedName>
    <definedName name="chips_10" localSheetId="19">#REF!</definedName>
    <definedName name="chips_12" localSheetId="27">#REF!</definedName>
    <definedName name="chips_12">#REF!</definedName>
    <definedName name="chips_5" localSheetId="27">#REF!</definedName>
    <definedName name="chips_5">#REF!</definedName>
    <definedName name="CI" localSheetId="5">#REF!</definedName>
    <definedName name="CI" localSheetId="6">#REF!</definedName>
    <definedName name="CI" localSheetId="12">#REF!</definedName>
    <definedName name="CI" localSheetId="34">#REF!</definedName>
    <definedName name="CI" localSheetId="19">#REF!</definedName>
    <definedName name="CI">#REF!</definedName>
    <definedName name="CIcheckValve" localSheetId="5">#REF!</definedName>
    <definedName name="CIcheckValve" localSheetId="6">#REF!</definedName>
    <definedName name="CIcheckValve" localSheetId="12">#REF!</definedName>
    <definedName name="CIcheckValve" localSheetId="19">#REF!</definedName>
    <definedName name="CIcheckValve" localSheetId="30">#REF!</definedName>
    <definedName name="CIcheckValve">#REF!</definedName>
    <definedName name="cidjoint" localSheetId="5">#REF!</definedName>
    <definedName name="cidjoint" localSheetId="19">#REF!</definedName>
    <definedName name="cidjoint">#REF!</definedName>
    <definedName name="CIdummy" localSheetId="5">#REF!</definedName>
    <definedName name="CIdummy" localSheetId="6">#REF!</definedName>
    <definedName name="CIdummy" localSheetId="12">#REF!</definedName>
    <definedName name="CIdummy" localSheetId="19">#REF!</definedName>
    <definedName name="CIdummy" localSheetId="30">#REF!</definedName>
    <definedName name="CIdummy">#REF!</definedName>
    <definedName name="CIfootValve" localSheetId="5">#REF!</definedName>
    <definedName name="CIfootValve" localSheetId="6">#REF!</definedName>
    <definedName name="CIfootValve" localSheetId="12">#REF!</definedName>
    <definedName name="CIfootValve" localSheetId="19">#REF!</definedName>
    <definedName name="CIfootValve" localSheetId="30">#REF!</definedName>
    <definedName name="CIfootValve">#REF!</definedName>
    <definedName name="cii" localSheetId="5">#REF!</definedName>
    <definedName name="CII" localSheetId="6">#REF!</definedName>
    <definedName name="CII" localSheetId="12">#REF!</definedName>
    <definedName name="cii" localSheetId="34">#REF!</definedName>
    <definedName name="CII" localSheetId="19">#REF!</definedName>
    <definedName name="CII">#REF!</definedName>
    <definedName name="ciii" localSheetId="6">#REF!</definedName>
    <definedName name="ciii" localSheetId="12">#REF!</definedName>
    <definedName name="ciii" localSheetId="34">#REF!</definedName>
    <definedName name="ciii" localSheetId="19">#REF!</definedName>
    <definedName name="ciii">#REF!</definedName>
    <definedName name="cila100" localSheetId="6">#REF!</definedName>
    <definedName name="cila100" localSheetId="12">#REF!</definedName>
    <definedName name="cila100" localSheetId="34">#REF!</definedName>
    <definedName name="cila100" localSheetId="19">#REF!</definedName>
    <definedName name="cila100">#REF!</definedName>
    <definedName name="cila1000" localSheetId="6">#REF!</definedName>
    <definedName name="cila1000" localSheetId="12">#REF!</definedName>
    <definedName name="cila1000" localSheetId="34">#REF!</definedName>
    <definedName name="cila1000" localSheetId="19">#REF!</definedName>
    <definedName name="cila1000">#REF!</definedName>
    <definedName name="cila125" localSheetId="6">#REF!</definedName>
    <definedName name="cila125" localSheetId="12">#REF!</definedName>
    <definedName name="cila125" localSheetId="34">#REF!</definedName>
    <definedName name="cila125" localSheetId="19">#REF!</definedName>
    <definedName name="cila125">#REF!</definedName>
    <definedName name="cila150" localSheetId="6">#REF!</definedName>
    <definedName name="cila150" localSheetId="12">#REF!</definedName>
    <definedName name="cila150" localSheetId="34">#REF!</definedName>
    <definedName name="cila150" localSheetId="19">#REF!</definedName>
    <definedName name="cila150">#REF!</definedName>
    <definedName name="cila200" localSheetId="6">#REF!</definedName>
    <definedName name="cila200" localSheetId="12">#REF!</definedName>
    <definedName name="cila200" localSheetId="34">#REF!</definedName>
    <definedName name="cila200" localSheetId="19">#REF!</definedName>
    <definedName name="cila200">#REF!</definedName>
    <definedName name="cila250" localSheetId="6">#REF!</definedName>
    <definedName name="cila250" localSheetId="12">#REF!</definedName>
    <definedName name="cila250" localSheetId="34">#REF!</definedName>
    <definedName name="cila250" localSheetId="19">#REF!</definedName>
    <definedName name="cila250">#REF!</definedName>
    <definedName name="cila300" localSheetId="6">#REF!</definedName>
    <definedName name="cila300" localSheetId="12">#REF!</definedName>
    <definedName name="cila300" localSheetId="34">#REF!</definedName>
    <definedName name="cila300" localSheetId="19">#REF!</definedName>
    <definedName name="cila300">#REF!</definedName>
    <definedName name="cila350" localSheetId="6">#REF!</definedName>
    <definedName name="cila350" localSheetId="12">#REF!</definedName>
    <definedName name="cila350" localSheetId="34">#REF!</definedName>
    <definedName name="cila350" localSheetId="19">#REF!</definedName>
    <definedName name="cila350">#REF!</definedName>
    <definedName name="cila400" localSheetId="6">#REF!</definedName>
    <definedName name="cila400" localSheetId="12">#REF!</definedName>
    <definedName name="cila400" localSheetId="34">#REF!</definedName>
    <definedName name="cila400" localSheetId="19">#REF!</definedName>
    <definedName name="cila400">#REF!</definedName>
    <definedName name="cila450" localSheetId="6">#REF!</definedName>
    <definedName name="cila450" localSheetId="12">#REF!</definedName>
    <definedName name="cila450" localSheetId="34">#REF!</definedName>
    <definedName name="cila450" localSheetId="19">#REF!</definedName>
    <definedName name="cila450">#REF!</definedName>
    <definedName name="cila500" localSheetId="6">#REF!</definedName>
    <definedName name="cila500" localSheetId="12">#REF!</definedName>
    <definedName name="cila500" localSheetId="34">#REF!</definedName>
    <definedName name="cila500" localSheetId="19">#REF!</definedName>
    <definedName name="cila500">#REF!</definedName>
    <definedName name="cila600" localSheetId="6">#REF!</definedName>
    <definedName name="cila600" localSheetId="12">#REF!</definedName>
    <definedName name="cila600" localSheetId="34">#REF!</definedName>
    <definedName name="cila600" localSheetId="19">#REF!</definedName>
    <definedName name="cila600">#REF!</definedName>
    <definedName name="cila700" localSheetId="6">#REF!</definedName>
    <definedName name="cila700" localSheetId="12">#REF!</definedName>
    <definedName name="cila700" localSheetId="34">#REF!</definedName>
    <definedName name="cila700" localSheetId="19">#REF!</definedName>
    <definedName name="cila700">#REF!</definedName>
    <definedName name="cila750" localSheetId="6">#REF!</definedName>
    <definedName name="cila750" localSheetId="12">#REF!</definedName>
    <definedName name="cila750" localSheetId="34">#REF!</definedName>
    <definedName name="cila750" localSheetId="19">#REF!</definedName>
    <definedName name="cila750">#REF!</definedName>
    <definedName name="cila80" localSheetId="6">#REF!</definedName>
    <definedName name="cila80" localSheetId="12">#REF!</definedName>
    <definedName name="cila80" localSheetId="34">#REF!</definedName>
    <definedName name="cila80" localSheetId="19">#REF!</definedName>
    <definedName name="cila80">#REF!</definedName>
    <definedName name="cila800" localSheetId="6">#REF!</definedName>
    <definedName name="cila800" localSheetId="12">#REF!</definedName>
    <definedName name="cila800" localSheetId="34">#REF!</definedName>
    <definedName name="cila800" localSheetId="19">#REF!</definedName>
    <definedName name="cila800">#REF!</definedName>
    <definedName name="cila900" localSheetId="6">#REF!</definedName>
    <definedName name="cila900" localSheetId="12">#REF!</definedName>
    <definedName name="cila900" localSheetId="34">#REF!</definedName>
    <definedName name="cila900" localSheetId="19">#REF!</definedName>
    <definedName name="cila900">#REF!</definedName>
    <definedName name="City" localSheetId="22">#REF!</definedName>
    <definedName name="City" localSheetId="5">#REF!</definedName>
    <definedName name="City" localSheetId="6">#REF!</definedName>
    <definedName name="City" localSheetId="12">#REF!</definedName>
    <definedName name="City" localSheetId="34">#REF!</definedName>
    <definedName name="City" localSheetId="19">#REF!</definedName>
    <definedName name="City" localSheetId="30">#REF!</definedName>
    <definedName name="City" localSheetId="40">#REF!</definedName>
    <definedName name="City" localSheetId="26">#REF!</definedName>
    <definedName name="City">#REF!</definedName>
    <definedName name="cjv" localSheetId="6">#REF!</definedName>
    <definedName name="cjv" localSheetId="12">#REF!</definedName>
    <definedName name="cjv" localSheetId="34">#REF!</definedName>
    <definedName name="cjv" localSheetId="19">#REF!</definedName>
    <definedName name="cjv">#REF!</definedName>
    <definedName name="CLASSS" localSheetId="6">#REF!</definedName>
    <definedName name="CLASSS" localSheetId="12">#REF!</definedName>
    <definedName name="CLASSS" localSheetId="34">#REF!</definedName>
    <definedName name="CLASSS" localSheetId="19">#REF!</definedName>
    <definedName name="CLASSS">#REF!</definedName>
    <definedName name="Clearing_and_grubbing_road_land_including_uprooting_wild_vegetation__grass">#REF!</definedName>
    <definedName name="clp">#REF!</definedName>
    <definedName name="cm" localSheetId="5">#REF!</definedName>
    <definedName name="cm" localSheetId="6">#REF!</definedName>
    <definedName name="cm" localSheetId="12">#REF!</definedName>
    <definedName name="cm" localSheetId="19">#REF!</definedName>
    <definedName name="cm" localSheetId="30">#REF!</definedName>
    <definedName name="cm">#REF!</definedName>
    <definedName name="CO" localSheetId="6">#REF!</definedName>
    <definedName name="CO" localSheetId="12">#REF!</definedName>
    <definedName name="CO" localSheetId="19">#REF!</definedName>
    <definedName name="CO">#REF!</definedName>
    <definedName name="Code" localSheetId="22" hidden="1">#REF!</definedName>
    <definedName name="Code" localSheetId="5" hidden="1">#REF!</definedName>
    <definedName name="Code" localSheetId="42" hidden="1">#REF!</definedName>
    <definedName name="Code" localSheetId="6" hidden="1">#REF!</definedName>
    <definedName name="Code" localSheetId="12" hidden="1">#REF!</definedName>
    <definedName name="Code" localSheetId="28" hidden="1">#REF!</definedName>
    <definedName name="Code" localSheetId="36" hidden="1">#REF!</definedName>
    <definedName name="Code" localSheetId="21" hidden="1">#REF!</definedName>
    <definedName name="Code" localSheetId="19" hidden="1">#REF!</definedName>
    <definedName name="Code" localSheetId="32" hidden="1">#REF!</definedName>
    <definedName name="Code" localSheetId="30" hidden="1">#REF!</definedName>
    <definedName name="Code" localSheetId="37" hidden="1">#REF!</definedName>
    <definedName name="Code" localSheetId="40" hidden="1">#REF!</definedName>
    <definedName name="Code" localSheetId="26" hidden="1">#REF!</definedName>
    <definedName name="Code" localSheetId="11" hidden="1">#REF!</definedName>
    <definedName name="Code" localSheetId="3" hidden="1">#REF!</definedName>
    <definedName name="Code" hidden="1">#REF!</definedName>
    <definedName name="Company" localSheetId="22">#REF!</definedName>
    <definedName name="Company" localSheetId="5">#REF!</definedName>
    <definedName name="Company" localSheetId="6">#REF!</definedName>
    <definedName name="Company" localSheetId="12">#REF!</definedName>
    <definedName name="Company" localSheetId="34">#REF!</definedName>
    <definedName name="Company" localSheetId="19">#REF!</definedName>
    <definedName name="Company" localSheetId="30">#REF!</definedName>
    <definedName name="Company" localSheetId="40">#REF!</definedName>
    <definedName name="Company" localSheetId="26">#REF!</definedName>
    <definedName name="Company">#REF!</definedName>
    <definedName name="con_mixer" localSheetId="6">#REF!</definedName>
    <definedName name="con_mixer" localSheetId="12">#REF!</definedName>
    <definedName name="con_mixer" localSheetId="34">#REF!</definedName>
    <definedName name="con_mixer" localSheetId="19">#REF!</definedName>
    <definedName name="con_mixer">#REF!</definedName>
    <definedName name="con_pro" localSheetId="6">#REF!</definedName>
    <definedName name="con_pro" localSheetId="12">#REF!</definedName>
    <definedName name="con_pro" localSheetId="34">#REF!</definedName>
    <definedName name="con_pro" localSheetId="19">#REF!</definedName>
    <definedName name="con_pro">#REF!</definedName>
    <definedName name="conns." localSheetId="19">#REF!</definedName>
    <definedName name="CONVEYANCE" localSheetId="6">#REF!</definedName>
    <definedName name="CONVEYANCE" localSheetId="12">#REF!</definedName>
    <definedName name="CONVEYANCE" localSheetId="34">#REF!</definedName>
    <definedName name="CONVEYANCE" localSheetId="19">#REF!</definedName>
    <definedName name="CONVEYANCE">#REF!</definedName>
    <definedName name="convy" localSheetId="6">#REF!</definedName>
    <definedName name="convy" localSheetId="12">#REF!</definedName>
    <definedName name="convy" localSheetId="19">#REF!</definedName>
    <definedName name="convy">#REF!</definedName>
    <definedName name="copy3m">#REF!</definedName>
    <definedName name="cost">#REF!</definedName>
    <definedName name="Country" localSheetId="22">#REF!</definedName>
    <definedName name="Country" localSheetId="5">#REF!</definedName>
    <definedName name="Country" localSheetId="6">#REF!</definedName>
    <definedName name="Country" localSheetId="12">#REF!</definedName>
    <definedName name="Country" localSheetId="34">#REF!</definedName>
    <definedName name="Country" localSheetId="19">#REF!</definedName>
    <definedName name="Country" localSheetId="30">#REF!</definedName>
    <definedName name="Country" localSheetId="40">#REF!</definedName>
    <definedName name="Country" localSheetId="26">#REF!</definedName>
    <definedName name="Country">#REF!</definedName>
    <definedName name="cover2" localSheetId="6">#REF!</definedName>
    <definedName name="cover2" localSheetId="12">#REF!</definedName>
    <definedName name="cover2" localSheetId="19">#REF!</definedName>
    <definedName name="cover2">#REF!</definedName>
    <definedName name="cp_33" localSheetId="19">#REF!</definedName>
    <definedName name="cp_34" localSheetId="27">#REF!</definedName>
    <definedName name="cp_34">#REF!</definedName>
    <definedName name="cr_mpl_divn_corenet_cn_mpl" localSheetId="22">#REF!</definedName>
    <definedName name="cr_mpl_divn_corenet_cn_mpl" localSheetId="5">#REF!</definedName>
    <definedName name="cr_mpl_divn_corenet_cn_mpl" localSheetId="6">#REF!</definedName>
    <definedName name="cr_mpl_divn_corenet_cn_mpl" localSheetId="12">#REF!</definedName>
    <definedName name="cr_mpl_divn_corenet_cn_mpl" localSheetId="34">#REF!</definedName>
    <definedName name="cr_mpl_divn_corenet_cn_mpl" localSheetId="19">#REF!</definedName>
    <definedName name="cr_mpl_divn_corenet_cn_mpl" localSheetId="30">#REF!</definedName>
    <definedName name="cr_mpl_divn_corenet_cn_mpl" localSheetId="40">#REF!</definedName>
    <definedName name="cr_mpl_divn_corenet_cn_mpl" localSheetId="26">#REF!</definedName>
    <definedName name="cr_mpl_divn_corenet_cn_mpl">#REF!</definedName>
    <definedName name="crccslab">#REF!</definedName>
    <definedName name="crccslab150">#REF!</definedName>
    <definedName name="CRS" localSheetId="34">#REF!</definedName>
    <definedName name="crsg" localSheetId="6">#REF!</definedName>
    <definedName name="crsg" localSheetId="12">#REF!</definedName>
    <definedName name="crsg" localSheetId="19">#REF!</definedName>
    <definedName name="crsg" localSheetId="30">#REF!</definedName>
    <definedName name="crsg">#REF!</definedName>
    <definedName name="crust_23">#N/A</definedName>
    <definedName name="crust_33">#N/A</definedName>
    <definedName name="crust_34">#N/A</definedName>
    <definedName name="crust_38">#N/A</definedName>
    <definedName name="crust_41">#N/A</definedName>
    <definedName name="crust_43">#N/A</definedName>
    <definedName name="crust_48">#N/A</definedName>
    <definedName name="crust_57">#N/A</definedName>
    <definedName name="crust_59">#N/A</definedName>
    <definedName name="crust_60">#N/A</definedName>
    <definedName name="crust_61">#N/A</definedName>
    <definedName name="crust_62">#N/A</definedName>
    <definedName name="crust_7">#N/A</definedName>
    <definedName name="crust_72">#N/A</definedName>
    <definedName name="crust_73">#N/A</definedName>
    <definedName name="crust_8">#N/A</definedName>
    <definedName name="cshewcen" localSheetId="6">#REF!</definedName>
    <definedName name="cshewcen" localSheetId="12">#REF!</definedName>
    <definedName name="cshewcen" localSheetId="34">#REF!</definedName>
    <definedName name="cshewcen" localSheetId="19">#REF!</definedName>
    <definedName name="cshewcen">#REF!</definedName>
    <definedName name="cshewcenchrfoot" localSheetId="6">#REF!</definedName>
    <definedName name="cshewcenchrfoot" localSheetId="12">#REF!</definedName>
    <definedName name="cshewcenchrfoot" localSheetId="34">#REF!</definedName>
    <definedName name="cshewcenchrfoot" localSheetId="19">#REF!</definedName>
    <definedName name="cshewcenchrfoot">#REF!</definedName>
    <definedName name="cshewcenchrpb" localSheetId="6">#REF!</definedName>
    <definedName name="cshewcenchrpb" localSheetId="12">#REF!</definedName>
    <definedName name="cshewcenchrpb" localSheetId="34">#REF!</definedName>
    <definedName name="cshewcenchrpb" localSheetId="19">#REF!</definedName>
    <definedName name="cshewcenchrpb">#REF!</definedName>
    <definedName name="cshewcenchrped" localSheetId="6">#REF!</definedName>
    <definedName name="cshewcenchrped" localSheetId="12">#REF!</definedName>
    <definedName name="cshewcenchrped" localSheetId="34">#REF!</definedName>
    <definedName name="cshewcenchrped" localSheetId="19">#REF!</definedName>
    <definedName name="cshewcenchrped">#REF!</definedName>
    <definedName name="ctrhabstat" localSheetId="22">#REF!</definedName>
    <definedName name="ctrhabstat" localSheetId="5">#REF!</definedName>
    <definedName name="ctrhabstat" localSheetId="6">#REF!</definedName>
    <definedName name="ctrhabstat" localSheetId="12">#REF!</definedName>
    <definedName name="ctrhabstat" localSheetId="34">#REF!</definedName>
    <definedName name="ctrhabstat" localSheetId="19">#REF!</definedName>
    <definedName name="ctrhabstat" localSheetId="30">#REF!</definedName>
    <definedName name="ctrhabstat" localSheetId="40">#REF!</definedName>
    <definedName name="ctrhabstat" localSheetId="26">#REF!</definedName>
    <definedName name="ctrhabstat">#REF!</definedName>
    <definedName name="cu" localSheetId="6">#REF!</definedName>
    <definedName name="cu" localSheetId="12">#REF!</definedName>
    <definedName name="cu" localSheetId="19">#REF!</definedName>
    <definedName name="cu">#REF!</definedName>
    <definedName name="cul">#REF!</definedName>
    <definedName name="cut_holes_bw" localSheetId="6">#REF!</definedName>
    <definedName name="cut_holes_bw" localSheetId="12">#REF!</definedName>
    <definedName name="cut_holes_bw" localSheetId="34">#REF!</definedName>
    <definedName name="cut_holes_bw" localSheetId="19">#REF!</definedName>
    <definedName name="cut_holes_bw">#REF!</definedName>
    <definedName name="cut_holes_rcc" localSheetId="6">#REF!</definedName>
    <definedName name="cut_holes_rcc" localSheetId="12">#REF!</definedName>
    <definedName name="cut_holes_rcc" localSheetId="34">#REF!</definedName>
    <definedName name="cut_holes_rcc" localSheetId="19">#REF!</definedName>
    <definedName name="cut_holes_rcc">#REF!</definedName>
    <definedName name="CWL" localSheetId="22">#REF!</definedName>
    <definedName name="CWL" localSheetId="30">#REF!</definedName>
    <definedName name="czczxczc" localSheetId="19">#REF!</definedName>
    <definedName name="D.t_23">#N/A</definedName>
    <definedName name="D.t_33">#N/A</definedName>
    <definedName name="D.t_34">#N/A</definedName>
    <definedName name="D.t_38">#N/A</definedName>
    <definedName name="D.t_41">#N/A</definedName>
    <definedName name="D.t_43">#N/A</definedName>
    <definedName name="D.t_48">#N/A</definedName>
    <definedName name="D.t_57">#N/A</definedName>
    <definedName name="D.t_59">#N/A</definedName>
    <definedName name="D.t_60">#N/A</definedName>
    <definedName name="D.t_61">#N/A</definedName>
    <definedName name="D.t_62">#N/A</definedName>
    <definedName name="D.t_7">#N/A</definedName>
    <definedName name="D.t_72">#N/A</definedName>
    <definedName name="D.t_73">#N/A</definedName>
    <definedName name="D.t_8">#N/A</definedName>
    <definedName name="d_23">#N/A</definedName>
    <definedName name="d_32">#N/A</definedName>
    <definedName name="d_33">#N/A</definedName>
    <definedName name="d_34">#N/A</definedName>
    <definedName name="d_38">#N/A</definedName>
    <definedName name="d_41">#N/A</definedName>
    <definedName name="d_43">#N/A</definedName>
    <definedName name="d_48">#N/A</definedName>
    <definedName name="d_56">#N/A</definedName>
    <definedName name="d_57">#N/A</definedName>
    <definedName name="d_59">#N/A</definedName>
    <definedName name="d_60">#N/A</definedName>
    <definedName name="d_61">#N/A</definedName>
    <definedName name="d_62">#N/A</definedName>
    <definedName name="d_7">#N/A</definedName>
    <definedName name="d_72">#N/A</definedName>
    <definedName name="d_73">#N/A</definedName>
    <definedName name="d_8">#N/A</definedName>
    <definedName name="D_t" localSheetId="27">#REF!</definedName>
    <definedName name="D_t">#REF!</definedName>
    <definedName name="da" localSheetId="22">#REF!</definedName>
    <definedName name="da" localSheetId="5">#REF!</definedName>
    <definedName name="da" localSheetId="6">#REF!</definedName>
    <definedName name="da" localSheetId="12">#REF!</definedName>
    <definedName name="da" localSheetId="34">#REF!</definedName>
    <definedName name="da" localSheetId="19">#REF!</definedName>
    <definedName name="da" localSheetId="30">#REF!</definedName>
    <definedName name="da" localSheetId="40">#REF!</definedName>
    <definedName name="da" localSheetId="26">#REF!</definedName>
    <definedName name="da">#REF!</definedName>
    <definedName name="da_23">"$#REF!.$#REF!$#REF!:$#REF!$#REF!"</definedName>
    <definedName name="da_33">"$#REF!.$#REF!$#REF!"</definedName>
    <definedName name="da_34">"$#REF!.$#REF!$#REF!"</definedName>
    <definedName name="da_38">"$#REF!.$#REF!$#REF!:$#REF!$#REF!"</definedName>
    <definedName name="da_41">"$#REF!.$#REF!$#REF!:$#REF!$#REF!"</definedName>
    <definedName name="da_43">"$#REF!.$#REF!$#REF!:$#REF!$#REF!"</definedName>
    <definedName name="da_48">"$#REF!.$#REF!$#REF!:$#REF!$#REF!"</definedName>
    <definedName name="da_57">"$#REF!.$#REF!$#REF!:$#REF!$#REF!"</definedName>
    <definedName name="da_59">"$#REF!.$#REF!$#REF!:$#REF!$#REF!"</definedName>
    <definedName name="da_60">"$#REF!.$#REF!$#REF!:$#REF!$#REF!"</definedName>
    <definedName name="da_61">"$#REF!.$#REF!$#REF!:$#REF!$#REF!"</definedName>
    <definedName name="da_62">"$#REF!.$#REF!$#REF!:$#REF!$#REF!"</definedName>
    <definedName name="da_7">"$#REF!.$#REF!$#REF!:$#REF!$#REF!"</definedName>
    <definedName name="da_72">"$#REF!.$#REF!$#REF!:$#REF!$#REF!"</definedName>
    <definedName name="da_73">"$#REF!.$#REF!$#REF!:$#REF!$#REF!"</definedName>
    <definedName name="da_8">"$#REF!.$#REF!$#REF!:$#REF!$#REF!"</definedName>
    <definedName name="dadoing" localSheetId="6">#REF!</definedName>
    <definedName name="dadoing" localSheetId="12">#REF!</definedName>
    <definedName name="dadoing" localSheetId="34">#REF!</definedName>
    <definedName name="dadoing" localSheetId="19">#REF!</definedName>
    <definedName name="dadoing">#REF!</definedName>
    <definedName name="dat" localSheetId="6">#REF!</definedName>
    <definedName name="dat" localSheetId="12">#REF!</definedName>
    <definedName name="dat" localSheetId="19">#REF!</definedName>
    <definedName name="dat">#REF!</definedName>
    <definedName name="data_23">#N/A</definedName>
    <definedName name="data_33">#N/A</definedName>
    <definedName name="data_34">#N/A</definedName>
    <definedName name="data_38">#N/A</definedName>
    <definedName name="data_41">#N/A</definedName>
    <definedName name="data_43">#N/A</definedName>
    <definedName name="data_48">#N/A</definedName>
    <definedName name="data_57">#N/A</definedName>
    <definedName name="data_59">#N/A</definedName>
    <definedName name="data_60">#N/A</definedName>
    <definedName name="data_61">#N/A</definedName>
    <definedName name="data_62">#N/A</definedName>
    <definedName name="data_7">#N/A</definedName>
    <definedName name="data_72">#N/A</definedName>
    <definedName name="data_73">#N/A</definedName>
    <definedName name="data_8">#N/A</definedName>
    <definedName name="Data012" localSheetId="19">#REF!</definedName>
    <definedName name="data1" localSheetId="22" hidden="1">#REF!</definedName>
    <definedName name="data1" localSheetId="5" hidden="1">#REF!</definedName>
    <definedName name="data1" localSheetId="42" hidden="1">#REF!</definedName>
    <definedName name="data1" localSheetId="6" hidden="1">#REF!</definedName>
    <definedName name="data1" localSheetId="12" hidden="1">#REF!</definedName>
    <definedName name="data1" localSheetId="28" hidden="1">#REF!</definedName>
    <definedName name="data1" localSheetId="36" hidden="1">#REF!</definedName>
    <definedName name="data1" localSheetId="21" hidden="1">#REF!</definedName>
    <definedName name="data1" localSheetId="19" hidden="1">#REF!</definedName>
    <definedName name="data1" localSheetId="32" hidden="1">#REF!</definedName>
    <definedName name="data1" localSheetId="30" hidden="1">#REF!</definedName>
    <definedName name="data1" localSheetId="37" hidden="1">#REF!</definedName>
    <definedName name="data1" localSheetId="40" hidden="1">#REF!</definedName>
    <definedName name="data1" localSheetId="26" hidden="1">#REF!</definedName>
    <definedName name="data1" localSheetId="11" hidden="1">#REF!</definedName>
    <definedName name="data1" localSheetId="3" hidden="1">#REF!</definedName>
    <definedName name="data1" hidden="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 localSheetId="22" hidden="1">#REF!</definedName>
    <definedName name="data2" localSheetId="5" hidden="1">#REF!</definedName>
    <definedName name="data2" localSheetId="42" hidden="1">#REF!</definedName>
    <definedName name="data2" localSheetId="6" hidden="1">#REF!</definedName>
    <definedName name="data2" localSheetId="12" hidden="1">#REF!</definedName>
    <definedName name="data2" localSheetId="34" hidden="1">#REF!</definedName>
    <definedName name="data2" localSheetId="28" hidden="1">#REF!</definedName>
    <definedName name="data2" localSheetId="36" hidden="1">#REF!</definedName>
    <definedName name="data2" localSheetId="21" hidden="1">#REF!</definedName>
    <definedName name="data2" localSheetId="19" hidden="1">#REF!</definedName>
    <definedName name="data2" localSheetId="32" hidden="1">#REF!</definedName>
    <definedName name="data2" localSheetId="30" hidden="1">#REF!</definedName>
    <definedName name="data2" localSheetId="37" hidden="1">#REF!</definedName>
    <definedName name="data2" localSheetId="40" hidden="1">#REF!</definedName>
    <definedName name="data2" localSheetId="26" hidden="1">#REF!</definedName>
    <definedName name="data2" localSheetId="11" hidden="1">#REF!</definedName>
    <definedName name="data2" localSheetId="3" hidden="1">#REF!</definedName>
    <definedName name="data2" hidden="1">#REF!</definedName>
    <definedName name="data20">#REF!</definedName>
    <definedName name="data21">#REF!</definedName>
    <definedName name="data22">#REF!</definedName>
    <definedName name="data23">#REF!</definedName>
    <definedName name="data23b">#REF!</definedName>
    <definedName name="data23c">#REF!</definedName>
    <definedName name="data24">#REF!</definedName>
    <definedName name="data25">#REF!</definedName>
    <definedName name="data26">#REF!</definedName>
    <definedName name="data27">#REF!</definedName>
    <definedName name="data28">#REF!</definedName>
    <definedName name="data29">#REF!</definedName>
    <definedName name="data3" localSheetId="22" hidden="1">#REF!</definedName>
    <definedName name="data3" localSheetId="5" hidden="1">#REF!</definedName>
    <definedName name="data3" localSheetId="42" hidden="1">#REF!</definedName>
    <definedName name="data3" localSheetId="6" hidden="1">#REF!</definedName>
    <definedName name="data3" localSheetId="12" hidden="1">#REF!</definedName>
    <definedName name="data3" localSheetId="34" hidden="1">#REF!</definedName>
    <definedName name="data3" localSheetId="28" hidden="1">#REF!</definedName>
    <definedName name="data3" localSheetId="36" hidden="1">#REF!</definedName>
    <definedName name="data3" localSheetId="21" hidden="1">#REF!</definedName>
    <definedName name="data3" localSheetId="19" hidden="1">#REF!</definedName>
    <definedName name="data3" localSheetId="32" hidden="1">#REF!</definedName>
    <definedName name="data3" localSheetId="30" hidden="1">#REF!</definedName>
    <definedName name="data3" localSheetId="37" hidden="1">#REF!</definedName>
    <definedName name="data3" localSheetId="40" hidden="1">#REF!</definedName>
    <definedName name="data3" localSheetId="26" hidden="1">#REF!</definedName>
    <definedName name="data3" localSheetId="11" hidden="1">#REF!</definedName>
    <definedName name="data3" localSheetId="3" hidden="1">#REF!</definedName>
    <definedName name="data3" hidden="1">#REF!</definedName>
    <definedName name="data30">#REF!</definedName>
    <definedName name="data31">#REF!</definedName>
    <definedName name="data32">#REF!</definedName>
    <definedName name="data33">#REF!</definedName>
    <definedName name="data4">#REF!</definedName>
    <definedName name="data452">#REF!</definedName>
    <definedName name="data5">#REF!</definedName>
    <definedName name="DATA6" localSheetId="22">#REF!</definedName>
    <definedName name="DATA6" localSheetId="5">#REF!</definedName>
    <definedName name="DATA6" localSheetId="6">#REF!</definedName>
    <definedName name="DATA6" localSheetId="12">#REF!</definedName>
    <definedName name="DATA6" localSheetId="34">#REF!</definedName>
    <definedName name="DATA6" localSheetId="19">#REF!</definedName>
    <definedName name="DATA6" localSheetId="30">#REF!</definedName>
    <definedName name="DATA6" localSheetId="40">#REF!</definedName>
    <definedName name="DATA6" localSheetId="26">#REF!</definedName>
    <definedName name="DATA6">#REF!</definedName>
    <definedName name="DATA6_33">"$#REF!.$#REF!$#REF!"</definedName>
    <definedName name="DATA6_34">"$#REF!.$#REF!$#REF!"</definedName>
    <definedName name="Data7" localSheetId="22">#REF!</definedName>
    <definedName name="Data7" localSheetId="5">#REF!</definedName>
    <definedName name="Data7" localSheetId="6">#REF!</definedName>
    <definedName name="Data7" localSheetId="12">#REF!</definedName>
    <definedName name="Data7" localSheetId="34">#REF!</definedName>
    <definedName name="Data7" localSheetId="19">#REF!</definedName>
    <definedName name="Data7" localSheetId="30">#REF!</definedName>
    <definedName name="Data7" localSheetId="40">#REF!</definedName>
    <definedName name="Data7" localSheetId="26">#REF!</definedName>
    <definedName name="Data7">#REF!</definedName>
    <definedName name="Data7_33">"$#REF!.$#REF!$#REF!"</definedName>
    <definedName name="data8" localSheetId="27">#REF!</definedName>
    <definedName name="data8">#REF!</definedName>
    <definedName name="data9" localSheetId="27">#REF!</definedName>
    <definedName name="data9">#REF!</definedName>
    <definedName name="Dataa" localSheetId="22">#REF!</definedName>
    <definedName name="Dataa" localSheetId="5">#REF!</definedName>
    <definedName name="Dataa" localSheetId="6">#REF!</definedName>
    <definedName name="Dataa" localSheetId="12">#REF!</definedName>
    <definedName name="Dataa" localSheetId="34">#REF!</definedName>
    <definedName name="Dataa" localSheetId="19">#REF!</definedName>
    <definedName name="Dataa" localSheetId="30">#REF!</definedName>
    <definedName name="Dataa" localSheetId="40">#REF!</definedName>
    <definedName name="Dataa" localSheetId="26">#REF!</definedName>
    <definedName name="Dataa">#REF!</definedName>
    <definedName name="Dataa_33">"$#REF!.$#REF!$#REF!"</definedName>
    <definedName name="_xlnm.Database" localSheetId="22">#REF!</definedName>
    <definedName name="_xlnm.Database" localSheetId="5">#REF!</definedName>
    <definedName name="_xlnm.Database" localSheetId="6">#REF!</definedName>
    <definedName name="_xlnm.Database" localSheetId="12">#REF!</definedName>
    <definedName name="_xlnm.Database" localSheetId="34">#REF!</definedName>
    <definedName name="_xlnm.Database" localSheetId="19">#REF!</definedName>
    <definedName name="_xlnm.Database" localSheetId="30">#REF!</definedName>
    <definedName name="_xlnm.Database" localSheetId="40">#REF!</definedName>
    <definedName name="_xlnm.Database" localSheetId="26">#REF!</definedName>
    <definedName name="_xlnm.Database">#REF!</definedName>
    <definedName name="database1" localSheetId="5">#REF!</definedName>
    <definedName name="database1" localSheetId="6">#REF!</definedName>
    <definedName name="database1" localSheetId="12">#REF!</definedName>
    <definedName name="database1" localSheetId="19">#REF!</definedName>
    <definedName name="database1" localSheetId="30">#REF!</definedName>
    <definedName name="database1">#REF!</definedName>
    <definedName name="db" localSheetId="5">#REF!</definedName>
    <definedName name="db" localSheetId="6">#REF!</definedName>
    <definedName name="db" localSheetId="12">#REF!</definedName>
    <definedName name="db" localSheetId="34">#REF!</definedName>
    <definedName name="db" localSheetId="19">#REF!</definedName>
    <definedName name="db" localSheetId="30">#REF!</definedName>
    <definedName name="db">#REF!</definedName>
    <definedName name="dbas" localSheetId="6">#REF!</definedName>
    <definedName name="dbas" localSheetId="12">#REF!</definedName>
    <definedName name="dbas" localSheetId="34">#REF!</definedName>
    <definedName name="dbas" localSheetId="19">#REF!</definedName>
    <definedName name="dbas">#REF!</definedName>
    <definedName name="dbbs" localSheetId="6">#REF!</definedName>
    <definedName name="dbbs" localSheetId="12">#REF!</definedName>
    <definedName name="dbbs" localSheetId="34">#REF!</definedName>
    <definedName name="dbbs" localSheetId="19">#REF!</definedName>
    <definedName name="dbbs">#REF!</definedName>
    <definedName name="dbbsb" localSheetId="6">#REF!</definedName>
    <definedName name="dbbsb" localSheetId="12">#REF!</definedName>
    <definedName name="dbbsb" localSheetId="34">#REF!</definedName>
    <definedName name="dbbsb" localSheetId="19">#REF!</definedName>
    <definedName name="dbbsb">#REF!</definedName>
    <definedName name="dbc" localSheetId="6">#REF!</definedName>
    <definedName name="dbc" localSheetId="12">#REF!</definedName>
    <definedName name="dbc" localSheetId="34">#REF!</definedName>
    <definedName name="dbc" localSheetId="19">#REF!</definedName>
    <definedName name="dbc">#REF!</definedName>
    <definedName name="dbd" localSheetId="6">#REF!</definedName>
    <definedName name="dbd" localSheetId="12">#REF!</definedName>
    <definedName name="dbd" localSheetId="34">#REF!</definedName>
    <definedName name="dbd" localSheetId="19">#REF!</definedName>
    <definedName name="dbd">#REF!</definedName>
    <definedName name="dbh" localSheetId="6">#REF!</definedName>
    <definedName name="dbh" localSheetId="12">#REF!</definedName>
    <definedName name="dbh" localSheetId="34">#REF!</definedName>
    <definedName name="dbh" localSheetId="19">#REF!</definedName>
    <definedName name="dbh">#REF!</definedName>
    <definedName name="dbi" localSheetId="6">#REF!</definedName>
    <definedName name="dbi" localSheetId="12">#REF!</definedName>
    <definedName name="dbi" localSheetId="34">#REF!</definedName>
    <definedName name="dbi" localSheetId="19">#REF!</definedName>
    <definedName name="dbi">#REF!</definedName>
    <definedName name="DBM" localSheetId="5">#REF!</definedName>
    <definedName name="DBM" localSheetId="6">#REF!</definedName>
    <definedName name="DBM" localSheetId="12">#REF!</definedName>
    <definedName name="DBM" localSheetId="34">#REF!</definedName>
    <definedName name="DBM" localSheetId="19">#REF!</definedName>
    <definedName name="DBM" localSheetId="30">#REF!</definedName>
    <definedName name="DBM">#REF!</definedName>
    <definedName name="dbo" localSheetId="6">#REF!</definedName>
    <definedName name="dbo" localSheetId="12">#REF!</definedName>
    <definedName name="dbo" localSheetId="34">#REF!</definedName>
    <definedName name="dbo" localSheetId="19">#REF!</definedName>
    <definedName name="dbo">#REF!</definedName>
    <definedName name="dbrb" localSheetId="6">#REF!</definedName>
    <definedName name="dbrb" localSheetId="12">#REF!</definedName>
    <definedName name="dbrb" localSheetId="34">#REF!</definedName>
    <definedName name="dbrb" localSheetId="19">#REF!</definedName>
    <definedName name="dbrb">#REF!</definedName>
    <definedName name="dbs" localSheetId="6">#REF!</definedName>
    <definedName name="dbs" localSheetId="12">#REF!</definedName>
    <definedName name="dbs" localSheetId="34">#REF!</definedName>
    <definedName name="dbs" localSheetId="19">#REF!</definedName>
    <definedName name="dbs">#REF!</definedName>
    <definedName name="dbsi" localSheetId="6">#REF!</definedName>
    <definedName name="dbsi" localSheetId="12">#REF!</definedName>
    <definedName name="dbsi" localSheetId="34">#REF!</definedName>
    <definedName name="dbsi" localSheetId="19">#REF!</definedName>
    <definedName name="dbsi">#REF!</definedName>
    <definedName name="dbst" localSheetId="6">#REF!</definedName>
    <definedName name="dbst" localSheetId="12">#REF!</definedName>
    <definedName name="dbst" localSheetId="34">#REF!</definedName>
    <definedName name="dbst" localSheetId="19">#REF!</definedName>
    <definedName name="dbst">#REF!</definedName>
    <definedName name="dbt" localSheetId="6">#REF!</definedName>
    <definedName name="dbt" localSheetId="12">#REF!</definedName>
    <definedName name="dbt" localSheetId="34">#REF!</definedName>
    <definedName name="dbt" localSheetId="19">#REF!</definedName>
    <definedName name="dbt">#REF!</definedName>
    <definedName name="DC" localSheetId="22">#REF!</definedName>
    <definedName name="dc" localSheetId="5">#REF!</definedName>
    <definedName name="DC" localSheetId="6">#REF!</definedName>
    <definedName name="DC" localSheetId="12">#REF!</definedName>
    <definedName name="dc" localSheetId="34">#REF!</definedName>
    <definedName name="DC" localSheetId="19">#REF!</definedName>
    <definedName name="DC" localSheetId="30">#REF!</definedName>
    <definedName name="DC" localSheetId="40">#REF!</definedName>
    <definedName name="DC" localSheetId="26">#REF!</definedName>
    <definedName name="DC">#REF!</definedName>
    <definedName name="dcd" localSheetId="6">#REF!</definedName>
    <definedName name="dcd" localSheetId="12">#REF!</definedName>
    <definedName name="dcd" localSheetId="34">#REF!</definedName>
    <definedName name="dcd" localSheetId="19">#REF!</definedName>
    <definedName name="dcd">#REF!</definedName>
    <definedName name="DD" localSheetId="22">#REF!</definedName>
    <definedName name="DD" localSheetId="5">#REF!</definedName>
    <definedName name="DD" localSheetId="6">#REF!</definedName>
    <definedName name="DD" localSheetId="12">#REF!</definedName>
    <definedName name="DD" localSheetId="34">#REF!</definedName>
    <definedName name="DD" localSheetId="19">#REF!</definedName>
    <definedName name="DD" localSheetId="30">#REF!</definedName>
    <definedName name="DD" localSheetId="40">#REF!</definedName>
    <definedName name="DD" localSheetId="26">#REF!</definedName>
    <definedName name="DD">#REF!</definedName>
    <definedName name="DD_33">"$#REF!.$#REF!$#REF!"</definedName>
    <definedName name="DD_34">"$#REF!.$#REF!$#REF!"</definedName>
    <definedName name="ddad" localSheetId="19">#REF!</definedName>
    <definedName name="ddd" localSheetId="5">#REF!</definedName>
    <definedName name="ddd" localSheetId="6">#REF!</definedName>
    <definedName name="ddd" localSheetId="12">#REF!</definedName>
    <definedName name="ddd" localSheetId="34">#REF!</definedName>
    <definedName name="ddd" localSheetId="19">#REF!</definedName>
    <definedName name="ddd" localSheetId="30">#REF!</definedName>
    <definedName name="ddd">#REF!</definedName>
    <definedName name="ddd_33">"$#REF!.$#REF!$#REF!"</definedName>
    <definedName name="ddddd" localSheetId="27" hidden="1">{"'ridftotal'!$A$4:$S$27"}</definedName>
    <definedName name="ddddd" localSheetId="22" hidden="1">{"'ridftotal'!$A$4:$S$27"}</definedName>
    <definedName name="ddddd" localSheetId="14" hidden="1">{"'ridftotal'!$A$4:$S$27"}</definedName>
    <definedName name="ddddd" localSheetId="19" hidden="1">{"'ridftotal'!$A$4:$S$27"}</definedName>
    <definedName name="ddddd" localSheetId="30" hidden="1">{"'ridftotal'!$A$4:$S$27"}</definedName>
    <definedName name="ddddd" hidden="1">{"'ridftotal'!$A$4:$S$27"}</definedName>
    <definedName name="de" localSheetId="27">#REF!</definedName>
    <definedName name="de">#REF!</definedName>
    <definedName name="de_33">#N/A</definedName>
    <definedName name="de_34">#N/A</definedName>
    <definedName name="deaf" localSheetId="6">#REF!</definedName>
    <definedName name="deaf" localSheetId="12">#REF!</definedName>
    <definedName name="deaf" localSheetId="19">#REF!</definedName>
    <definedName name="deaf" localSheetId="30">#REF!</definedName>
    <definedName name="deaf">#REF!</definedName>
    <definedName name="DEE" localSheetId="22">#REF!</definedName>
    <definedName name="defew" localSheetId="27">#REF!</definedName>
    <definedName name="defew">#REF!</definedName>
    <definedName name="deff" localSheetId="6">#REF!</definedName>
    <definedName name="deff" localSheetId="12">#REF!</definedName>
    <definedName name="deff" localSheetId="34">#REF!</definedName>
    <definedName name="deff" localSheetId="19">#REF!</definedName>
    <definedName name="deff">#REF!</definedName>
    <definedName name="derse_23">#N/A</definedName>
    <definedName name="derse_33">#N/A</definedName>
    <definedName name="derse_38">#N/A</definedName>
    <definedName name="derse_41">#N/A</definedName>
    <definedName name="derse_43">#N/A</definedName>
    <definedName name="derse_48">#N/A</definedName>
    <definedName name="derse_57">#N/A</definedName>
    <definedName name="derse_59">#N/A</definedName>
    <definedName name="derse_60">#N/A</definedName>
    <definedName name="derse_61">#N/A</definedName>
    <definedName name="derse_62">#N/A</definedName>
    <definedName name="derse_7">#N/A</definedName>
    <definedName name="derse_72">#N/A</definedName>
    <definedName name="derse_73">#N/A</definedName>
    <definedName name="derse_8">#N/A</definedName>
    <definedName name="df" localSheetId="34">#REF!</definedName>
    <definedName name="df_33">#N/A</definedName>
    <definedName name="df_38">#N/A</definedName>
    <definedName name="df_41">#N/A</definedName>
    <definedName name="df_7">#N/A</definedName>
    <definedName name="df_8">#N/A</definedName>
    <definedName name="dfdddd" localSheetId="5">#REF!</definedName>
    <definedName name="dfdddd" localSheetId="6">#REF!</definedName>
    <definedName name="dfdddd" localSheetId="12">#REF!</definedName>
    <definedName name="dfdddd" localSheetId="34">#REF!</definedName>
    <definedName name="dfdddd" localSheetId="19">#REF!</definedName>
    <definedName name="dfdddd" localSheetId="30">#REF!</definedName>
    <definedName name="dfdddd">#REF!</definedName>
    <definedName name="dfddfdr">#REF!</definedName>
    <definedName name="dfddyu">#REF!</definedName>
    <definedName name="DFDFDE">#REF!</definedName>
    <definedName name="dfdfdf" localSheetId="27" hidden="1">{"'ridftotal'!$A$4:$S$27"}</definedName>
    <definedName name="dfdfdf" localSheetId="22" hidden="1">{"'ridftotal'!$A$4:$S$27"}</definedName>
    <definedName name="dfdfdf" localSheetId="14" hidden="1">{"'ridftotal'!$A$4:$S$27"}</definedName>
    <definedName name="dfdfdf" localSheetId="19" hidden="1">{"'ridftotal'!$A$4:$S$27"}</definedName>
    <definedName name="dfdfdf" localSheetId="30" hidden="1">{"'ridftotal'!$A$4:$S$27"}</definedName>
    <definedName name="dfdfdf" hidden="1">{"'ridftotal'!$A$4:$S$27"}</definedName>
    <definedName name="dfds" localSheetId="6">#REF!</definedName>
    <definedName name="dfds" localSheetId="12">#REF!</definedName>
    <definedName name="dfds" localSheetId="34">#REF!</definedName>
    <definedName name="dfds" localSheetId="19">#REF!</definedName>
    <definedName name="dfds">#REF!</definedName>
    <definedName name="dffg" localSheetId="6">#REF!</definedName>
    <definedName name="dffg" localSheetId="12">#REF!</definedName>
    <definedName name="dffg" localSheetId="19">#REF!</definedName>
    <definedName name="dffg" localSheetId="30">#REF!</definedName>
    <definedName name="dffg">#REF!</definedName>
    <definedName name="dfgfd">#REF!</definedName>
    <definedName name="dfgh" localSheetId="6">#REF!</definedName>
    <definedName name="dfgh" localSheetId="12">#REF!</definedName>
    <definedName name="dfgh" localSheetId="19">#REF!</definedName>
    <definedName name="dfgh">#REF!</definedName>
    <definedName name="DFI" localSheetId="14">#REF!</definedName>
    <definedName name="DFI" localSheetId="6">#REF!</definedName>
    <definedName name="DFI" localSheetId="12">#REF!</definedName>
    <definedName name="DFI" localSheetId="19">#REF!</definedName>
    <definedName name="DFI">#REF!</definedName>
    <definedName name="dfih">#REF!</definedName>
    <definedName name="DFII" localSheetId="14">#REF!</definedName>
    <definedName name="DFII" localSheetId="6">#REF!</definedName>
    <definedName name="DFII" localSheetId="12">#REF!</definedName>
    <definedName name="DFII" localSheetId="19">#REF!</definedName>
    <definedName name="DFII">#REF!</definedName>
    <definedName name="DFIII" localSheetId="6">#REF!</definedName>
    <definedName name="DFIII" localSheetId="12">#REF!</definedName>
    <definedName name="DFIII" localSheetId="19">#REF!</definedName>
    <definedName name="DFIII">#REF!</definedName>
    <definedName name="dfjf">#REF!</definedName>
    <definedName name="dftyg">#REF!</definedName>
    <definedName name="dg" localSheetId="6">#REF!</definedName>
    <definedName name="dg" localSheetId="12">#REF!</definedName>
    <definedName name="dg" localSheetId="19">#REF!</definedName>
    <definedName name="dg">#REF!</definedName>
    <definedName name="dgdfg" localSheetId="6">#REF!</definedName>
    <definedName name="dgdfg" localSheetId="12">#REF!</definedName>
    <definedName name="dgdfg" localSheetId="34">#REF!</definedName>
    <definedName name="dgdfg" localSheetId="19">#REF!</definedName>
    <definedName name="dgdfg">#REF!</definedName>
    <definedName name="dgl" localSheetId="6">#REF!</definedName>
    <definedName name="dgl" localSheetId="12">#REF!</definedName>
    <definedName name="dgl" localSheetId="34">#REF!</definedName>
    <definedName name="dgl" localSheetId="19">#REF!</definedName>
    <definedName name="dgl">#REF!</definedName>
    <definedName name="DI" localSheetId="5">#REF!</definedName>
    <definedName name="DI" localSheetId="6">#REF!</definedName>
    <definedName name="DI" localSheetId="12">#REF!</definedName>
    <definedName name="DI" localSheetId="34">#REF!</definedName>
    <definedName name="DI" localSheetId="19">#REF!</definedName>
    <definedName name="DI">#REF!</definedName>
    <definedName name="DIA.SSF" localSheetId="6">#REF!</definedName>
    <definedName name="DIA.SSF" localSheetId="12">#REF!</definedName>
    <definedName name="DIA.SSF" localSheetId="34">#REF!</definedName>
    <definedName name="DIA.SSF" localSheetId="19">#REF!</definedName>
    <definedName name="DIA.SSF">#REF!</definedName>
    <definedName name="DIAA" localSheetId="6">#REF!</definedName>
    <definedName name="DIAA" localSheetId="12">#REF!</definedName>
    <definedName name="DIAA" localSheetId="34">#REF!</definedName>
    <definedName name="DIAA" localSheetId="19">#REF!</definedName>
    <definedName name="DIAA">#REF!</definedName>
    <definedName name="diff_20ab" localSheetId="27">#REF!</definedName>
    <definedName name="diff_20ab">#REF!</definedName>
    <definedName name="DII" localSheetId="14">#REF!</definedName>
    <definedName name="DII" localSheetId="6">#REF!</definedName>
    <definedName name="DII" localSheetId="12">#REF!</definedName>
    <definedName name="DII" localSheetId="19">#REF!</definedName>
    <definedName name="DII">#REF!</definedName>
    <definedName name="dipu" localSheetId="5">#REF!</definedName>
    <definedName name="dipu" localSheetId="6">#REF!</definedName>
    <definedName name="dipu" localSheetId="12">#REF!</definedName>
    <definedName name="dipu" localSheetId="34">#REF!</definedName>
    <definedName name="dipu" localSheetId="19">#REF!</definedName>
    <definedName name="dipu" localSheetId="30">#REF!</definedName>
    <definedName name="dipu">#REF!</definedName>
    <definedName name="dipu_33">"$#REF!.$#REF!$#REF!:$#REF!$#REF!"</definedName>
    <definedName name="dipu_38">"$#REF!.$#REF!$#REF!:$#REF!$#REF!"</definedName>
    <definedName name="dipu_41">"$#REF!.$#REF!$#REF!:$#REF!$#REF!"</definedName>
    <definedName name="dipu_7">"$#REF!.$#REF!$#REF!:$#REF!$#REF!"</definedName>
    <definedName name="dipu_8">"$#REF!.$#REF!$#REF!:$#REF!$#REF!"</definedName>
    <definedName name="dis">0.5</definedName>
    <definedName name="discharge">#REF!</definedName>
    <definedName name="Discount" localSheetId="22" hidden="1">#REF!</definedName>
    <definedName name="Discount" localSheetId="5" hidden="1">#REF!</definedName>
    <definedName name="Discount" localSheetId="42" hidden="1">#REF!</definedName>
    <definedName name="Discount" localSheetId="6" hidden="1">#REF!</definedName>
    <definedName name="Discount" localSheetId="12" hidden="1">#REF!</definedName>
    <definedName name="Discount" localSheetId="34" hidden="1">#REF!</definedName>
    <definedName name="Discount" localSheetId="28" hidden="1">#REF!</definedName>
    <definedName name="Discount" localSheetId="36" hidden="1">#REF!</definedName>
    <definedName name="Discount" localSheetId="19" hidden="1">#REF!</definedName>
    <definedName name="Discount" localSheetId="32" hidden="1">#REF!</definedName>
    <definedName name="Discount" localSheetId="30" hidden="1">#REF!</definedName>
    <definedName name="Discount" localSheetId="37" hidden="1">#REF!</definedName>
    <definedName name="Discount" localSheetId="40" hidden="1">#REF!</definedName>
    <definedName name="Discount" localSheetId="26" hidden="1">#REF!</definedName>
    <definedName name="Discount" localSheetId="11" hidden="1">#REF!</definedName>
    <definedName name="Discount" localSheetId="3" hidden="1">#REF!</definedName>
    <definedName name="Discount" hidden="1">#REF!</definedName>
    <definedName name="display_area_2" localSheetId="22" hidden="1">#REF!</definedName>
    <definedName name="display_area_2" localSheetId="5" hidden="1">#REF!</definedName>
    <definedName name="display_area_2" localSheetId="42" hidden="1">#REF!</definedName>
    <definedName name="display_area_2" localSheetId="6" hidden="1">#REF!</definedName>
    <definedName name="display_area_2" localSheetId="12" hidden="1">#REF!</definedName>
    <definedName name="display_area_2" localSheetId="34" hidden="1">#REF!</definedName>
    <definedName name="display_area_2" localSheetId="28" hidden="1">#REF!</definedName>
    <definedName name="display_area_2" localSheetId="36" hidden="1">#REF!</definedName>
    <definedName name="display_area_2" localSheetId="19" hidden="1">#REF!</definedName>
    <definedName name="display_area_2" localSheetId="32" hidden="1">#REF!</definedName>
    <definedName name="display_area_2" localSheetId="30" hidden="1">#REF!</definedName>
    <definedName name="display_area_2" localSheetId="37" hidden="1">#REF!</definedName>
    <definedName name="display_area_2" localSheetId="40" hidden="1">#REF!</definedName>
    <definedName name="display_area_2" localSheetId="26" hidden="1">#REF!</definedName>
    <definedName name="display_area_2" localSheetId="11" hidden="1">#REF!</definedName>
    <definedName name="display_area_2" localSheetId="3" hidden="1">#REF!</definedName>
    <definedName name="display_area_2" hidden="1">#REF!</definedName>
    <definedName name="dist">#REF!</definedName>
    <definedName name="Dist_Abstract">#REF!</definedName>
    <definedName name="Distbut">#REF!</definedName>
    <definedName name="div" localSheetId="5">#REF!</definedName>
    <definedName name="DJD" localSheetId="22">#REF!</definedName>
    <definedName name="DJD" localSheetId="5">#REF!</definedName>
    <definedName name="DJD" localSheetId="6">#REF!</definedName>
    <definedName name="DJD" localSheetId="12">#REF!</definedName>
    <definedName name="DJD" localSheetId="34">#REF!</definedName>
    <definedName name="DJD" localSheetId="19">#REF!</definedName>
    <definedName name="DJD" localSheetId="30">#REF!</definedName>
    <definedName name="DJD" localSheetId="40">#REF!</definedName>
    <definedName name="DJD" localSheetId="26">#REF!</definedName>
    <definedName name="DJD">#REF!</definedName>
    <definedName name="DJD_23">"$#REF!.$#REF!$#REF!:$#REF!$#REF!"</definedName>
    <definedName name="DJD_33">"$#REF!.$#REF!$#REF!"</definedName>
    <definedName name="DJD_34">"$#REF!.$#REF!$#REF!"</definedName>
    <definedName name="DJD_38">"$#REF!.$#REF!$#REF!:$#REF!$#REF!"</definedName>
    <definedName name="DJD_41">"$#REF!.$#REF!$#REF!:$#REF!$#REF!"</definedName>
    <definedName name="DJD_43">"$#REF!.$#REF!$#REF!:$#REF!$#REF!"</definedName>
    <definedName name="DJD_48">"$#REF!.$#REF!$#REF!:$#REF!$#REF!"</definedName>
    <definedName name="DJD_57">"$#REF!.$#REF!$#REF!:$#REF!$#REF!"</definedName>
    <definedName name="DJD_59">"$#REF!.$#REF!$#REF!:$#REF!$#REF!"</definedName>
    <definedName name="DJD_60">"$#REF!.$#REF!$#REF!:$#REF!$#REF!"</definedName>
    <definedName name="DJD_61">"$#REF!.$#REF!$#REF!:$#REF!$#REF!"</definedName>
    <definedName name="DJD_62">"$#REF!.$#REF!$#REF!:$#REF!$#REF!"</definedName>
    <definedName name="DJD_7">"$#REF!.$#REF!$#REF!:$#REF!$#REF!"</definedName>
    <definedName name="DJD_72">"$#REF!.$#REF!$#REF!:$#REF!$#REF!"</definedName>
    <definedName name="DJD_73">"$#REF!.$#REF!$#REF!:$#REF!$#REF!"</definedName>
    <definedName name="DJD_8">"$#REF!.$#REF!$#REF!:$#REF!$#REF!"</definedName>
    <definedName name="DL" localSheetId="22">#REF!</definedName>
    <definedName name="DLBL" localSheetId="14">#REF!</definedName>
    <definedName name="DLBL" localSheetId="6">#REF!</definedName>
    <definedName name="DLBL" localSheetId="12">#REF!</definedName>
    <definedName name="DLBL" localSheetId="19">#REF!</definedName>
    <definedName name="DLBL">#REF!</definedName>
    <definedName name="DMAX" localSheetId="14">#REF!</definedName>
    <definedName name="DMAX" localSheetId="6">#REF!</definedName>
    <definedName name="DMAX" localSheetId="12">#REF!</definedName>
    <definedName name="DMAX" localSheetId="19">#REF!</definedName>
    <definedName name="DMAX">#REF!</definedName>
    <definedName name="Dname" localSheetId="22">#REF!</definedName>
    <definedName name="Dname" localSheetId="5">#REF!</definedName>
    <definedName name="Dname" localSheetId="6">#REF!</definedName>
    <definedName name="Dname" localSheetId="12">#REF!</definedName>
    <definedName name="Dname" localSheetId="34">#REF!</definedName>
    <definedName name="Dname" localSheetId="19">#REF!</definedName>
    <definedName name="Dname" localSheetId="30">#REF!</definedName>
    <definedName name="Dname" localSheetId="40">#REF!</definedName>
    <definedName name="Dname" localSheetId="26">#REF!</definedName>
    <definedName name="Dname">#REF!</definedName>
    <definedName name="don" localSheetId="6">#REF!</definedName>
    <definedName name="don" localSheetId="12">#REF!</definedName>
    <definedName name="don" localSheetId="19">#REF!</definedName>
    <definedName name="don">#REF!</definedName>
    <definedName name="done" localSheetId="6">#REF!</definedName>
    <definedName name="done" localSheetId="12">#REF!</definedName>
    <definedName name="done" localSheetId="19">#REF!</definedName>
    <definedName name="done">#REF!</definedName>
    <definedName name="door_one_m" localSheetId="6">#REF!</definedName>
    <definedName name="door_one_m" localSheetId="12">#REF!</definedName>
    <definedName name="door_one_m" localSheetId="34">#REF!</definedName>
    <definedName name="door_one_m" localSheetId="19">#REF!</definedName>
    <definedName name="door_one_m">#REF!</definedName>
    <definedName name="door_toilet" localSheetId="6">#REF!</definedName>
    <definedName name="door_toilet" localSheetId="12">#REF!</definedName>
    <definedName name="door_toilet" localSheetId="34">#REF!</definedName>
    <definedName name="door_toilet" localSheetId="19">#REF!</definedName>
    <definedName name="door_toilet">#REF!</definedName>
    <definedName name="DPP" localSheetId="5">#REF!</definedName>
    <definedName name="DPP" localSheetId="6">#REF!</definedName>
    <definedName name="DPP" localSheetId="12">#REF!</definedName>
    <definedName name="DPP" localSheetId="19">#REF!</definedName>
    <definedName name="DPP" localSheetId="30">#REF!</definedName>
    <definedName name="DPP">#REF!</definedName>
    <definedName name="DR" localSheetId="14">#REF!</definedName>
    <definedName name="DR" localSheetId="6">#REF!</definedName>
    <definedName name="DR" localSheetId="12">#REF!</definedName>
    <definedName name="DR" localSheetId="19">#REF!</definedName>
    <definedName name="DR">#REF!</definedName>
    <definedName name="drain" localSheetId="22">#REF!</definedName>
    <definedName name="drain" localSheetId="5">#REF!</definedName>
    <definedName name="drain" localSheetId="6">#REF!</definedName>
    <definedName name="drain" localSheetId="12">#REF!</definedName>
    <definedName name="drain" localSheetId="34">#REF!</definedName>
    <definedName name="drain" localSheetId="19">#REF!</definedName>
    <definedName name="drain" localSheetId="30">#REF!</definedName>
    <definedName name="drain" localSheetId="40">#REF!</definedName>
    <definedName name="drain" localSheetId="26">#REF!</definedName>
    <definedName name="drain">#REF!</definedName>
    <definedName name="dreq" localSheetId="6">#REF!</definedName>
    <definedName name="dreq" localSheetId="12">#REF!</definedName>
    <definedName name="dreq" localSheetId="34">#REF!</definedName>
    <definedName name="dreq" localSheetId="19">#REF!</definedName>
    <definedName name="dreq">#REF!</definedName>
    <definedName name="drgfuj" localSheetId="6">#REF!</definedName>
    <definedName name="drgfuj" localSheetId="12">#REF!</definedName>
    <definedName name="drgfuj" localSheetId="19">#REF!</definedName>
    <definedName name="drgfuj" localSheetId="30">#REF!</definedName>
    <definedName name="drgfuj">#REF!</definedName>
    <definedName name="DRL" localSheetId="6">#REF!</definedName>
    <definedName name="DRL" localSheetId="12">#REF!</definedName>
    <definedName name="DRL" localSheetId="19">#REF!</definedName>
    <definedName name="DRL">#REF!</definedName>
    <definedName name="DRR" localSheetId="6">#REF!</definedName>
    <definedName name="DRR" localSheetId="12">#REF!</definedName>
    <definedName name="DRR" localSheetId="19">#REF!</definedName>
    <definedName name="DRR">#REF!</definedName>
    <definedName name="drr_hire">#REF!</definedName>
    <definedName name="DRY_ROLLING" localSheetId="5">#REF!</definedName>
    <definedName name="DRY_ROLLING" localSheetId="6">#REF!</definedName>
    <definedName name="DRY_ROLLING" localSheetId="12">#REF!</definedName>
    <definedName name="DRY_ROLLING" localSheetId="34">#REF!</definedName>
    <definedName name="DRY_ROLLING" localSheetId="19">#REF!</definedName>
    <definedName name="DRY_ROLLING" localSheetId="30">#REF!</definedName>
    <definedName name="DRY_ROLLING">#REF!</definedName>
    <definedName name="dryrolling">#REF!</definedName>
    <definedName name="ds" localSheetId="5">#REF!</definedName>
    <definedName name="ds" localSheetId="6">#REF!</definedName>
    <definedName name="ds" localSheetId="12">#REF!</definedName>
    <definedName name="ds" localSheetId="34">#REF!</definedName>
    <definedName name="ds" localSheetId="19">#REF!</definedName>
    <definedName name="ds" localSheetId="30">#REF!</definedName>
    <definedName name="ds">#REF!</definedName>
    <definedName name="dsd" localSheetId="6">#REF!</definedName>
    <definedName name="dsd" localSheetId="12">#REF!</definedName>
    <definedName name="dsd" localSheetId="34">#REF!</definedName>
    <definedName name="dsd" localSheetId="19">#REF!</definedName>
    <definedName name="dsd">#REF!</definedName>
    <definedName name="dsdsww">#REF!</definedName>
    <definedName name="dsg" localSheetId="19">#REF!</definedName>
    <definedName name="DSM" localSheetId="14">#REF!</definedName>
    <definedName name="DSM" localSheetId="6">#REF!</definedName>
    <definedName name="DSM" localSheetId="12">#REF!</definedName>
    <definedName name="DSM" localSheetId="19">#REF!</definedName>
    <definedName name="DSM">#REF!</definedName>
    <definedName name="dt" localSheetId="22">#REF!</definedName>
    <definedName name="dt" localSheetId="5">#REF!</definedName>
    <definedName name="dt" localSheetId="6">#REF!</definedName>
    <definedName name="dt" localSheetId="12">#REF!</definedName>
    <definedName name="dt" localSheetId="34">#REF!</definedName>
    <definedName name="dt" localSheetId="19">#REF!</definedName>
    <definedName name="dt" localSheetId="30">#REF!</definedName>
    <definedName name="dt" localSheetId="40">#REF!</definedName>
    <definedName name="dt" localSheetId="26">#REF!</definedName>
    <definedName name="dt">#REF!</definedName>
    <definedName name="dt_23">"$#REF!.$#REF!$#REF!:$#REF!$#REF!"</definedName>
    <definedName name="dt_33">"$#REF!.$#REF!$#REF!"</definedName>
    <definedName name="dt_34">"$#REF!.$#REF!$#REF!"</definedName>
    <definedName name="dt_38">"$#REF!.$#REF!$#REF!:$#REF!$#REF!"</definedName>
    <definedName name="dt_41">"$#REF!.$#REF!$#REF!:$#REF!$#REF!"</definedName>
    <definedName name="dt_43">"$#REF!.$#REF!$#REF!:$#REF!$#REF!"</definedName>
    <definedName name="dt_48">"$#REF!.$#REF!$#REF!:$#REF!$#REF!"</definedName>
    <definedName name="dt_55">"$#REF!.$#REF!$#REF!:$#REF!$#REF!"</definedName>
    <definedName name="dt_57">"$#REF!.$#REF!$#REF!:$#REF!$#REF!"</definedName>
    <definedName name="dt_59">"$#REF!.$#REF!$#REF!:$#REF!$#REF!"</definedName>
    <definedName name="dt_60">"$#REF!.$#REF!$#REF!:$#REF!$#REF!"</definedName>
    <definedName name="dt_61">"$#REF!.$#REF!$#REF!:$#REF!$#REF!"</definedName>
    <definedName name="dt_62">"$#REF!.$#REF!$#REF!:$#REF!$#REF!"</definedName>
    <definedName name="dt_7">"$#REF!.$#REF!$#REF!:$#REF!$#REF!"</definedName>
    <definedName name="dt_72">"$#REF!.$#REF!$#REF!:$#REF!$#REF!"</definedName>
    <definedName name="dt_73">"$#REF!.$#REF!$#REF!:$#REF!$#REF!"</definedName>
    <definedName name="dt_8">"$#REF!.$#REF!$#REF!:$#REF!$#REF!"</definedName>
    <definedName name="dtrb" localSheetId="6">#REF!</definedName>
    <definedName name="dtrb" localSheetId="12">#REF!</definedName>
    <definedName name="dtrb" localSheetId="34">#REF!</definedName>
    <definedName name="dtrb" localSheetId="19">#REF!</definedName>
    <definedName name="dtrb">#REF!</definedName>
    <definedName name="dtt">#REF!</definedName>
    <definedName name="dust" localSheetId="5">#REF!</definedName>
    <definedName name="dust" localSheetId="6">#REF!</definedName>
    <definedName name="dust" localSheetId="12">#REF!</definedName>
    <definedName name="dust" localSheetId="34">#REF!</definedName>
    <definedName name="dust" localSheetId="19">#REF!</definedName>
    <definedName name="dust" localSheetId="30">#REF!</definedName>
    <definedName name="dust">#REF!</definedName>
    <definedName name="dust_33">"$#REF!.$#REF!$#REF!"</definedName>
    <definedName name="dw" localSheetId="6">#REF!</definedName>
    <definedName name="dw" localSheetId="12">#REF!</definedName>
    <definedName name="dw" localSheetId="34">#REF!</definedName>
    <definedName name="dw" localSheetId="19">#REF!</definedName>
    <definedName name="dw">#REF!</definedName>
    <definedName name="dx" localSheetId="6">#REF!</definedName>
    <definedName name="dx" localSheetId="12">#REF!</definedName>
    <definedName name="dx" localSheetId="34">#REF!</definedName>
    <definedName name="dx" localSheetId="19">#REF!</definedName>
    <definedName name="dx">#REF!</definedName>
    <definedName name="dxc">#REF!</definedName>
    <definedName name="E" localSheetId="27" hidden="1">{"'ridftotal'!$A$4:$S$27"}</definedName>
    <definedName name="E" localSheetId="22" hidden="1">{"'ridftotal'!$A$4:$S$27"}</definedName>
    <definedName name="E" localSheetId="14" hidden="1">{"'ridftotal'!$A$4:$S$27"}</definedName>
    <definedName name="E" localSheetId="34" hidden="1">{"'ridftotal'!$A$4:$S$27"}</definedName>
    <definedName name="E" localSheetId="21" hidden="1">{"'ridftotal'!$A$4:$S$27"}</definedName>
    <definedName name="E" localSheetId="19" hidden="1">{"'ridftotal'!$A$4:$S$27"}</definedName>
    <definedName name="E" localSheetId="32" hidden="1">{"'ridftotal'!$A$4:$S$27"}</definedName>
    <definedName name="E" localSheetId="30" hidden="1">{"'ridftotal'!$A$4:$S$27"}</definedName>
    <definedName name="E" localSheetId="11" hidden="1">{"'ridftotal'!$A$4:$S$27"}</definedName>
    <definedName name="E" localSheetId="3" hidden="1">{"'ridftotal'!$A$4:$S$27"}</definedName>
    <definedName name="E" hidden="1">{"'ridftotal'!$A$4:$S$27"}</definedName>
    <definedName name="E_W_CARTED_FMC" localSheetId="5">#REF!</definedName>
    <definedName name="E_W_CARTED_FMC" localSheetId="6">#REF!</definedName>
    <definedName name="E_W_CARTED_FMC" localSheetId="12">#REF!</definedName>
    <definedName name="E_W_CARTED_FMC" localSheetId="34">#REF!</definedName>
    <definedName name="E_W_CARTED_FMC" localSheetId="19">#REF!</definedName>
    <definedName name="E_W_CARTED_FMC" localSheetId="30">#REF!</definedName>
    <definedName name="E_W_CARTED_FMC">#REF!</definedName>
    <definedName name="E_W_SIDE">#N/A</definedName>
    <definedName name="E_W_SIDE_FMC_NO" localSheetId="5">#REF!</definedName>
    <definedName name="E_W_SIDE_FMC_NO" localSheetId="6">#REF!</definedName>
    <definedName name="E_W_SIDE_FMC_NO" localSheetId="12">#REF!</definedName>
    <definedName name="E_W_SIDE_FMC_NO" localSheetId="34">#REF!</definedName>
    <definedName name="E_W_SIDE_FMC_NO" localSheetId="19">#REF!</definedName>
    <definedName name="E_W_SIDE_FMC_NO" localSheetId="30">#REF!</definedName>
    <definedName name="E_W_SIDE_FMC_NO">#REF!</definedName>
    <definedName name="E_W_SIDE_FMC_PR" localSheetId="5">#REF!</definedName>
    <definedName name="E_W_SIDE_FMC_PR" localSheetId="6">#REF!</definedName>
    <definedName name="E_W_SIDE_FMC_PR" localSheetId="12">#REF!</definedName>
    <definedName name="E_W_SIDE_FMC_PR" localSheetId="34">#REF!</definedName>
    <definedName name="E_W_SIDE_FMC_PR" localSheetId="19">#REF!</definedName>
    <definedName name="E_W_SIDE_FMC_PR" localSheetId="30">#REF!</definedName>
    <definedName name="E_W_SIDE_FMC_PR">#REF!</definedName>
    <definedName name="E_W_SIDE_OMC" localSheetId="5">#REF!</definedName>
    <definedName name="E_W_SIDE_OMC" localSheetId="6">#REF!</definedName>
    <definedName name="E_W_SIDE_OMC" localSheetId="12">#REF!</definedName>
    <definedName name="E_W_SIDE_OMC" localSheetId="34">#REF!</definedName>
    <definedName name="E_W_SIDE_OMC" localSheetId="19">#REF!</definedName>
    <definedName name="E_W_SIDE_OMC" localSheetId="30">#REF!</definedName>
    <definedName name="E_W_SIDE_OMC">#REF!</definedName>
    <definedName name="EAI" localSheetId="6">#REF!</definedName>
    <definedName name="EAI" localSheetId="12">#REF!</definedName>
    <definedName name="EAI" localSheetId="19">#REF!</definedName>
    <definedName name="EAI">#REF!</definedName>
    <definedName name="earth_lead" localSheetId="19">#REF!</definedName>
    <definedName name="earth_omc" localSheetId="19">#REF!</definedName>
    <definedName name="earth_rate" localSheetId="27">#REF!</definedName>
    <definedName name="earth_rate">#REF!</definedName>
    <definedName name="EarthShoulders" localSheetId="19">#REF!</definedName>
    <definedName name="ed" localSheetId="6">#REF!</definedName>
    <definedName name="ed" localSheetId="12">#REF!</definedName>
    <definedName name="ed" localSheetId="34">#REF!</definedName>
    <definedName name="ed" localSheetId="19">#REF!</definedName>
    <definedName name="ed">#REF!</definedName>
    <definedName name="edswi" localSheetId="6">#REF!</definedName>
    <definedName name="edswi" localSheetId="12">#REF!</definedName>
    <definedName name="edswi" localSheetId="34">#REF!</definedName>
    <definedName name="edswi" localSheetId="19">#REF!</definedName>
    <definedName name="edswi">#REF!</definedName>
    <definedName name="EE" localSheetId="22">#REF!</definedName>
    <definedName name="ee_33">#N/A</definedName>
    <definedName name="ee_34">#N/A</definedName>
    <definedName name="eee" localSheetId="5">#REF!</definedName>
    <definedName name="eee" localSheetId="6">#REF!</definedName>
    <definedName name="eee" localSheetId="12">#REF!</definedName>
    <definedName name="eee" localSheetId="34">#REF!</definedName>
    <definedName name="eee" localSheetId="19">#REF!</definedName>
    <definedName name="eee" localSheetId="30">#REF!</definedName>
    <definedName name="eee">#REF!</definedName>
    <definedName name="eee_33">"$#REF!.$#REF!$#REF!:$#REF!$#REF!"</definedName>
    <definedName name="eeee" localSheetId="6">#REF!</definedName>
    <definedName name="eeee" localSheetId="12">#REF!</definedName>
    <definedName name="eeee" localSheetId="19">#REF!</definedName>
    <definedName name="eeee">#REF!</definedName>
    <definedName name="eerws" localSheetId="22">#REF!</definedName>
    <definedName name="eerws" localSheetId="5">#REF!</definedName>
    <definedName name="eerws" localSheetId="6">#REF!</definedName>
    <definedName name="eerws" localSheetId="12">#REF!</definedName>
    <definedName name="eerws" localSheetId="34">#REF!</definedName>
    <definedName name="eerws" localSheetId="19">#REF!</definedName>
    <definedName name="eerws" localSheetId="30">#REF!</definedName>
    <definedName name="eerws" localSheetId="40">#REF!</definedName>
    <definedName name="eerws" localSheetId="26">#REF!</definedName>
    <definedName name="eerws">#REF!</definedName>
    <definedName name="ei" localSheetId="19">#REF!</definedName>
    <definedName name="ei">#REF!</definedName>
    <definedName name="EII" localSheetId="14">#REF!</definedName>
    <definedName name="EII" localSheetId="6">#REF!</definedName>
    <definedName name="EII" localSheetId="12">#REF!</definedName>
    <definedName name="EII" localSheetId="19">#REF!</definedName>
    <definedName name="EII">#REF!</definedName>
    <definedName name="EIII" localSheetId="14">#REF!</definedName>
    <definedName name="EIII" localSheetId="6">#REF!</definedName>
    <definedName name="EIII" localSheetId="12">#REF!</definedName>
    <definedName name="EIII" localSheetId="19">#REF!</definedName>
    <definedName name="EIII">#REF!</definedName>
    <definedName name="EIV" localSheetId="14">#REF!</definedName>
    <definedName name="EIV" localSheetId="6">#REF!</definedName>
    <definedName name="EIV" localSheetId="12">#REF!</definedName>
    <definedName name="EIV" localSheetId="19">#REF!</definedName>
    <definedName name="EIV">#REF!</definedName>
    <definedName name="elg" localSheetId="19">#REF!</definedName>
    <definedName name="Email" localSheetId="22">#REF!</definedName>
    <definedName name="Email" localSheetId="5">#REF!</definedName>
    <definedName name="Email" localSheetId="6">#REF!</definedName>
    <definedName name="Email" localSheetId="12">#REF!</definedName>
    <definedName name="Email" localSheetId="34">#REF!</definedName>
    <definedName name="Email" localSheetId="19">#REF!</definedName>
    <definedName name="Email" localSheetId="30">#REF!</definedName>
    <definedName name="Email" localSheetId="40">#REF!</definedName>
    <definedName name="Email" localSheetId="26">#REF!</definedName>
    <definedName name="Email">#REF!</definedName>
    <definedName name="Emulsion_RS1" localSheetId="19">#REF!</definedName>
    <definedName name="Emulsion_SS1">#REF!</definedName>
    <definedName name="Emultion_SS" localSheetId="14">lead!$J$41</definedName>
    <definedName name="Emultion_SS">lead!$J$41</definedName>
    <definedName name="Emution_RS" localSheetId="14">lead!$J$42</definedName>
    <definedName name="Emution_RS">lead!$J$42</definedName>
    <definedName name="enamel_door_paint" localSheetId="6">#REF!</definedName>
    <definedName name="enamel_door_paint" localSheetId="12">#REF!</definedName>
    <definedName name="enamel_door_paint" localSheetId="34">#REF!</definedName>
    <definedName name="enamel_door_paint" localSheetId="19">#REF!</definedName>
    <definedName name="enamel_door_paint">#REF!</definedName>
    <definedName name="enamel_grill_paint" localSheetId="6">#REF!</definedName>
    <definedName name="enamel_grill_paint" localSheetId="12">#REF!</definedName>
    <definedName name="enamel_grill_paint" localSheetId="34">#REF!</definedName>
    <definedName name="enamel_grill_paint" localSheetId="19">#REF!</definedName>
    <definedName name="enamel_grill_paint">#REF!</definedName>
    <definedName name="er" localSheetId="19">#REF!</definedName>
    <definedName name="ere" hidden="1">{"'ridftotal'!$A$4:$S$27"}</definedName>
    <definedName name="ERERE">#REF!</definedName>
    <definedName name="EREREJJJ">#REF!</definedName>
    <definedName name="ertsret">#REF!</definedName>
    <definedName name="es" localSheetId="19">#REF!</definedName>
    <definedName name="ESP" localSheetId="14">#REF!</definedName>
    <definedName name="ESP" localSheetId="6">#REF!</definedName>
    <definedName name="ESP" localSheetId="12">#REF!</definedName>
    <definedName name="ESP" localSheetId="19">#REF!</definedName>
    <definedName name="ESP">#REF!</definedName>
    <definedName name="EST">#REF!</definedName>
    <definedName name="ESTT" localSheetId="6">#REF!</definedName>
    <definedName name="ESTT" localSheetId="12">#REF!</definedName>
    <definedName name="ESTT" localSheetId="19">#REF!</definedName>
    <definedName name="ESTT">#REF!</definedName>
    <definedName name="EW_Carting1Km." localSheetId="19">#REF!</definedName>
    <definedName name="EW_SideEarth" localSheetId="19">#REF!</definedName>
    <definedName name="EW_SP">#REF!</definedName>
    <definedName name="EWC" localSheetId="6">#REF!</definedName>
    <definedName name="EWC" localSheetId="12">#REF!</definedName>
    <definedName name="EWC" localSheetId="19">#REF!</definedName>
    <definedName name="EWC">#REF!</definedName>
    <definedName name="EWCONVEYANCE" localSheetId="6">#REF!</definedName>
    <definedName name="EWCONVEYANCE" localSheetId="12">#REF!</definedName>
    <definedName name="EWCONVEYANCE" localSheetId="34">#REF!</definedName>
    <definedName name="EWCONVEYANCE" localSheetId="19">#REF!</definedName>
    <definedName name="EWCONVEYANCE">#REF!</definedName>
    <definedName name="ewe" localSheetId="5">#REF!</definedName>
    <definedName name="ewe" localSheetId="6">#REF!</definedName>
    <definedName name="ewe" localSheetId="12">#REF!</definedName>
    <definedName name="ewe" localSheetId="34">#REF!</definedName>
    <definedName name="ewe" localSheetId="19">#REF!</definedName>
    <definedName name="ewe" localSheetId="30">#REF!</definedName>
    <definedName name="ewe">#REF!</definedName>
    <definedName name="EWW" localSheetId="6">#REF!</definedName>
    <definedName name="EWW" localSheetId="12">#REF!</definedName>
    <definedName name="EWW" localSheetId="19">#REF!</definedName>
    <definedName name="EWW">#REF!</definedName>
    <definedName name="excavation" localSheetId="6">#REF!</definedName>
    <definedName name="excavation" localSheetId="12">#REF!</definedName>
    <definedName name="excavation" localSheetId="34">#REF!</definedName>
    <definedName name="excavation" localSheetId="19">#REF!</definedName>
    <definedName name="excavation">#REF!</definedName>
    <definedName name="Excel_BuiltIn__FilterDatabase_5" localSheetId="22">#REF!</definedName>
    <definedName name="Excel_BuiltIn__FilterDatabase_5" localSheetId="5">#REF!</definedName>
    <definedName name="Excel_BuiltIn__FilterDatabase_5" localSheetId="6">#REF!</definedName>
    <definedName name="Excel_BuiltIn__FilterDatabase_5" localSheetId="12">#REF!</definedName>
    <definedName name="Excel_BuiltIn__FilterDatabase_5" localSheetId="34">#REF!</definedName>
    <definedName name="Excel_BuiltIn__FilterDatabase_5" localSheetId="19">#REF!</definedName>
    <definedName name="Excel_BuiltIn__FilterDatabase_5" localSheetId="30">#REF!</definedName>
    <definedName name="Excel_BuiltIn__FilterDatabase_5" localSheetId="40">#REF!</definedName>
    <definedName name="Excel_BuiltIn__FilterDatabase_5" localSheetId="26">#REF!</definedName>
    <definedName name="Excel_BuiltIn__FilterDatabase_5">#REF!</definedName>
    <definedName name="Excel_BuiltIn__FilterDatabase_6" localSheetId="22">#REF!</definedName>
    <definedName name="Excel_BuiltIn__FilterDatabase_6" localSheetId="5">#REF!</definedName>
    <definedName name="Excel_BuiltIn__FilterDatabase_6" localSheetId="6">#REF!</definedName>
    <definedName name="Excel_BuiltIn__FilterDatabase_6" localSheetId="12">#REF!</definedName>
    <definedName name="Excel_BuiltIn__FilterDatabase_6" localSheetId="34">#REF!</definedName>
    <definedName name="Excel_BuiltIn__FilterDatabase_6" localSheetId="19">#REF!</definedName>
    <definedName name="Excel_BuiltIn__FilterDatabase_6" localSheetId="30">#REF!</definedName>
    <definedName name="Excel_BuiltIn__FilterDatabase_6" localSheetId="40">#REF!</definedName>
    <definedName name="Excel_BuiltIn__FilterDatabase_6" localSheetId="26">#REF!</definedName>
    <definedName name="Excel_BuiltIn__FilterDatabase_6">#REF!</definedName>
    <definedName name="Excel_BuiltIn_Database">#N/A</definedName>
    <definedName name="Excel_BuiltIn_Database_23">"$#REF!.$#REF!$#REF!"</definedName>
    <definedName name="Excel_BuiltIn_Database_32">"$#REF!.$#REF!$#REF!"</definedName>
    <definedName name="Excel_BuiltIn_Database_33">"$#REF!.$#REF!$#REF!"</definedName>
    <definedName name="Excel_BuiltIn_Database_34">"$#REF!.$#REF!$#REF!"</definedName>
    <definedName name="Excel_BuiltIn_Database_38">"$#REF!.$#REF!$#REF!"</definedName>
    <definedName name="Excel_BuiltIn_Database_41">"$#REF!.$#REF!$#REF!"</definedName>
    <definedName name="Excel_BuiltIn_Database_43">"$#REF!.$#REF!$#REF!"</definedName>
    <definedName name="Excel_BuiltIn_Database_48">"$#REF!.$#REF!$#REF!"</definedName>
    <definedName name="Excel_BuiltIn_Database_56">"$#REF!.$#REF!$#REF!"</definedName>
    <definedName name="Excel_BuiltIn_Database_57">"$#REF!.$#REF!$#REF!"</definedName>
    <definedName name="Excel_BuiltIn_Database_59">"$#REF!.$#REF!$#REF!"</definedName>
    <definedName name="Excel_BuiltIn_Database_60">"$#REF!.$#REF!$#REF!"</definedName>
    <definedName name="Excel_BuiltIn_Database_61">"$#REF!.$#REF!$#REF!"</definedName>
    <definedName name="Excel_BuiltIn_Database_62">"$#REF!.$#REF!$#REF!"</definedName>
    <definedName name="Excel_BuiltIn_Database_7">"$#REF!.$#REF!$#REF!"</definedName>
    <definedName name="Excel_BuiltIn_Database_72">"$#REF!.$#REF!$#REF!"</definedName>
    <definedName name="Excel_BuiltIn_Database_73">"$#REF!.$#REF!$#REF!"</definedName>
    <definedName name="Excel_BuiltIn_Database_8">"$#REF!.$#REF!$#REF!"</definedName>
    <definedName name="Excel_BuiltIn_Print_Area" localSheetId="27">#REF!</definedName>
    <definedName name="Excel_BuiltIn_Print_Area">#REF!</definedName>
    <definedName name="Excel_BuiltIn_Print_Area_33">"$#REF!.$#REF!$#REF!"</definedName>
    <definedName name="Excel_BuiltIn_Print_Titles">NA()</definedName>
    <definedName name="Excel_BuiltIn_Print_Titles_35" localSheetId="27">#REF!</definedName>
    <definedName name="Excel_BuiltIn_Print_Titles_35">#REF!</definedName>
    <definedName name="Excel_BuiltIn_Print_Titles_40" localSheetId="27">#REF!</definedName>
    <definedName name="Excel_BuiltIn_Print_Titles_40">#REF!</definedName>
    <definedName name="Excel_BuiltIn_Print_Titles_58" localSheetId="27">#REF!</definedName>
    <definedName name="Excel_BuiltIn_Print_Titles_58">#REF!</definedName>
    <definedName name="Excel_BuiltIn_Print_Titles_59">#REF!</definedName>
    <definedName name="f" localSheetId="22">#REF!</definedName>
    <definedName name="f" localSheetId="5">#REF!</definedName>
    <definedName name="f" localSheetId="6">#REF!</definedName>
    <definedName name="f" localSheetId="12">#REF!</definedName>
    <definedName name="f" localSheetId="34">#REF!</definedName>
    <definedName name="f" localSheetId="19">#REF!</definedName>
    <definedName name="f" localSheetId="30">#REF!</definedName>
    <definedName name="f" localSheetId="40">#REF!</definedName>
    <definedName name="f" localSheetId="26">#REF!</definedName>
    <definedName name="f">#REF!</definedName>
    <definedName name="f_33">"$#REF!.$#REF!$#REF!"</definedName>
    <definedName name="f_34">"$#REF!.$#REF!$#REF!"</definedName>
    <definedName name="f_55">"$#REF!.$D$545"</definedName>
    <definedName name="F2a" localSheetId="6">#REF!</definedName>
    <definedName name="F2a" localSheetId="12">#REF!</definedName>
    <definedName name="F2a" localSheetId="19">#REF!</definedName>
    <definedName name="F2a">#REF!</definedName>
    <definedName name="fabchr" localSheetId="6">#REF!</definedName>
    <definedName name="fabchr" localSheetId="12">#REF!</definedName>
    <definedName name="fabchr" localSheetId="34">#REF!</definedName>
    <definedName name="fabchr" localSheetId="19">#REF!</definedName>
    <definedName name="fabchr">#REF!</definedName>
    <definedName name="fabrication">#REF!</definedName>
    <definedName name="Fax" localSheetId="22">#REF!</definedName>
    <definedName name="Fax" localSheetId="5">#REF!</definedName>
    <definedName name="Fax" localSheetId="6">#REF!</definedName>
    <definedName name="Fax" localSheetId="12">#REF!</definedName>
    <definedName name="Fax" localSheetId="34">#REF!</definedName>
    <definedName name="Fax" localSheetId="19">#REF!</definedName>
    <definedName name="Fax" localSheetId="30">#REF!</definedName>
    <definedName name="Fax" localSheetId="40">#REF!</definedName>
    <definedName name="Fax" localSheetId="26">#REF!</definedName>
    <definedName name="Fax">#REF!</definedName>
    <definedName name="fb" localSheetId="6">#REF!</definedName>
    <definedName name="fb" localSheetId="12">#REF!</definedName>
    <definedName name="fb" localSheetId="34">#REF!</definedName>
    <definedName name="fb" localSheetId="19">#REF!</definedName>
    <definedName name="fb">#REF!</definedName>
    <definedName name="fbl">#REF!</definedName>
    <definedName name="FC" localSheetId="6">#REF!</definedName>
    <definedName name="FC" localSheetId="12">#REF!</definedName>
    <definedName name="FC" localSheetId="19">#REF!</definedName>
    <definedName name="FC">#REF!</definedName>
    <definedName name="fck">#REF!</definedName>
    <definedName name="FCode" localSheetId="22" hidden="1">#REF!</definedName>
    <definedName name="FCode" localSheetId="5" hidden="1">#REF!</definedName>
    <definedName name="FCode" localSheetId="42" hidden="1">#REF!</definedName>
    <definedName name="FCode" localSheetId="6" hidden="1">#REF!</definedName>
    <definedName name="FCode" localSheetId="12" hidden="1">#REF!</definedName>
    <definedName name="FCode" localSheetId="34" hidden="1">#REF!</definedName>
    <definedName name="FCode" localSheetId="28" hidden="1">#REF!</definedName>
    <definedName name="FCode" localSheetId="36" hidden="1">#REF!</definedName>
    <definedName name="FCode" localSheetId="19" hidden="1">#REF!</definedName>
    <definedName name="FCode" localSheetId="32" hidden="1">#REF!</definedName>
    <definedName name="FCode" localSheetId="30" hidden="1">#REF!</definedName>
    <definedName name="FCode" localSheetId="37" hidden="1">#REF!</definedName>
    <definedName name="FCode" localSheetId="40" hidden="1">#REF!</definedName>
    <definedName name="FCode" localSheetId="26" hidden="1">#REF!</definedName>
    <definedName name="FCode" localSheetId="11" hidden="1">#REF!</definedName>
    <definedName name="FCode" localSheetId="3" hidden="1">#REF!</definedName>
    <definedName name="FCode" hidden="1">#REF!</definedName>
    <definedName name="fdh" localSheetId="19">#REF!</definedName>
    <definedName name="ff" localSheetId="6">#REF!</definedName>
    <definedName name="ff" localSheetId="12">#REF!</definedName>
    <definedName name="ff" localSheetId="19">#REF!</definedName>
    <definedName name="ff">#REF!</definedName>
    <definedName name="fff" localSheetId="6">#REF!</definedName>
    <definedName name="fff" localSheetId="12">#REF!</definedName>
    <definedName name="fff" localSheetId="19">#REF!</definedName>
    <definedName name="fff">#REF!</definedName>
    <definedName name="ffff" localSheetId="6">#REF!</definedName>
    <definedName name="ffff" localSheetId="12">#REF!</definedName>
    <definedName name="ffff" localSheetId="19">#REF!</definedName>
    <definedName name="ffff">#REF!</definedName>
    <definedName name="fffff" localSheetId="19">#REF!</definedName>
    <definedName name="ffffffff" localSheetId="6">#REF!</definedName>
    <definedName name="ffffffff" localSheetId="12">#REF!</definedName>
    <definedName name="ffffffff" localSheetId="19">#REF!</definedName>
    <definedName name="ffffffff">#REF!</definedName>
    <definedName name="ffffffffffffffffffffff" localSheetId="6">#REF!</definedName>
    <definedName name="ffffffffffffffffffffff" localSheetId="12">#REF!</definedName>
    <definedName name="ffffffffffffffffffffff" localSheetId="19">#REF!</definedName>
    <definedName name="ffffffffffffffffffffff">#REF!</definedName>
    <definedName name="fffffffffffffffffffffff" localSheetId="27" hidden="1">{"'ridftotal'!$A$4:$S$27"}</definedName>
    <definedName name="fffffffffffffffffffffff" localSheetId="14" hidden="1">{"'ridftotal'!$A$4:$S$27"}</definedName>
    <definedName name="fffffffffffffffffffffff" localSheetId="19" hidden="1">{"'ridftotal'!$A$4:$S$27"}</definedName>
    <definedName name="fffffffffffffffffffffff" hidden="1">{"'ridftotal'!$A$4:$S$27"}</definedName>
    <definedName name="fffffffffffffffffffffffffffffffff" localSheetId="6" hidden="1">#REF!</definedName>
    <definedName name="fffffffffffffffffffffffffffffffff" localSheetId="12" hidden="1">#REF!</definedName>
    <definedName name="fffffffffffffffffffffffffffffffff" localSheetId="19" hidden="1">#REF!</definedName>
    <definedName name="fffffffffffffffffffffffffffffffff" hidden="1">#REF!</definedName>
    <definedName name="ffffsafsafsf">#REF!</definedName>
    <definedName name="ffghf">#REF!</definedName>
    <definedName name="FGD" localSheetId="27" hidden="1">{"'ridftotal'!$A$4:$S$27"}</definedName>
    <definedName name="FGD" localSheetId="22" hidden="1">{"'ridftotal'!$A$4:$S$27"}</definedName>
    <definedName name="FGD" localSheetId="14" hidden="1">{"'ridftotal'!$A$4:$S$27"}</definedName>
    <definedName name="FGD" localSheetId="34" hidden="1">{"'ridftotal'!$A$4:$S$27"}</definedName>
    <definedName name="FGD" localSheetId="21" hidden="1">{"'ridftotal'!$A$4:$S$27"}</definedName>
    <definedName name="FGD" localSheetId="19" hidden="1">{"'ridftotal'!$A$4:$S$27"}</definedName>
    <definedName name="FGD" localSheetId="32" hidden="1">{"'ridftotal'!$A$4:$S$27"}</definedName>
    <definedName name="FGD" localSheetId="30" hidden="1">{"'ridftotal'!$A$4:$S$27"}</definedName>
    <definedName name="FGD" localSheetId="11" hidden="1">{"'ridftotal'!$A$4:$S$27"}</definedName>
    <definedName name="FGD" localSheetId="3" hidden="1">{"'ridftotal'!$A$4:$S$27"}</definedName>
    <definedName name="FGD" hidden="1">{"'ridftotal'!$A$4:$S$27"}</definedName>
    <definedName name="fgdfg">#REF!</definedName>
    <definedName name="FGHH" localSheetId="27" hidden="1">{"'ridftotal'!$A$4:$S$27"}</definedName>
    <definedName name="FGHH" localSheetId="22" hidden="1">{"'ridftotal'!$A$4:$S$27"}</definedName>
    <definedName name="FGHH" localSheetId="14" hidden="1">{"'ridftotal'!$A$4:$S$27"}</definedName>
    <definedName name="FGHH" localSheetId="34" hidden="1">{"'ridftotal'!$A$4:$S$27"}</definedName>
    <definedName name="FGHH" localSheetId="21" hidden="1">{"'ridftotal'!$A$4:$S$27"}</definedName>
    <definedName name="FGHH" localSheetId="19" hidden="1">{"'ridftotal'!$A$4:$S$27"}</definedName>
    <definedName name="FGHH" localSheetId="32" hidden="1">{"'ridftotal'!$A$4:$S$27"}</definedName>
    <definedName name="FGHH" localSheetId="30" hidden="1">{"'ridftotal'!$A$4:$S$27"}</definedName>
    <definedName name="FGHH" localSheetId="11" hidden="1">{"'ridftotal'!$A$4:$S$27"}</definedName>
    <definedName name="FGHH" localSheetId="3" hidden="1">{"'ridftotal'!$A$4:$S$27"}</definedName>
    <definedName name="FGHH" hidden="1">{"'ridftotal'!$A$4:$S$27"}</definedName>
    <definedName name="fgkhj">#REF!</definedName>
    <definedName name="fglhkohpiyohpy">#REF!</definedName>
    <definedName name="FI" localSheetId="14">#REF!</definedName>
    <definedName name="FI" localSheetId="6">#REF!</definedName>
    <definedName name="FI" localSheetId="12">#REF!</definedName>
    <definedName name="FI" localSheetId="19">#REF!</definedName>
    <definedName name="FI">#REF!</definedName>
    <definedName name="FII" localSheetId="14">#REF!</definedName>
    <definedName name="FII" localSheetId="6">#REF!</definedName>
    <definedName name="FII" localSheetId="12">#REF!</definedName>
    <definedName name="FII" localSheetId="19">#REF!</definedName>
    <definedName name="FII">#REF!</definedName>
    <definedName name="FIII" localSheetId="14">#REF!</definedName>
    <definedName name="FIII" localSheetId="6">#REF!</definedName>
    <definedName name="FIII" localSheetId="12">#REF!</definedName>
    <definedName name="FIII" localSheetId="19">#REF!</definedName>
    <definedName name="FIII">#REF!</definedName>
    <definedName name="filling_earth" localSheetId="6">#REF!</definedName>
    <definedName name="filling_earth" localSheetId="12">#REF!</definedName>
    <definedName name="filling_earth" localSheetId="34">#REF!</definedName>
    <definedName name="filling_earth" localSheetId="19">#REF!</definedName>
    <definedName name="filling_earth">#REF!</definedName>
    <definedName name="filling_gravel" localSheetId="6">#REF!</definedName>
    <definedName name="filling_gravel" localSheetId="12">#REF!</definedName>
    <definedName name="filling_gravel" localSheetId="34">#REF!</definedName>
    <definedName name="filling_gravel" localSheetId="19">#REF!</definedName>
    <definedName name="filling_gravel">#REF!</definedName>
    <definedName name="fillingsand">#REF!</definedName>
    <definedName name="FilterMedia" localSheetId="19">#REF!</definedName>
    <definedName name="fineaggregate" localSheetId="6">#REF!</definedName>
    <definedName name="fineaggregate" localSheetId="12">#REF!</definedName>
    <definedName name="fineaggregate" localSheetId="34">#REF!</definedName>
    <definedName name="fineaggregate" localSheetId="19">#REF!</definedName>
    <definedName name="fineaggregate">#REF!</definedName>
    <definedName name="finished" localSheetId="22">#REF!</definedName>
    <definedName name="finished" localSheetId="5">#REF!</definedName>
    <definedName name="finished" localSheetId="6">#REF!</definedName>
    <definedName name="finished" localSheetId="12">#REF!</definedName>
    <definedName name="finished" localSheetId="34">#REF!</definedName>
    <definedName name="finished" localSheetId="19">#REF!</definedName>
    <definedName name="finished" localSheetId="30">#REF!</definedName>
    <definedName name="finished" localSheetId="40">#REF!</definedName>
    <definedName name="finished" localSheetId="26">#REF!</definedName>
    <definedName name="finished">#REF!</definedName>
    <definedName name="finished_33">"$#REF!.$#REF!$#REF!"</definedName>
    <definedName name="finished_34">"$#REF!.$#REF!$#REF!"</definedName>
    <definedName name="FIV" localSheetId="6">#REF!</definedName>
    <definedName name="FIV" localSheetId="12">#REF!</definedName>
    <definedName name="FIV" localSheetId="19">#REF!</definedName>
    <definedName name="FIV">#REF!</definedName>
    <definedName name="fiw" localSheetId="22">#REF!</definedName>
    <definedName name="fiw" localSheetId="5">#REF!</definedName>
    <definedName name="fiw" localSheetId="6">#REF!</definedName>
    <definedName name="fiw" localSheetId="12">#REF!</definedName>
    <definedName name="fiw" localSheetId="34">#REF!</definedName>
    <definedName name="fiw" localSheetId="19">#REF!</definedName>
    <definedName name="fiw" localSheetId="30">#REF!</definedName>
    <definedName name="fiw" localSheetId="40">#REF!</definedName>
    <definedName name="fiw" localSheetId="26">#REF!</definedName>
    <definedName name="fiw">#REF!</definedName>
    <definedName name="floor_ceramic" localSheetId="6">#REF!</definedName>
    <definedName name="floor_ceramic" localSheetId="12">#REF!</definedName>
    <definedName name="floor_ceramic" localSheetId="34">#REF!</definedName>
    <definedName name="floor_ceramic" localSheetId="19">#REF!</definedName>
    <definedName name="floor_ceramic">#REF!</definedName>
    <definedName name="floor_chequered" localSheetId="6">#REF!</definedName>
    <definedName name="floor_chequered" localSheetId="12">#REF!</definedName>
    <definedName name="floor_chequered" localSheetId="34">#REF!</definedName>
    <definedName name="floor_chequered" localSheetId="19">#REF!</definedName>
    <definedName name="floor_chequered">#REF!</definedName>
    <definedName name="floor_kadapa" localSheetId="6">#REF!</definedName>
    <definedName name="floor_kadapa" localSheetId="12">#REF!</definedName>
    <definedName name="floor_kadapa" localSheetId="34">#REF!</definedName>
    <definedName name="floor_kadapa" localSheetId="19">#REF!</definedName>
    <definedName name="floor_kadapa">#REF!</definedName>
    <definedName name="floor_shahbad" localSheetId="6">#REF!</definedName>
    <definedName name="floor_shahbad" localSheetId="12">#REF!</definedName>
    <definedName name="floor_shahbad" localSheetId="34">#REF!</definedName>
    <definedName name="floor_shahbad" localSheetId="19">#REF!</definedName>
    <definedName name="floor_shahbad">#REF!</definedName>
    <definedName name="flushpointing" localSheetId="19">#REF!</definedName>
    <definedName name="fma" localSheetId="19">#REF!</definedName>
    <definedName name="fp" localSheetId="27">#REF!</definedName>
    <definedName name="fp">#REF!</definedName>
    <definedName name="fpaint" localSheetId="19">#REF!</definedName>
    <definedName name="fresh_33" localSheetId="19">#REF!</definedName>
    <definedName name="fresh_34" localSheetId="27">#REF!</definedName>
    <definedName name="fresh_34">#REF!</definedName>
    <definedName name="fryasa" localSheetId="27">#REF!</definedName>
    <definedName name="fryasa">#REF!</definedName>
    <definedName name="fsc" localSheetId="19">#REF!</definedName>
    <definedName name="fsfff">#REF!</definedName>
    <definedName name="fsfsf">#REF!</definedName>
    <definedName name="fsgh" localSheetId="19">#REF!</definedName>
    <definedName name="FV" localSheetId="14">#REF!</definedName>
    <definedName name="FV" localSheetId="6">#REF!</definedName>
    <definedName name="FV" localSheetId="12">#REF!</definedName>
    <definedName name="FV" localSheetId="19">#REF!</definedName>
    <definedName name="FV">#REF!</definedName>
    <definedName name="FW" localSheetId="22">#REF!</definedName>
    <definedName name="FW" localSheetId="5">#REF!</definedName>
    <definedName name="FW" localSheetId="6">#REF!</definedName>
    <definedName name="FW" localSheetId="12">#REF!</definedName>
    <definedName name="FW" localSheetId="34">#REF!</definedName>
    <definedName name="FW" localSheetId="19">#REF!</definedName>
    <definedName name="FW" localSheetId="30">#REF!</definedName>
    <definedName name="FW" localSheetId="40">#REF!</definedName>
    <definedName name="FW" localSheetId="26">#REF!</definedName>
    <definedName name="FW">#REF!</definedName>
    <definedName name="fytfdss">#REF!</definedName>
    <definedName name="g" localSheetId="22">#REF!</definedName>
    <definedName name="g" localSheetId="5">#REF!</definedName>
    <definedName name="g" localSheetId="6">#REF!</definedName>
    <definedName name="g" localSheetId="12">#REF!</definedName>
    <definedName name="g" localSheetId="34">#REF!</definedName>
    <definedName name="g" localSheetId="19">#REF!</definedName>
    <definedName name="g" localSheetId="30">#REF!</definedName>
    <definedName name="g" localSheetId="40">#REF!</definedName>
    <definedName name="g" localSheetId="26">#REF!</definedName>
    <definedName name="g">#REF!</definedName>
    <definedName name="g_33">"$#REF!.$#REF!$#REF!"</definedName>
    <definedName name="g_34">"$#REF!.$#REF!$#REF!"</definedName>
    <definedName name="g_56">"$#REF!.$D$545"</definedName>
    <definedName name="g_lead" localSheetId="5">#REF!</definedName>
    <definedName name="g_lead" localSheetId="6">#REF!</definedName>
    <definedName name="g_lead" localSheetId="12">#REF!</definedName>
    <definedName name="g_lead" localSheetId="19">#REF!</definedName>
    <definedName name="g_lead" localSheetId="30">#REF!</definedName>
    <definedName name="g_lead">#REF!</definedName>
    <definedName name="gdgdhdhdfhdhdhdh" localSheetId="6">#REF!</definedName>
    <definedName name="gdgdhdhdfhdhdhdh" localSheetId="12">#REF!</definedName>
    <definedName name="gdgdhdhdfhdhdhdh" localSheetId="19">#REF!</definedName>
    <definedName name="gdgdhdhdfhdhdhdh">#REF!</definedName>
    <definedName name="gggdfg">#REF!</definedName>
    <definedName name="gggg" localSheetId="6">#REF!</definedName>
    <definedName name="gggg" localSheetId="12">#REF!</definedName>
    <definedName name="gggg" localSheetId="19">#REF!</definedName>
    <definedName name="gggg">#REF!</definedName>
    <definedName name="ghggh" localSheetId="27">#REF!</definedName>
    <definedName name="ghggh">#REF!</definedName>
    <definedName name="ghghghgrt" localSheetId="27">#REF!</definedName>
    <definedName name="ghghghgrt">#REF!</definedName>
    <definedName name="GHJK" localSheetId="27" hidden="1">{"'ridftotal'!$A$4:$S$27"}</definedName>
    <definedName name="GHJK" localSheetId="22" hidden="1">{"'ridftotal'!$A$4:$S$27"}</definedName>
    <definedName name="GHJK" localSheetId="14" hidden="1">{"'ridftotal'!$A$4:$S$27"}</definedName>
    <definedName name="GHJK" localSheetId="34" hidden="1">{"'ridftotal'!$A$4:$S$27"}</definedName>
    <definedName name="GHJK" localSheetId="21" hidden="1">{"'ridftotal'!$A$4:$S$27"}</definedName>
    <definedName name="GHJK" localSheetId="19" hidden="1">{"'ridftotal'!$A$4:$S$27"}</definedName>
    <definedName name="GHJK" localSheetId="32" hidden="1">{"'ridftotal'!$A$4:$S$27"}</definedName>
    <definedName name="GHJK" localSheetId="30" hidden="1">{"'ridftotal'!$A$4:$S$27"}</definedName>
    <definedName name="GHJK" localSheetId="11" hidden="1">{"'ridftotal'!$A$4:$S$27"}</definedName>
    <definedName name="GHJK" localSheetId="3" hidden="1">{"'ridftotal'!$A$4:$S$27"}</definedName>
    <definedName name="GHJK" hidden="1">{"'ridftotal'!$A$4:$S$27"}</definedName>
    <definedName name="GHJKJK" localSheetId="27" hidden="1">{"'ridftotal'!$A$4:$S$27"}</definedName>
    <definedName name="GHJKJK" localSheetId="22" hidden="1">{"'ridftotal'!$A$4:$S$27"}</definedName>
    <definedName name="GHJKJK" localSheetId="14" hidden="1">{"'ridftotal'!$A$4:$S$27"}</definedName>
    <definedName name="GHJKJK" localSheetId="34" hidden="1">{"'ridftotal'!$A$4:$S$27"}</definedName>
    <definedName name="GHJKJK" localSheetId="21" hidden="1">{"'ridftotal'!$A$4:$S$27"}</definedName>
    <definedName name="GHJKJK" localSheetId="19" hidden="1">{"'ridftotal'!$A$4:$S$27"}</definedName>
    <definedName name="GHJKJK" localSheetId="32" hidden="1">{"'ridftotal'!$A$4:$S$27"}</definedName>
    <definedName name="GHJKJK" localSheetId="30" hidden="1">{"'ridftotal'!$A$4:$S$27"}</definedName>
    <definedName name="GHJKJK" localSheetId="11" hidden="1">{"'ridftotal'!$A$4:$S$27"}</definedName>
    <definedName name="GHJKJK" localSheetId="3" hidden="1">{"'ridftotal'!$A$4:$S$27"}</definedName>
    <definedName name="GHJKJK" hidden="1">{"'ridftotal'!$A$4:$S$27"}</definedName>
    <definedName name="GI" localSheetId="6">#REF!</definedName>
    <definedName name="GI" localSheetId="12">#REF!</definedName>
    <definedName name="GI" localSheetId="34">#REF!</definedName>
    <definedName name="GI" localSheetId="19">#REF!</definedName>
    <definedName name="GI">#REF!</definedName>
    <definedName name="gib" localSheetId="6">#REF!</definedName>
    <definedName name="gib" localSheetId="12">#REF!</definedName>
    <definedName name="gib" localSheetId="34">#REF!</definedName>
    <definedName name="gib" localSheetId="19">#REF!</definedName>
    <definedName name="gib">#REF!</definedName>
    <definedName name="GIbend" localSheetId="5">#REF!</definedName>
    <definedName name="GIbend" localSheetId="6">#REF!</definedName>
    <definedName name="GIbend" localSheetId="12">#REF!</definedName>
    <definedName name="GIbend" localSheetId="19">#REF!</definedName>
    <definedName name="GIbend" localSheetId="30">#REF!</definedName>
    <definedName name="GIbend">#REF!</definedName>
    <definedName name="GIcoupling" localSheetId="5">#REF!</definedName>
    <definedName name="GIcoupling" localSheetId="6">#REF!</definedName>
    <definedName name="GIcoupling" localSheetId="12">#REF!</definedName>
    <definedName name="GIcoupling" localSheetId="19">#REF!</definedName>
    <definedName name="GIcoupling" localSheetId="30">#REF!</definedName>
    <definedName name="GIcoupling">#REF!</definedName>
    <definedName name="GIelbow" localSheetId="5">#REF!</definedName>
    <definedName name="GIelbow" localSheetId="6">#REF!</definedName>
    <definedName name="GIelbow" localSheetId="12">#REF!</definedName>
    <definedName name="GIelbow" localSheetId="19">#REF!</definedName>
    <definedName name="GIelbow" localSheetId="30">#REF!</definedName>
    <definedName name="GIelbow">#REF!</definedName>
    <definedName name="GInipple" localSheetId="5">#REF!</definedName>
    <definedName name="GInipple" localSheetId="6">#REF!</definedName>
    <definedName name="GInipple" localSheetId="12">#REF!</definedName>
    <definedName name="GInipple" localSheetId="19">#REF!</definedName>
    <definedName name="GInipple" localSheetId="30">#REF!</definedName>
    <definedName name="GInipple">#REF!</definedName>
    <definedName name="GIreducedTee" localSheetId="5">#REF!</definedName>
    <definedName name="GIreducedTee" localSheetId="6">#REF!</definedName>
    <definedName name="GIreducedTee" localSheetId="12">#REF!</definedName>
    <definedName name="GIreducedTee" localSheetId="19">#REF!</definedName>
    <definedName name="GIreducedTee" localSheetId="30">#REF!</definedName>
    <definedName name="GIreducedTee">#REF!</definedName>
    <definedName name="GIreducer" localSheetId="5">#REF!</definedName>
    <definedName name="GIreducer" localSheetId="6">#REF!</definedName>
    <definedName name="GIreducer" localSheetId="12">#REF!</definedName>
    <definedName name="GIreducer" localSheetId="19">#REF!</definedName>
    <definedName name="GIreducer" localSheetId="30">#REF!</definedName>
    <definedName name="GIreducer">#REF!</definedName>
    <definedName name="GIspecial" localSheetId="5">#REF!</definedName>
    <definedName name="GIspecial" localSheetId="6">#REF!</definedName>
    <definedName name="GIspecial" localSheetId="12">#REF!</definedName>
    <definedName name="GIspecial" localSheetId="19">#REF!</definedName>
    <definedName name="GIspecial" localSheetId="30">#REF!</definedName>
    <definedName name="GIspecial">#REF!</definedName>
    <definedName name="GIunion" localSheetId="5">#REF!</definedName>
    <definedName name="GIunion" localSheetId="6">#REF!</definedName>
    <definedName name="GIunion" localSheetId="12">#REF!</definedName>
    <definedName name="GIunion" localSheetId="19">#REF!</definedName>
    <definedName name="GIunion" localSheetId="30">#REF!</definedName>
    <definedName name="GIunion">#REF!</definedName>
    <definedName name="gj" localSheetId="6">#REF!</definedName>
    <definedName name="gj" localSheetId="12">#REF!</definedName>
    <definedName name="gj" localSheetId="19">#REF!</definedName>
    <definedName name="gj">#REF!</definedName>
    <definedName name="GL" localSheetId="6">#REF!</definedName>
    <definedName name="GL" localSheetId="12">#REF!</definedName>
    <definedName name="GL" localSheetId="19">#REF!</definedName>
    <definedName name="GL">#REF!</definedName>
    <definedName name="Glazed_coloured_tiles_for_Dadooing" localSheetId="6">#REF!</definedName>
    <definedName name="Glazed_coloured_tiles_for_Dadooing" localSheetId="12">#REF!</definedName>
    <definedName name="Glazed_coloured_tiles_for_Dadooing" localSheetId="34">#REF!</definedName>
    <definedName name="Glazed_coloured_tiles_for_Dadooing" localSheetId="19">#REF!</definedName>
    <definedName name="Glazed_coloured_tiles_for_Dadooing">#REF!</definedName>
    <definedName name="GLOADING" localSheetId="5">#REF!</definedName>
    <definedName name="GLOADING" localSheetId="6">#REF!</definedName>
    <definedName name="GLOADING" localSheetId="12">#REF!</definedName>
    <definedName name="GLOADING" localSheetId="19">#REF!</definedName>
    <definedName name="GLOADING" localSheetId="30">#REF!</definedName>
    <definedName name="GLOADING">#REF!</definedName>
    <definedName name="GMgateValve" localSheetId="5">#REF!</definedName>
    <definedName name="GMgateValve" localSheetId="6">#REF!</definedName>
    <definedName name="GMgateValve" localSheetId="12">#REF!</definedName>
    <definedName name="GMgateValve" localSheetId="19">#REF!</definedName>
    <definedName name="GMgateValve" localSheetId="30">#REF!</definedName>
    <definedName name="GMgateValve">#REF!</definedName>
    <definedName name="GN" localSheetId="27" hidden="1">{"'ridftotal'!$A$4:$S$27"}</definedName>
    <definedName name="GN" localSheetId="22" hidden="1">{"'ridftotal'!$A$4:$S$27"}</definedName>
    <definedName name="GN" localSheetId="14" hidden="1">{"'ridftotal'!$A$4:$S$27"}</definedName>
    <definedName name="GN" localSheetId="34" hidden="1">{"'ridftotal'!$A$4:$S$27"}</definedName>
    <definedName name="GN" localSheetId="21" hidden="1">{"'ridftotal'!$A$4:$S$27"}</definedName>
    <definedName name="GN" localSheetId="19" hidden="1">{"'ridftotal'!$A$4:$S$27"}</definedName>
    <definedName name="GN" localSheetId="32" hidden="1">{"'ridftotal'!$A$4:$S$27"}</definedName>
    <definedName name="GN" localSheetId="30" hidden="1">{"'ridftotal'!$A$4:$S$27"}</definedName>
    <definedName name="GN" localSheetId="11" hidden="1">{"'ridftotal'!$A$4:$S$27"}</definedName>
    <definedName name="GN" localSheetId="3" hidden="1">{"'ridftotal'!$A$4:$S$27"}</definedName>
    <definedName name="GN" hidden="1">{"'ridftotal'!$A$4:$S$27"}</definedName>
    <definedName name="goo" localSheetId="22">#REF!</definedName>
    <definedName name="goo" localSheetId="5">#REF!</definedName>
    <definedName name="goo" localSheetId="6">#REF!</definedName>
    <definedName name="goo" localSheetId="12">#REF!</definedName>
    <definedName name="goo" localSheetId="34">#REF!</definedName>
    <definedName name="goo" localSheetId="19">#REF!</definedName>
    <definedName name="goo" localSheetId="30">#REF!</definedName>
    <definedName name="goo" localSheetId="40">#REF!</definedName>
    <definedName name="goo" localSheetId="26">#REF!</definedName>
    <definedName name="goo">#REF!</definedName>
    <definedName name="GOPA">#REF!</definedName>
    <definedName name="gp" localSheetId="27">#REF!</definedName>
    <definedName name="gp">#REF!</definedName>
    <definedName name="GPC" localSheetId="22">#REF!</definedName>
    <definedName name="GPC" localSheetId="5">#REF!</definedName>
    <definedName name="GPC" localSheetId="6">#REF!</definedName>
    <definedName name="GPC" localSheetId="12">#REF!</definedName>
    <definedName name="GPC" localSheetId="34">#REF!</definedName>
    <definedName name="GPC" localSheetId="19">#REF!</definedName>
    <definedName name="GPC" localSheetId="30">#REF!</definedName>
    <definedName name="GPC" localSheetId="40">#REF!</definedName>
    <definedName name="GPC" localSheetId="26">#REF!</definedName>
    <definedName name="GPC">#REF!</definedName>
    <definedName name="GPname" localSheetId="22">#REF!</definedName>
    <definedName name="GPname" localSheetId="5">#REF!</definedName>
    <definedName name="GPname" localSheetId="6">#REF!</definedName>
    <definedName name="GPname" localSheetId="12">#REF!</definedName>
    <definedName name="GPname" localSheetId="34">#REF!</definedName>
    <definedName name="GPname" localSheetId="19">#REF!</definedName>
    <definedName name="GPname" localSheetId="30">#REF!</definedName>
    <definedName name="GPname" localSheetId="40">#REF!</definedName>
    <definedName name="GPname" localSheetId="26">#REF!</definedName>
    <definedName name="GPname">#REF!</definedName>
    <definedName name="grade1" localSheetId="5">#REF!</definedName>
    <definedName name="grade1" localSheetId="6">#REF!</definedName>
    <definedName name="grade1" localSheetId="12">#REF!</definedName>
    <definedName name="grade1" localSheetId="19">#REF!</definedName>
    <definedName name="grade1" localSheetId="30">#REF!</definedName>
    <definedName name="grade1">#REF!</definedName>
    <definedName name="grade2" localSheetId="5">#REF!</definedName>
    <definedName name="grade2" localSheetId="6">#REF!</definedName>
    <definedName name="grade2" localSheetId="12">#REF!</definedName>
    <definedName name="grade2" localSheetId="19">#REF!</definedName>
    <definedName name="grade2" localSheetId="30">#REF!</definedName>
    <definedName name="grade2">#REF!</definedName>
    <definedName name="grade3" localSheetId="5">#REF!</definedName>
    <definedName name="grade3" localSheetId="6">#REF!</definedName>
    <definedName name="grade3" localSheetId="12">#REF!</definedName>
    <definedName name="grade3" localSheetId="19">#REF!</definedName>
    <definedName name="grade3" localSheetId="30">#REF!</definedName>
    <definedName name="grade3">#REF!</definedName>
    <definedName name="granolithic_floor" localSheetId="6">#REF!</definedName>
    <definedName name="granolithic_floor" localSheetId="12">#REF!</definedName>
    <definedName name="granolithic_floor" localSheetId="34">#REF!</definedName>
    <definedName name="granolithic_floor" localSheetId="19">#REF!</definedName>
    <definedName name="granolithic_floor">#REF!</definedName>
    <definedName name="grant" localSheetId="6">#REF!</definedName>
    <definedName name="grant" localSheetId="12">#REF!</definedName>
    <definedName name="grant" localSheetId="34">#REF!</definedName>
    <definedName name="grant" localSheetId="19">#REF!</definedName>
    <definedName name="grant" localSheetId="40">#REF!</definedName>
    <definedName name="grant" localSheetId="26">#REF!</definedName>
    <definedName name="grant">#REF!</definedName>
    <definedName name="gravel" localSheetId="34">#REF!</definedName>
    <definedName name="GRAVEL">#REF!</definedName>
    <definedName name="gravel_hc100">#REF!</definedName>
    <definedName name="gravel_hc150">#REF!</definedName>
    <definedName name="gravel_pick">#REF!</definedName>
    <definedName name="gravel_spr100">#REF!</definedName>
    <definedName name="gravel_spr150">#REF!</definedName>
    <definedName name="gravel_stack">#REF!</definedName>
    <definedName name="GravelBacking">#REF!</definedName>
    <definedName name="Grstone" localSheetId="6">#REF!</definedName>
    <definedName name="Grstone" localSheetId="12">#REF!</definedName>
    <definedName name="Grstone" localSheetId="34">#REF!</definedName>
    <definedName name="Grstone" localSheetId="19">#REF!</definedName>
    <definedName name="Grstone">#REF!</definedName>
    <definedName name="gs" localSheetId="6">#REF!</definedName>
    <definedName name="gs" localSheetId="12">#REF!</definedName>
    <definedName name="gs" localSheetId="34">#REF!</definedName>
    <definedName name="gs" localSheetId="19">#REF!</definedName>
    <definedName name="gs">#REF!</definedName>
    <definedName name="gsb" localSheetId="22">#REF!</definedName>
    <definedName name="gsb" localSheetId="5">#REF!</definedName>
    <definedName name="gsb" localSheetId="6">#REF!</definedName>
    <definedName name="gsb" localSheetId="12">#REF!</definedName>
    <definedName name="gsb" localSheetId="34">#REF!</definedName>
    <definedName name="gsb" localSheetId="19">#REF!</definedName>
    <definedName name="gsb" localSheetId="30">#REF!</definedName>
    <definedName name="gsb" localSheetId="40">#REF!</definedName>
    <definedName name="gsb" localSheetId="26">#REF!</definedName>
    <definedName name="gsb">#REF!</definedName>
    <definedName name="gsb_23">"$#REF!.$#REF!$#REF!"</definedName>
    <definedName name="gsb_33">"$#REF!.$#REF!$#REF!"</definedName>
    <definedName name="gsb_34">"$#REF!.$#REF!$#REF!"</definedName>
    <definedName name="gsb_38">"$#REF!.$#REF!$#REF!"</definedName>
    <definedName name="gsb_41">"$#REF!.$#REF!$#REF!"</definedName>
    <definedName name="gsb_43">"$#REF!.$#REF!$#REF!"</definedName>
    <definedName name="gsb_48">"$#REF!.$#REF!$#REF!"</definedName>
    <definedName name="gsb_57">"$#REF!.$#REF!$#REF!"</definedName>
    <definedName name="gsb_59">"$#REF!.$#REF!$#REF!"</definedName>
    <definedName name="gsb_60">"$#REF!.$#REF!$#REF!"</definedName>
    <definedName name="gsb_61">"$#REF!.$#REF!$#REF!"</definedName>
    <definedName name="gsb_62">"$#REF!.$#REF!$#REF!"</definedName>
    <definedName name="gsb_7">"$#REF!.$#REF!$#REF!"</definedName>
    <definedName name="gsb_72">"$#REF!.$#REF!$#REF!"</definedName>
    <definedName name="gsb_73">"$#REF!.$#REF!$#REF!"</definedName>
    <definedName name="gsb_8">"$#REF!.$#REF!$#REF!"</definedName>
    <definedName name="GSB_Grading3" localSheetId="27">#REF!</definedName>
    <definedName name="GSB_Grading3">#REF!</definedName>
    <definedName name="GSB_Grading3_1" localSheetId="27">#REF!</definedName>
    <definedName name="GSB_Grading3_1">#REF!</definedName>
    <definedName name="GSB_GRAVELnSAND" localSheetId="27">#REF!</definedName>
    <definedName name="GSB_GRAVELnSAND">#REF!</definedName>
    <definedName name="GSB_GRAVELnSTONEDUST">#REF!</definedName>
    <definedName name="GSN" localSheetId="22">#REF!</definedName>
    <definedName name="GSN" localSheetId="30">#REF!</definedName>
    <definedName name="gtrothpfinal" localSheetId="19">#REF!</definedName>
    <definedName name="GULOADING" localSheetId="5">#REF!</definedName>
    <definedName name="GULOADING" localSheetId="6">#REF!</definedName>
    <definedName name="GULOADING" localSheetId="12">#REF!</definedName>
    <definedName name="GULOADING" localSheetId="34">#REF!</definedName>
    <definedName name="GULOADING" localSheetId="19">#REF!</definedName>
    <definedName name="GULOADING" localSheetId="30">#REF!</definedName>
    <definedName name="GULOADING">#REF!</definedName>
    <definedName name="Gunduvarigudem" localSheetId="5">#REF!</definedName>
    <definedName name="Gunduvarigudem" localSheetId="6">#REF!</definedName>
    <definedName name="Gunduvarigudem" localSheetId="12">#REF!</definedName>
    <definedName name="Gunduvarigudem" localSheetId="19">#REF!</definedName>
    <definedName name="Gunduvarigudem" localSheetId="30">#REF!</definedName>
    <definedName name="Gunduvarigudem">#REF!</definedName>
    <definedName name="Gunduvarigudem_33">"$#REF!.$#REF!$#REF!"</definedName>
    <definedName name="Gunduvarigudem_38">"$#REF!.$#REF!$#REF!"</definedName>
    <definedName name="Gunduvarigudem_41">"$#REF!.$#REF!$#REF!"</definedName>
    <definedName name="Gunduvarigudem_7">"$#REF!.$#REF!$#REF!"</definedName>
    <definedName name="Gunduvarigudem_8">"$#REF!.$#REF!$#REF!"</definedName>
    <definedName name="GUS" localSheetId="27">#REF!</definedName>
    <definedName name="GUS">#REF!</definedName>
    <definedName name="GUSUSD" localSheetId="19">#REF!</definedName>
    <definedName name="gyfc" localSheetId="6">#REF!</definedName>
    <definedName name="gyfc" localSheetId="12">#REF!</definedName>
    <definedName name="gyfc" localSheetId="34">#REF!</definedName>
    <definedName name="gyfc" localSheetId="19">#REF!</definedName>
    <definedName name="gyfc">#REF!</definedName>
    <definedName name="gyohj">#REF!</definedName>
    <definedName name="H" localSheetId="27" hidden="1">{"'ridftotal'!$A$4:$S$27"}</definedName>
    <definedName name="H" localSheetId="22" hidden="1">{"'ridftotal'!$A$4:$S$27"}</definedName>
    <definedName name="H" localSheetId="14" hidden="1">{"'ridftotal'!$A$4:$S$27"}</definedName>
    <definedName name="h" localSheetId="34">#REF!</definedName>
    <definedName name="H" localSheetId="21" hidden="1">{"'ridftotal'!$A$4:$S$27"}</definedName>
    <definedName name="H" localSheetId="19" hidden="1">{"'ridftotal'!$A$4:$S$27"}</definedName>
    <definedName name="H" localSheetId="32" hidden="1">{"'ridftotal'!$A$4:$S$27"}</definedName>
    <definedName name="H" localSheetId="30" hidden="1">{"'ridftotal'!$A$4:$S$27"}</definedName>
    <definedName name="H" localSheetId="11" hidden="1">{"'ridftotal'!$A$4:$S$27"}</definedName>
    <definedName name="H" localSheetId="3" hidden="1">{"'ridftotal'!$A$4:$S$27"}</definedName>
    <definedName name="H" hidden="1">{"'ridftotal'!$A$4:$S$27"}</definedName>
    <definedName name="hab_information" localSheetId="22">#REF!</definedName>
    <definedName name="hab_information" localSheetId="5">#REF!</definedName>
    <definedName name="hab_information" localSheetId="6">#REF!</definedName>
    <definedName name="hab_information" localSheetId="12">#REF!</definedName>
    <definedName name="hab_information" localSheetId="34">#REF!</definedName>
    <definedName name="hab_information" localSheetId="19">#REF!</definedName>
    <definedName name="hab_information" localSheetId="30">#REF!</definedName>
    <definedName name="hab_information" localSheetId="40">#REF!</definedName>
    <definedName name="hab_information" localSheetId="26">#REF!</definedName>
    <definedName name="hab_information">#REF!</definedName>
    <definedName name="Hab_Survey_All_Sources" localSheetId="22">#REF!</definedName>
    <definedName name="Hab_Survey_All_Sources" localSheetId="5">#REF!</definedName>
    <definedName name="Hab_Survey_All_Sources" localSheetId="6">#REF!</definedName>
    <definedName name="Hab_Survey_All_Sources" localSheetId="12">#REF!</definedName>
    <definedName name="Hab_Survey_All_Sources" localSheetId="34">#REF!</definedName>
    <definedName name="Hab_Survey_All_Sources" localSheetId="19">#REF!</definedName>
    <definedName name="Hab_Survey_All_Sources" localSheetId="30">#REF!</definedName>
    <definedName name="Hab_Survey_All_Sources" localSheetId="40">#REF!</definedName>
    <definedName name="Hab_Survey_All_Sources" localSheetId="26">#REF!</definedName>
    <definedName name="Hab_Survey_All_Sources">#REF!</definedName>
    <definedName name="Habitaions_Final" localSheetId="22">#REF!</definedName>
    <definedName name="Habitaions_Final" localSheetId="5">#REF!</definedName>
    <definedName name="Habitaions_Final" localSheetId="6">#REF!</definedName>
    <definedName name="Habitaions_Final" localSheetId="12">#REF!</definedName>
    <definedName name="Habitaions_Final" localSheetId="34">#REF!</definedName>
    <definedName name="Habitaions_Final" localSheetId="19">#REF!</definedName>
    <definedName name="Habitaions_Final" localSheetId="30">#REF!</definedName>
    <definedName name="Habitaions_Final" localSheetId="40">#REF!</definedName>
    <definedName name="Habitaions_Final" localSheetId="26">#REF!</definedName>
    <definedName name="Habitaions_Final">#REF!</definedName>
    <definedName name="habs" localSheetId="22">#REF!</definedName>
    <definedName name="habs" localSheetId="5">#REF!</definedName>
    <definedName name="habs" localSheetId="6">#REF!</definedName>
    <definedName name="habs" localSheetId="12">#REF!</definedName>
    <definedName name="habs" localSheetId="19">#REF!</definedName>
    <definedName name="habs" localSheetId="30">#REF!</definedName>
    <definedName name="habs" localSheetId="40">#REF!</definedName>
    <definedName name="habs" localSheetId="26">#REF!</definedName>
    <definedName name="habs">#REF!</definedName>
    <definedName name="hai" localSheetId="6">#REF!</definedName>
    <definedName name="hai" localSheetId="12">#REF!</definedName>
    <definedName name="hai" localSheetId="34">#REF!</definedName>
    <definedName name="hai" localSheetId="19">#REF!</definedName>
    <definedName name="hai">#REF!</definedName>
    <definedName name="hbgl" localSheetId="6">#REF!</definedName>
    <definedName name="hbgl" localSheetId="12">#REF!</definedName>
    <definedName name="hbgl" localSheetId="34">#REF!</definedName>
    <definedName name="hbgl" localSheetId="19">#REF!</definedName>
    <definedName name="hbgl">#REF!</definedName>
    <definedName name="HC" localSheetId="22">#REF!</definedName>
    <definedName name="HC" localSheetId="5">#REF!</definedName>
    <definedName name="HC" localSheetId="6">#REF!</definedName>
    <definedName name="HC" localSheetId="12">#REF!</definedName>
    <definedName name="HC" localSheetId="34">#REF!</definedName>
    <definedName name="HC" localSheetId="19">#REF!</definedName>
    <definedName name="HC" localSheetId="30">#REF!</definedName>
    <definedName name="HC" localSheetId="40">#REF!</definedName>
    <definedName name="HC" localSheetId="26">#REF!</definedName>
    <definedName name="HC">#REF!</definedName>
    <definedName name="hd" localSheetId="6">#REF!</definedName>
    <definedName name="hd" localSheetId="12">#REF!</definedName>
    <definedName name="hd" localSheetId="34">#REF!</definedName>
    <definedName name="hd" localSheetId="19">#REF!</definedName>
    <definedName name="hd">#REF!</definedName>
    <definedName name="HDFGF" localSheetId="5">#REF!</definedName>
    <definedName name="HDFGF" localSheetId="6">#REF!</definedName>
    <definedName name="HDFGF" localSheetId="12">#REF!</definedName>
    <definedName name="HDFGF" localSheetId="19">#REF!</definedName>
    <definedName name="HDFGF" localSheetId="30">#REF!</definedName>
    <definedName name="HDFGF">#REF!</definedName>
    <definedName name="hf" localSheetId="6">#REF!</definedName>
    <definedName name="hf" localSheetId="12">#REF!</definedName>
    <definedName name="hf" localSheetId="34">#REF!</definedName>
    <definedName name="hf" localSheetId="19">#REF!</definedName>
    <definedName name="hf">#REF!</definedName>
    <definedName name="hfhf">#REF!</definedName>
    <definedName name="hgle" localSheetId="6">#REF!</definedName>
    <definedName name="hgle" localSheetId="12">#REF!</definedName>
    <definedName name="hgle" localSheetId="34">#REF!</definedName>
    <definedName name="hgle" localSheetId="19">#REF!</definedName>
    <definedName name="hgle">#REF!</definedName>
    <definedName name="hgle1" localSheetId="6">#REF!</definedName>
    <definedName name="hgle1" localSheetId="12">#REF!</definedName>
    <definedName name="hgle1" localSheetId="34">#REF!</definedName>
    <definedName name="hgle1" localSheetId="19">#REF!</definedName>
    <definedName name="hgle1">#REF!</definedName>
    <definedName name="hgtjhcxt">#REF!</definedName>
    <definedName name="HH" localSheetId="6">#REF!</definedName>
    <definedName name="HH" localSheetId="12">#REF!</definedName>
    <definedName name="hh" localSheetId="34">#REF!</definedName>
    <definedName name="HH" localSheetId="19">#REF!</definedName>
    <definedName name="HH">#REF!</definedName>
    <definedName name="hhh" localSheetId="19">#REF!</definedName>
    <definedName name="hhhhhh">#REF!</definedName>
    <definedName name="HI" localSheetId="6">#REF!</definedName>
    <definedName name="HI" localSheetId="12">#REF!</definedName>
    <definedName name="HI" localSheetId="19">#REF!</definedName>
    <definedName name="HI" localSheetId="30">#REF!</definedName>
    <definedName name="HI">#REF!</definedName>
    <definedName name="HiddenRows" localSheetId="22" hidden="1">#REF!</definedName>
    <definedName name="HiddenRows" localSheetId="5" hidden="1">#REF!</definedName>
    <definedName name="HiddenRows" localSheetId="42" hidden="1">#REF!</definedName>
    <definedName name="HiddenRows" localSheetId="6" hidden="1">#REF!</definedName>
    <definedName name="HiddenRows" localSheetId="12" hidden="1">#REF!</definedName>
    <definedName name="HiddenRows" localSheetId="34" hidden="1">#REF!</definedName>
    <definedName name="HiddenRows" localSheetId="28" hidden="1">#REF!</definedName>
    <definedName name="HiddenRows" localSheetId="36" hidden="1">#REF!</definedName>
    <definedName name="HiddenRows" localSheetId="21" hidden="1">#REF!</definedName>
    <definedName name="HiddenRows" localSheetId="19" hidden="1">#REF!</definedName>
    <definedName name="HiddenRows" localSheetId="32" hidden="1">#REF!</definedName>
    <definedName name="HiddenRows" localSheetId="30" hidden="1">#REF!</definedName>
    <definedName name="HiddenRows" localSheetId="37" hidden="1">#REF!</definedName>
    <definedName name="HiddenRows" localSheetId="40" hidden="1">#REF!</definedName>
    <definedName name="HiddenRows" localSheetId="26" hidden="1">#REF!</definedName>
    <definedName name="HiddenRows" localSheetId="11" hidden="1">#REF!</definedName>
    <definedName name="HiddenRows" localSheetId="3" hidden="1">#REF!</definedName>
    <definedName name="HiddenRows" hidden="1">#REF!</definedName>
    <definedName name="HIFINI" localSheetId="6">#REF!</definedName>
    <definedName name="HIFINI" localSheetId="12">#REF!</definedName>
    <definedName name="HIFINI" localSheetId="19">#REF!</definedName>
    <definedName name="HIFINI" localSheetId="30">#REF!</definedName>
    <definedName name="HIFINI">#REF!</definedName>
    <definedName name="HII" localSheetId="6">#REF!</definedName>
    <definedName name="HII" localSheetId="12">#REF!</definedName>
    <definedName name="HII" localSheetId="19">#REF!</definedName>
    <definedName name="HII">#REF!</definedName>
    <definedName name="HIII" localSheetId="6">#REF!</definedName>
    <definedName name="HIII" localSheetId="12">#REF!</definedName>
    <definedName name="HIII" localSheetId="19">#REF!</definedName>
    <definedName name="HIII">#REF!</definedName>
    <definedName name="his" localSheetId="6">#REF!</definedName>
    <definedName name="his" localSheetId="12">#REF!</definedName>
    <definedName name="his" localSheetId="34">#REF!</definedName>
    <definedName name="his" localSheetId="19">#REF!</definedName>
    <definedName name="his">#REF!</definedName>
    <definedName name="HJ" localSheetId="27" hidden="1">{"'ridftotal'!$A$4:$S$27"}</definedName>
    <definedName name="HJ" localSheetId="22" hidden="1">{"'ridftotal'!$A$4:$S$27"}</definedName>
    <definedName name="HJ" localSheetId="14" hidden="1">{"'ridftotal'!$A$4:$S$27"}</definedName>
    <definedName name="HJ" localSheetId="34" hidden="1">{"'ridftotal'!$A$4:$S$27"}</definedName>
    <definedName name="HJ" localSheetId="21" hidden="1">{"'ridftotal'!$A$4:$S$27"}</definedName>
    <definedName name="HJ" localSheetId="19" hidden="1">{"'ridftotal'!$A$4:$S$27"}</definedName>
    <definedName name="HJ" localSheetId="32" hidden="1">{"'ridftotal'!$A$4:$S$27"}</definedName>
    <definedName name="HJ" localSheetId="30" hidden="1">{"'ridftotal'!$A$4:$S$27"}</definedName>
    <definedName name="HJ" localSheetId="11" hidden="1">{"'ridftotal'!$A$4:$S$27"}</definedName>
    <definedName name="HJ" localSheetId="3" hidden="1">{"'ridftotal'!$A$4:$S$27"}</definedName>
    <definedName name="HJ" hidden="1">{"'ridftotal'!$A$4:$S$27"}</definedName>
    <definedName name="hjht">#REF!</definedName>
    <definedName name="HL" localSheetId="6">#REF!</definedName>
    <definedName name="HL" localSheetId="12">#REF!</definedName>
    <definedName name="HL" localSheetId="19">#REF!</definedName>
    <definedName name="HL">#REF!</definedName>
    <definedName name="hmc">#REF!</definedName>
    <definedName name="Hname" localSheetId="22">#REF!</definedName>
    <definedName name="Hname" localSheetId="5">#REF!</definedName>
    <definedName name="Hname" localSheetId="6">#REF!</definedName>
    <definedName name="Hname" localSheetId="12">#REF!</definedName>
    <definedName name="Hname" localSheetId="34">#REF!</definedName>
    <definedName name="Hname" localSheetId="19">#REF!</definedName>
    <definedName name="Hname" localSheetId="30">#REF!</definedName>
    <definedName name="Hname" localSheetId="40">#REF!</definedName>
    <definedName name="Hname" localSheetId="26">#REF!</definedName>
    <definedName name="Hname">#REF!</definedName>
    <definedName name="hot_maz" localSheetId="27">#REF!</definedName>
    <definedName name="hot_maz">#REF!</definedName>
    <definedName name="HP" localSheetId="14">#REF!</definedName>
    <definedName name="HP" localSheetId="6">#REF!</definedName>
    <definedName name="HP" localSheetId="12">#REF!</definedName>
    <definedName name="HP" localSheetId="19">#REF!</definedName>
    <definedName name="HP">#REF!</definedName>
    <definedName name="HPC" localSheetId="19">#REF!</definedName>
    <definedName name="HPC1V1000mm" localSheetId="14">#REF!</definedName>
    <definedName name="HPC1V1000mm" localSheetId="6">#REF!</definedName>
    <definedName name="HPC1V1000mm" localSheetId="12">#REF!</definedName>
    <definedName name="HPC1V1000mm" localSheetId="19">#REF!</definedName>
    <definedName name="HPC1V1000mm">#REF!</definedName>
    <definedName name="Hs" localSheetId="6">#REF!</definedName>
    <definedName name="Hs" localSheetId="12">#REF!</definedName>
    <definedName name="Hs" localSheetId="34">#REF!</definedName>
    <definedName name="Hs" localSheetId="19">#REF!</definedName>
    <definedName name="Hs">#REF!</definedName>
    <definedName name="hso" localSheetId="6">#REF!</definedName>
    <definedName name="hso" localSheetId="12">#REF!</definedName>
    <definedName name="hso" localSheetId="34">#REF!</definedName>
    <definedName name="hso" localSheetId="19">#REF!</definedName>
    <definedName name="hso">#REF!</definedName>
    <definedName name="hsp" localSheetId="6">#REF!</definedName>
    <definedName name="hsp" localSheetId="12">#REF!</definedName>
    <definedName name="hsp" localSheetId="34">#REF!</definedName>
    <definedName name="hsp" localSheetId="19">#REF!</definedName>
    <definedName name="hsp">#REF!</definedName>
    <definedName name="Ht" localSheetId="6">#REF!</definedName>
    <definedName name="Ht" localSheetId="12">#REF!</definedName>
    <definedName name="Ht" localSheetId="34">#REF!</definedName>
    <definedName name="Ht" localSheetId="19">#REF!</definedName>
    <definedName name="Ht">#REF!</definedName>
    <definedName name="HTHRI">#REF!</definedName>
    <definedName name="HTML_CodePage" hidden="1">1252</definedName>
    <definedName name="HTML_Control" localSheetId="27" hidden="1">{"'ridftotal'!$A$4:$S$27"}</definedName>
    <definedName name="HTML_Control" localSheetId="22" hidden="1">{"'ridftotal'!$A$4:$S$27"}</definedName>
    <definedName name="HTML_Control" localSheetId="14" hidden="1">{"'ridftotal'!$A$4:$S$27"}</definedName>
    <definedName name="HTML_Control" localSheetId="34" hidden="1">{"'ridftotal'!$A$4:$S$27"}</definedName>
    <definedName name="HTML_Control" localSheetId="21" hidden="1">{"'ridftotal'!$A$4:$S$27"}</definedName>
    <definedName name="HTML_Control" localSheetId="19" hidden="1">{"'ridftotal'!$A$4:$S$27"}</definedName>
    <definedName name="HTML_Control" localSheetId="32" hidden="1">{"'ridftotal'!$A$4:$S$27"}</definedName>
    <definedName name="HTML_Control" localSheetId="30" hidden="1">{"'ridftotal'!$A$4:$S$27"}</definedName>
    <definedName name="HTML_Control" localSheetId="11" hidden="1">{"'ridftotal'!$A$4:$S$27"}</definedName>
    <definedName name="HTML_Control" localSheetId="3"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Hudco" localSheetId="27">#REF!</definedName>
    <definedName name="Hudco">#REF!</definedName>
    <definedName name="Hudco." localSheetId="27">#REF!</definedName>
    <definedName name="Hudco.">#REF!</definedName>
    <definedName name="Hudco.." localSheetId="27">#REF!</definedName>
    <definedName name="Hudco..">#REF!</definedName>
    <definedName name="HVA" localSheetId="14">#REF!</definedName>
    <definedName name="HVA" localSheetId="6">#REF!</definedName>
    <definedName name="HVA" localSheetId="12">#REF!</definedName>
    <definedName name="HVA" localSheetId="19">#REF!</definedName>
    <definedName name="HVA">#REF!</definedName>
    <definedName name="HYD_EXCAVATOR" localSheetId="6">#REF!</definedName>
    <definedName name="HYD_EXCAVATOR" localSheetId="12">#REF!</definedName>
    <definedName name="HYD_EXCAVATOR" localSheetId="34">#REF!</definedName>
    <definedName name="HYD_EXCAVATOR" localSheetId="19">#REF!</definedName>
    <definedName name="HYD_EXCAVATOR">#REF!</definedName>
    <definedName name="hyhygytg">#REF!</definedName>
    <definedName name="HYSD" localSheetId="6">#REF!</definedName>
    <definedName name="HYSD" localSheetId="12">#REF!</definedName>
    <definedName name="HYSD" localSheetId="34">#REF!</definedName>
    <definedName name="HYSD" localSheetId="19">#REF!</definedName>
    <definedName name="HYSD">#REF!</definedName>
    <definedName name="HYSD_Foundations" localSheetId="19">#REF!</definedName>
    <definedName name="HYSD_SubStructure">#REF!</definedName>
    <definedName name="HYSD_SuperStructure">#REF!</definedName>
    <definedName name="i_23">#N/A</definedName>
    <definedName name="i_33">#N/A</definedName>
    <definedName name="i_34">#N/A</definedName>
    <definedName name="i_38">#N/A</definedName>
    <definedName name="i_41">#N/A</definedName>
    <definedName name="i_43">#N/A</definedName>
    <definedName name="i_48">#N/A</definedName>
    <definedName name="i_57">#N/A</definedName>
    <definedName name="i_59">#N/A</definedName>
    <definedName name="i_60" localSheetId="19">#N/A</definedName>
    <definedName name="i_61">#N/A</definedName>
    <definedName name="i_62">#N/A</definedName>
    <definedName name="i_7">#N/A</definedName>
    <definedName name="i_72">#N/A</definedName>
    <definedName name="i_73">#N/A</definedName>
    <definedName name="i_8">#N/A</definedName>
    <definedName name="id" localSheetId="19">#REF!</definedName>
    <definedName name="id">#REF!</definedName>
    <definedName name="id10.0" localSheetId="19">#REF!</definedName>
    <definedName name="id10.0">#REF!</definedName>
    <definedName name="id2.5" localSheetId="19">#REF!</definedName>
    <definedName name="id2.5">#REF!</definedName>
    <definedName name="id4.0" localSheetId="19">#REF!</definedName>
    <definedName name="id4.0">#REF!</definedName>
    <definedName name="id6.0" localSheetId="19">#REF!</definedName>
    <definedName name="id6.0">#REF!</definedName>
    <definedName name="ii" localSheetId="19">#REF!</definedName>
    <definedName name="IK" localSheetId="27" hidden="1">{"'ridftotal'!$A$4:$S$27"}</definedName>
    <definedName name="IK" localSheetId="22" hidden="1">{"'ridftotal'!$A$4:$S$27"}</definedName>
    <definedName name="IK" localSheetId="14" hidden="1">{"'ridftotal'!$A$4:$S$27"}</definedName>
    <definedName name="IK" localSheetId="34" hidden="1">{"'ridftotal'!$A$4:$S$27"}</definedName>
    <definedName name="IK" localSheetId="21" hidden="1">{"'ridftotal'!$A$4:$S$27"}</definedName>
    <definedName name="IK" localSheetId="19" hidden="1">{"'ridftotal'!$A$4:$S$27"}</definedName>
    <definedName name="IK" localSheetId="32" hidden="1">{"'ridftotal'!$A$4:$S$27"}</definedName>
    <definedName name="IK" localSheetId="30" hidden="1">{"'ridftotal'!$A$4:$S$27"}</definedName>
    <definedName name="IK" localSheetId="11" hidden="1">{"'ridftotal'!$A$4:$S$27"}</definedName>
    <definedName name="IK" localSheetId="3" hidden="1">{"'ridftotal'!$A$4:$S$27"}</definedName>
    <definedName name="IK" hidden="1">{"'ridftotal'!$A$4:$S$27"}</definedName>
    <definedName name="impervious_coat" localSheetId="6">#REF!</definedName>
    <definedName name="impervious_coat" localSheetId="12">#REF!</definedName>
    <definedName name="impervious_coat" localSheetId="34">#REF!</definedName>
    <definedName name="impervious_coat" localSheetId="19">#REF!</definedName>
    <definedName name="impervious_coat">#REF!</definedName>
    <definedName name="Index" localSheetId="27" hidden="1">{"'ridftotal'!$A$4:$S$27"}</definedName>
    <definedName name="Index" localSheetId="22" hidden="1">{"'ridftotal'!$A$4:$S$27"}</definedName>
    <definedName name="Index" localSheetId="14" hidden="1">{"'ridftotal'!$A$4:$S$27"}</definedName>
    <definedName name="Index" localSheetId="34" hidden="1">{"'ridftotal'!$A$4:$S$27"}</definedName>
    <definedName name="Index" localSheetId="21" hidden="1">{"'ridftotal'!$A$4:$S$27"}</definedName>
    <definedName name="Index" localSheetId="19" hidden="1">{"'ridftotal'!$A$4:$S$27"}</definedName>
    <definedName name="Index" localSheetId="32" hidden="1">{"'ridftotal'!$A$4:$S$27"}</definedName>
    <definedName name="Index" localSheetId="30" hidden="1">{"'ridftotal'!$A$4:$S$27"}</definedName>
    <definedName name="Index" localSheetId="11" hidden="1">{"'ridftotal'!$A$4:$S$27"}</definedName>
    <definedName name="Index" localSheetId="3" hidden="1">{"'ridftotal'!$A$4:$S$27"}</definedName>
    <definedName name="Index" hidden="1">{"'ridftotal'!$A$4:$S$27"}</definedName>
    <definedName name="interlocking" localSheetId="6">#REF!</definedName>
    <definedName name="interlocking" localSheetId="12">#REF!</definedName>
    <definedName name="interlocking" localSheetId="34">#REF!</definedName>
    <definedName name="interlocking" localSheetId="19">#REF!</definedName>
    <definedName name="interlocking">#REF!</definedName>
    <definedName name="Ipartb">#REF!</definedName>
    <definedName name="isolatedworks" localSheetId="5">#REF!</definedName>
    <definedName name="isolatedworks" localSheetId="6">#REF!</definedName>
    <definedName name="isolatedworks" localSheetId="12">#REF!</definedName>
    <definedName name="isolatedworks" localSheetId="19">#REF!</definedName>
    <definedName name="isolatedworks" localSheetId="30">#REF!</definedName>
    <definedName name="isolatedworks">#REF!</definedName>
    <definedName name="j_43" localSheetId="19">#REF!</definedName>
    <definedName name="j_59" localSheetId="27">#REF!</definedName>
    <definedName name="j_59">#REF!</definedName>
    <definedName name="j_61">#REF!</definedName>
    <definedName name="Javeed" localSheetId="22">#REF!</definedName>
    <definedName name="Javeed" localSheetId="5">#REF!</definedName>
    <definedName name="Javeed" localSheetId="6">#REF!</definedName>
    <definedName name="Javeed" localSheetId="12">#REF!</definedName>
    <definedName name="Javeed" localSheetId="34">#REF!</definedName>
    <definedName name="Javeed" localSheetId="19">#REF!</definedName>
    <definedName name="Javeed" localSheetId="30">#REF!</definedName>
    <definedName name="Javeed" localSheetId="40">#REF!</definedName>
    <definedName name="Javeed" localSheetId="26">#REF!</definedName>
    <definedName name="Javeed">#REF!</definedName>
    <definedName name="JBcode_14dig" localSheetId="22">#REF!</definedName>
    <definedName name="JBcode_14dig" localSheetId="5">#REF!</definedName>
    <definedName name="JBcode_14dig" localSheetId="6">#REF!</definedName>
    <definedName name="JBcode_14dig" localSheetId="12">#REF!</definedName>
    <definedName name="JBcode_14dig" localSheetId="34">#REF!</definedName>
    <definedName name="JBcode_14dig" localSheetId="19">#REF!</definedName>
    <definedName name="JBcode_14dig" localSheetId="30">#REF!</definedName>
    <definedName name="JBcode_14dig" localSheetId="40">#REF!</definedName>
    <definedName name="JBcode_14dig" localSheetId="26">#REF!</definedName>
    <definedName name="JBcode_14dig">#REF!</definedName>
    <definedName name="jd" localSheetId="6">#REF!</definedName>
    <definedName name="jd" localSheetId="12">#REF!</definedName>
    <definedName name="jd" localSheetId="19">#REF!</definedName>
    <definedName name="jd" localSheetId="30">#REF!</definedName>
    <definedName name="jd">#REF!</definedName>
    <definedName name="JeddyStone_DryPacking">#REF!</definedName>
    <definedName name="JI" localSheetId="14">#REF!</definedName>
    <definedName name="JI" localSheetId="6">#REF!</definedName>
    <definedName name="JI" localSheetId="12">#REF!</definedName>
    <definedName name="JI" localSheetId="19">#REF!</definedName>
    <definedName name="JI">#REF!</definedName>
    <definedName name="jk" localSheetId="27" hidden="1">{"'ridftotal'!$A$4:$S$27"}</definedName>
    <definedName name="jk" localSheetId="22" hidden="1">{"'ridftotal'!$A$4:$S$27"}</definedName>
    <definedName name="jk" localSheetId="14" hidden="1">{"'ridftotal'!$A$4:$S$27"}</definedName>
    <definedName name="jk" localSheetId="34" hidden="1">{"'ridftotal'!$A$4:$S$27"}</definedName>
    <definedName name="jk" localSheetId="21" hidden="1">{"'ridftotal'!$A$4:$S$27"}</definedName>
    <definedName name="jk" localSheetId="19" hidden="1">{"'ridftotal'!$A$4:$S$27"}</definedName>
    <definedName name="jk" localSheetId="32" hidden="1">{"'ridftotal'!$A$4:$S$27"}</definedName>
    <definedName name="jk" localSheetId="30" hidden="1">{"'ridftotal'!$A$4:$S$27"}</definedName>
    <definedName name="jk" localSheetId="11" hidden="1">{"'ridftotal'!$A$4:$S$27"}</definedName>
    <definedName name="jk" localSheetId="3" hidden="1">{"'ridftotal'!$A$4:$S$27"}</definedName>
    <definedName name="jk" hidden="1">{"'ridftotal'!$A$4:$S$27"}</definedName>
    <definedName name="jlkjlklklk" localSheetId="19">#REF!</definedName>
    <definedName name="Juliflora">#REF!</definedName>
    <definedName name="JUNGLE" localSheetId="5">#REF!</definedName>
    <definedName name="JUNGLE" localSheetId="6">#REF!</definedName>
    <definedName name="JUNGLE" localSheetId="12">#REF!</definedName>
    <definedName name="JUNGLE" localSheetId="34">#REF!</definedName>
    <definedName name="JUNGLE" localSheetId="19">#REF!</definedName>
    <definedName name="JUNGLE" localSheetId="30">#REF!</definedName>
    <definedName name="JUNGLE">#REF!</definedName>
    <definedName name="JUngleClearance">#REF!</definedName>
    <definedName name="k_21" localSheetId="19">#REF!</definedName>
    <definedName name="k_33" localSheetId="27">#REF!</definedName>
    <definedName name="k_33">#REF!</definedName>
    <definedName name="k_34">#REF!</definedName>
    <definedName name="ka" localSheetId="6">#REF!</definedName>
    <definedName name="ka" localSheetId="12">#REF!</definedName>
    <definedName name="ka" localSheetId="34">#REF!</definedName>
    <definedName name="ka" localSheetId="19">#REF!</definedName>
    <definedName name="ka">#REF!</definedName>
    <definedName name="KADA" localSheetId="27" hidden="1">{"'ridftotal'!$A$4:$S$27"}</definedName>
    <definedName name="KADA" localSheetId="22" hidden="1">{"'ridftotal'!$A$4:$S$27"}</definedName>
    <definedName name="KADA" localSheetId="14" hidden="1">{"'ridftotal'!$A$4:$S$27"}</definedName>
    <definedName name="KADA" localSheetId="19" hidden="1">{"'ridftotal'!$A$4:$S$27"}</definedName>
    <definedName name="KADA" localSheetId="30" hidden="1">{"'ridftotal'!$A$4:$S$27"}</definedName>
    <definedName name="KADA" hidden="1">{"'ridftotal'!$A$4:$S$27"}</definedName>
    <definedName name="kADAPA" localSheetId="27" hidden="1">{"'ridftotal'!$A$4:$S$27"}</definedName>
    <definedName name="kADAPA" localSheetId="22" hidden="1">{"'ridftotal'!$A$4:$S$27"}</definedName>
    <definedName name="kADAPA" localSheetId="14" hidden="1">{"'ridftotal'!$A$4:$S$27"}</definedName>
    <definedName name="kADAPA" localSheetId="19" hidden="1">{"'ridftotal'!$A$4:$S$27"}</definedName>
    <definedName name="kADAPA" localSheetId="30" hidden="1">{"'ridftotal'!$A$4:$S$27"}</definedName>
    <definedName name="kADAPA" hidden="1">{"'ridftotal'!$A$4:$S$27"}</definedName>
    <definedName name="Key" localSheetId="6">#REF!</definedName>
    <definedName name="Key" localSheetId="12">#REF!</definedName>
    <definedName name="Key" localSheetId="19">#REF!</definedName>
    <definedName name="Key">#REF!</definedName>
    <definedName name="kfsdkagsdkfaksdlf" localSheetId="5">#REF!</definedName>
    <definedName name="kfsdkagsdkfaksdlf" localSheetId="6">#REF!</definedName>
    <definedName name="kfsdkagsdkfaksdlf" localSheetId="12">#REF!</definedName>
    <definedName name="kfsdkagsdkfaksdlf" localSheetId="19">#REF!</definedName>
    <definedName name="kfsdkagsdkfaksdlf">#REF!</definedName>
    <definedName name="khhgf">#REF!</definedName>
    <definedName name="KJ" localSheetId="27" hidden="1">{"'ridftotal'!$A$4:$S$27"}</definedName>
    <definedName name="KJ" localSheetId="22" hidden="1">{"'ridftotal'!$A$4:$S$27"}</definedName>
    <definedName name="KJ" localSheetId="14" hidden="1">{"'ridftotal'!$A$4:$S$27"}</definedName>
    <definedName name="KJ" localSheetId="34" hidden="1">{"'ridftotal'!$A$4:$S$27"}</definedName>
    <definedName name="KJ" localSheetId="19" hidden="1">{"'ridftotal'!$A$4:$S$27"}</definedName>
    <definedName name="KJ" localSheetId="32" hidden="1">{"'ridftotal'!$A$4:$S$27"}</definedName>
    <definedName name="KJ" localSheetId="30" hidden="1">{"'ridftotal'!$A$4:$S$27"}</definedName>
    <definedName name="KJ" localSheetId="11" hidden="1">{"'ridftotal'!$A$4:$S$27"}</definedName>
    <definedName name="KJ" localSheetId="3" hidden="1">{"'ridftotal'!$A$4:$S$27"}</definedName>
    <definedName name="KJ" hidden="1">{"'ridftotal'!$A$4:$S$27"}</definedName>
    <definedName name="kj_32">#REF!</definedName>
    <definedName name="kj_33">#REF!</definedName>
    <definedName name="kj_34">#REF!</definedName>
    <definedName name="kj_43">#REF!</definedName>
    <definedName name="kj_58">#REF!</definedName>
    <definedName name="kj_59">#REF!</definedName>
    <definedName name="kj_61">#REF!</definedName>
    <definedName name="kju">#REF!</definedName>
    <definedName name="kk" localSheetId="22">#REF!</definedName>
    <definedName name="kk" localSheetId="5">#REF!</definedName>
    <definedName name="kk" localSheetId="6">#REF!</definedName>
    <definedName name="kk" localSheetId="12">#REF!</definedName>
    <definedName name="kk" localSheetId="34">#REF!</definedName>
    <definedName name="kk" localSheetId="19">#REF!</definedName>
    <definedName name="kk" localSheetId="30">#REF!</definedName>
    <definedName name="kk" localSheetId="40">#REF!</definedName>
    <definedName name="kk" localSheetId="26">#REF!</definedName>
    <definedName name="kk">#REF!</definedName>
    <definedName name="klklk" localSheetId="27">#REF!</definedName>
    <definedName name="klklk">#REF!</definedName>
    <definedName name="Km" localSheetId="6">#REF!</definedName>
    <definedName name="Km" localSheetId="12">#REF!</definedName>
    <definedName name="Km" localSheetId="19">#REF!</definedName>
    <definedName name="km" localSheetId="30">#REF!</definedName>
    <definedName name="Km">#REF!</definedName>
    <definedName name="km10th" localSheetId="22">#REF!</definedName>
    <definedName name="km10th" localSheetId="5">#REF!</definedName>
    <definedName name="km10th" localSheetId="6">#REF!</definedName>
    <definedName name="km10th" localSheetId="12">#REF!</definedName>
    <definedName name="km10th" localSheetId="34">#REF!</definedName>
    <definedName name="km10th" localSheetId="19">#REF!</definedName>
    <definedName name="km10th" localSheetId="30">#REF!</definedName>
    <definedName name="km10th" localSheetId="40">#REF!</definedName>
    <definedName name="km10th" localSheetId="26">#REF!</definedName>
    <definedName name="km10th">#REF!</definedName>
    <definedName name="km10th_23">"$#REF!.$#REF!$#REF!"</definedName>
    <definedName name="km10th_32">"$#REF!.$#REF!$#REF!"</definedName>
    <definedName name="km10th_33">"$#REF!.$#REF!$#REF!"</definedName>
    <definedName name="km10th_34">"$#REF!.$#REF!$#REF!"</definedName>
    <definedName name="km10th_38">"$#REF!.$#REF!$#REF!"</definedName>
    <definedName name="km10th_41">"$#REF!.$#REF!$#REF!"</definedName>
    <definedName name="km10th_43">"$#REF!.$#REF!$#REF!"</definedName>
    <definedName name="km10th_48">"$#REF!.$#REF!$#REF!"</definedName>
    <definedName name="km10th_56">"$#REF!.$#REF!$#REF!"</definedName>
    <definedName name="km10th_57">"$#REF!.$#REF!$#REF!"</definedName>
    <definedName name="km10th_59">"$#REF!.$#REF!$#REF!"</definedName>
    <definedName name="km10th_60">"$#REF!.$#REF!$#REF!"</definedName>
    <definedName name="km10th_61">"$#REF!.$#REF!$#REF!"</definedName>
    <definedName name="km10th_62">"$#REF!.$#REF!$#REF!"</definedName>
    <definedName name="km10th_7">"$#REF!.$#REF!$#REF!"</definedName>
    <definedName name="km10th_72">"$#REF!.$#REF!$#REF!"</definedName>
    <definedName name="km10th_73">"$#REF!.$#REF!$#REF!"</definedName>
    <definedName name="km10th_8">"$#REF!.$#REF!$#REF!"</definedName>
    <definedName name="km11th" localSheetId="22">#REF!</definedName>
    <definedName name="km11th" localSheetId="5">#REF!</definedName>
    <definedName name="km11th" localSheetId="6">#REF!</definedName>
    <definedName name="km11th" localSheetId="12">#REF!</definedName>
    <definedName name="km11th" localSheetId="34">#REF!</definedName>
    <definedName name="km11th" localSheetId="19">#REF!</definedName>
    <definedName name="km11th" localSheetId="30">#REF!</definedName>
    <definedName name="km11th" localSheetId="40">#REF!</definedName>
    <definedName name="km11th" localSheetId="26">#REF!</definedName>
    <definedName name="km11th">#REF!</definedName>
    <definedName name="km11th_23">"$#REF!.$#REF!$#REF!"</definedName>
    <definedName name="km11th_32">"$#REF!.$#REF!$#REF!"</definedName>
    <definedName name="km11th_33">"$#REF!.$#REF!$#REF!"</definedName>
    <definedName name="km11th_34">"$#REF!.$#REF!$#REF!"</definedName>
    <definedName name="km11th_38">"$#REF!.$#REF!$#REF!"</definedName>
    <definedName name="km11th_41">"$#REF!.$#REF!$#REF!"</definedName>
    <definedName name="km11th_43">"$#REF!.$#REF!$#REF!"</definedName>
    <definedName name="km11th_48">"$#REF!.$#REF!$#REF!"</definedName>
    <definedName name="km11th_56">"$#REF!.$#REF!$#REF!"</definedName>
    <definedName name="km11th_57">"$#REF!.$#REF!$#REF!"</definedName>
    <definedName name="km11th_59">"$#REF!.$#REF!$#REF!"</definedName>
    <definedName name="km11th_60">"$#REF!.$#REF!$#REF!"</definedName>
    <definedName name="km11th_61">"$#REF!.$#REF!$#REF!"</definedName>
    <definedName name="km11th_62">"$#REF!.$#REF!$#REF!"</definedName>
    <definedName name="km11th_7">"$#REF!.$#REF!$#REF!"</definedName>
    <definedName name="km11th_72">"$#REF!.$#REF!$#REF!"</definedName>
    <definedName name="km11th_73">"$#REF!.$#REF!$#REF!"</definedName>
    <definedName name="km11th_8">"$#REF!.$#REF!$#REF!"</definedName>
    <definedName name="km12th" localSheetId="22">#REF!</definedName>
    <definedName name="km12th" localSheetId="5">#REF!</definedName>
    <definedName name="km12th" localSheetId="6">#REF!</definedName>
    <definedName name="km12th" localSheetId="12">#REF!</definedName>
    <definedName name="km12th" localSheetId="34">#REF!</definedName>
    <definedName name="km12th" localSheetId="19">#REF!</definedName>
    <definedName name="km12th" localSheetId="30">#REF!</definedName>
    <definedName name="km12th" localSheetId="40">#REF!</definedName>
    <definedName name="km12th" localSheetId="26">#REF!</definedName>
    <definedName name="km12th">#REF!</definedName>
    <definedName name="km12th_23">"$#REF!.$#REF!$#REF!"</definedName>
    <definedName name="km12th_32">"$#REF!.$#REF!$#REF!"</definedName>
    <definedName name="km12th_33">"$#REF!.$#REF!$#REF!"</definedName>
    <definedName name="km12th_34">"$#REF!.$#REF!$#REF!"</definedName>
    <definedName name="km12th_38">"$#REF!.$#REF!$#REF!"</definedName>
    <definedName name="km12th_41">"$#REF!.$#REF!$#REF!"</definedName>
    <definedName name="km12th_43">"$#REF!.$#REF!$#REF!"</definedName>
    <definedName name="km12th_48">"$#REF!.$#REF!$#REF!"</definedName>
    <definedName name="km12th_56">"$#REF!.$#REF!$#REF!"</definedName>
    <definedName name="km12th_57">"$#REF!.$#REF!$#REF!"</definedName>
    <definedName name="km12th_59">"$#REF!.$#REF!$#REF!"</definedName>
    <definedName name="km12th_60">"$#REF!.$#REF!$#REF!"</definedName>
    <definedName name="km12th_61">"$#REF!.$#REF!$#REF!"</definedName>
    <definedName name="km12th_62">"$#REF!.$#REF!$#REF!"</definedName>
    <definedName name="km12th_7">"$#REF!.$#REF!$#REF!"</definedName>
    <definedName name="km12th_72">"$#REF!.$#REF!$#REF!"</definedName>
    <definedName name="km12th_73">"$#REF!.$#REF!$#REF!"</definedName>
    <definedName name="km12th_8">"$#REF!.$#REF!$#REF!"</definedName>
    <definedName name="km13th" localSheetId="22">#REF!</definedName>
    <definedName name="km13th" localSheetId="5">#REF!</definedName>
    <definedName name="km13th" localSheetId="6">#REF!</definedName>
    <definedName name="km13th" localSheetId="12">#REF!</definedName>
    <definedName name="km13th" localSheetId="34">#REF!</definedName>
    <definedName name="km13th" localSheetId="19">#REF!</definedName>
    <definedName name="km13th" localSheetId="30">#REF!</definedName>
    <definedName name="km13th" localSheetId="40">#REF!</definedName>
    <definedName name="km13th" localSheetId="26">#REF!</definedName>
    <definedName name="km13th">#REF!</definedName>
    <definedName name="km13th_23">"$#REF!.$#REF!$#REF!"</definedName>
    <definedName name="km13th_32">"$#REF!.$#REF!$#REF!"</definedName>
    <definedName name="km13th_33">"$#REF!.$#REF!$#REF!"</definedName>
    <definedName name="km13th_34">"$#REF!.$#REF!$#REF!"</definedName>
    <definedName name="km13th_38">"$#REF!.$#REF!$#REF!"</definedName>
    <definedName name="km13th_41">"$#REF!.$#REF!$#REF!"</definedName>
    <definedName name="km13th_43">"$#REF!.$#REF!$#REF!"</definedName>
    <definedName name="km13th_48">"$#REF!.$#REF!$#REF!"</definedName>
    <definedName name="km13th_56">"$#REF!.$#REF!$#REF!"</definedName>
    <definedName name="km13th_57">"$#REF!.$#REF!$#REF!"</definedName>
    <definedName name="km13th_59">"$#REF!.$#REF!$#REF!"</definedName>
    <definedName name="km13th_60">"$#REF!.$#REF!$#REF!"</definedName>
    <definedName name="km13th_61">"$#REF!.$#REF!$#REF!"</definedName>
    <definedName name="km13th_62">"$#REF!.$#REF!$#REF!"</definedName>
    <definedName name="km13th_7">"$#REF!.$#REF!$#REF!"</definedName>
    <definedName name="km13th_72">"$#REF!.$#REF!$#REF!"</definedName>
    <definedName name="km13th_73">"$#REF!.$#REF!$#REF!"</definedName>
    <definedName name="km13th_8">"$#REF!.$#REF!$#REF!"</definedName>
    <definedName name="km14th" localSheetId="22">#REF!</definedName>
    <definedName name="km14th" localSheetId="5">#REF!</definedName>
    <definedName name="km14th" localSheetId="6">#REF!</definedName>
    <definedName name="km14th" localSheetId="12">#REF!</definedName>
    <definedName name="km14th" localSheetId="34">#REF!</definedName>
    <definedName name="km14th" localSheetId="19">#REF!</definedName>
    <definedName name="km14th" localSheetId="30">#REF!</definedName>
    <definedName name="km14th" localSheetId="40">#REF!</definedName>
    <definedName name="km14th" localSheetId="26">#REF!</definedName>
    <definedName name="km14th">#REF!</definedName>
    <definedName name="km14th_23">"$#REF!.$#REF!$#REF!"</definedName>
    <definedName name="km14th_32">"$#REF!.$#REF!$#REF!"</definedName>
    <definedName name="km14th_33">"$#REF!.$#REF!$#REF!"</definedName>
    <definedName name="km14th_34">"$#REF!.$#REF!$#REF!"</definedName>
    <definedName name="km14th_38">"$#REF!.$#REF!$#REF!"</definedName>
    <definedName name="km14th_41">"$#REF!.$#REF!$#REF!"</definedName>
    <definedName name="km14th_43">"$#REF!.$#REF!$#REF!"</definedName>
    <definedName name="km14th_48">"$#REF!.$#REF!$#REF!"</definedName>
    <definedName name="km14th_56">"$#REF!.$#REF!$#REF!"</definedName>
    <definedName name="km14th_57">"$#REF!.$#REF!$#REF!"</definedName>
    <definedName name="km14th_59">"$#REF!.$#REF!$#REF!"</definedName>
    <definedName name="km14th_60">"$#REF!.$#REF!$#REF!"</definedName>
    <definedName name="km14th_61">"$#REF!.$#REF!$#REF!"</definedName>
    <definedName name="km14th_62">"$#REF!.$#REF!$#REF!"</definedName>
    <definedName name="km14th_7">"$#REF!.$#REF!$#REF!"</definedName>
    <definedName name="km14th_72">"$#REF!.$#REF!$#REF!"</definedName>
    <definedName name="km14th_73">"$#REF!.$#REF!$#REF!"</definedName>
    <definedName name="km14th_8">"$#REF!.$#REF!$#REF!"</definedName>
    <definedName name="km16th" localSheetId="22">#REF!</definedName>
    <definedName name="km16th" localSheetId="5">#REF!</definedName>
    <definedName name="km16th" localSheetId="6">#REF!</definedName>
    <definedName name="km16th" localSheetId="12">#REF!</definedName>
    <definedName name="km16th" localSheetId="34">#REF!</definedName>
    <definedName name="km16th" localSheetId="19">#REF!</definedName>
    <definedName name="km16th" localSheetId="30">#REF!</definedName>
    <definedName name="km16th" localSheetId="40">#REF!</definedName>
    <definedName name="km16th" localSheetId="26">#REF!</definedName>
    <definedName name="km16th">#REF!</definedName>
    <definedName name="km16th_23">"$#REF!.$#REF!$#REF!"</definedName>
    <definedName name="km16th_32">"$#REF!.$#REF!$#REF!"</definedName>
    <definedName name="km16th_33">"$#REF!.$#REF!$#REF!"</definedName>
    <definedName name="km16th_34">"$#REF!.$#REF!$#REF!"</definedName>
    <definedName name="km16th_38">"$#REF!.$#REF!$#REF!"</definedName>
    <definedName name="km16th_41">"$#REF!.$#REF!$#REF!"</definedName>
    <definedName name="km16th_43">"$#REF!.$#REF!$#REF!"</definedName>
    <definedName name="km16th_48">"$#REF!.$#REF!$#REF!"</definedName>
    <definedName name="km16th_56">"$#REF!.$#REF!$#REF!"</definedName>
    <definedName name="km16th_57">"$#REF!.$#REF!$#REF!"</definedName>
    <definedName name="km16th_59">"$#REF!.$#REF!$#REF!"</definedName>
    <definedName name="km16th_60">"$#REF!.$#REF!$#REF!"</definedName>
    <definedName name="km16th_61">"$#REF!.$#REF!$#REF!"</definedName>
    <definedName name="km16th_62">"$#REF!.$#REF!$#REF!"</definedName>
    <definedName name="km16th_7">"$#REF!.$#REF!$#REF!"</definedName>
    <definedName name="km16th_72">"$#REF!.$#REF!$#REF!"</definedName>
    <definedName name="km16th_73">"$#REF!.$#REF!$#REF!"</definedName>
    <definedName name="km16th_8">"$#REF!.$#REF!$#REF!"</definedName>
    <definedName name="km17th" localSheetId="22">#REF!</definedName>
    <definedName name="km17th" localSheetId="5">#REF!</definedName>
    <definedName name="km17th" localSheetId="6">#REF!</definedName>
    <definedName name="km17th" localSheetId="12">#REF!</definedName>
    <definedName name="km17th" localSheetId="34">#REF!</definedName>
    <definedName name="km17th" localSheetId="19">#REF!</definedName>
    <definedName name="km17th" localSheetId="30">#REF!</definedName>
    <definedName name="km17th" localSheetId="40">#REF!</definedName>
    <definedName name="km17th" localSheetId="26">#REF!</definedName>
    <definedName name="km17th">#REF!</definedName>
    <definedName name="km17th_23">"$#REF!.$#REF!$#REF!"</definedName>
    <definedName name="km17th_32">"$#REF!.$#REF!$#REF!"</definedName>
    <definedName name="km17th_33">"$#REF!.$#REF!$#REF!"</definedName>
    <definedName name="km17th_34">"$#REF!.$#REF!$#REF!"</definedName>
    <definedName name="km17th_38">"$#REF!.$#REF!$#REF!"</definedName>
    <definedName name="km17th_41">"$#REF!.$#REF!$#REF!"</definedName>
    <definedName name="km17th_43">"$#REF!.$#REF!$#REF!"</definedName>
    <definedName name="km17th_48">"$#REF!.$#REF!$#REF!"</definedName>
    <definedName name="km17th_56">"$#REF!.$#REF!$#REF!"</definedName>
    <definedName name="km17th_57">"$#REF!.$#REF!$#REF!"</definedName>
    <definedName name="km17th_59">"$#REF!.$#REF!$#REF!"</definedName>
    <definedName name="km17th_60">"$#REF!.$#REF!$#REF!"</definedName>
    <definedName name="km17th_61">"$#REF!.$#REF!$#REF!"</definedName>
    <definedName name="km17th_62">"$#REF!.$#REF!$#REF!"</definedName>
    <definedName name="km17th_7">"$#REF!.$#REF!$#REF!"</definedName>
    <definedName name="km17th_72">"$#REF!.$#REF!$#REF!"</definedName>
    <definedName name="km17th_73">"$#REF!.$#REF!$#REF!"</definedName>
    <definedName name="km17th_8">"$#REF!.$#REF!$#REF!"</definedName>
    <definedName name="km18th" localSheetId="22">#REF!</definedName>
    <definedName name="km18th" localSheetId="5">#REF!</definedName>
    <definedName name="km18th" localSheetId="6">#REF!</definedName>
    <definedName name="km18th" localSheetId="12">#REF!</definedName>
    <definedName name="km18th" localSheetId="34">#REF!</definedName>
    <definedName name="km18th" localSheetId="19">#REF!</definedName>
    <definedName name="km18th" localSheetId="30">#REF!</definedName>
    <definedName name="km18th" localSheetId="40">#REF!</definedName>
    <definedName name="km18th" localSheetId="26">#REF!</definedName>
    <definedName name="km18th">#REF!</definedName>
    <definedName name="km18th_23">"$#REF!.$#REF!$#REF!"</definedName>
    <definedName name="km18th_32">"$#REF!.$#REF!$#REF!"</definedName>
    <definedName name="km18th_33">"$#REF!.$#REF!$#REF!"</definedName>
    <definedName name="km18th_34">"$#REF!.$#REF!$#REF!"</definedName>
    <definedName name="km18th_38">"$#REF!.$#REF!$#REF!"</definedName>
    <definedName name="km18th_41">"$#REF!.$#REF!$#REF!"</definedName>
    <definedName name="km18th_43">"$#REF!.$#REF!$#REF!"</definedName>
    <definedName name="km18th_48">"$#REF!.$#REF!$#REF!"</definedName>
    <definedName name="km18th_56">"$#REF!.$#REF!$#REF!"</definedName>
    <definedName name="km18th_57">"$#REF!.$#REF!$#REF!"</definedName>
    <definedName name="km18th_59">"$#REF!.$#REF!$#REF!"</definedName>
    <definedName name="km18th_60">"$#REF!.$#REF!$#REF!"</definedName>
    <definedName name="km18th_61">"$#REF!.$#REF!$#REF!"</definedName>
    <definedName name="km18th_62">"$#REF!.$#REF!$#REF!"</definedName>
    <definedName name="km18th_7">"$#REF!.$#REF!$#REF!"</definedName>
    <definedName name="km18th_72">"$#REF!.$#REF!$#REF!"</definedName>
    <definedName name="km18th_73">"$#REF!.$#REF!$#REF!"</definedName>
    <definedName name="km18th_8">"$#REF!.$#REF!$#REF!"</definedName>
    <definedName name="km19th" localSheetId="22">#REF!</definedName>
    <definedName name="km19th" localSheetId="5">#REF!</definedName>
    <definedName name="km19th" localSheetId="6">#REF!</definedName>
    <definedName name="km19th" localSheetId="12">#REF!</definedName>
    <definedName name="km19th" localSheetId="34">#REF!</definedName>
    <definedName name="km19th" localSheetId="19">#REF!</definedName>
    <definedName name="km19th" localSheetId="30">#REF!</definedName>
    <definedName name="km19th" localSheetId="40">#REF!</definedName>
    <definedName name="km19th" localSheetId="26">#REF!</definedName>
    <definedName name="km19th">#REF!</definedName>
    <definedName name="km19th_23">"$#REF!.$#REF!$#REF!"</definedName>
    <definedName name="km19th_32">"$#REF!.$#REF!$#REF!"</definedName>
    <definedName name="km19th_33">"$#REF!.$#REF!$#REF!"</definedName>
    <definedName name="km19th_34">"$#REF!.$#REF!$#REF!"</definedName>
    <definedName name="km19th_38">"$#REF!.$#REF!$#REF!"</definedName>
    <definedName name="km19th_41">"$#REF!.$#REF!$#REF!"</definedName>
    <definedName name="km19th_43">"$#REF!.$#REF!$#REF!"</definedName>
    <definedName name="km19th_48">"$#REF!.$#REF!$#REF!"</definedName>
    <definedName name="km19th_56">"$#REF!.$#REF!$#REF!"</definedName>
    <definedName name="km19th_57">"$#REF!.$#REF!$#REF!"</definedName>
    <definedName name="km19th_59">"$#REF!.$#REF!$#REF!"</definedName>
    <definedName name="km19th_60">"$#REF!.$#REF!$#REF!"</definedName>
    <definedName name="km19th_61">"$#REF!.$#REF!$#REF!"</definedName>
    <definedName name="km19th_62">"$#REF!.$#REF!$#REF!"</definedName>
    <definedName name="km19th_7">"$#REF!.$#REF!$#REF!"</definedName>
    <definedName name="km19th_72">"$#REF!.$#REF!$#REF!"</definedName>
    <definedName name="km19th_73">"$#REF!.$#REF!$#REF!"</definedName>
    <definedName name="km19th_8">"$#REF!.$#REF!$#REF!"</definedName>
    <definedName name="km20th" localSheetId="22">#REF!</definedName>
    <definedName name="km20th" localSheetId="5">#REF!</definedName>
    <definedName name="km20th" localSheetId="6">#REF!</definedName>
    <definedName name="km20th" localSheetId="12">#REF!</definedName>
    <definedName name="km20th" localSheetId="34">#REF!</definedName>
    <definedName name="km20th" localSheetId="19">#REF!</definedName>
    <definedName name="km20th" localSheetId="30">#REF!</definedName>
    <definedName name="km20th" localSheetId="40">#REF!</definedName>
    <definedName name="km20th" localSheetId="26">#REF!</definedName>
    <definedName name="km20th">#REF!</definedName>
    <definedName name="km20th_23">"$#REF!.$#REF!$#REF!"</definedName>
    <definedName name="km20th_32">"$#REF!.$#REF!$#REF!"</definedName>
    <definedName name="km20th_33">"$#REF!.$#REF!$#REF!"</definedName>
    <definedName name="km20th_34">"$#REF!.$#REF!$#REF!"</definedName>
    <definedName name="km20th_38">"$#REF!.$#REF!$#REF!"</definedName>
    <definedName name="km20th_41">"$#REF!.$#REF!$#REF!"</definedName>
    <definedName name="km20th_43">"$#REF!.$#REF!$#REF!"</definedName>
    <definedName name="km20th_48">"$#REF!.$#REF!$#REF!"</definedName>
    <definedName name="km20th_56">"$#REF!.$#REF!$#REF!"</definedName>
    <definedName name="km20th_57">"$#REF!.$#REF!$#REF!"</definedName>
    <definedName name="km20th_59">"$#REF!.$#REF!$#REF!"</definedName>
    <definedName name="km20th_60">"$#REF!.$#REF!$#REF!"</definedName>
    <definedName name="km20th_61">"$#REF!.$#REF!$#REF!"</definedName>
    <definedName name="km20th_62">"$#REF!.$#REF!$#REF!"</definedName>
    <definedName name="km20th_7">"$#REF!.$#REF!$#REF!"</definedName>
    <definedName name="km20th_72">"$#REF!.$#REF!$#REF!"</definedName>
    <definedName name="km20th_73">"$#REF!.$#REF!$#REF!"</definedName>
    <definedName name="km20th_8">"$#REF!.$#REF!$#REF!"</definedName>
    <definedName name="km2nd" localSheetId="22">#REF!</definedName>
    <definedName name="km2nd" localSheetId="5">#REF!</definedName>
    <definedName name="km2nd" localSheetId="6">#REF!</definedName>
    <definedName name="km2nd" localSheetId="12">#REF!</definedName>
    <definedName name="km2nd" localSheetId="34">#REF!</definedName>
    <definedName name="km2nd" localSheetId="19">#REF!</definedName>
    <definedName name="km2nd" localSheetId="30">#REF!</definedName>
    <definedName name="km2nd" localSheetId="40">#REF!</definedName>
    <definedName name="km2nd" localSheetId="26">#REF!</definedName>
    <definedName name="km2nd">#REF!</definedName>
    <definedName name="km2nd_23">"$#REF!.$#REF!$#REF!"</definedName>
    <definedName name="km2nd_32">"$#REF!.$#REF!$#REF!"</definedName>
    <definedName name="km2nd_33">"$#REF!.$#REF!$#REF!"</definedName>
    <definedName name="km2nd_34">"$#REF!.$#REF!$#REF!"</definedName>
    <definedName name="km2nd_38">"$#REF!.$#REF!$#REF!"</definedName>
    <definedName name="km2nd_41">"$#REF!.$#REF!$#REF!"</definedName>
    <definedName name="km2nd_43">"$#REF!.$#REF!$#REF!"</definedName>
    <definedName name="km2nd_48">"$#REF!.$#REF!$#REF!"</definedName>
    <definedName name="km2nd_56">"$#REF!.$#REF!$#REF!"</definedName>
    <definedName name="km2nd_57">"$#REF!.$#REF!$#REF!"</definedName>
    <definedName name="km2nd_59">"$#REF!.$#REF!$#REF!"</definedName>
    <definedName name="km2nd_60">"$#REF!.$#REF!$#REF!"</definedName>
    <definedName name="km2nd_61">"$#REF!.$#REF!$#REF!"</definedName>
    <definedName name="km2nd_62">"$#REF!.$#REF!$#REF!"</definedName>
    <definedName name="km2nd_7">"$#REF!.$#REF!$#REF!"</definedName>
    <definedName name="km2nd_72">"$#REF!.$#REF!$#REF!"</definedName>
    <definedName name="km2nd_73">"$#REF!.$#REF!$#REF!"</definedName>
    <definedName name="km2nd_8">"$#REF!.$#REF!$#REF!"</definedName>
    <definedName name="km3rd" localSheetId="22">#REF!</definedName>
    <definedName name="km3rd" localSheetId="5">#REF!</definedName>
    <definedName name="km3rd" localSheetId="6">#REF!</definedName>
    <definedName name="km3rd" localSheetId="12">#REF!</definedName>
    <definedName name="km3rd" localSheetId="34">#REF!</definedName>
    <definedName name="km3rd" localSheetId="19">#REF!</definedName>
    <definedName name="km3rd" localSheetId="30">#REF!</definedName>
    <definedName name="km3rd" localSheetId="40">#REF!</definedName>
    <definedName name="km3rd" localSheetId="26">#REF!</definedName>
    <definedName name="km3rd">#REF!</definedName>
    <definedName name="km3rd_23">"$#REF!.$#REF!$#REF!"</definedName>
    <definedName name="km3rd_32">"$#REF!.$#REF!$#REF!"</definedName>
    <definedName name="km3rd_33">"$#REF!.$#REF!$#REF!"</definedName>
    <definedName name="km3rd_34">"$#REF!.$#REF!$#REF!"</definedName>
    <definedName name="km3rd_38">"$#REF!.$#REF!$#REF!"</definedName>
    <definedName name="km3rd_41">"$#REF!.$#REF!$#REF!"</definedName>
    <definedName name="km3rd_43">"$#REF!.$#REF!$#REF!"</definedName>
    <definedName name="km3rd_48">"$#REF!.$#REF!$#REF!"</definedName>
    <definedName name="km3rd_56">"$#REF!.$#REF!$#REF!"</definedName>
    <definedName name="km3rd_57">"$#REF!.$#REF!$#REF!"</definedName>
    <definedName name="km3rd_59">"$#REF!.$#REF!$#REF!"</definedName>
    <definedName name="km3rd_60">"$#REF!.$#REF!$#REF!"</definedName>
    <definedName name="km3rd_61">"$#REF!.$#REF!$#REF!"</definedName>
    <definedName name="km3rd_62">"$#REF!.$#REF!$#REF!"</definedName>
    <definedName name="km3rd_7">"$#REF!.$#REF!$#REF!"</definedName>
    <definedName name="km3rd_72">"$#REF!.$#REF!$#REF!"</definedName>
    <definedName name="km3rd_73">"$#REF!.$#REF!$#REF!"</definedName>
    <definedName name="km3rd_8">"$#REF!.$#REF!$#REF!"</definedName>
    <definedName name="km4th" localSheetId="22">#REF!</definedName>
    <definedName name="km4th" localSheetId="5">#REF!</definedName>
    <definedName name="km4th" localSheetId="6">#REF!</definedName>
    <definedName name="km4th" localSheetId="12">#REF!</definedName>
    <definedName name="km4th" localSheetId="34">#REF!</definedName>
    <definedName name="km4th" localSheetId="19">#REF!</definedName>
    <definedName name="km4th" localSheetId="30">#REF!</definedName>
    <definedName name="km4th" localSheetId="40">#REF!</definedName>
    <definedName name="km4th" localSheetId="26">#REF!</definedName>
    <definedName name="km4th">#REF!</definedName>
    <definedName name="km4th_23">"$#REF!.$#REF!$#REF!"</definedName>
    <definedName name="km4th_32">"$#REF!.$#REF!$#REF!"</definedName>
    <definedName name="km4th_33">"$#REF!.$#REF!$#REF!"</definedName>
    <definedName name="km4th_34">"$#REF!.$#REF!$#REF!"</definedName>
    <definedName name="km4th_38">"$#REF!.$#REF!$#REF!"</definedName>
    <definedName name="km4th_41">"$#REF!.$#REF!$#REF!"</definedName>
    <definedName name="km4th_43">"$#REF!.$#REF!$#REF!"</definedName>
    <definedName name="km4th_48">"$#REF!.$#REF!$#REF!"</definedName>
    <definedName name="km4th_56">"$#REF!.$#REF!$#REF!"</definedName>
    <definedName name="km4th_57">"$#REF!.$#REF!$#REF!"</definedName>
    <definedName name="km4th_59">"$#REF!.$#REF!$#REF!"</definedName>
    <definedName name="km4th_60">"$#REF!.$#REF!$#REF!"</definedName>
    <definedName name="km4th_61">"$#REF!.$#REF!$#REF!"</definedName>
    <definedName name="km4th_62">"$#REF!.$#REF!$#REF!"</definedName>
    <definedName name="km4th_7">"$#REF!.$#REF!$#REF!"</definedName>
    <definedName name="km4th_72">"$#REF!.$#REF!$#REF!"</definedName>
    <definedName name="km4th_73">"$#REF!.$#REF!$#REF!"</definedName>
    <definedName name="km4th_8">"$#REF!.$#REF!$#REF!"</definedName>
    <definedName name="km5th" localSheetId="22">#REF!</definedName>
    <definedName name="km5th" localSheetId="5">#REF!</definedName>
    <definedName name="km5th" localSheetId="6">#REF!</definedName>
    <definedName name="km5th" localSheetId="12">#REF!</definedName>
    <definedName name="km5th" localSheetId="34">#REF!</definedName>
    <definedName name="km5th" localSheetId="19">#REF!</definedName>
    <definedName name="km5th" localSheetId="30">#REF!</definedName>
    <definedName name="km5th" localSheetId="40">#REF!</definedName>
    <definedName name="km5th" localSheetId="26">#REF!</definedName>
    <definedName name="km5th">#REF!</definedName>
    <definedName name="km5th_23">"$#REF!.$#REF!$#REF!"</definedName>
    <definedName name="km5th_32">"$#REF!.$#REF!$#REF!"</definedName>
    <definedName name="km5th_33">"$#REF!.$#REF!$#REF!"</definedName>
    <definedName name="km5th_34">"$#REF!.$#REF!$#REF!"</definedName>
    <definedName name="km5th_38">"$#REF!.$#REF!$#REF!"</definedName>
    <definedName name="km5th_41">"$#REF!.$#REF!$#REF!"</definedName>
    <definedName name="km5th_43">"$#REF!.$#REF!$#REF!"</definedName>
    <definedName name="km5th_48">"$#REF!.$#REF!$#REF!"</definedName>
    <definedName name="km5th_56">"$#REF!.$#REF!$#REF!"</definedName>
    <definedName name="km5th_57">"$#REF!.$#REF!$#REF!"</definedName>
    <definedName name="km5th_59">"$#REF!.$#REF!$#REF!"</definedName>
    <definedName name="km5th_60">"$#REF!.$#REF!$#REF!"</definedName>
    <definedName name="km5th_61">"$#REF!.$#REF!$#REF!"</definedName>
    <definedName name="km5th_62">"$#REF!.$#REF!$#REF!"</definedName>
    <definedName name="km5th_7">"$#REF!.$#REF!$#REF!"</definedName>
    <definedName name="km5th_72">"$#REF!.$#REF!$#REF!"</definedName>
    <definedName name="km5th_73">"$#REF!.$#REF!$#REF!"</definedName>
    <definedName name="km5th_8">"$#REF!.$#REF!$#REF!"</definedName>
    <definedName name="km6th" localSheetId="22">#REF!</definedName>
    <definedName name="km6th" localSheetId="5">#REF!</definedName>
    <definedName name="km6th" localSheetId="6">#REF!</definedName>
    <definedName name="km6th" localSheetId="12">#REF!</definedName>
    <definedName name="km6th" localSheetId="34">#REF!</definedName>
    <definedName name="km6th" localSheetId="19">#REF!</definedName>
    <definedName name="km6th" localSheetId="30">#REF!</definedName>
    <definedName name="km6th" localSheetId="40">#REF!</definedName>
    <definedName name="km6th" localSheetId="26">#REF!</definedName>
    <definedName name="km6th">#REF!</definedName>
    <definedName name="km6th_23">"$#REF!.$#REF!$#REF!"</definedName>
    <definedName name="km6th_32">"$#REF!.$#REF!$#REF!"</definedName>
    <definedName name="km6th_33">"$#REF!.$#REF!$#REF!"</definedName>
    <definedName name="km6th_34">"$#REF!.$#REF!$#REF!"</definedName>
    <definedName name="km6th_38">"$#REF!.$#REF!$#REF!"</definedName>
    <definedName name="km6th_41">"$#REF!.$#REF!$#REF!"</definedName>
    <definedName name="km6th_43">"$#REF!.$#REF!$#REF!"</definedName>
    <definedName name="km6th_48">"$#REF!.$#REF!$#REF!"</definedName>
    <definedName name="km6th_56">"$#REF!.$#REF!$#REF!"</definedName>
    <definedName name="km6th_57">"$#REF!.$#REF!$#REF!"</definedName>
    <definedName name="km6th_59">"$#REF!.$#REF!$#REF!"</definedName>
    <definedName name="km6th_60">"$#REF!.$#REF!$#REF!"</definedName>
    <definedName name="km6th_61">"$#REF!.$#REF!$#REF!"</definedName>
    <definedName name="km6th_62">"$#REF!.$#REF!$#REF!"</definedName>
    <definedName name="km6th_7">"$#REF!.$#REF!$#REF!"</definedName>
    <definedName name="km6th_72">"$#REF!.$#REF!$#REF!"</definedName>
    <definedName name="km6th_73">"$#REF!.$#REF!$#REF!"</definedName>
    <definedName name="km6th_8">"$#REF!.$#REF!$#REF!"</definedName>
    <definedName name="km7th" localSheetId="22">#REF!</definedName>
    <definedName name="km7th" localSheetId="5">#REF!</definedName>
    <definedName name="km7th" localSheetId="6">#REF!</definedName>
    <definedName name="km7th" localSheetId="12">#REF!</definedName>
    <definedName name="km7th" localSheetId="34">#REF!</definedName>
    <definedName name="km7th" localSheetId="19">#REF!</definedName>
    <definedName name="km7th" localSheetId="30">#REF!</definedName>
    <definedName name="km7th" localSheetId="40">#REF!</definedName>
    <definedName name="km7th" localSheetId="26">#REF!</definedName>
    <definedName name="km7th">#REF!</definedName>
    <definedName name="km7th_23">"$#REF!.$#REF!$#REF!"</definedName>
    <definedName name="km7th_32">"$#REF!.$#REF!$#REF!"</definedName>
    <definedName name="km7th_33">"$#REF!.$#REF!$#REF!"</definedName>
    <definedName name="km7th_34">"$#REF!.$#REF!$#REF!"</definedName>
    <definedName name="km7th_38">"$#REF!.$#REF!$#REF!"</definedName>
    <definedName name="km7th_41">"$#REF!.$#REF!$#REF!"</definedName>
    <definedName name="km7th_43">"$#REF!.$#REF!$#REF!"</definedName>
    <definedName name="km7th_48">"$#REF!.$#REF!$#REF!"</definedName>
    <definedName name="km7th_56">"$#REF!.$#REF!$#REF!"</definedName>
    <definedName name="km7th_57">"$#REF!.$#REF!$#REF!"</definedName>
    <definedName name="km7th_59">"$#REF!.$#REF!$#REF!"</definedName>
    <definedName name="km7th_60">"$#REF!.$#REF!$#REF!"</definedName>
    <definedName name="km7th_61">"$#REF!.$#REF!$#REF!"</definedName>
    <definedName name="km7th_62">"$#REF!.$#REF!$#REF!"</definedName>
    <definedName name="km7th_7">"$#REF!.$#REF!$#REF!"</definedName>
    <definedName name="km7th_72">"$#REF!.$#REF!$#REF!"</definedName>
    <definedName name="km7th_73">"$#REF!.$#REF!$#REF!"</definedName>
    <definedName name="km7th_8">"$#REF!.$#REF!$#REF!"</definedName>
    <definedName name="km8th" localSheetId="22">#REF!</definedName>
    <definedName name="km8th" localSheetId="5">#REF!</definedName>
    <definedName name="km8th" localSheetId="6">#REF!</definedName>
    <definedName name="km8th" localSheetId="12">#REF!</definedName>
    <definedName name="km8th" localSheetId="34">#REF!</definedName>
    <definedName name="km8th" localSheetId="19">#REF!</definedName>
    <definedName name="km8th" localSheetId="30">#REF!</definedName>
    <definedName name="km8th" localSheetId="40">#REF!</definedName>
    <definedName name="km8th" localSheetId="26">#REF!</definedName>
    <definedName name="km8th">#REF!</definedName>
    <definedName name="km8th_23">"$#REF!.$#REF!$#REF!"</definedName>
    <definedName name="km8th_32">"$#REF!.$#REF!$#REF!"</definedName>
    <definedName name="km8th_33">"$#REF!.$#REF!$#REF!"</definedName>
    <definedName name="km8th_34">"$#REF!.$#REF!$#REF!"</definedName>
    <definedName name="km8th_38">"$#REF!.$#REF!$#REF!"</definedName>
    <definedName name="km8th_41">"$#REF!.$#REF!$#REF!"</definedName>
    <definedName name="km8th_43">"$#REF!.$#REF!$#REF!"</definedName>
    <definedName name="km8th_48">"$#REF!.$#REF!$#REF!"</definedName>
    <definedName name="km8th_56">"$#REF!.$#REF!$#REF!"</definedName>
    <definedName name="km8th_57">"$#REF!.$#REF!$#REF!"</definedName>
    <definedName name="km8th_59">"$#REF!.$#REF!$#REF!"</definedName>
    <definedName name="km8th_60">"$#REF!.$#REF!$#REF!"</definedName>
    <definedName name="km8th_61">"$#REF!.$#REF!$#REF!"</definedName>
    <definedName name="km8th_62">"$#REF!.$#REF!$#REF!"</definedName>
    <definedName name="km8th_7">"$#REF!.$#REF!$#REF!"</definedName>
    <definedName name="km8th_72">"$#REF!.$#REF!$#REF!"</definedName>
    <definedName name="km8th_73">"$#REF!.$#REF!$#REF!"</definedName>
    <definedName name="km8th_8">"$#REF!.$#REF!$#REF!"</definedName>
    <definedName name="km9th" localSheetId="22">#REF!</definedName>
    <definedName name="km9th" localSheetId="5">#REF!</definedName>
    <definedName name="km9th" localSheetId="6">#REF!</definedName>
    <definedName name="km9th" localSheetId="12">#REF!</definedName>
    <definedName name="km9th" localSheetId="34">#REF!</definedName>
    <definedName name="km9th" localSheetId="19">#REF!</definedName>
    <definedName name="km9th" localSheetId="30">#REF!</definedName>
    <definedName name="km9th" localSheetId="40">#REF!</definedName>
    <definedName name="km9th" localSheetId="26">#REF!</definedName>
    <definedName name="km9th">#REF!</definedName>
    <definedName name="km9th_23">"$#REF!.$#REF!$#REF!"</definedName>
    <definedName name="km9th_32">"$#REF!.$#REF!$#REF!"</definedName>
    <definedName name="km9th_33">"$#REF!.$#REF!$#REF!"</definedName>
    <definedName name="km9th_34">"$#REF!.$#REF!$#REF!"</definedName>
    <definedName name="km9th_38">"$#REF!.$#REF!$#REF!"</definedName>
    <definedName name="km9th_41">"$#REF!.$#REF!$#REF!"</definedName>
    <definedName name="km9th_43">"$#REF!.$#REF!$#REF!"</definedName>
    <definedName name="km9th_48">"$#REF!.$#REF!$#REF!"</definedName>
    <definedName name="km9th_56">"$#REF!.$#REF!$#REF!"</definedName>
    <definedName name="km9th_57">"$#REF!.$#REF!$#REF!"</definedName>
    <definedName name="km9th_59">"$#REF!.$#REF!$#REF!"</definedName>
    <definedName name="km9th_60">"$#REF!.$#REF!$#REF!"</definedName>
    <definedName name="km9th_61">"$#REF!.$#REF!$#REF!"</definedName>
    <definedName name="km9th_62">"$#REF!.$#REF!$#REF!"</definedName>
    <definedName name="km9th_7">"$#REF!.$#REF!$#REF!"</definedName>
    <definedName name="km9th_72">"$#REF!.$#REF!$#REF!"</definedName>
    <definedName name="km9th_73">"$#REF!.$#REF!$#REF!"</definedName>
    <definedName name="km9th_8">"$#REF!.$#REF!$#REF!"</definedName>
    <definedName name="Knr" localSheetId="5">#REF!</definedName>
    <definedName name="Knr" localSheetId="6">#REF!</definedName>
    <definedName name="Knr" localSheetId="12">#REF!</definedName>
    <definedName name="Knr" localSheetId="34">#REF!</definedName>
    <definedName name="Knr" localSheetId="19">#REF!</definedName>
    <definedName name="Knr" localSheetId="30">#REF!</definedName>
    <definedName name="Knr">#REF!</definedName>
    <definedName name="ko" localSheetId="6">#REF!</definedName>
    <definedName name="ko" localSheetId="12">#REF!</definedName>
    <definedName name="ko" localSheetId="19">#REF!</definedName>
    <definedName name="ko">#REF!</definedName>
    <definedName name="KSF" localSheetId="6">#REF!</definedName>
    <definedName name="KSF" localSheetId="12">#REF!</definedName>
    <definedName name="KSF" localSheetId="19">#REF!</definedName>
    <definedName name="KSF">#REF!</definedName>
    <definedName name="L_Bhisti_32" localSheetId="19">#REF!</definedName>
    <definedName name="L_Bhisti_33" localSheetId="27">#REF!</definedName>
    <definedName name="L_Bhisti_33">#REF!</definedName>
    <definedName name="L_Bhisti_34">#REF!</definedName>
    <definedName name="L_Bhisti_43">#REF!</definedName>
    <definedName name="L_Bhisti_55">#REF!</definedName>
    <definedName name="L_Bhisti_56">#REF!</definedName>
    <definedName name="L_Bhisti_59">#REF!</definedName>
    <definedName name="L_Bhisti_61">#REF!</definedName>
    <definedName name="L_BISTI" localSheetId="5">#REF!</definedName>
    <definedName name="L_BISTI" localSheetId="6">#REF!</definedName>
    <definedName name="L_BISTI" localSheetId="12">#REF!</definedName>
    <definedName name="L_BISTI" localSheetId="34">#REF!</definedName>
    <definedName name="L_BISTI" localSheetId="19">#REF!</definedName>
    <definedName name="L_BISTI" localSheetId="30">#REF!</definedName>
    <definedName name="L_BISTI">#REF!</definedName>
    <definedName name="L_BitumenSprayer_55" localSheetId="19">#REF!</definedName>
    <definedName name="L_Blacksmith_32" localSheetId="19">#REF!</definedName>
    <definedName name="L_Blacksmith_33" localSheetId="27">#REF!</definedName>
    <definedName name="L_Blacksmith_33">#REF!</definedName>
    <definedName name="L_Blacksmith_34">#REF!</definedName>
    <definedName name="L_Blacksmith_43">#REF!</definedName>
    <definedName name="L_Blacksmith_55">#REF!</definedName>
    <definedName name="L_Blacksmith_56">#REF!</definedName>
    <definedName name="L_Blacksmith_59">#REF!</definedName>
    <definedName name="L_Blacksmith_61">#REF!</definedName>
    <definedName name="L_BSMIT" localSheetId="5">#REF!</definedName>
    <definedName name="L_BSMIT" localSheetId="6">#REF!</definedName>
    <definedName name="L_BSMIT" localSheetId="12">#REF!</definedName>
    <definedName name="L_BSMIT" localSheetId="34">#REF!</definedName>
    <definedName name="L_BSMIT" localSheetId="19">#REF!</definedName>
    <definedName name="L_BSMIT" localSheetId="30">#REF!</definedName>
    <definedName name="L_BSMIT">#REF!</definedName>
    <definedName name="L_Carpenter_1stClass_32" localSheetId="19">#REF!</definedName>
    <definedName name="L_Carpenter_1stClass_33" localSheetId="27">#REF!</definedName>
    <definedName name="L_Carpenter_1stClass_33">#REF!</definedName>
    <definedName name="L_Carpenter_1stClass_34">#REF!</definedName>
    <definedName name="L_Carpenter_1stClass_43">#REF!</definedName>
    <definedName name="L_Carpenter_1stClass_56">#REF!</definedName>
    <definedName name="L_Carpenter_1stClass_59">#REF!</definedName>
    <definedName name="L_Carpenter_1stClass_61">#REF!</definedName>
    <definedName name="L_ChipsSpreader_55" localSheetId="19">#REF!</definedName>
    <definedName name="L_Chiseller_32" localSheetId="19">#REF!</definedName>
    <definedName name="L_Chiseller_33" localSheetId="27">#REF!</definedName>
    <definedName name="L_Chiseller_33">#REF!</definedName>
    <definedName name="L_Chiseller_34">#REF!</definedName>
    <definedName name="L_Chiseller_43">#REF!</definedName>
    <definedName name="L_Chiseller_56">#REF!</definedName>
    <definedName name="L_Chiseller_59">#REF!</definedName>
    <definedName name="L_Chiseller_61">#REF!</definedName>
    <definedName name="L_CPENTER" localSheetId="5">#REF!</definedName>
    <definedName name="L_CPENTER" localSheetId="6">#REF!</definedName>
    <definedName name="L_CPENTER" localSheetId="12">#REF!</definedName>
    <definedName name="L_CPENTER" localSheetId="34">#REF!</definedName>
    <definedName name="L_CPENTER" localSheetId="19">#REF!</definedName>
    <definedName name="L_CPENTER" localSheetId="30">#REF!</definedName>
    <definedName name="L_CPENTER">#REF!</definedName>
    <definedName name="L_Dresser_Skilled_32" localSheetId="19">#REF!</definedName>
    <definedName name="L_Dresser_Skilled_33" localSheetId="27">#REF!</definedName>
    <definedName name="L_Dresser_Skilled_33">#REF!</definedName>
    <definedName name="L_Dresser_Skilled_34">#REF!</definedName>
    <definedName name="L_Dresser_Skilled_43">#REF!</definedName>
    <definedName name="L_Dresser_Skilled_56">#REF!</definedName>
    <definedName name="L_Dresser_Skilled_59">#REF!</definedName>
    <definedName name="L_Dresser_Skilled_61">#REF!</definedName>
    <definedName name="L_ELECRICIAN" localSheetId="5">#REF!</definedName>
    <definedName name="L_ELECRICIAN" localSheetId="6">#REF!</definedName>
    <definedName name="L_ELECRICIAN" localSheetId="12">#REF!</definedName>
    <definedName name="L_ELECRICIAN" localSheetId="34">#REF!</definedName>
    <definedName name="L_ELECRICIAN" localSheetId="19">#REF!</definedName>
    <definedName name="L_ELECRICIAN" localSheetId="30">#REF!</definedName>
    <definedName name="L_ELECRICIAN">#REF!</definedName>
    <definedName name="L_Fitter_32" localSheetId="19">#REF!</definedName>
    <definedName name="L_Fitter_33" localSheetId="27">#REF!</definedName>
    <definedName name="L_Fitter_33">#REF!</definedName>
    <definedName name="L_Fitter_34">#REF!</definedName>
    <definedName name="L_Fitter_43">#REF!</definedName>
    <definedName name="L_Fitter_56">#REF!</definedName>
    <definedName name="L_Fitter_59">#REF!</definedName>
    <definedName name="L_Fitter_61">#REF!</definedName>
    <definedName name="L_Mason_1stClass_32" localSheetId="19">#REF!</definedName>
    <definedName name="L_Mason_1stClass_33" localSheetId="27">#REF!</definedName>
    <definedName name="L_Mason_1stClass_33">#REF!</definedName>
    <definedName name="L_Mason_1stClass_34">#REF!</definedName>
    <definedName name="L_Mason_1stClass_43">#REF!</definedName>
    <definedName name="L_Mason_1stClass_55">#REF!</definedName>
    <definedName name="L_Mason_1stClass_56">#REF!</definedName>
    <definedName name="L_Mason_1stClass_59">#REF!</definedName>
    <definedName name="L_Mason_1stClass_61">#REF!</definedName>
    <definedName name="L_Mason_2ndClass_32" localSheetId="19">#REF!</definedName>
    <definedName name="L_Mason_2ndClass_33" localSheetId="27">#REF!</definedName>
    <definedName name="L_Mason_2ndClass_33">#REF!</definedName>
    <definedName name="L_Mason_2ndClass_34">#REF!</definedName>
    <definedName name="L_Mason_2ndClass_43">#REF!</definedName>
    <definedName name="L_Mason_2ndClass_55">#REF!</definedName>
    <definedName name="L_Mason_2ndClass_56">#REF!</definedName>
    <definedName name="L_Mason_2ndClass_59">#REF!</definedName>
    <definedName name="L_Mason_2ndClass_61">#REF!</definedName>
    <definedName name="L_MASON1" localSheetId="5">#REF!</definedName>
    <definedName name="L_MASON1" localSheetId="6">#REF!</definedName>
    <definedName name="L_MASON1" localSheetId="12">#REF!</definedName>
    <definedName name="L_MASON1" localSheetId="34">#REF!</definedName>
    <definedName name="L_MASON1" localSheetId="19">#REF!</definedName>
    <definedName name="L_MASON1" localSheetId="30">#REF!</definedName>
    <definedName name="L_MASON1">#REF!</definedName>
    <definedName name="L_MASON2" localSheetId="5">#REF!</definedName>
    <definedName name="L_MASON2" localSheetId="6">#REF!</definedName>
    <definedName name="L_MASON2" localSheetId="12">#REF!</definedName>
    <definedName name="L_MASON2" localSheetId="34">#REF!</definedName>
    <definedName name="L_MASON2" localSheetId="19">#REF!</definedName>
    <definedName name="L_MASON2" localSheetId="30">#REF!</definedName>
    <definedName name="L_MASON2">#REF!</definedName>
    <definedName name="L_Mate_32" localSheetId="19">#REF!</definedName>
    <definedName name="L_Mate_33" localSheetId="27">#REF!</definedName>
    <definedName name="L_Mate_33">#REF!</definedName>
    <definedName name="L_Mate_34">#REF!</definedName>
    <definedName name="L_Mate_43">#REF!</definedName>
    <definedName name="L_Mate_55">#REF!</definedName>
    <definedName name="L_Mate_56">#REF!</definedName>
    <definedName name="L_Mate_59">#REF!</definedName>
    <definedName name="L_Mate_61">#REF!</definedName>
    <definedName name="L_MAZDOOES" localSheetId="5">#REF!</definedName>
    <definedName name="L_MAZDOOES" localSheetId="6">#REF!</definedName>
    <definedName name="L_MAZDOOES" localSheetId="12">#REF!</definedName>
    <definedName name="L_MAZDOOES" localSheetId="34">#REF!</definedName>
    <definedName name="L_MAZDOOES" localSheetId="19">#REF!</definedName>
    <definedName name="L_MAZDOOES" localSheetId="30">#REF!</definedName>
    <definedName name="L_MAZDOOES">#REF!</definedName>
    <definedName name="L_Mazdoor_32" localSheetId="19">#REF!</definedName>
    <definedName name="L_Mazdoor_33" localSheetId="27">#REF!</definedName>
    <definedName name="L_Mazdoor_33">#REF!</definedName>
    <definedName name="L_Mazdoor_34">#REF!</definedName>
    <definedName name="L_Mazdoor_43">#REF!</definedName>
    <definedName name="L_Mazdoor_55">#REF!</definedName>
    <definedName name="L_Mazdoor_56">#REF!</definedName>
    <definedName name="L_Mazdoor_59">#REF!</definedName>
    <definedName name="L_Mazdoor_61">#REF!</definedName>
    <definedName name="L_Mazdoor_Semi_32" localSheetId="19">#REF!</definedName>
    <definedName name="L_Mazdoor_Semi_33" localSheetId="27">#REF!</definedName>
    <definedName name="L_Mazdoor_Semi_33">#REF!</definedName>
    <definedName name="L_Mazdoor_Semi_34">#REF!</definedName>
    <definedName name="L_Mazdoor_Semi_43">#REF!</definedName>
    <definedName name="L_Mazdoor_Semi_55">#REF!</definedName>
    <definedName name="L_Mazdoor_Semi_56">#REF!</definedName>
    <definedName name="L_Mazdoor_Semi_59">#REF!</definedName>
    <definedName name="L_Mazdoor_Semi_61">#REF!</definedName>
    <definedName name="L_Mazdoor_Skilled_32" localSheetId="19">#REF!</definedName>
    <definedName name="L_Mazdoor_Skilled_33" localSheetId="27">#REF!</definedName>
    <definedName name="L_Mazdoor_Skilled_33">#REF!</definedName>
    <definedName name="L_Mazdoor_Skilled_34">#REF!</definedName>
    <definedName name="L_Mazdoor_Skilled_43">#REF!</definedName>
    <definedName name="L_Mazdoor_Skilled_55">#REF!</definedName>
    <definedName name="L_Mazdoor_Skilled_56">#REF!</definedName>
    <definedName name="L_Mazdoor_Skilled_59">#REF!</definedName>
    <definedName name="L_Mazdoor_Skilled_61">#REF!</definedName>
    <definedName name="L_MAZDOORSK" localSheetId="5">#REF!</definedName>
    <definedName name="L_MAZDOORSK" localSheetId="6">#REF!</definedName>
    <definedName name="L_MAZDOORSK" localSheetId="12">#REF!</definedName>
    <definedName name="L_MAZDOORSK" localSheetId="34">#REF!</definedName>
    <definedName name="L_MAZDOORSK" localSheetId="19">#REF!</definedName>
    <definedName name="L_MAZDOORSK" localSheetId="30">#REF!</definedName>
    <definedName name="L_MAZDOORSK">#REF!</definedName>
    <definedName name="L_MAZDOORUS" localSheetId="5">#REF!</definedName>
    <definedName name="L_MAZDOORUS" localSheetId="6">#REF!</definedName>
    <definedName name="L_MAZDOORUS" localSheetId="12">#REF!</definedName>
    <definedName name="L_MAZDOORUS" localSheetId="34">#REF!</definedName>
    <definedName name="L_MAZDOORUS" localSheetId="19">#REF!</definedName>
    <definedName name="L_MAZDOORUS" localSheetId="30">#REF!</definedName>
    <definedName name="L_MAZDOORUS">#REF!</definedName>
    <definedName name="L_Painter_1stClass_32" localSheetId="19">#REF!</definedName>
    <definedName name="L_Painter_1stClass_33" localSheetId="27">#REF!</definedName>
    <definedName name="L_Painter_1stClass_33">#REF!</definedName>
    <definedName name="L_Painter_1stClass_34">#REF!</definedName>
    <definedName name="L_Painter_1stClass_43">#REF!</definedName>
    <definedName name="L_Painter_1stClass_56">#REF!</definedName>
    <definedName name="L_Painter_1stClass_59">#REF!</definedName>
    <definedName name="L_Painter_1stClass_61">#REF!</definedName>
    <definedName name="L_Plumber_32" localSheetId="19">#REF!</definedName>
    <definedName name="L_Plumber_33" localSheetId="27">#REF!</definedName>
    <definedName name="L_Plumber_33">#REF!</definedName>
    <definedName name="L_Plumber_34">#REF!</definedName>
    <definedName name="L_Plumber_43">#REF!</definedName>
    <definedName name="L_Plumber_56">#REF!</definedName>
    <definedName name="L_Plumber_59">#REF!</definedName>
    <definedName name="L_Plumber_61">#REF!</definedName>
    <definedName name="L_SURVEYER" localSheetId="5">#REF!</definedName>
    <definedName name="L_SURVEYER" localSheetId="6">#REF!</definedName>
    <definedName name="L_SURVEYER" localSheetId="12">#REF!</definedName>
    <definedName name="L_SURVEYER" localSheetId="34">#REF!</definedName>
    <definedName name="L_SURVEYER" localSheetId="19">#REF!</definedName>
    <definedName name="L_SURVEYER" localSheetId="30">#REF!</definedName>
    <definedName name="L_SURVEYER">#REF!</definedName>
    <definedName name="L_Surveyor_32" localSheetId="19">#REF!</definedName>
    <definedName name="L_Surveyor_33" localSheetId="27">#REF!</definedName>
    <definedName name="L_Surveyor_33">#REF!</definedName>
    <definedName name="L_Surveyor_34">#REF!</definedName>
    <definedName name="L_Surveyor_43">#REF!</definedName>
    <definedName name="L_Surveyor_55">#REF!</definedName>
    <definedName name="L_Surveyor_56">#REF!</definedName>
    <definedName name="L_Surveyor_59">#REF!</definedName>
    <definedName name="L_Surveyor_61">#REF!</definedName>
    <definedName name="L_WhiteWasher_32" localSheetId="19">#REF!</definedName>
    <definedName name="L_WhiteWasher_33" localSheetId="27">#REF!</definedName>
    <definedName name="L_WhiteWasher_33">#REF!</definedName>
    <definedName name="L_WhiteWasher_34">#REF!</definedName>
    <definedName name="L_WhiteWasher_43">#REF!</definedName>
    <definedName name="L_WhiteWasher_56">#REF!</definedName>
    <definedName name="L_WhiteWasher_59">#REF!</definedName>
    <definedName name="L_WhiteWasher_61">#REF!</definedName>
    <definedName name="l1_33">#REF!</definedName>
    <definedName name="l1_34">#REF!</definedName>
    <definedName name="l12_33">"$#REF!.$A$3:$E$108"</definedName>
    <definedName name="l12_34">"$#REF!.$A$3:$E$108"</definedName>
    <definedName name="l3_33">"$#REF!.$A$2:$L$14"</definedName>
    <definedName name="l3_34">"$#REF!.$A$2:$L$14"</definedName>
    <definedName name="l4_33" localSheetId="27">#REF!</definedName>
    <definedName name="l4_33">#REF!</definedName>
    <definedName name="l4_34" localSheetId="27">#REF!</definedName>
    <definedName name="l4_34">#REF!</definedName>
    <definedName name="l5_33">"$#REF!.$D$5"</definedName>
    <definedName name="l5_34">"$#REF!.$D$5"</definedName>
    <definedName name="La" localSheetId="19">#REF!</definedName>
    <definedName name="laborvcc" localSheetId="27">#REF!</definedName>
    <definedName name="laborvcc">#REF!</definedName>
    <definedName name="laborvrcc" localSheetId="27">#REF!</definedName>
    <definedName name="laborvrcc">#REF!</definedName>
    <definedName name="lac">#REF!</definedName>
    <definedName name="LAF" localSheetId="14">#REF!</definedName>
    <definedName name="LAF" localSheetId="6">#REF!</definedName>
    <definedName name="LAF" localSheetId="12">#REF!</definedName>
    <definedName name="LAF" localSheetId="19">#REF!</definedName>
    <definedName name="LAF">#REF!</definedName>
    <definedName name="lakshmi_43" localSheetId="19">#REF!</definedName>
    <definedName name="lakshmi_59" localSheetId="27">#REF!</definedName>
    <definedName name="lakshmi_59">#REF!</definedName>
    <definedName name="lakshmi_61">#REF!</definedName>
    <definedName name="lali" localSheetId="6">#REF!</definedName>
    <definedName name="lali" localSheetId="12">#REF!</definedName>
    <definedName name="lali" localSheetId="34">#REF!</definedName>
    <definedName name="lali" localSheetId="19">#REF!</definedName>
    <definedName name="lali">#REF!</definedName>
    <definedName name="LBCW" localSheetId="14">#REF!</definedName>
    <definedName name="LBCW" localSheetId="6">#REF!</definedName>
    <definedName name="LBCW" localSheetId="12">#REF!</definedName>
    <definedName name="LBCW" localSheetId="19">#REF!</definedName>
    <definedName name="LBCW">#REF!</definedName>
    <definedName name="LBM" localSheetId="5">#REF!</definedName>
    <definedName name="LBM" localSheetId="6">#REF!</definedName>
    <definedName name="LBM" localSheetId="12">#REF!</definedName>
    <definedName name="LBM" localSheetId="34">#REF!</definedName>
    <definedName name="LBM" localSheetId="19">#REF!</definedName>
    <definedName name="LBM" localSheetId="30">#REF!</definedName>
    <definedName name="LBM">#REF!</definedName>
    <definedName name="lbrick" localSheetId="6">#REF!</definedName>
    <definedName name="lbrick" localSheetId="12">#REF!</definedName>
    <definedName name="lbrick" localSheetId="19">#REF!</definedName>
    <definedName name="lbrick" localSheetId="30">#REF!</definedName>
    <definedName name="lbrick">#REF!</definedName>
    <definedName name="LBTC" localSheetId="6">#REF!</definedName>
    <definedName name="LBTC" localSheetId="12">#REF!</definedName>
    <definedName name="LBTC" localSheetId="19">#REF!</definedName>
    <definedName name="LBTC">#REF!</definedName>
    <definedName name="LBTS" localSheetId="6">#REF!</definedName>
    <definedName name="LBTS" localSheetId="12">#REF!</definedName>
    <definedName name="LBTS" localSheetId="19">#REF!</definedName>
    <definedName name="LBTS">#REF!</definedName>
    <definedName name="LC" localSheetId="6">#REF!</definedName>
    <definedName name="LC" localSheetId="12">#REF!</definedName>
    <definedName name="LC" localSheetId="19">#REF!</definedName>
    <definedName name="LC">#REF!</definedName>
    <definedName name="LCN" localSheetId="19">#REF!</definedName>
    <definedName name="LCS" localSheetId="19">#REF!</definedName>
    <definedName name="le" localSheetId="6">#REF!</definedName>
    <definedName name="le" localSheetId="12">#REF!</definedName>
    <definedName name="le" localSheetId="34">#REF!</definedName>
    <definedName name="le" localSheetId="19">#REF!</definedName>
    <definedName name="le">#REF!</definedName>
    <definedName name="lead" localSheetId="22">#REF!</definedName>
    <definedName name="lead" localSheetId="5">#REF!</definedName>
    <definedName name="lead" localSheetId="6">#REF!</definedName>
    <definedName name="lead" localSheetId="12">#REF!</definedName>
    <definedName name="lead" localSheetId="34">#REF!</definedName>
    <definedName name="lead" localSheetId="19">#REF!</definedName>
    <definedName name="lead" localSheetId="30">#REF!</definedName>
    <definedName name="lead" localSheetId="40">#REF!</definedName>
    <definedName name="lead" localSheetId="26">#REF!</definedName>
    <definedName name="lead">#REF!</definedName>
    <definedName name="lead_33">"$#REF!.$#REF!$#REF!"</definedName>
    <definedName name="lead_34">"$#REF!.$#REF!$#REF!"</definedName>
    <definedName name="Lead_gravel" localSheetId="27">#REF!</definedName>
    <definedName name="Lead_gravel">#REF!</definedName>
    <definedName name="Lead_metal_mc" localSheetId="27">#REF!</definedName>
    <definedName name="Lead_metal_mc">#REF!</definedName>
    <definedName name="Lead_Metal_ss" localSheetId="27">#REF!</definedName>
    <definedName name="Lead_Metal_ss">#REF!</definedName>
    <definedName name="lead_prin" localSheetId="22">#REF!</definedName>
    <definedName name="lead_prin" localSheetId="5">#REF!</definedName>
    <definedName name="lead_prin" localSheetId="6">#REF!</definedName>
    <definedName name="lead_prin" localSheetId="12">#REF!</definedName>
    <definedName name="lead_prin" localSheetId="34">#REF!</definedName>
    <definedName name="lead_prin" localSheetId="19">#REF!</definedName>
    <definedName name="lead_prin" localSheetId="30">#REF!</definedName>
    <definedName name="lead_prin" localSheetId="40">#REF!</definedName>
    <definedName name="lead_prin" localSheetId="26">#REF!</definedName>
    <definedName name="lead_prin">#REF!</definedName>
    <definedName name="lead_prin_33">"$#REF!.$#REF!$#REF!"</definedName>
    <definedName name="lead_prin_34">"$#REF!.$#REF!$#REF!"</definedName>
    <definedName name="Lead_sand_filling" localSheetId="27">#REF!</definedName>
    <definedName name="Lead_sand_filling">#REF!</definedName>
    <definedName name="Lead_sand_mortor" localSheetId="27">#REF!</definedName>
    <definedName name="Lead_sand_mortor">#REF!</definedName>
    <definedName name="Lead_stone" localSheetId="27">#REF!</definedName>
    <definedName name="Lead_stone">#REF!</definedName>
    <definedName name="lead3" localSheetId="22">#REF!</definedName>
    <definedName name="lead3" localSheetId="5">#REF!</definedName>
    <definedName name="lead3" localSheetId="6">#REF!</definedName>
    <definedName name="lead3" localSheetId="12">#REF!</definedName>
    <definedName name="lead3" localSheetId="34">#REF!</definedName>
    <definedName name="lead3" localSheetId="19">#REF!</definedName>
    <definedName name="lead3" localSheetId="30">#REF!</definedName>
    <definedName name="lead3" localSheetId="40">#REF!</definedName>
    <definedName name="lead3" localSheetId="26">#REF!</definedName>
    <definedName name="lead3">#REF!</definedName>
    <definedName name="lead3_33">"$#REF!.$#REF!$#REF!"</definedName>
    <definedName name="lead3_34">"$#REF!.$#REF!$#REF!"</definedName>
    <definedName name="leada" localSheetId="6">#REF!</definedName>
    <definedName name="leada" localSheetId="12">#REF!</definedName>
    <definedName name="leada" localSheetId="19">#REF!</definedName>
    <definedName name="leada" localSheetId="30">#REF!</definedName>
    <definedName name="leada">#REF!</definedName>
    <definedName name="leadprin" localSheetId="22">#REF!</definedName>
    <definedName name="leadprin" localSheetId="5">#REF!</definedName>
    <definedName name="leadprin" localSheetId="6">#REF!</definedName>
    <definedName name="leadprin" localSheetId="12">#REF!</definedName>
    <definedName name="leadprin" localSheetId="34">#REF!</definedName>
    <definedName name="leadprin" localSheetId="19">#REF!</definedName>
    <definedName name="leadprin" localSheetId="30">#REF!</definedName>
    <definedName name="leadprin" localSheetId="40">#REF!</definedName>
    <definedName name="leadprin" localSheetId="26">#REF!</definedName>
    <definedName name="leadprin">#REF!</definedName>
    <definedName name="leadprin_33">"$#REF!.$#REF!$#REF!"</definedName>
    <definedName name="leadprin_34">"$#REF!.$#REF!$#REF!"</definedName>
    <definedName name="leads" localSheetId="22">#REF!</definedName>
    <definedName name="leads" localSheetId="5">#REF!</definedName>
    <definedName name="leads" localSheetId="6">#REF!</definedName>
    <definedName name="leads" localSheetId="12">#REF!</definedName>
    <definedName name="leads" localSheetId="34">#REF!</definedName>
    <definedName name="leads" localSheetId="19">#REF!</definedName>
    <definedName name="leads" localSheetId="30">#REF!</definedName>
    <definedName name="leads" localSheetId="40">#REF!</definedName>
    <definedName name="leads" localSheetId="26">#REF!</definedName>
    <definedName name="leads">#REF!</definedName>
    <definedName name="leads_23">"$#REF!.$#REF!$#REF!"</definedName>
    <definedName name="leads_33">"$#REF!.$#REF!$#REF!"</definedName>
    <definedName name="leads_34">"$#REF!.$#REF!$#REF!"</definedName>
    <definedName name="leads_38">"$#REF!.$#REF!$#REF!"</definedName>
    <definedName name="leads_41">"$#REF!.$#REF!$#REF!"</definedName>
    <definedName name="leads_43">"$#REF!.$#REF!$#REF!"</definedName>
    <definedName name="leads_48">"$#REF!.$#REF!$#REF!"</definedName>
    <definedName name="leads_57">"$#REF!.$#REF!$#REF!"</definedName>
    <definedName name="leads_59">"$#REF!.$#REF!$#REF!"</definedName>
    <definedName name="leads_60">"$#REF!.$#REF!$#REF!"</definedName>
    <definedName name="leads_61">"$#REF!.$#REF!$#REF!"</definedName>
    <definedName name="leads_62">"$#REF!.$#REF!$#REF!"</definedName>
    <definedName name="leads_7">"$#REF!.$#REF!$#REF!"</definedName>
    <definedName name="leads_72">"$#REF!.$#REF!$#REF!"</definedName>
    <definedName name="leads_73">"$#REF!.$#REF!$#REF!"</definedName>
    <definedName name="leads_8">"$#REF!.$#REF!$#REF!"</definedName>
    <definedName name="leela" localSheetId="5">#REF!</definedName>
    <definedName name="leela" localSheetId="6">#REF!</definedName>
    <definedName name="leela" localSheetId="12">#REF!</definedName>
    <definedName name="leela" localSheetId="19">#REF!</definedName>
    <definedName name="leela" localSheetId="30">#REF!</definedName>
    <definedName name="leela">#REF!</definedName>
    <definedName name="legend" localSheetId="6">#REF!</definedName>
    <definedName name="legend" localSheetId="12">#REF!</definedName>
    <definedName name="legend" localSheetId="34">#REF!</definedName>
    <definedName name="legend" localSheetId="19">#REF!</definedName>
    <definedName name="legend">#REF!</definedName>
    <definedName name="LEN" localSheetId="5">#REF!</definedName>
    <definedName name="LEN" localSheetId="6">#REF!</definedName>
    <definedName name="LEN" localSheetId="12">#REF!</definedName>
    <definedName name="LEN" localSheetId="19">#REF!</definedName>
    <definedName name="LEN" localSheetId="30">#REF!</definedName>
    <definedName name="LEN">#REF!</definedName>
    <definedName name="lgravel" localSheetId="6">#REF!</definedName>
    <definedName name="lgravel" localSheetId="12">#REF!</definedName>
    <definedName name="lgravel" localSheetId="19">#REF!</definedName>
    <definedName name="lgravel" localSheetId="30">#REF!</definedName>
    <definedName name="lgravel">#REF!</definedName>
    <definedName name="LHL" localSheetId="14">#REF!</definedName>
    <definedName name="LHL" localSheetId="6">#REF!</definedName>
    <definedName name="LHL" localSheetId="12">#REF!</definedName>
    <definedName name="LHL" localSheetId="19">#REF!</definedName>
    <definedName name="LHL">#REF!</definedName>
    <definedName name="Li">#REF!</definedName>
    <definedName name="lime" localSheetId="6">#REF!</definedName>
    <definedName name="lime" localSheetId="12">#REF!</definedName>
    <definedName name="lime" localSheetId="19">#REF!</definedName>
    <definedName name="lime">#REF!</definedName>
    <definedName name="lkk" localSheetId="19">#REF!</definedName>
    <definedName name="LLL" localSheetId="6">#REF!</definedName>
    <definedName name="LLL" localSheetId="12">#REF!</definedName>
    <definedName name="LLL" localSheetId="34">#REF!</definedName>
    <definedName name="LLL" localSheetId="19">#REF!</definedName>
    <definedName name="LLL">#REF!</definedName>
    <definedName name="LM" localSheetId="14">#REF!</definedName>
    <definedName name="LM" localSheetId="6">#REF!</definedName>
    <definedName name="LM" localSheetId="12">#REF!</definedName>
    <definedName name="LM" localSheetId="19">#REF!</definedName>
    <definedName name="LM">#REF!</definedName>
    <definedName name="lmc" localSheetId="6">#REF!</definedName>
    <definedName name="lmc" localSheetId="12">#REF!</definedName>
    <definedName name="lmc" localSheetId="19">#REF!</definedName>
    <definedName name="lmc" localSheetId="30">#REF!</definedName>
    <definedName name="lmc">#REF!</definedName>
    <definedName name="LMFL" localSheetId="6">#REF!</definedName>
    <definedName name="LMFL" localSheetId="12">#REF!</definedName>
    <definedName name="LMFL" localSheetId="19">#REF!</definedName>
    <definedName name="LMFL">#REF!</definedName>
    <definedName name="loading">#REF!</definedName>
    <definedName name="LR" localSheetId="14">#REF!</definedName>
    <definedName name="LR" localSheetId="6">#REF!</definedName>
    <definedName name="LR" localSheetId="12">#REF!</definedName>
    <definedName name="LR" localSheetId="19">#REF!</definedName>
    <definedName name="LR">#REF!</definedName>
    <definedName name="lrstone" localSheetId="6">#REF!</definedName>
    <definedName name="lrstone" localSheetId="12">#REF!</definedName>
    <definedName name="lrstone" localSheetId="19">#REF!</definedName>
    <definedName name="lrstone" localSheetId="30">#REF!</definedName>
    <definedName name="lrstone">#REF!</definedName>
    <definedName name="ls">#REF!</definedName>
    <definedName name="lsand" localSheetId="6">#REF!</definedName>
    <definedName name="lsand" localSheetId="12">#REF!</definedName>
    <definedName name="lsand" localSheetId="19">#REF!</definedName>
    <definedName name="lsand" localSheetId="30">#REF!</definedName>
    <definedName name="lsand">#REF!</definedName>
    <definedName name="lss" localSheetId="6">#REF!</definedName>
    <definedName name="lss" localSheetId="12">#REF!</definedName>
    <definedName name="lss" localSheetId="19">#REF!</definedName>
    <definedName name="lss" localSheetId="30">#REF!</definedName>
    <definedName name="lss">#REF!</definedName>
    <definedName name="lstone" localSheetId="6">#REF!</definedName>
    <definedName name="lstone" localSheetId="12">#REF!</definedName>
    <definedName name="lstone" localSheetId="19">#REF!</definedName>
    <definedName name="lstone" localSheetId="30">#REF!</definedName>
    <definedName name="lstone">#REF!</definedName>
    <definedName name="LV" localSheetId="14">#REF!</definedName>
    <definedName name="LV" localSheetId="6">#REF!</definedName>
    <definedName name="LV" localSheetId="12">#REF!</definedName>
    <definedName name="LV" localSheetId="19">#REF!</definedName>
    <definedName name="LV">#REF!</definedName>
    <definedName name="lw" localSheetId="5">#REF!</definedName>
    <definedName name="lw" localSheetId="6">#REF!</definedName>
    <definedName name="lw" localSheetId="12">#REF!</definedName>
    <definedName name="lw" localSheetId="19">#REF!</definedName>
    <definedName name="lw" localSheetId="30">#REF!</definedName>
    <definedName name="lw">#REF!</definedName>
    <definedName name="lwb">#REF!</definedName>
    <definedName name="LWW" localSheetId="6">#REF!</definedName>
    <definedName name="LWW" localSheetId="12">#REF!</definedName>
    <definedName name="LWW" localSheetId="19">#REF!</definedName>
    <definedName name="LWW">#REF!</definedName>
    <definedName name="lxg" localSheetId="22">#REF!</definedName>
    <definedName name="lxg" localSheetId="5">#REF!</definedName>
    <definedName name="lxg" localSheetId="6">#REF!</definedName>
    <definedName name="lxg" localSheetId="12">#REF!</definedName>
    <definedName name="lxg" localSheetId="34">#REF!</definedName>
    <definedName name="lxg" localSheetId="19">#REF!</definedName>
    <definedName name="lxg" localSheetId="30">#REF!</definedName>
    <definedName name="lxg" localSheetId="40">#REF!</definedName>
    <definedName name="lxg" localSheetId="26">#REF!</definedName>
    <definedName name="lxg">#REF!</definedName>
    <definedName name="lxg_33">"$#REF!.$#REF!$#REF!"</definedName>
    <definedName name="lxg_34">"$#REF!.$#REF!$#REF!"</definedName>
    <definedName name="m" localSheetId="5">#REF!</definedName>
    <definedName name="m" localSheetId="6">#REF!</definedName>
    <definedName name="m" localSheetId="12">#REF!</definedName>
    <definedName name="m" localSheetId="19">#REF!</definedName>
    <definedName name="m" localSheetId="30">#REF!</definedName>
    <definedName name="m">#REF!</definedName>
    <definedName name="M_Aggregate_10_32" localSheetId="19">#REF!</definedName>
    <definedName name="M_Aggregate_10_33" localSheetId="27">#REF!</definedName>
    <definedName name="M_Aggregate_10_33">#REF!</definedName>
    <definedName name="M_Aggregate_10_34">#REF!</definedName>
    <definedName name="M_Aggregate_10_43">#REF!</definedName>
    <definedName name="M_Aggregate_10_56">#REF!</definedName>
    <definedName name="M_Aggregate_10_59">#REF!</definedName>
    <definedName name="M_Aggregate_10_61">#REF!</definedName>
    <definedName name="M_Aggregate_20_32" localSheetId="19">#REF!</definedName>
    <definedName name="M_Aggregate_20_33" localSheetId="27">#REF!</definedName>
    <definedName name="M_Aggregate_20_33">#REF!</definedName>
    <definedName name="M_Aggregate_20_34">#REF!</definedName>
    <definedName name="M_Aggregate_20_43">#REF!</definedName>
    <definedName name="M_Aggregate_20_55">#REF!</definedName>
    <definedName name="M_Aggregate_20_56">#REF!</definedName>
    <definedName name="M_Aggregate_20_59">#REF!</definedName>
    <definedName name="M_Aggregate_20_61">#REF!</definedName>
    <definedName name="M_Aggregate_224_236m_WMM_32" localSheetId="19">#REF!</definedName>
    <definedName name="M_Aggregate_224_236m_WMM_33" localSheetId="27">#REF!</definedName>
    <definedName name="M_Aggregate_224_236m_WMM_33">#REF!</definedName>
    <definedName name="M_Aggregate_224_236m_WMM_34">#REF!</definedName>
    <definedName name="M_Aggregate_224_236m_WMM_43">#REF!</definedName>
    <definedName name="M_Aggregate_224_236m_WMM_56">#REF!</definedName>
    <definedName name="M_Aggregate_224_236m_WMM_59">#REF!</definedName>
    <definedName name="M_Aggregate_224_236m_WMM_61">#REF!</definedName>
    <definedName name="M_Aggregate_375mmMaximum_224_56mm_32" localSheetId="19">#REF!</definedName>
    <definedName name="M_Aggregate_375mmMaximum_224_56mm_33" localSheetId="27">#REF!</definedName>
    <definedName name="M_Aggregate_375mmMaximum_224_56mm_33">#REF!</definedName>
    <definedName name="M_Aggregate_375mmMaximum_224_56mm_34">#REF!</definedName>
    <definedName name="M_Aggregate_375mmMaximum_224_56mm_43">#REF!</definedName>
    <definedName name="M_Aggregate_375mmMaximum_224_56mm_55">#REF!</definedName>
    <definedName name="M_Aggregate_375mmMaximum_224_56mm_56">#REF!</definedName>
    <definedName name="M_Aggregate_375mmMaximum_224_56mm_59">#REF!</definedName>
    <definedName name="M_Aggregate_375mmMaximum_224_56mm_61">#REF!</definedName>
    <definedName name="M_Aggregate_375mmMaximum_45_225mm_32" localSheetId="19">#REF!</definedName>
    <definedName name="M_Aggregate_375mmMaximum_45_225mm_33" localSheetId="27">#REF!</definedName>
    <definedName name="M_Aggregate_375mmMaximum_45_225mm_33">#REF!</definedName>
    <definedName name="M_Aggregate_375mmMaximum_45_225mm_34">#REF!</definedName>
    <definedName name="M_Aggregate_375mmMaximum_45_225mm_43">#REF!</definedName>
    <definedName name="M_Aggregate_375mmMaximum_45_225mm_56">#REF!</definedName>
    <definedName name="M_Aggregate_375mmMaximum_45_225mm_59">#REF!</definedName>
    <definedName name="M_Aggregate_375mmMaximum_45_225mm_61">#REF!</definedName>
    <definedName name="M_Aggregate_375mmMaximum_Below_56mm_32" localSheetId="19">#REF!</definedName>
    <definedName name="M_Aggregate_375mmMaximum_Below_56mm_33" localSheetId="27">#REF!</definedName>
    <definedName name="M_Aggregate_375mmMaximum_Below_56mm_33">#REF!</definedName>
    <definedName name="M_Aggregate_375mmMaximum_Below_56mm_34">#REF!</definedName>
    <definedName name="M_Aggregate_375mmMaximum_Below_56mm_43">#REF!</definedName>
    <definedName name="M_Aggregate_375mmMaximum_Below_56mm_56">#REF!</definedName>
    <definedName name="M_Aggregate_375mmMaximum_Below_56mm_59">#REF!</definedName>
    <definedName name="M_Aggregate_375mmMaximum_Below_56mm_61">#REF!</definedName>
    <definedName name="M_Aggregate_40_32" localSheetId="19">#REF!</definedName>
    <definedName name="M_Aggregate_40_33" localSheetId="27">#REF!</definedName>
    <definedName name="M_Aggregate_40_33">#REF!</definedName>
    <definedName name="M_Aggregate_40_34">#REF!</definedName>
    <definedName name="M_Aggregate_40_43">#REF!</definedName>
    <definedName name="M_Aggregate_40_56">#REF!</definedName>
    <definedName name="M_Aggregate_40_59">#REF!</definedName>
    <definedName name="M_Aggregate_40_61">#REF!</definedName>
    <definedName name="M_Aggregate_45_224m_WMM_32" localSheetId="19">#REF!</definedName>
    <definedName name="M_Aggregate_45_224m_WMM_33" localSheetId="27">#REF!</definedName>
    <definedName name="M_Aggregate_45_224m_WMM_33">#REF!</definedName>
    <definedName name="M_Aggregate_45_224m_WMM_34">#REF!</definedName>
    <definedName name="M_Aggregate_45_224m_WMM_43">#REF!</definedName>
    <definedName name="M_Aggregate_45_224m_WMM_56">#REF!</definedName>
    <definedName name="M_Aggregate_45_224m_WMM_59">#REF!</definedName>
    <definedName name="M_Aggregate_45_224m_WMM_61">#REF!</definedName>
    <definedName name="M_Aggregate_53mmMaximum_225_56mm_32" localSheetId="19">#REF!</definedName>
    <definedName name="M_Aggregate_53mmMaximum_225_56mm_33" localSheetId="27">#REF!</definedName>
    <definedName name="M_Aggregate_53mmMaximum_225_56mm_33">#REF!</definedName>
    <definedName name="M_Aggregate_53mmMaximum_225_56mm_34">#REF!</definedName>
    <definedName name="M_Aggregate_53mmMaximum_225_56mm_43">#REF!</definedName>
    <definedName name="M_Aggregate_53mmMaximum_225_56mm_56">#REF!</definedName>
    <definedName name="M_Aggregate_53mmMaximum_225_56mm_59">#REF!</definedName>
    <definedName name="M_Aggregate_53mmMaximum_225_56mm_61">#REF!</definedName>
    <definedName name="M_Aggregate_53mmMaximum_63_45mm_32" localSheetId="19">#REF!</definedName>
    <definedName name="M_Aggregate_53mmMaximum_63_45mm_33" localSheetId="27">#REF!</definedName>
    <definedName name="M_Aggregate_53mmMaximum_63_45mm_33">#REF!</definedName>
    <definedName name="M_Aggregate_53mmMaximum_63_45mm_34">#REF!</definedName>
    <definedName name="M_Aggregate_53mmMaximum_63_45mm_43">#REF!</definedName>
    <definedName name="M_Aggregate_53mmMaximum_63_45mm_56">#REF!</definedName>
    <definedName name="M_Aggregate_53mmMaximum_63_45mm_59">#REF!</definedName>
    <definedName name="M_Aggregate_53mmMaximum_63_45mm_61">#REF!</definedName>
    <definedName name="M_Aggregate_53mmMaximum_below_56mm_32" localSheetId="19">#REF!</definedName>
    <definedName name="M_Aggregate_53mmMaximum_below_56mm_33" localSheetId="27">#REF!</definedName>
    <definedName name="M_Aggregate_53mmMaximum_below_56mm_33">#REF!</definedName>
    <definedName name="M_Aggregate_53mmMaximum_below_56mm_34">#REF!</definedName>
    <definedName name="M_Aggregate_53mmMaximum_below_56mm_43">#REF!</definedName>
    <definedName name="M_Aggregate_53mmMaximum_below_56mm_56">#REF!</definedName>
    <definedName name="M_Aggregate_53mmMaximum_below_56mm_59">#REF!</definedName>
    <definedName name="M_Aggregate_53mmMaximum_below_56mm_61">#REF!</definedName>
    <definedName name="M_Aggregate_Crushable_GradeI_32" localSheetId="19">#REF!</definedName>
    <definedName name="M_Aggregate_Crushable_GradeI_33" localSheetId="27">#REF!</definedName>
    <definedName name="M_Aggregate_Crushable_GradeI_33">#REF!</definedName>
    <definedName name="M_Aggregate_Crushable_GradeI_34">#REF!</definedName>
    <definedName name="M_Aggregate_Crushable_GradeI_43">#REF!</definedName>
    <definedName name="M_Aggregate_Crushable_GradeI_56">#REF!</definedName>
    <definedName name="M_Aggregate_Crushable_GradeI_59">#REF!</definedName>
    <definedName name="M_Aggregate_Crushable_GradeI_61">#REF!</definedName>
    <definedName name="M_Aggregate_Crushable_GradeII_32" localSheetId="19">#REF!</definedName>
    <definedName name="M_Aggregate_Crushable_GradeII_33" localSheetId="27">#REF!</definedName>
    <definedName name="M_Aggregate_Crushable_GradeII_33">#REF!</definedName>
    <definedName name="M_Aggregate_Crushable_GradeII_34">#REF!</definedName>
    <definedName name="M_Aggregate_Crushable_GradeII_43">#REF!</definedName>
    <definedName name="M_Aggregate_Crushable_GradeII_56">#REF!</definedName>
    <definedName name="M_Aggregate_Crushable_GradeII_59">#REF!</definedName>
    <definedName name="M_Aggregate_Crushable_GradeII_61">#REF!</definedName>
    <definedName name="M_Aggregate_Crushable_GradeIII_32" localSheetId="19">#REF!</definedName>
    <definedName name="M_Aggregate_Crushable_GradeIII_33" localSheetId="27">#REF!</definedName>
    <definedName name="M_Aggregate_Crushable_GradeIII_33">#REF!</definedName>
    <definedName name="M_Aggregate_Crushable_GradeIII_34">#REF!</definedName>
    <definedName name="M_Aggregate_Crushable_GradeIII_43">#REF!</definedName>
    <definedName name="M_Aggregate_Crushable_GradeIII_56">#REF!</definedName>
    <definedName name="M_Aggregate_Crushable_GradeIII_59">#REF!</definedName>
    <definedName name="M_Aggregate_Crushable_GradeIII_61">#REF!</definedName>
    <definedName name="M_Aggregate_GradeI_40mmNominal_10_5mm_32" localSheetId="19">#REF!</definedName>
    <definedName name="M_Aggregate_GradeI_40mmNominal_10_5mm_33" localSheetId="27">#REF!</definedName>
    <definedName name="M_Aggregate_GradeI_40mmNominal_10_5mm_33">#REF!</definedName>
    <definedName name="M_Aggregate_GradeI_40mmNominal_10_5mm_34">#REF!</definedName>
    <definedName name="M_Aggregate_GradeI_40mmNominal_10_5mm_43">#REF!</definedName>
    <definedName name="M_Aggregate_GradeI_40mmNominal_10_5mm_56">#REF!</definedName>
    <definedName name="M_Aggregate_GradeI_40mmNominal_10_5mm_59">#REF!</definedName>
    <definedName name="M_Aggregate_GradeI_40mmNominal_10_5mm_61">#REF!</definedName>
    <definedName name="M_Aggregate_GradeI_40mmNominal_25_10mm_32" localSheetId="19">#REF!</definedName>
    <definedName name="M_Aggregate_GradeI_40mmNominal_25_10mm_33" localSheetId="27">#REF!</definedName>
    <definedName name="M_Aggregate_GradeI_40mmNominal_25_10mm_33">#REF!</definedName>
    <definedName name="M_Aggregate_GradeI_40mmNominal_25_10mm_34">#REF!</definedName>
    <definedName name="M_Aggregate_GradeI_40mmNominal_25_10mm_43">#REF!</definedName>
    <definedName name="M_Aggregate_GradeI_40mmNominal_25_10mm_56">#REF!</definedName>
    <definedName name="M_Aggregate_GradeI_40mmNominal_25_10mm_59">#REF!</definedName>
    <definedName name="M_Aggregate_GradeI_40mmNominal_25_10mm_61">#REF!</definedName>
    <definedName name="M_Aggregate_GradeI_40mmNominal_3725_25mm_32" localSheetId="19">#REF!</definedName>
    <definedName name="M_Aggregate_GradeI_40mmNominal_3725_25mm_33" localSheetId="27">#REF!</definedName>
    <definedName name="M_Aggregate_GradeI_40mmNominal_3725_25mm_33">#REF!</definedName>
    <definedName name="M_Aggregate_GradeI_40mmNominal_3725_25mm_34">#REF!</definedName>
    <definedName name="M_Aggregate_GradeI_40mmNominal_3725_25mm_43">#REF!</definedName>
    <definedName name="M_Aggregate_GradeI_40mmNominal_3725_25mm_56">#REF!</definedName>
    <definedName name="M_Aggregate_GradeI_40mmNominal_3725_25mm_59">#REF!</definedName>
    <definedName name="M_Aggregate_GradeI_40mmNominal_3725_25mm_61">#REF!</definedName>
    <definedName name="M_Aggregate_GradeI_40mmNominal_5mm_32" localSheetId="19">#REF!</definedName>
    <definedName name="M_Aggregate_GradeI_40mmNominal_5mm_33" localSheetId="27">#REF!</definedName>
    <definedName name="M_Aggregate_GradeI_40mmNominal_5mm_33">#REF!</definedName>
    <definedName name="M_Aggregate_GradeI_40mmNominal_5mm_34">#REF!</definedName>
    <definedName name="M_Aggregate_GradeI_40mmNominal_5mm_43">#REF!</definedName>
    <definedName name="M_Aggregate_GradeI_40mmNominal_5mm_56">#REF!</definedName>
    <definedName name="M_Aggregate_GradeI_40mmNominal_5mm_59">#REF!</definedName>
    <definedName name="M_Aggregate_GradeI_40mmNominal_5mm_61">#REF!</definedName>
    <definedName name="M_Aggregate_GradeI_90_45mm_32" localSheetId="19">#REF!</definedName>
    <definedName name="M_Aggregate_GradeI_90_45mm_33" localSheetId="27">#REF!</definedName>
    <definedName name="M_Aggregate_GradeI_90_45mm_33">#REF!</definedName>
    <definedName name="M_Aggregate_GradeI_90_45mm_34">#REF!</definedName>
    <definedName name="M_Aggregate_GradeI_90_45mm_43">#REF!</definedName>
    <definedName name="M_Aggregate_GradeI_90_45mm_56">#REF!</definedName>
    <definedName name="M_Aggregate_GradeI_90_45mm_59">#REF!</definedName>
    <definedName name="M_Aggregate_GradeI_90_45mm_61">#REF!</definedName>
    <definedName name="M_Aggregate_GradeII_19mmNominal_10_5mm_32" localSheetId="19">#REF!</definedName>
    <definedName name="M_Aggregate_GradeII_19mmNominal_10_5mm_33" localSheetId="27">#REF!</definedName>
    <definedName name="M_Aggregate_GradeII_19mmNominal_10_5mm_33">#REF!</definedName>
    <definedName name="M_Aggregate_GradeII_19mmNominal_10_5mm_34">#REF!</definedName>
    <definedName name="M_Aggregate_GradeII_19mmNominal_10_5mm_43">#REF!</definedName>
    <definedName name="M_Aggregate_GradeII_19mmNominal_10_5mm_55">#REF!</definedName>
    <definedName name="M_Aggregate_GradeII_19mmNominal_10_5mm_56">#REF!</definedName>
    <definedName name="M_Aggregate_GradeII_19mmNominal_10_5mm_59">#REF!</definedName>
    <definedName name="M_Aggregate_GradeII_19mmNominal_10_5mm_61">#REF!</definedName>
    <definedName name="M_Aggregate_GradeII_19mmNominal_25_10mm_32" localSheetId="19">#REF!</definedName>
    <definedName name="M_Aggregate_GradeII_19mmNominal_25_10mm_33" localSheetId="27">#REF!</definedName>
    <definedName name="M_Aggregate_GradeII_19mmNominal_25_10mm_33">#REF!</definedName>
    <definedName name="M_Aggregate_GradeII_19mmNominal_25_10mm_34">#REF!</definedName>
    <definedName name="M_Aggregate_GradeII_19mmNominal_25_10mm_43">#REF!</definedName>
    <definedName name="M_Aggregate_GradeII_19mmNominal_25_10mm_55">#REF!</definedName>
    <definedName name="M_Aggregate_GradeII_19mmNominal_25_10mm_56">#REF!</definedName>
    <definedName name="M_Aggregate_GradeII_19mmNominal_25_10mm_59">#REF!</definedName>
    <definedName name="M_Aggregate_GradeII_19mmNominal_25_10mm_61">#REF!</definedName>
    <definedName name="M_Aggregate_GradeII_19mmNominal_5mm_below_32" localSheetId="19">#REF!</definedName>
    <definedName name="M_Aggregate_GradeII_19mmNominal_5mm_below_33" localSheetId="27">#REF!</definedName>
    <definedName name="M_Aggregate_GradeII_19mmNominal_5mm_below_33">#REF!</definedName>
    <definedName name="M_Aggregate_GradeII_19mmNominal_5mm_below_34">#REF!</definedName>
    <definedName name="M_Aggregate_GradeII_19mmNominal_5mm_below_43">#REF!</definedName>
    <definedName name="M_Aggregate_GradeII_19mmNominal_5mm_below_55">#REF!</definedName>
    <definedName name="M_Aggregate_GradeII_19mmNominal_5mm_below_56">#REF!</definedName>
    <definedName name="M_Aggregate_GradeII_19mmNominal_5mm_below_59">#REF!</definedName>
    <definedName name="M_Aggregate_GradeII_19mmNominal_5mm_below_61">#REF!</definedName>
    <definedName name="M_Aggregate_GradeII_63_45mm_32" localSheetId="19">#REF!</definedName>
    <definedName name="M_Aggregate_GradeII_63_45mm_33" localSheetId="27">#REF!</definedName>
    <definedName name="M_Aggregate_GradeII_63_45mm_33">#REF!</definedName>
    <definedName name="M_Aggregate_GradeII_63_45mm_34">#REF!</definedName>
    <definedName name="M_Aggregate_GradeII_63_45mm_43">#REF!</definedName>
    <definedName name="M_Aggregate_GradeII_63_45mm_56">#REF!</definedName>
    <definedName name="M_Aggregate_GradeII_63_45mm_59">#REF!</definedName>
    <definedName name="M_Aggregate_GradeII_63_45mm_61">#REF!</definedName>
    <definedName name="M_Aggregate_GradeIII_53_224mm_32" localSheetId="19">#REF!</definedName>
    <definedName name="M_Aggregate_GradeIII_53_224mm_33" localSheetId="27">#REF!</definedName>
    <definedName name="M_Aggregate_GradeIII_53_224mm_33">#REF!</definedName>
    <definedName name="M_Aggregate_GradeIII_53_224mm_34">#REF!</definedName>
    <definedName name="M_Aggregate_GradeIII_53_224mm_43">#REF!</definedName>
    <definedName name="M_Aggregate_GradeIII_53_224mm_56">#REF!</definedName>
    <definedName name="M_Aggregate_GradeIII_53_224mm_59">#REF!</definedName>
    <definedName name="M_Aggregate_GradeIII_53_224mm_61">#REF!</definedName>
    <definedName name="M_AIRCOMP170" localSheetId="5">#REF!</definedName>
    <definedName name="M_AIRCOMP170" localSheetId="6">#REF!</definedName>
    <definedName name="M_AIRCOMP170" localSheetId="12">#REF!</definedName>
    <definedName name="M_AIRCOMP170" localSheetId="34">#REF!</definedName>
    <definedName name="M_AIRCOMP170" localSheetId="19">#REF!</definedName>
    <definedName name="M_AIRCOMP170" localSheetId="30">#REF!</definedName>
    <definedName name="M_AIRCOMP170">#REF!</definedName>
    <definedName name="M_AIRCOMP210" localSheetId="5">#REF!</definedName>
    <definedName name="M_AIRCOMP210" localSheetId="6">#REF!</definedName>
    <definedName name="M_AIRCOMP210" localSheetId="12">#REF!</definedName>
    <definedName name="M_AIRCOMP210" localSheetId="34">#REF!</definedName>
    <definedName name="M_AIRCOMP210" localSheetId="19">#REF!</definedName>
    <definedName name="M_AIRCOMP210" localSheetId="30">#REF!</definedName>
    <definedName name="M_AIRCOMP210">#REF!</definedName>
    <definedName name="M_AluminiumSheeting_15mm_32" localSheetId="19">#REF!</definedName>
    <definedName name="M_AluminiumSheeting_15mm_33" localSheetId="27">#REF!</definedName>
    <definedName name="M_AluminiumSheeting_15mm_33">#REF!</definedName>
    <definedName name="M_AluminiumSheeting_15mm_34">#REF!</definedName>
    <definedName name="M_AluminiumSheeting_15mm_43">#REF!</definedName>
    <definedName name="M_AluminiumSheeting_15mm_56">#REF!</definedName>
    <definedName name="M_AluminiumSheeting_15mm_59">#REF!</definedName>
    <definedName name="M_AluminiumSheeting_15mm_61">#REF!</definedName>
    <definedName name="M_AluminiumStuds_100_100_Lense_32" localSheetId="19">#REF!</definedName>
    <definedName name="M_AluminiumStuds_100_100_Lense_33" localSheetId="27">#REF!</definedName>
    <definedName name="M_AluminiumStuds_100_100_Lense_33">#REF!</definedName>
    <definedName name="M_AluminiumStuds_100_100_Lense_34">#REF!</definedName>
    <definedName name="M_AluminiumStuds_100_100_Lense_43">#REF!</definedName>
    <definedName name="M_AluminiumStuds_100_100_Lense_56">#REF!</definedName>
    <definedName name="M_AluminiumStuds_100_100_Lense_59">#REF!</definedName>
    <definedName name="M_AluminiumStuds_100_100_Lense_61">#REF!</definedName>
    <definedName name="M_Bamboo_1stClass_85_100mm_25m_long_32" localSheetId="19">#REF!</definedName>
    <definedName name="M_Bamboo_1stClass_85_100mm_25m_long_33" localSheetId="27">#REF!</definedName>
    <definedName name="M_Bamboo_1stClass_85_100mm_25m_long_33">#REF!</definedName>
    <definedName name="M_Bamboo_1stClass_85_100mm_25m_long_34">#REF!</definedName>
    <definedName name="M_Bamboo_1stClass_85_100mm_25m_long_43">#REF!</definedName>
    <definedName name="M_Bamboo_1stClass_85_100mm_25m_long_56">#REF!</definedName>
    <definedName name="M_Bamboo_1stClass_85_100mm_25m_long_59">#REF!</definedName>
    <definedName name="M_Bamboo_1stClass_85_100mm_25m_long_61">#REF!</definedName>
    <definedName name="M_Bamboo_1stClass_85_100mm_2m_long_32" localSheetId="19">#REF!</definedName>
    <definedName name="M_Bamboo_1stClass_85_100mm_2m_long_33" localSheetId="27">#REF!</definedName>
    <definedName name="M_Bamboo_1stClass_85_100mm_2m_long_33">#REF!</definedName>
    <definedName name="M_Bamboo_1stClass_85_100mm_2m_long_34">#REF!</definedName>
    <definedName name="M_Bamboo_1stClass_85_100mm_2m_long_43">#REF!</definedName>
    <definedName name="M_Bamboo_1stClass_85_100mm_2m_long_56">#REF!</definedName>
    <definedName name="M_Bamboo_1stClass_85_100mm_2m_long_59">#REF!</definedName>
    <definedName name="M_Bamboo_1stClass_85_100mm_2m_long_61">#REF!</definedName>
    <definedName name="M_Bamboo_1stClass_85_100mm_3m_long_32" localSheetId="19">#REF!</definedName>
    <definedName name="M_Bamboo_1stClass_85_100mm_3m_long_33" localSheetId="27">#REF!</definedName>
    <definedName name="M_Bamboo_1stClass_85_100mm_3m_long_33">#REF!</definedName>
    <definedName name="M_Bamboo_1stClass_85_100mm_3m_long_34">#REF!</definedName>
    <definedName name="M_Bamboo_1stClass_85_100mm_3m_long_43">#REF!</definedName>
    <definedName name="M_Bamboo_1stClass_85_100mm_3m_long_56">#REF!</definedName>
    <definedName name="M_Bamboo_1stClass_85_100mm_3m_long_59">#REF!</definedName>
    <definedName name="M_Bamboo_1stClass_85_100mm_3m_long_61">#REF!</definedName>
    <definedName name="M_Bamboo_1stClass_85_100mm_45_55m_long_32" localSheetId="19">#REF!</definedName>
    <definedName name="M_Bamboo_1stClass_85_100mm_45_55m_long_33" localSheetId="27">#REF!</definedName>
    <definedName name="M_Bamboo_1stClass_85_100mm_45_55m_long_33">#REF!</definedName>
    <definedName name="M_Bamboo_1stClass_85_100mm_45_55m_long_34">#REF!</definedName>
    <definedName name="M_Bamboo_1stClass_85_100mm_45_55m_long_43">#REF!</definedName>
    <definedName name="M_Bamboo_1stClass_85_100mm_45_55m_long_56">#REF!</definedName>
    <definedName name="M_Bamboo_1stClass_85_100mm_45_55m_long_59">#REF!</definedName>
    <definedName name="M_Bamboo_1stClass_85_100mm_45_55m_long_61">#REF!</definedName>
    <definedName name="M_Bamboo_2ndClass_75mm_18_25m_long_32" localSheetId="19">#REF!</definedName>
    <definedName name="M_Bamboo_2ndClass_75mm_18_25m_long_33" localSheetId="27">#REF!</definedName>
    <definedName name="M_Bamboo_2ndClass_75mm_18_25m_long_33">#REF!</definedName>
    <definedName name="M_Bamboo_2ndClass_75mm_18_25m_long_34">#REF!</definedName>
    <definedName name="M_Bamboo_2ndClass_75mm_18_25m_long_43">#REF!</definedName>
    <definedName name="M_Bamboo_2ndClass_75mm_18_25m_long_56">#REF!</definedName>
    <definedName name="M_Bamboo_2ndClass_75mm_18_25m_long_59">#REF!</definedName>
    <definedName name="M_Bamboo_2ndClass_75mm_18_25m_long_61">#REF!</definedName>
    <definedName name="M_Bamboo_2ndClass_75mm_21_30m_long_32" localSheetId="19">#REF!</definedName>
    <definedName name="M_Bamboo_2ndClass_75mm_21_30m_long_33" localSheetId="27">#REF!</definedName>
    <definedName name="M_Bamboo_2ndClass_75mm_21_30m_long_33">#REF!</definedName>
    <definedName name="M_Bamboo_2ndClass_75mm_21_30m_long_34">#REF!</definedName>
    <definedName name="M_Bamboo_2ndClass_75mm_21_30m_long_43">#REF!</definedName>
    <definedName name="M_Bamboo_2ndClass_75mm_21_30m_long_56">#REF!</definedName>
    <definedName name="M_Bamboo_2ndClass_75mm_21_30m_long_59">#REF!</definedName>
    <definedName name="M_Bamboo_2ndClass_75mm_21_30m_long_61">#REF!</definedName>
    <definedName name="M_BarbedWire_32" localSheetId="19">#REF!</definedName>
    <definedName name="M_BarbedWire_33" localSheetId="27">#REF!</definedName>
    <definedName name="M_BarbedWire_33">#REF!</definedName>
    <definedName name="M_BarbedWire_34">#REF!</definedName>
    <definedName name="M_BarbedWire_43">#REF!</definedName>
    <definedName name="M_BarbedWire_56">#REF!</definedName>
    <definedName name="M_BarbedWire_59">#REF!</definedName>
    <definedName name="M_BarbedWire_61">#REF!</definedName>
    <definedName name="M_BindingMaterial_32" localSheetId="19">#REF!</definedName>
    <definedName name="M_BindingMaterial_33" localSheetId="27">#REF!</definedName>
    <definedName name="M_BindingMaterial_33">#REF!</definedName>
    <definedName name="M_BindingMaterial_34">#REF!</definedName>
    <definedName name="M_BindingMaterial_43">#REF!</definedName>
    <definedName name="M_BindingMaterial_56">#REF!</definedName>
    <definedName name="M_BindingMaterial_59">#REF!</definedName>
    <definedName name="M_BindingMaterial_61">#REF!</definedName>
    <definedName name="M_Bitumen_CRM_32" localSheetId="19">#REF!</definedName>
    <definedName name="M_Bitumen_CRM_33" localSheetId="27">#REF!</definedName>
    <definedName name="M_Bitumen_CRM_33">#REF!</definedName>
    <definedName name="M_Bitumen_CRM_34">#REF!</definedName>
    <definedName name="M_Bitumen_CRM_43">#REF!</definedName>
    <definedName name="M_Bitumen_CRM_55">#REF!</definedName>
    <definedName name="M_Bitumen_CRM_56">#REF!</definedName>
    <definedName name="M_Bitumen_CRM_59">#REF!</definedName>
    <definedName name="M_Bitumen_CRM_61">#REF!</definedName>
    <definedName name="M_Bitumen_NRM_32" localSheetId="19">#REF!</definedName>
    <definedName name="M_Bitumen_NRM_33" localSheetId="27">#REF!</definedName>
    <definedName name="M_Bitumen_NRM_33">#REF!</definedName>
    <definedName name="M_Bitumen_NRM_34">#REF!</definedName>
    <definedName name="M_Bitumen_NRM_43">#REF!</definedName>
    <definedName name="M_Bitumen_NRM_55">#REF!</definedName>
    <definedName name="M_Bitumen_NRM_56">#REF!</definedName>
    <definedName name="M_Bitumen_NRM_59">#REF!</definedName>
    <definedName name="M_Bitumen_NRM_61">#REF!</definedName>
    <definedName name="M_Bitumen_PM_32" localSheetId="19">#REF!</definedName>
    <definedName name="M_Bitumen_PM_33" localSheetId="27">#REF!</definedName>
    <definedName name="M_Bitumen_PM_33">#REF!</definedName>
    <definedName name="M_Bitumen_PM_34">#REF!</definedName>
    <definedName name="M_Bitumen_PM_43">#REF!</definedName>
    <definedName name="M_Bitumen_PM_55">#REF!</definedName>
    <definedName name="M_Bitumen_PM_56">#REF!</definedName>
    <definedName name="M_Bitumen_PM_59">#REF!</definedName>
    <definedName name="M_Bitumen_PM_61">#REF!</definedName>
    <definedName name="M_Bitumen_S65_55" localSheetId="19">#REF!</definedName>
    <definedName name="M_Bitumen_S90_55" localSheetId="19">#REF!</definedName>
    <definedName name="M_BitumenEmulsion_RS1_32" localSheetId="19">#REF!</definedName>
    <definedName name="M_BitumenEmulsion_RS1_33" localSheetId="27">#REF!</definedName>
    <definedName name="M_BitumenEmulsion_RS1_33">#REF!</definedName>
    <definedName name="M_BitumenEmulsion_RS1_34">#REF!</definedName>
    <definedName name="M_BitumenEmulsion_RS1_43">#REF!</definedName>
    <definedName name="M_BitumenEmulsion_RS1_55">#REF!</definedName>
    <definedName name="M_BitumenEmulsion_RS1_56">#REF!</definedName>
    <definedName name="M_BitumenEmulsion_RS1_59">#REF!</definedName>
    <definedName name="M_BitumenEmulsion_RS1_61">#REF!</definedName>
    <definedName name="M_BitumenEmulsion_SS1_32" localSheetId="19">#REF!</definedName>
    <definedName name="M_BitumenEmulsion_SS1_33" localSheetId="27">#REF!</definedName>
    <definedName name="M_BitumenEmulsion_SS1_33">#REF!</definedName>
    <definedName name="M_BitumenEmulsion_SS1_34">#REF!</definedName>
    <definedName name="M_BitumenEmulsion_SS1_43">#REF!</definedName>
    <definedName name="M_BitumenEmulsion_SS1_55">#REF!</definedName>
    <definedName name="M_BitumenEmulsion_SS1_56">#REF!</definedName>
    <definedName name="M_BitumenEmulsion_SS1_59">#REF!</definedName>
    <definedName name="M_BitumenEmulsion_SS1_61">#REF!</definedName>
    <definedName name="M_BitumenSealant_32" localSheetId="19">#REF!</definedName>
    <definedName name="M_BitumenSealant_33" localSheetId="27">#REF!</definedName>
    <definedName name="M_BitumenSealant_33">#REF!</definedName>
    <definedName name="M_BitumenSealant_34">#REF!</definedName>
    <definedName name="M_BitumenSealant_43">#REF!</definedName>
    <definedName name="M_BitumenSealant_55">#REF!</definedName>
    <definedName name="M_BitumenSealant_56">#REF!</definedName>
    <definedName name="M_BitumenSealant_59">#REF!</definedName>
    <definedName name="M_BitumenSealant_61">#REF!</definedName>
    <definedName name="M_BROOMER" localSheetId="5">#REF!</definedName>
    <definedName name="M_BROOMER" localSheetId="6">#REF!</definedName>
    <definedName name="M_BROOMER" localSheetId="12">#REF!</definedName>
    <definedName name="M_BROOMER" localSheetId="34">#REF!</definedName>
    <definedName name="M_BROOMER" localSheetId="19">#REF!</definedName>
    <definedName name="M_BROOMER" localSheetId="30">#REF!</definedName>
    <definedName name="M_BROOMER">#REF!</definedName>
    <definedName name="M_CC_CUTTER" localSheetId="5">#REF!</definedName>
    <definedName name="M_CC_CUTTER" localSheetId="6">#REF!</definedName>
    <definedName name="M_CC_CUTTER" localSheetId="12">#REF!</definedName>
    <definedName name="M_CC_CUTTER" localSheetId="34">#REF!</definedName>
    <definedName name="M_CC_CUTTER" localSheetId="19">#REF!</definedName>
    <definedName name="M_CC_CUTTER" localSheetId="30">#REF!</definedName>
    <definedName name="M_CC_CUTTER">#REF!</definedName>
    <definedName name="M_CCMIXER" localSheetId="5">#REF!</definedName>
    <definedName name="M_CCMIXER" localSheetId="6">#REF!</definedName>
    <definedName name="M_CCMIXER" localSheetId="12">#REF!</definedName>
    <definedName name="M_CCMIXER" localSheetId="34">#REF!</definedName>
    <definedName name="M_CCMIXER" localSheetId="19">#REF!</definedName>
    <definedName name="M_CCMIXER" localSheetId="30">#REF!</definedName>
    <definedName name="M_CCMIXER">#REF!</definedName>
    <definedName name="M_Cement_32" localSheetId="19">#REF!</definedName>
    <definedName name="M_Cement_33" localSheetId="27">#REF!</definedName>
    <definedName name="M_Cement_33">#REF!</definedName>
    <definedName name="M_Cement_34">#REF!</definedName>
    <definedName name="M_Cement_43">#REF!</definedName>
    <definedName name="M_Cement_55">#REF!</definedName>
    <definedName name="M_Cement_56">#REF!</definedName>
    <definedName name="M_Cement_59">#REF!</definedName>
    <definedName name="M_Cement_61">#REF!</definedName>
    <definedName name="M_CementPrimer_32" localSheetId="19">#REF!</definedName>
    <definedName name="M_CementPrimer_33" localSheetId="27">#REF!</definedName>
    <definedName name="M_CementPrimer_33">#REF!</definedName>
    <definedName name="M_CementPrimer_34">#REF!</definedName>
    <definedName name="M_CementPrimer_43">#REF!</definedName>
    <definedName name="M_CementPrimer_56">#REF!</definedName>
    <definedName name="M_CementPrimer_59">#REF!</definedName>
    <definedName name="M_CementPrimer_61">#REF!</definedName>
    <definedName name="M_CHIPSPREDER" localSheetId="5">#REF!</definedName>
    <definedName name="M_CHIPSPREDER" localSheetId="6">#REF!</definedName>
    <definedName name="M_CHIPSPREDER" localSheetId="12">#REF!</definedName>
    <definedName name="M_CHIPSPREDER" localSheetId="34">#REF!</definedName>
    <definedName name="M_CHIPSPREDER" localSheetId="19">#REF!</definedName>
    <definedName name="M_CHIPSPREDER" localSheetId="30">#REF!</definedName>
    <definedName name="M_CHIPSPREDER">#REF!</definedName>
    <definedName name="M_ChlorpreneElastomer_OR_ClosedCellFoamSealingElement_32" localSheetId="19">#REF!</definedName>
    <definedName name="M_ChlorpreneElastomer_OR_ClosedCellFoamSealingElement_33" localSheetId="27">#REF!</definedName>
    <definedName name="M_ChlorpreneElastomer_OR_ClosedCellFoamSealingElement_33">#REF!</definedName>
    <definedName name="M_ChlorpreneElastomer_OR_ClosedCellFoamSealingElement_34">#REF!</definedName>
    <definedName name="M_ChlorpreneElastomer_OR_ClosedCellFoamSealingElement_43">#REF!</definedName>
    <definedName name="M_ChlorpreneElastomer_OR_ClosedCellFoamSealingElement_56">#REF!</definedName>
    <definedName name="M_ChlorpreneElastomer_OR_ClosedCellFoamSealingElement_59">#REF!</definedName>
    <definedName name="M_ChlorpreneElastomer_OR_ClosedCellFoamSealingElement_61">#REF!</definedName>
    <definedName name="M_CompressibleFibreBoard_32" localSheetId="19">#REF!</definedName>
    <definedName name="M_CompressibleFibreBoard_33" localSheetId="27">#REF!</definedName>
    <definedName name="M_CompressibleFibreBoard_33">#REF!</definedName>
    <definedName name="M_CompressibleFibreBoard_34">#REF!</definedName>
    <definedName name="M_CompressibleFibreBoard_43">#REF!</definedName>
    <definedName name="M_CompressibleFibreBoard_56">#REF!</definedName>
    <definedName name="M_CompressibleFibreBoard_59">#REF!</definedName>
    <definedName name="M_CompressibleFibreBoard_61">#REF!</definedName>
    <definedName name="M_CopperPlate_32" localSheetId="19">#REF!</definedName>
    <definedName name="M_CopperPlate_33" localSheetId="27">#REF!</definedName>
    <definedName name="M_CopperPlate_33">#REF!</definedName>
    <definedName name="M_CopperPlate_34">#REF!</definedName>
    <definedName name="M_CopperPlate_43">#REF!</definedName>
    <definedName name="M_CopperPlate_56">#REF!</definedName>
    <definedName name="M_CopperPlate_59">#REF!</definedName>
    <definedName name="M_CopperPlate_61">#REF!</definedName>
    <definedName name="M_CorrosionResistantStructuralSteelGrating_32" localSheetId="19">#REF!</definedName>
    <definedName name="M_CorrosionResistantStructuralSteelGrating_33" localSheetId="27">#REF!</definedName>
    <definedName name="M_CorrosionResistantStructuralSteelGrating_33">#REF!</definedName>
    <definedName name="M_CorrosionResistantStructuralSteelGrating_34">#REF!</definedName>
    <definedName name="M_CorrosionResistantStructuralSteelGrating_43">#REF!</definedName>
    <definedName name="M_CorrosionResistantStructuralSteelGrating_56">#REF!</definedName>
    <definedName name="M_CorrosionResistantStructuralSteelGrating_59">#REF!</definedName>
    <definedName name="M_CorrosionResistantStructuralSteelGrating_61">#REF!</definedName>
    <definedName name="M_CRANE8T" localSheetId="5">#REF!</definedName>
    <definedName name="M_CRANE8T" localSheetId="6">#REF!</definedName>
    <definedName name="M_CRANE8T" localSheetId="12">#REF!</definedName>
    <definedName name="M_CRANE8T" localSheetId="34">#REF!</definedName>
    <definedName name="M_CRANE8T" localSheetId="19">#REF!</definedName>
    <definedName name="M_CRANE8T" localSheetId="30">#REF!</definedName>
    <definedName name="M_CRANE8T">#REF!</definedName>
    <definedName name="M_CreditForExcavatedRock_32" localSheetId="19">#REF!</definedName>
    <definedName name="M_CreditForExcavatedRock_33" localSheetId="27">#REF!</definedName>
    <definedName name="M_CreditForExcavatedRock_33">#REF!</definedName>
    <definedName name="M_CreditForExcavatedRock_34">#REF!</definedName>
    <definedName name="M_CreditForExcavatedRock_43">#REF!</definedName>
    <definedName name="M_CreditForExcavatedRock_56">#REF!</definedName>
    <definedName name="M_CreditForExcavatedRock_59">#REF!</definedName>
    <definedName name="M_CreditForExcavatedRock_61">#REF!</definedName>
    <definedName name="M_CrushedSand_OR_Grit_32" localSheetId="19">#REF!</definedName>
    <definedName name="M_CrushedSand_OR_Grit_33" localSheetId="27">#REF!</definedName>
    <definedName name="M_CrushedSand_OR_Grit_33">#REF!</definedName>
    <definedName name="M_CrushedSand_OR_Grit_34">#REF!</definedName>
    <definedName name="M_CrushedSand_OR_Grit_43">#REF!</definedName>
    <definedName name="M_CrushedSand_OR_Grit_55">#REF!</definedName>
    <definedName name="M_CrushedSand_OR_Grit_56">#REF!</definedName>
    <definedName name="M_CrushedSand_OR_Grit_59">#REF!</definedName>
    <definedName name="M_CrushedSand_OR_Grit_61">#REF!</definedName>
    <definedName name="M_CrushedSlag_32" localSheetId="19">#REF!</definedName>
    <definedName name="M_CrushedSlag_33" localSheetId="27">#REF!</definedName>
    <definedName name="M_CrushedSlag_33">#REF!</definedName>
    <definedName name="M_CrushedSlag_34">#REF!</definedName>
    <definedName name="M_CrushedSlag_43">#REF!</definedName>
    <definedName name="M_CrushedSlag_56">#REF!</definedName>
    <definedName name="M_CrushedSlag_59">#REF!</definedName>
    <definedName name="M_CrushedSlag_61">#REF!</definedName>
    <definedName name="M_CrushedStoneAggregate_265_75_32" localSheetId="19">#REF!</definedName>
    <definedName name="M_CrushedStoneAggregate_265_75_33" localSheetId="27">#REF!</definedName>
    <definedName name="M_CrushedStoneAggregate_265_75_33">#REF!</definedName>
    <definedName name="M_CrushedStoneAggregate_265_75_34">#REF!</definedName>
    <definedName name="M_CrushedStoneAggregate_265_75_43">#REF!</definedName>
    <definedName name="M_CrushedStoneAggregate_265_75_56">#REF!</definedName>
    <definedName name="M_CrushedStoneAggregate_265_75_59">#REF!</definedName>
    <definedName name="M_CrushedStoneAggregate_265_75_61">#REF!</definedName>
    <definedName name="M_CrushedStoneChipping_132_32" localSheetId="19">#REF!</definedName>
    <definedName name="M_CrushedStoneChipping_132_33" localSheetId="27">#REF!</definedName>
    <definedName name="M_CrushedStoneChipping_132_33">#REF!</definedName>
    <definedName name="M_CrushedStoneChipping_132_34">#REF!</definedName>
    <definedName name="M_CrushedStoneChipping_132_43">#REF!</definedName>
    <definedName name="M_CrushedStoneChipping_132_55">#REF!</definedName>
    <definedName name="M_CrushedStoneChipping_132_56">#REF!</definedName>
    <definedName name="M_CrushedStoneChipping_132_59">#REF!</definedName>
    <definedName name="M_CrushedStoneChipping_132_61">#REF!</definedName>
    <definedName name="M_CrushedStoneChipping_67mm_100Passing_112mm_32" localSheetId="19">#REF!</definedName>
    <definedName name="M_CrushedStoneChipping_67mm_100Passing_112mm_33" localSheetId="27">#REF!</definedName>
    <definedName name="M_CrushedStoneChipping_67mm_100Passing_112mm_33">#REF!</definedName>
    <definedName name="M_CrushedStoneChipping_67mm_100Passing_112mm_34">#REF!</definedName>
    <definedName name="M_CrushedStoneChipping_67mm_100Passing_112mm_43">#REF!</definedName>
    <definedName name="M_CrushedStoneChipping_67mm_100Passing_112mm_55">#REF!</definedName>
    <definedName name="M_CrushedStoneChipping_67mm_100Passing_112mm_56">#REF!</definedName>
    <definedName name="M_CrushedStoneChipping_67mm_100Passing_112mm_59">#REF!</definedName>
    <definedName name="M_CrushedStoneChipping_67mm_100Passing_112mm_61">#REF!</definedName>
    <definedName name="M_CrushedStoneChipping_67mm_100Passing_95mm_32" localSheetId="19">#REF!</definedName>
    <definedName name="M_CrushedStoneChipping_67mm_100Passing_95mm_33" localSheetId="27">#REF!</definedName>
    <definedName name="M_CrushedStoneChipping_67mm_100Passing_95mm_33">#REF!</definedName>
    <definedName name="M_CrushedStoneChipping_67mm_100Passing_95mm_34">#REF!</definedName>
    <definedName name="M_CrushedStoneChipping_67mm_100Passing_95mm_43">#REF!</definedName>
    <definedName name="M_CrushedStoneChipping_67mm_100Passing_95mm_55">#REF!</definedName>
    <definedName name="M_CrushedStoneChipping_67mm_100Passing_95mm_56">#REF!</definedName>
    <definedName name="M_CrushedStoneChipping_67mm_100Passing_95mm_59">#REF!</definedName>
    <definedName name="M_CrushedStoneChipping_67mm_100Passing_95mm_61">#REF!</definedName>
    <definedName name="M_CrushedStoneChipping_95_32" localSheetId="19">#REF!</definedName>
    <definedName name="M_CrushedStoneChipping_95_33" localSheetId="27">#REF!</definedName>
    <definedName name="M_CrushedStoneChipping_95_33">#REF!</definedName>
    <definedName name="M_CrushedStoneChipping_95_34">#REF!</definedName>
    <definedName name="M_CrushedStoneChipping_95_43">#REF!</definedName>
    <definedName name="M_CrushedStoneChipping_95_55">#REF!</definedName>
    <definedName name="M_CrushedStoneChipping_95_56">#REF!</definedName>
    <definedName name="M_CrushedStoneChipping_95_59">#REF!</definedName>
    <definedName name="M_CrushedStoneChipping_95_61">#REF!</definedName>
    <definedName name="M_CrushedStoneCoarseAggregatePassing_53mm_55" localSheetId="19">#REF!</definedName>
    <definedName name="M_CuringCompound_32" localSheetId="19">#REF!</definedName>
    <definedName name="M_CuringCompound_33" localSheetId="27">#REF!</definedName>
    <definedName name="M_CuringCompound_33">#REF!</definedName>
    <definedName name="M_CuringCompound_34">#REF!</definedName>
    <definedName name="M_CuringCompound_43">#REF!</definedName>
    <definedName name="M_CuringCompound_55">#REF!</definedName>
    <definedName name="M_CuringCompound_56">#REF!</definedName>
    <definedName name="M_CuringCompound_59">#REF!</definedName>
    <definedName name="M_CuringCompound_61">#REF!</definedName>
    <definedName name="M_DebondingStrips_32" localSheetId="19">#REF!</definedName>
    <definedName name="M_DebondingStrips_33" localSheetId="27">#REF!</definedName>
    <definedName name="M_DebondingStrips_33">#REF!</definedName>
    <definedName name="M_DebondingStrips_34">#REF!</definedName>
    <definedName name="M_DebondingStrips_43">#REF!</definedName>
    <definedName name="M_DebondingStrips_55">#REF!</definedName>
    <definedName name="M_DebondingStrips_56">#REF!</definedName>
    <definedName name="M_DebondingStrips_59">#REF!</definedName>
    <definedName name="M_DebondingStrips_61">#REF!</definedName>
    <definedName name="M_DOZERD50" localSheetId="5">#REF!</definedName>
    <definedName name="M_DOZERD50" localSheetId="6">#REF!</definedName>
    <definedName name="M_DOZERD50" localSheetId="12">#REF!</definedName>
    <definedName name="M_DOZERD50" localSheetId="34">#REF!</definedName>
    <definedName name="M_DOZERD50" localSheetId="19">#REF!</definedName>
    <definedName name="M_DOZERD50" localSheetId="30">#REF!</definedName>
    <definedName name="M_DOZERD50">#REF!</definedName>
    <definedName name="M_EdgeStone_450_350_200mm_32" localSheetId="19">#REF!</definedName>
    <definedName name="M_EdgeStone_450_350_200mm_33" localSheetId="27">#REF!</definedName>
    <definedName name="M_EdgeStone_450_350_200mm_33">#REF!</definedName>
    <definedName name="M_EdgeStone_450_350_200mm_34">#REF!</definedName>
    <definedName name="M_EdgeStone_450_350_200mm_43">#REF!</definedName>
    <definedName name="M_EdgeStone_450_350_200mm_56">#REF!</definedName>
    <definedName name="M_EdgeStone_450_350_200mm_59">#REF!</definedName>
    <definedName name="M_EdgeStone_450_350_200mm_61">#REF!</definedName>
    <definedName name="M_ELEGEN" localSheetId="5">#REF!</definedName>
    <definedName name="M_ELEGEN" localSheetId="6">#REF!</definedName>
    <definedName name="M_ELEGEN" localSheetId="12">#REF!</definedName>
    <definedName name="M_ELEGEN" localSheetId="34">#REF!</definedName>
    <definedName name="M_ELEGEN" localSheetId="19">#REF!</definedName>
    <definedName name="M_ELEGEN" localSheetId="30">#REF!</definedName>
    <definedName name="M_ELEGEN">#REF!</definedName>
    <definedName name="M_EpoxyPaint_32" localSheetId="19">#REF!</definedName>
    <definedName name="M_EpoxyPaint_33" localSheetId="27">#REF!</definedName>
    <definedName name="M_EpoxyPaint_33">#REF!</definedName>
    <definedName name="M_EpoxyPaint_34">#REF!</definedName>
    <definedName name="M_EpoxyPaint_43">#REF!</definedName>
    <definedName name="M_EpoxyPaint_56">#REF!</definedName>
    <definedName name="M_EpoxyPaint_59">#REF!</definedName>
    <definedName name="M_EpoxyPaint_61">#REF!</definedName>
    <definedName name="M_EXCAVATOR9" localSheetId="5">#REF!</definedName>
    <definedName name="M_EXCAVATOR9" localSheetId="6">#REF!</definedName>
    <definedName name="M_EXCAVATOR9" localSheetId="12">#REF!</definedName>
    <definedName name="M_EXCAVATOR9" localSheetId="34">#REF!</definedName>
    <definedName name="M_EXCAVATOR9" localSheetId="19">#REF!</definedName>
    <definedName name="M_EXCAVATOR9" localSheetId="30">#REF!</definedName>
    <definedName name="M_EXCAVATOR9">#REF!</definedName>
    <definedName name="M_FarmyardManure_32" localSheetId="19">#REF!</definedName>
    <definedName name="M_FarmyardManure_33" localSheetId="27">#REF!</definedName>
    <definedName name="M_FarmyardManure_33">#REF!</definedName>
    <definedName name="M_FarmyardManure_34">#REF!</definedName>
    <definedName name="M_FarmyardManure_43">#REF!</definedName>
    <definedName name="M_FarmyardManure_56">#REF!</definedName>
    <definedName name="M_FarmyardManure_59">#REF!</definedName>
    <definedName name="M_FarmyardManure_61">#REF!</definedName>
    <definedName name="M_FevicolAdhesive_32" localSheetId="19">#REF!</definedName>
    <definedName name="M_FevicolAdhesive_33" localSheetId="27">#REF!</definedName>
    <definedName name="M_FevicolAdhesive_33">#REF!</definedName>
    <definedName name="M_FevicolAdhesive_34">#REF!</definedName>
    <definedName name="M_FevicolAdhesive_43">#REF!</definedName>
    <definedName name="M_FevicolAdhesive_56">#REF!</definedName>
    <definedName name="M_FevicolAdhesive_59">#REF!</definedName>
    <definedName name="M_FevicolAdhesive_61">#REF!</definedName>
    <definedName name="M_FineAggregate_CrushedSand_32" localSheetId="19">#REF!</definedName>
    <definedName name="M_FineAggregate_CrushedSand_33" localSheetId="27">#REF!</definedName>
    <definedName name="M_FineAggregate_CrushedSand_33">#REF!</definedName>
    <definedName name="M_FineAggregate_CrushedSand_34">#REF!</definedName>
    <definedName name="M_FineAggregate_CrushedSand_43">#REF!</definedName>
    <definedName name="M_FineAggregate_CrushedSand_56">#REF!</definedName>
    <definedName name="M_FineAggregate_CrushedSand_59">#REF!</definedName>
    <definedName name="M_FineAggregate_CrushedSand_61">#REF!</definedName>
    <definedName name="M_FRONTLOADER" localSheetId="5">#REF!</definedName>
    <definedName name="M_FRONTLOADER" localSheetId="6">#REF!</definedName>
    <definedName name="M_FRONTLOADER" localSheetId="12">#REF!</definedName>
    <definedName name="M_FRONTLOADER" localSheetId="34">#REF!</definedName>
    <definedName name="M_FRONTLOADER" localSheetId="19">#REF!</definedName>
    <definedName name="M_FRONTLOADER" localSheetId="30">#REF!</definedName>
    <definedName name="M_FRONTLOADER">#REF!</definedName>
    <definedName name="M_GalvanisedAngle_32" localSheetId="19">#REF!</definedName>
    <definedName name="M_GalvanisedAngle_33" localSheetId="27">#REF!</definedName>
    <definedName name="M_GalvanisedAngle_33">#REF!</definedName>
    <definedName name="M_GalvanisedAngle_34">#REF!</definedName>
    <definedName name="M_GalvanisedAngle_43">#REF!</definedName>
    <definedName name="M_GalvanisedAngle_56">#REF!</definedName>
    <definedName name="M_GalvanisedAngle_59">#REF!</definedName>
    <definedName name="M_GalvanisedAngle_61">#REF!</definedName>
    <definedName name="M_Gelatine_80_32" localSheetId="19">#REF!</definedName>
    <definedName name="M_Gelatine_80_33" localSheetId="27">#REF!</definedName>
    <definedName name="M_Gelatine_80_33">#REF!</definedName>
    <definedName name="M_Gelatine_80_34">#REF!</definedName>
    <definedName name="M_Gelatine_80_43">#REF!</definedName>
    <definedName name="M_Gelatine_80_56">#REF!</definedName>
    <definedName name="M_Gelatine_80_59">#REF!</definedName>
    <definedName name="M_Gelatine_80_61">#REF!</definedName>
    <definedName name="M_GIPipe_100mm_32" localSheetId="19">#REF!</definedName>
    <definedName name="M_GIPipe_100mm_33" localSheetId="27">#REF!</definedName>
    <definedName name="M_GIPipe_100mm_33">#REF!</definedName>
    <definedName name="M_GIPipe_100mm_34">#REF!</definedName>
    <definedName name="M_GIPipe_100mm_43">#REF!</definedName>
    <definedName name="M_GIPipe_100mm_56">#REF!</definedName>
    <definedName name="M_GIPipe_100mm_59">#REF!</definedName>
    <definedName name="M_GIPipe_100mm_61">#REF!</definedName>
    <definedName name="M_GIPipe_50mm_32" localSheetId="19">#REF!</definedName>
    <definedName name="M_GIPipe_50mm_33" localSheetId="27">#REF!</definedName>
    <definedName name="M_GIPipe_50mm_33">#REF!</definedName>
    <definedName name="M_GIPipe_50mm_34">#REF!</definedName>
    <definedName name="M_GIPipe_50mm_43">#REF!</definedName>
    <definedName name="M_GIPipe_50mm_56">#REF!</definedName>
    <definedName name="M_GIPipe_50mm_59">#REF!</definedName>
    <definedName name="M_GIPipe_50mm_61">#REF!</definedName>
    <definedName name="M_GIWires_32" localSheetId="19">#REF!</definedName>
    <definedName name="M_GIWires_33" localSheetId="27">#REF!</definedName>
    <definedName name="M_GIWires_33">#REF!</definedName>
    <definedName name="M_GIWires_34">#REF!</definedName>
    <definedName name="M_GIWires_43">#REF!</definedName>
    <definedName name="M_GIWires_56">#REF!</definedName>
    <definedName name="M_GIWires_59">#REF!</definedName>
    <definedName name="M_GIWires_61">#REF!</definedName>
    <definedName name="M_GradedStoneAggregate_32" localSheetId="19">#REF!</definedName>
    <definedName name="M_GradedStoneAggregate_33" localSheetId="27">#REF!</definedName>
    <definedName name="M_GradedStoneAggregate_33">#REF!</definedName>
    <definedName name="M_GradedStoneAggregate_34">#REF!</definedName>
    <definedName name="M_GradedStoneAggregate_43">#REF!</definedName>
    <definedName name="M_GradedStoneAggregate_56">#REF!</definedName>
    <definedName name="M_GradedStoneAggregate_59">#REF!</definedName>
    <definedName name="M_GradedStoneAggregate_61">#REF!</definedName>
    <definedName name="M_HandBrokenMetal_40mm_32" localSheetId="19">#REF!</definedName>
    <definedName name="M_HandBrokenMetal_40mm_33" localSheetId="27">#REF!</definedName>
    <definedName name="M_HandBrokenMetal_40mm_33">#REF!</definedName>
    <definedName name="M_HandBrokenMetal_40mm_34">#REF!</definedName>
    <definedName name="M_HandBrokenMetal_40mm_43">#REF!</definedName>
    <definedName name="M_HandBrokenMetal_40mm_55">#REF!</definedName>
    <definedName name="M_HandBrokenMetal_40mm_56">#REF!</definedName>
    <definedName name="M_HandBrokenMetal_40mm_59">#REF!</definedName>
    <definedName name="M_HandBrokenMetal_40mm_61">#REF!</definedName>
    <definedName name="M_HMP40" localSheetId="5">#REF!</definedName>
    <definedName name="M_HMP40" localSheetId="6">#REF!</definedName>
    <definedName name="M_HMP40" localSheetId="12">#REF!</definedName>
    <definedName name="M_HMP40" localSheetId="34">#REF!</definedName>
    <definedName name="M_HMP40" localSheetId="19">#REF!</definedName>
    <definedName name="M_HMP40" localSheetId="30">#REF!</definedName>
    <definedName name="M_HMP40">#REF!</definedName>
    <definedName name="M_ICRUSHER" localSheetId="5">#REF!</definedName>
    <definedName name="M_ICRUSHER" localSheetId="6">#REF!</definedName>
    <definedName name="M_ICRUSHER" localSheetId="12">#REF!</definedName>
    <definedName name="M_ICRUSHER" localSheetId="34">#REF!</definedName>
    <definedName name="M_ICRUSHER" localSheetId="19">#REF!</definedName>
    <definedName name="M_ICRUSHER" localSheetId="30">#REF!</definedName>
    <definedName name="M_ICRUSHER">#REF!</definedName>
    <definedName name="M_Indigo_32" localSheetId="19">#REF!</definedName>
    <definedName name="M_Indigo_33" localSheetId="27">#REF!</definedName>
    <definedName name="M_Indigo_33">#REF!</definedName>
    <definedName name="M_Indigo_34">#REF!</definedName>
    <definedName name="M_Indigo_43">#REF!</definedName>
    <definedName name="M_Indigo_56">#REF!</definedName>
    <definedName name="M_Indigo_59">#REF!</definedName>
    <definedName name="M_Indigo_61">#REF!</definedName>
    <definedName name="M_InterlockingBlocks_60mm_32" localSheetId="19">#REF!</definedName>
    <definedName name="M_InterlockingBlocks_60mm_33" localSheetId="27">#REF!</definedName>
    <definedName name="M_InterlockingBlocks_60mm_33">#REF!</definedName>
    <definedName name="M_InterlockingBlocks_60mm_34">#REF!</definedName>
    <definedName name="M_InterlockingBlocks_60mm_43">#REF!</definedName>
    <definedName name="M_InterlockingBlocks_60mm_55">#REF!</definedName>
    <definedName name="M_InterlockingBlocks_60mm_56">#REF!</definedName>
    <definedName name="M_InterlockingBlocks_60mm_59">#REF!</definedName>
    <definedName name="M_InterlockingBlocks_60mm_61">#REF!</definedName>
    <definedName name="M_InterlockingBlocks_80mm_32" localSheetId="19">#REF!</definedName>
    <definedName name="M_InterlockingBlocks_80mm_33" localSheetId="27">#REF!</definedName>
    <definedName name="M_InterlockingBlocks_80mm_33">#REF!</definedName>
    <definedName name="M_InterlockingBlocks_80mm_34">#REF!</definedName>
    <definedName name="M_InterlockingBlocks_80mm_43">#REF!</definedName>
    <definedName name="M_InterlockingBlocks_80mm_55">#REF!</definedName>
    <definedName name="M_InterlockingBlocks_80mm_56">#REF!</definedName>
    <definedName name="M_InterlockingBlocks_80mm_59">#REF!</definedName>
    <definedName name="M_InterlockingBlocks_80mm_61">#REF!</definedName>
    <definedName name="M_JointFillerBoard_32" localSheetId="19">#REF!</definedName>
    <definedName name="M_JointFillerBoard_33" localSheetId="27">#REF!</definedName>
    <definedName name="M_JointFillerBoard_33">#REF!</definedName>
    <definedName name="M_JointFillerBoard_34">#REF!</definedName>
    <definedName name="M_JointFillerBoard_43">#REF!</definedName>
    <definedName name="M_JointFillerBoard_55">#REF!</definedName>
    <definedName name="M_JointFillerBoard_56">#REF!</definedName>
    <definedName name="M_JointFillerBoard_59">#REF!</definedName>
    <definedName name="M_JointFillerBoard_61">#REF!</definedName>
    <definedName name="M_JuteNetting_OpenWeave_25mm_32" localSheetId="19">#REF!</definedName>
    <definedName name="M_JuteNetting_OpenWeave_25mm_33" localSheetId="27">#REF!</definedName>
    <definedName name="M_JuteNetting_OpenWeave_25mm_33">#REF!</definedName>
    <definedName name="M_JuteNetting_OpenWeave_25mm_34">#REF!</definedName>
    <definedName name="M_JuteNetting_OpenWeave_25mm_43">#REF!</definedName>
    <definedName name="M_JuteNetting_OpenWeave_25mm_56">#REF!</definedName>
    <definedName name="M_JuteNetting_OpenWeave_25mm_59">#REF!</definedName>
    <definedName name="M_JuteNetting_OpenWeave_25mm_61">#REF!</definedName>
    <definedName name="M_JuteRope_12mm_32" localSheetId="19">#REF!</definedName>
    <definedName name="M_JuteRope_12mm_33" localSheetId="27">#REF!</definedName>
    <definedName name="M_JuteRope_12mm_33">#REF!</definedName>
    <definedName name="M_JuteRope_12mm_34">#REF!</definedName>
    <definedName name="M_JuteRope_12mm_43">#REF!</definedName>
    <definedName name="M_JuteRope_12mm_55">#REF!</definedName>
    <definedName name="M_JuteRope_12mm_56">#REF!</definedName>
    <definedName name="M_JuteRope_12mm_59">#REF!</definedName>
    <definedName name="M_JuteRope_12mm_61">#REF!</definedName>
    <definedName name="M_KeyAggregatesPassing_224mm_55" localSheetId="19">#REF!</definedName>
    <definedName name="m_lead" localSheetId="5">#REF!</definedName>
    <definedName name="m_lead" localSheetId="6">#REF!</definedName>
    <definedName name="m_lead" localSheetId="12">#REF!</definedName>
    <definedName name="m_lead" localSheetId="34">#REF!</definedName>
    <definedName name="m_lead" localSheetId="19">#REF!</definedName>
    <definedName name="m_lead" localSheetId="30">#REF!</definedName>
    <definedName name="m_lead">#REF!</definedName>
    <definedName name="M_LocalWoodPiles_1stClass_100_75mm_32" localSheetId="19">#REF!</definedName>
    <definedName name="M_LocalWoodPiles_1stClass_100_75mm_33" localSheetId="27">#REF!</definedName>
    <definedName name="M_LocalWoodPiles_1stClass_100_75mm_33">#REF!</definedName>
    <definedName name="M_LocalWoodPiles_1stClass_100_75mm_34">#REF!</definedName>
    <definedName name="M_LocalWoodPiles_1stClass_100_75mm_43">#REF!</definedName>
    <definedName name="M_LocalWoodPiles_1stClass_100_75mm_56">#REF!</definedName>
    <definedName name="M_LocalWoodPiles_1stClass_100_75mm_59">#REF!</definedName>
    <definedName name="M_LocalWoodPiles_1stClass_100_75mm_61">#REF!</definedName>
    <definedName name="M_LocalWoodPiles_1stClass_32">#REF!</definedName>
    <definedName name="M_LocalWoodPiles_1stClass_33">#REF!</definedName>
    <definedName name="M_LocalWoodPiles_1stClass_34">#REF!</definedName>
    <definedName name="M_LocalWoodPiles_1stClass_43">#REF!</definedName>
    <definedName name="M_LocalWoodPiles_1stClass_56">#REF!</definedName>
    <definedName name="M_LocalWoodPiles_1stClass_59">#REF!</definedName>
    <definedName name="M_LocalWoodPiles_1stClass_61">#REF!</definedName>
    <definedName name="M_MOTORGRADER200" localSheetId="5">#REF!</definedName>
    <definedName name="M_MOTORGRADER200" localSheetId="6">#REF!</definedName>
    <definedName name="M_MOTORGRADER200" localSheetId="12">#REF!</definedName>
    <definedName name="M_MOTORGRADER200" localSheetId="34">#REF!</definedName>
    <definedName name="M_MOTORGRADER200" localSheetId="19">#REF!</definedName>
    <definedName name="M_MOTORGRADER200" localSheetId="30">#REF!</definedName>
    <definedName name="M_MOTORGRADER200">#REF!</definedName>
    <definedName name="M_MOTORGRADER50" localSheetId="5">#REF!</definedName>
    <definedName name="M_MOTORGRADER50" localSheetId="6">#REF!</definedName>
    <definedName name="M_MOTORGRADER50" localSheetId="12">#REF!</definedName>
    <definedName name="M_MOTORGRADER50" localSheetId="34">#REF!</definedName>
    <definedName name="M_MOTORGRADER50" localSheetId="19">#REF!</definedName>
    <definedName name="M_MOTORGRADER50" localSheetId="30">#REF!</definedName>
    <definedName name="M_MOTORGRADER50">#REF!</definedName>
    <definedName name="M_MS_Sheet_15mm_32" localSheetId="19">#REF!</definedName>
    <definedName name="M_MS_Sheet_15mm_33" localSheetId="27">#REF!</definedName>
    <definedName name="M_MS_Sheet_15mm_33">#REF!</definedName>
    <definedName name="M_MS_Sheet_15mm_34">#REF!</definedName>
    <definedName name="M_MS_Sheet_15mm_43">#REF!</definedName>
    <definedName name="M_MS_Sheet_15mm_56">#REF!</definedName>
    <definedName name="M_MS_Sheet_15mm_59">#REF!</definedName>
    <definedName name="M_MS_Sheet_15mm_61">#REF!</definedName>
    <definedName name="M_MS_Sheet_2mm_32" localSheetId="19">#REF!</definedName>
    <definedName name="M_MS_Sheet_2mm_33" localSheetId="27">#REF!</definedName>
    <definedName name="M_MS_Sheet_2mm_33">#REF!</definedName>
    <definedName name="M_MS_Sheet_2mm_34">#REF!</definedName>
    <definedName name="M_MS_Sheet_2mm_43">#REF!</definedName>
    <definedName name="M_MS_Sheet_2mm_56">#REF!</definedName>
    <definedName name="M_MS_Sheet_2mm_59">#REF!</definedName>
    <definedName name="M_MS_Sheet_2mm_61">#REF!</definedName>
    <definedName name="M_MSFlat_StructuralSteel_32" localSheetId="19">#REF!</definedName>
    <definedName name="M_MSFlat_StructuralSteel_33" localSheetId="27">#REF!</definedName>
    <definedName name="M_MSFlat_StructuralSteel_33">#REF!</definedName>
    <definedName name="M_MSFlat_StructuralSteel_34">#REF!</definedName>
    <definedName name="M_MSFlat_StructuralSteel_43">#REF!</definedName>
    <definedName name="M_MSFlat_StructuralSteel_56">#REF!</definedName>
    <definedName name="M_MSFlat_StructuralSteel_59">#REF!</definedName>
    <definedName name="M_MSFlat_StructuralSteel_61">#REF!</definedName>
    <definedName name="M_MSSheetTube_47_47mm_12_SWG_32" localSheetId="19">#REF!</definedName>
    <definedName name="M_MSSheetTube_47_47mm_12_SWG_33" localSheetId="27">#REF!</definedName>
    <definedName name="M_MSSheetTube_47_47mm_12_SWG_33">#REF!</definedName>
    <definedName name="M_MSSheetTube_47_47mm_12_SWG_34">#REF!</definedName>
    <definedName name="M_MSSheetTube_47_47mm_12_SWG_43">#REF!</definedName>
    <definedName name="M_MSSheetTube_47_47mm_12_SWG_56">#REF!</definedName>
    <definedName name="M_MSSheetTube_47_47mm_12_SWG_59">#REF!</definedName>
    <definedName name="M_MSSheetTube_47_47mm_12_SWG_61">#REF!</definedName>
    <definedName name="M_Nuts_Bolts_Rivets_32" localSheetId="19">#REF!</definedName>
    <definedName name="M_Nuts_Bolts_Rivets_33" localSheetId="27">#REF!</definedName>
    <definedName name="M_Nuts_Bolts_Rivets_33">#REF!</definedName>
    <definedName name="M_Nuts_Bolts_Rivets_34">#REF!</definedName>
    <definedName name="M_Nuts_Bolts_Rivets_43">#REF!</definedName>
    <definedName name="M_Nuts_Bolts_Rivets_56">#REF!</definedName>
    <definedName name="M_Nuts_Bolts_Rivets_59">#REF!</definedName>
    <definedName name="M_Nuts_Bolts_Rivets_61">#REF!</definedName>
    <definedName name="M_Paint_SyntheticEnamel_32" localSheetId="19">#REF!</definedName>
    <definedName name="M_Paint_SyntheticEnamel_33" localSheetId="27">#REF!</definedName>
    <definedName name="M_Paint_SyntheticEnamel_33">#REF!</definedName>
    <definedName name="M_Paint_SyntheticEnamel_34">#REF!</definedName>
    <definedName name="M_Paint_SyntheticEnamel_43">#REF!</definedName>
    <definedName name="M_Paint_SyntheticEnamel_56">#REF!</definedName>
    <definedName name="M_Paint_SyntheticEnamel_59">#REF!</definedName>
    <definedName name="M_Paint_SyntheticEnamel_61">#REF!</definedName>
    <definedName name="M_PAVER100" localSheetId="5">#REF!</definedName>
    <definedName name="M_PAVER100" localSheetId="6">#REF!</definedName>
    <definedName name="M_PAVER100" localSheetId="12">#REF!</definedName>
    <definedName name="M_PAVER100" localSheetId="34">#REF!</definedName>
    <definedName name="M_PAVER100" localSheetId="19">#REF!</definedName>
    <definedName name="M_PAVER100" localSheetId="30">#REF!</definedName>
    <definedName name="M_PAVER100">#REF!</definedName>
    <definedName name="M_PAVER75" localSheetId="5">#REF!</definedName>
    <definedName name="M_PAVER75" localSheetId="6">#REF!</definedName>
    <definedName name="M_PAVER75" localSheetId="12">#REF!</definedName>
    <definedName name="M_PAVER75" localSheetId="34">#REF!</definedName>
    <definedName name="M_PAVER75" localSheetId="19">#REF!</definedName>
    <definedName name="M_PAVER75" localSheetId="30">#REF!</definedName>
    <definedName name="M_PAVER75">#REF!</definedName>
    <definedName name="M_PD_BT" localSheetId="5">#REF!</definedName>
    <definedName name="M_PD_BT" localSheetId="6">#REF!</definedName>
    <definedName name="M_PD_BT" localSheetId="12">#REF!</definedName>
    <definedName name="M_PD_BT" localSheetId="34">#REF!</definedName>
    <definedName name="M_PD_BT" localSheetId="19">#REF!</definedName>
    <definedName name="M_PD_BT" localSheetId="30">#REF!</definedName>
    <definedName name="M_PD_BT">#REF!</definedName>
    <definedName name="M_PD_BTEM" localSheetId="5">#REF!</definedName>
    <definedName name="M_PD_BTEM" localSheetId="6">#REF!</definedName>
    <definedName name="M_PD_BTEM" localSheetId="12">#REF!</definedName>
    <definedName name="M_PD_BTEM" localSheetId="19">#REF!</definedName>
    <definedName name="M_PD_BTEM" localSheetId="30">#REF!</definedName>
    <definedName name="M_PD_BTEM">#REF!</definedName>
    <definedName name="M_Plasticizer_32" localSheetId="19">#REF!</definedName>
    <definedName name="M_Plasticizer_33" localSheetId="27">#REF!</definedName>
    <definedName name="M_Plasticizer_33">#REF!</definedName>
    <definedName name="M_Plasticizer_34">#REF!</definedName>
    <definedName name="M_Plasticizer_43">#REF!</definedName>
    <definedName name="M_Plasticizer_55">#REF!</definedName>
    <definedName name="M_Plasticizer_56">#REF!</definedName>
    <definedName name="M_Plasticizer_59">#REF!</definedName>
    <definedName name="M_Plasticizer_61">#REF!</definedName>
    <definedName name="M_PolytheneSheet_125_32" localSheetId="19">#REF!</definedName>
    <definedName name="M_PolytheneSheet_125_33" localSheetId="27">#REF!</definedName>
    <definedName name="M_PolytheneSheet_125_33">#REF!</definedName>
    <definedName name="M_PolytheneSheet_125_34">#REF!</definedName>
    <definedName name="M_PolytheneSheet_125_43">#REF!</definedName>
    <definedName name="M_PolytheneSheet_125_55">#REF!</definedName>
    <definedName name="M_PolytheneSheet_125_56">#REF!</definedName>
    <definedName name="M_PolytheneSheet_125_59">#REF!</definedName>
    <definedName name="M_PolytheneSheet_125_61">#REF!</definedName>
    <definedName name="M_PolytheneSheething_32" localSheetId="19">#REF!</definedName>
    <definedName name="M_PolytheneSheething_33" localSheetId="27">#REF!</definedName>
    <definedName name="M_PolytheneSheething_33">#REF!</definedName>
    <definedName name="M_PolytheneSheething_34">#REF!</definedName>
    <definedName name="M_PolytheneSheething_43">#REF!</definedName>
    <definedName name="M_PolytheneSheething_55">#REF!</definedName>
    <definedName name="M_PolytheneSheething_56">#REF!</definedName>
    <definedName name="M_PolytheneSheething_59">#REF!</definedName>
    <definedName name="M_PolytheneSheething_61">#REF!</definedName>
    <definedName name="M_RCCPipeNP3_1000mm_32" localSheetId="19">#REF!</definedName>
    <definedName name="M_RCCPipeNP3_1000mm_33" localSheetId="27">#REF!</definedName>
    <definedName name="M_RCCPipeNP3_1000mm_33">#REF!</definedName>
    <definedName name="M_RCCPipeNP3_1000mm_34">#REF!</definedName>
    <definedName name="M_RCCPipeNP3_1000mm_43">#REF!</definedName>
    <definedName name="M_RCCPipeNP3_1000mm_56">#REF!</definedName>
    <definedName name="M_RCCPipeNP3_1000mm_59">#REF!</definedName>
    <definedName name="M_RCCPipeNP3_1000mm_61">#REF!</definedName>
    <definedName name="M_RCCPipeNP3_1200mm_32" localSheetId="19">#REF!</definedName>
    <definedName name="M_RCCPipeNP3_1200mm_33" localSheetId="27">#REF!</definedName>
    <definedName name="M_RCCPipeNP3_1200mm_33">#REF!</definedName>
    <definedName name="M_RCCPipeNP3_1200mm_34">#REF!</definedName>
    <definedName name="M_RCCPipeNP3_1200mm_43">#REF!</definedName>
    <definedName name="M_RCCPipeNP3_1200mm_56">#REF!</definedName>
    <definedName name="M_RCCPipeNP3_1200mm_59">#REF!</definedName>
    <definedName name="M_RCCPipeNP3_1200mm_61">#REF!</definedName>
    <definedName name="M_RCCPipeNP3_500mm_32" localSheetId="19">#REF!</definedName>
    <definedName name="M_RCCPipeNP3_500mm_33" localSheetId="27">#REF!</definedName>
    <definedName name="M_RCCPipeNP3_500mm_33">#REF!</definedName>
    <definedName name="M_RCCPipeNP3_500mm_34">#REF!</definedName>
    <definedName name="M_RCCPipeNP3_500mm_43">#REF!</definedName>
    <definedName name="M_RCCPipeNP3_500mm_56">#REF!</definedName>
    <definedName name="M_RCCPipeNP3_500mm_59">#REF!</definedName>
    <definedName name="M_RCCPipeNP3_500mm_61">#REF!</definedName>
    <definedName name="M_RCCPipeNP3_750mm_32" localSheetId="19">#REF!</definedName>
    <definedName name="M_RCCPipeNP3_750mm_33" localSheetId="27">#REF!</definedName>
    <definedName name="M_RCCPipeNP3_750mm_33">#REF!</definedName>
    <definedName name="M_RCCPipeNP3_750mm_34">#REF!</definedName>
    <definedName name="M_RCCPipeNP3_750mm_43">#REF!</definedName>
    <definedName name="M_RCCPipeNP3_750mm_56">#REF!</definedName>
    <definedName name="M_RCCPipeNP3_750mm_59">#REF!</definedName>
    <definedName name="M_RCCPipeNP3_750mm_61">#REF!</definedName>
    <definedName name="M_RCCPipeNP4_1000mm_32" localSheetId="19">#REF!</definedName>
    <definedName name="M_RCCPipeNP4_1000mm_33" localSheetId="27">#REF!</definedName>
    <definedName name="M_RCCPipeNP4_1000mm_33">#REF!</definedName>
    <definedName name="M_RCCPipeNP4_1000mm_34">#REF!</definedName>
    <definedName name="M_RCCPipeNP4_1000mm_43">#REF!</definedName>
    <definedName name="M_RCCPipeNP4_1000mm_56">#REF!</definedName>
    <definedName name="M_RCCPipeNP4_1000mm_59">#REF!</definedName>
    <definedName name="M_RCCPipeNP4_1000mm_61">#REF!</definedName>
    <definedName name="M_RCCPipeNP4_1200mm_32" localSheetId="19">#REF!</definedName>
    <definedName name="M_RCCPipeNP4_1200mm_33" localSheetId="27">#REF!</definedName>
    <definedName name="M_RCCPipeNP4_1200mm_33">#REF!</definedName>
    <definedName name="M_RCCPipeNP4_1200mm_34">#REF!</definedName>
    <definedName name="M_RCCPipeNP4_1200mm_43">#REF!</definedName>
    <definedName name="M_RCCPipeNP4_1200mm_56">#REF!</definedName>
    <definedName name="M_RCCPipeNP4_1200mm_59">#REF!</definedName>
    <definedName name="M_RCCPipeNP4_1200mm_61">#REF!</definedName>
    <definedName name="M_RCCPipeNP4_500mm_32" localSheetId="19">#REF!</definedName>
    <definedName name="M_RCCPipeNP4_500mm_33" localSheetId="27">#REF!</definedName>
    <definedName name="M_RCCPipeNP4_500mm_33">#REF!</definedName>
    <definedName name="M_RCCPipeNP4_500mm_34">#REF!</definedName>
    <definedName name="M_RCCPipeNP4_500mm_43">#REF!</definedName>
    <definedName name="M_RCCPipeNP4_500mm_56">#REF!</definedName>
    <definedName name="M_RCCPipeNP4_500mm_59">#REF!</definedName>
    <definedName name="M_RCCPipeNP4_500mm_61">#REF!</definedName>
    <definedName name="M_RCCPipeNP4_750mm_32" localSheetId="19">#REF!</definedName>
    <definedName name="M_RCCPipeNP4_750mm_33" localSheetId="27">#REF!</definedName>
    <definedName name="M_RCCPipeNP4_750mm_33">#REF!</definedName>
    <definedName name="M_RCCPipeNP4_750mm_34">#REF!</definedName>
    <definedName name="M_RCCPipeNP4_750mm_43">#REF!</definedName>
    <definedName name="M_RCCPipeNP4_750mm_56">#REF!</definedName>
    <definedName name="M_RCCPipeNP4_750mm_59">#REF!</definedName>
    <definedName name="M_RCCPipeNP4_750mm_61">#REF!</definedName>
    <definedName name="M_RedOxidePrimer_32" localSheetId="19">#REF!</definedName>
    <definedName name="M_RedOxidePrimer_33" localSheetId="27">#REF!</definedName>
    <definedName name="M_RedOxidePrimer_33">#REF!</definedName>
    <definedName name="M_RedOxidePrimer_34">#REF!</definedName>
    <definedName name="M_RedOxidePrimer_43">#REF!</definedName>
    <definedName name="M_RedOxidePrimer_56">#REF!</definedName>
    <definedName name="M_RedOxidePrimer_59">#REF!</definedName>
    <definedName name="M_RedOxidePrimer_61">#REF!</definedName>
    <definedName name="M_RoadMarkingPaint_32" localSheetId="19">#REF!</definedName>
    <definedName name="M_RoadMarkingPaint_33" localSheetId="27">#REF!</definedName>
    <definedName name="M_RoadMarkingPaint_33">#REF!</definedName>
    <definedName name="M_RoadMarkingPaint_34">#REF!</definedName>
    <definedName name="M_RoadMarkingPaint_43">#REF!</definedName>
    <definedName name="M_RoadMarkingPaint_56">#REF!</definedName>
    <definedName name="M_RoadMarkingPaint_59">#REF!</definedName>
    <definedName name="M_RoadMarkingPaint_61">#REF!</definedName>
    <definedName name="M_ROLLER" localSheetId="5">#REF!</definedName>
    <definedName name="M_ROLLER" localSheetId="6">#REF!</definedName>
    <definedName name="M_ROLLER" localSheetId="12">#REF!</definedName>
    <definedName name="M_ROLLER" localSheetId="34">#REF!</definedName>
    <definedName name="M_ROLLER" localSheetId="19">#REF!</definedName>
    <definedName name="M_ROLLER" localSheetId="30">#REF!</definedName>
    <definedName name="M_ROLLER">#REF!</definedName>
    <definedName name="M_Sand_Coarse_32" localSheetId="19">#REF!</definedName>
    <definedName name="M_Sand_Coarse_33" localSheetId="27">#REF!</definedName>
    <definedName name="M_Sand_Coarse_33">#REF!</definedName>
    <definedName name="M_Sand_Coarse_34">#REF!</definedName>
    <definedName name="M_Sand_Coarse_43">#REF!</definedName>
    <definedName name="M_Sand_Coarse_55">#REF!</definedName>
    <definedName name="M_Sand_Coarse_56">#REF!</definedName>
    <definedName name="M_Sand_Coarse_59">#REF!</definedName>
    <definedName name="M_Sand_Coarse_61">#REF!</definedName>
    <definedName name="M_Sand_Fine_32" localSheetId="19">#REF!</definedName>
    <definedName name="M_Sand_Fine_33" localSheetId="27">#REF!</definedName>
    <definedName name="M_Sand_Fine_33">#REF!</definedName>
    <definedName name="M_Sand_Fine_34">#REF!</definedName>
    <definedName name="M_Sand_Fine_43">#REF!</definedName>
    <definedName name="M_Sand_Fine_56">#REF!</definedName>
    <definedName name="M_Sand_Fine_59">#REF!</definedName>
    <definedName name="M_Sand_Fine_61">#REF!</definedName>
    <definedName name="M_Seeds_32" localSheetId="19">#REF!</definedName>
    <definedName name="M_Seeds_33" localSheetId="27">#REF!</definedName>
    <definedName name="M_Seeds_33">#REF!</definedName>
    <definedName name="M_Seeds_34">#REF!</definedName>
    <definedName name="M_Seeds_43">#REF!</definedName>
    <definedName name="M_Seeds_56">#REF!</definedName>
    <definedName name="M_Seeds_59">#REF!</definedName>
    <definedName name="M_Seeds_61">#REF!</definedName>
    <definedName name="M_SteelPipe_500mm_32" localSheetId="19">#REF!</definedName>
    <definedName name="M_SteelPipe_500mm_33" localSheetId="27">#REF!</definedName>
    <definedName name="M_SteelPipe_500mm_33">#REF!</definedName>
    <definedName name="M_SteelPipe_500mm_34">#REF!</definedName>
    <definedName name="M_SteelPipe_500mm_43">#REF!</definedName>
    <definedName name="M_SteelPipe_500mm_56">#REF!</definedName>
    <definedName name="M_SteelPipe_500mm_59">#REF!</definedName>
    <definedName name="M_SteelPipe_500mm_61">#REF!</definedName>
    <definedName name="M_SteelReinforcement_MSRoundBars_32" localSheetId="19">#REF!</definedName>
    <definedName name="M_SteelReinforcement_MSRoundBars_33" localSheetId="27">#REF!</definedName>
    <definedName name="M_SteelReinforcement_MSRoundBars_33">#REF!</definedName>
    <definedName name="M_SteelReinforcement_MSRoundBars_34">#REF!</definedName>
    <definedName name="M_SteelReinforcement_MSRoundBars_43">#REF!</definedName>
    <definedName name="M_SteelReinforcement_MSRoundBars_55">#REF!</definedName>
    <definedName name="M_SteelReinforcement_MSRoundBars_56">#REF!</definedName>
    <definedName name="M_SteelReinforcement_MSRoundBars_59">#REF!</definedName>
    <definedName name="M_SteelReinforcement_MSRoundBars_61">#REF!</definedName>
    <definedName name="M_StoneChips_12mm_32" localSheetId="19">#REF!</definedName>
    <definedName name="M_StoneChips_12mm_33" localSheetId="27">#REF!</definedName>
    <definedName name="M_StoneChips_12mm_33">#REF!</definedName>
    <definedName name="M_StoneChips_12mm_34">#REF!</definedName>
    <definedName name="M_StoneChips_12mm_43">#REF!</definedName>
    <definedName name="M_StoneChips_12mm_55">#REF!</definedName>
    <definedName name="M_StoneChips_12mm_56">#REF!</definedName>
    <definedName name="M_StoneChips_12mm_59">#REF!</definedName>
    <definedName name="M_StoneChips_12mm_61">#REF!</definedName>
    <definedName name="M_StoneCrushedAggregate_112_009mm_32" localSheetId="19">#REF!</definedName>
    <definedName name="M_StoneCrushedAggregate_112_009mm_33" localSheetId="27">#REF!</definedName>
    <definedName name="M_StoneCrushedAggregate_112_009mm_33">#REF!</definedName>
    <definedName name="M_StoneCrushedAggregate_112_009mm_34">#REF!</definedName>
    <definedName name="M_StoneCrushedAggregate_112_009mm_43">#REF!</definedName>
    <definedName name="M_StoneCrushedAggregate_112_009mm_55">#REF!</definedName>
    <definedName name="M_StoneCrushedAggregate_112_009mm_56">#REF!</definedName>
    <definedName name="M_StoneCrushedAggregate_112_009mm_59">#REF!</definedName>
    <definedName name="M_StoneCrushedAggregate_112_009mm_61">#REF!</definedName>
    <definedName name="M_StoneForStoneSetPavement_32" localSheetId="19">#REF!</definedName>
    <definedName name="M_StoneForStoneSetPavement_33" localSheetId="27">#REF!</definedName>
    <definedName name="M_StoneForStoneSetPavement_33">#REF!</definedName>
    <definedName name="M_StoneForStoneSetPavement_34">#REF!</definedName>
    <definedName name="M_StoneForStoneSetPavement_43">#REF!</definedName>
    <definedName name="M_StoneForStoneSetPavement_56">#REF!</definedName>
    <definedName name="M_StoneForStoneSetPavement_59">#REF!</definedName>
    <definedName name="M_StoneForStoneSetPavement_61">#REF!</definedName>
    <definedName name="M_StoneScreening_TypeA_132mm_Grade1_32" localSheetId="19">#REF!</definedName>
    <definedName name="M_StoneScreening_TypeA_132mm_Grade1_33" localSheetId="27">#REF!</definedName>
    <definedName name="M_StoneScreening_TypeA_132mm_Grade1_33">#REF!</definedName>
    <definedName name="M_StoneScreening_TypeA_132mm_Grade1_34">#REF!</definedName>
    <definedName name="M_StoneScreening_TypeA_132mm_Grade1_43">#REF!</definedName>
    <definedName name="M_StoneScreening_TypeA_132mm_Grade1_56">#REF!</definedName>
    <definedName name="M_StoneScreening_TypeA_132mm_Grade1_59">#REF!</definedName>
    <definedName name="M_StoneScreening_TypeA_132mm_Grade1_61">#REF!</definedName>
    <definedName name="M_StoneScreening_TypeB_112mm_Grade2_32" localSheetId="19">#REF!</definedName>
    <definedName name="M_StoneScreening_TypeB_112mm_Grade2_33" localSheetId="27">#REF!</definedName>
    <definedName name="M_StoneScreening_TypeB_112mm_Grade2_33">#REF!</definedName>
    <definedName name="M_StoneScreening_TypeB_112mm_Grade2_34">#REF!</definedName>
    <definedName name="M_StoneScreening_TypeB_112mm_Grade2_43">#REF!</definedName>
    <definedName name="M_StoneScreening_TypeB_112mm_Grade2_56">#REF!</definedName>
    <definedName name="M_StoneScreening_TypeB_112mm_Grade2_59">#REF!</definedName>
    <definedName name="M_StoneScreening_TypeB_112mm_Grade2_61">#REF!</definedName>
    <definedName name="M_StoneScreening_TypeB_112mm_Grade3_32" localSheetId="19">#REF!</definedName>
    <definedName name="M_StoneScreening_TypeB_112mm_Grade3_33" localSheetId="27">#REF!</definedName>
    <definedName name="M_StoneScreening_TypeB_112mm_Grade3_33">#REF!</definedName>
    <definedName name="M_StoneScreening_TypeB_112mm_Grade3_34">#REF!</definedName>
    <definedName name="M_StoneScreening_TypeB_112mm_Grade3_43">#REF!</definedName>
    <definedName name="M_StoneScreening_TypeB_112mm_Grade3_56">#REF!</definedName>
    <definedName name="M_StoneScreening_TypeB_112mm_Grade3_59">#REF!</definedName>
    <definedName name="M_StoneScreening_TypeB_112mm_Grade3_61">#REF!</definedName>
    <definedName name="M_TANKER6K" localSheetId="5">#REF!</definedName>
    <definedName name="M_TANKER6K" localSheetId="6">#REF!</definedName>
    <definedName name="M_TANKER6K" localSheetId="12">#REF!</definedName>
    <definedName name="M_TANKER6K" localSheetId="34">#REF!</definedName>
    <definedName name="M_TANKER6K" localSheetId="19">#REF!</definedName>
    <definedName name="M_TANKER6K" localSheetId="30">#REF!</definedName>
    <definedName name="M_TANKER6K">#REF!</definedName>
    <definedName name="M_TIPPER" localSheetId="5">#REF!</definedName>
    <definedName name="M_TIPPER" localSheetId="6">#REF!</definedName>
    <definedName name="M_TIPPER" localSheetId="12">#REF!</definedName>
    <definedName name="M_TIPPER" localSheetId="34">#REF!</definedName>
    <definedName name="M_TIPPER" localSheetId="19">#REF!</definedName>
    <definedName name="M_TIPPER" localSheetId="30">#REF!</definedName>
    <definedName name="M_TIPPER">#REF!</definedName>
    <definedName name="M_TRACTORRIPPER" localSheetId="5">#REF!</definedName>
    <definedName name="M_TRACTORRIPPER" localSheetId="6">#REF!</definedName>
    <definedName name="M_TRACTORRIPPER" localSheetId="12">#REF!</definedName>
    <definedName name="M_TRACTORRIPPER" localSheetId="34">#REF!</definedName>
    <definedName name="M_TRACTORRIPPER" localSheetId="19">#REF!</definedName>
    <definedName name="M_TRACTORRIPPER" localSheetId="30">#REF!</definedName>
    <definedName name="M_TRACTORRIPPER">#REF!</definedName>
    <definedName name="M_TRACTORROTAVATOR" localSheetId="5">#REF!</definedName>
    <definedName name="M_TRACTORROTAVATOR" localSheetId="6">#REF!</definedName>
    <definedName name="M_TRACTORROTAVATOR" localSheetId="12">#REF!</definedName>
    <definedName name="M_TRACTORROTAVATOR" localSheetId="19">#REF!</definedName>
    <definedName name="M_TRACTORROTAVATOR" localSheetId="30">#REF!</definedName>
    <definedName name="M_TRACTORROTAVATOR">#REF!</definedName>
    <definedName name="M_TrafficCones_32" localSheetId="19">#REF!</definedName>
    <definedName name="M_TrafficCones_33" localSheetId="27">#REF!</definedName>
    <definedName name="M_TrafficCones_33">#REF!</definedName>
    <definedName name="M_TrafficCones_34">#REF!</definedName>
    <definedName name="M_TrafficCones_43">#REF!</definedName>
    <definedName name="M_TrafficCones_56">#REF!</definedName>
    <definedName name="M_TrafficCones_59">#REF!</definedName>
    <definedName name="M_TrafficCones_61">#REF!</definedName>
    <definedName name="M_VIBRATOR_N" localSheetId="5">#REF!</definedName>
    <definedName name="M_VIBRATOR_N" localSheetId="6">#REF!</definedName>
    <definedName name="M_VIBRATOR_N" localSheetId="12">#REF!</definedName>
    <definedName name="M_VIBRATOR_N" localSheetId="34">#REF!</definedName>
    <definedName name="M_VIBRATOR_N" localSheetId="19">#REF!</definedName>
    <definedName name="M_VIBRATOR_N" localSheetId="30">#REF!</definedName>
    <definedName name="M_VIBRATOR_N">#REF!</definedName>
    <definedName name="M_VIBRATOR_P" localSheetId="5">#REF!</definedName>
    <definedName name="M_VIBRATOR_P" localSheetId="6">#REF!</definedName>
    <definedName name="M_VIBRATOR_P" localSheetId="12">#REF!</definedName>
    <definedName name="M_VIBRATOR_P" localSheetId="34">#REF!</definedName>
    <definedName name="M_VIBRATOR_P" localSheetId="19">#REF!</definedName>
    <definedName name="M_VIBRATOR_P" localSheetId="30">#REF!</definedName>
    <definedName name="M_VIBRATOR_P">#REF!</definedName>
    <definedName name="M_VIBRATOR_S" localSheetId="5">#REF!</definedName>
    <definedName name="M_VIBRATOR_S" localSheetId="6">#REF!</definedName>
    <definedName name="M_VIBRATOR_S" localSheetId="12">#REF!</definedName>
    <definedName name="M_VIBRATOR_S" localSheetId="34">#REF!</definedName>
    <definedName name="M_VIBRATOR_S" localSheetId="19">#REF!</definedName>
    <definedName name="M_VIBRATOR_S" localSheetId="30">#REF!</definedName>
    <definedName name="M_VIBRATOR_S">#REF!</definedName>
    <definedName name="M_Water_32" localSheetId="19">#REF!</definedName>
    <definedName name="M_Water_33" localSheetId="27">#REF!</definedName>
    <definedName name="M_Water_33">#REF!</definedName>
    <definedName name="M_Water_34">#REF!</definedName>
    <definedName name="M_Water_43">#REF!</definedName>
    <definedName name="M_Water_55">#REF!</definedName>
    <definedName name="M_Water_56">#REF!</definedName>
    <definedName name="M_Water_59">#REF!</definedName>
    <definedName name="M_Water_61">#REF!</definedName>
    <definedName name="M_WellGradedGranularBaseMaterial_GradeA_236mm_32" localSheetId="19">#REF!</definedName>
    <definedName name="M_WellGradedGranularBaseMaterial_GradeA_236mm_33" localSheetId="27">#REF!</definedName>
    <definedName name="M_WellGradedGranularBaseMaterial_GradeA_236mm_33">#REF!</definedName>
    <definedName name="M_WellGradedGranularBaseMaterial_GradeA_236mm_34">#REF!</definedName>
    <definedName name="M_WellGradedGranularBaseMaterial_GradeA_236mm_43">#REF!</definedName>
    <definedName name="M_WellGradedGranularBaseMaterial_GradeA_236mm_56">#REF!</definedName>
    <definedName name="M_WellGradedGranularBaseMaterial_GradeA_236mm_59">#REF!</definedName>
    <definedName name="M_WellGradedGranularBaseMaterial_GradeA_236mm_61">#REF!</definedName>
    <definedName name="M_WellGradedGranularBaseMaterial_GradeA_265_475mm_32" localSheetId="19">#REF!</definedName>
    <definedName name="M_WellGradedGranularBaseMaterial_GradeA_265_475mm_33" localSheetId="27">#REF!</definedName>
    <definedName name="M_WellGradedGranularBaseMaterial_GradeA_265_475mm_33">#REF!</definedName>
    <definedName name="M_WellGradedGranularBaseMaterial_GradeA_265_475mm_34">#REF!</definedName>
    <definedName name="M_WellGradedGranularBaseMaterial_GradeA_265_475mm_43">#REF!</definedName>
    <definedName name="M_WellGradedGranularBaseMaterial_GradeA_265_475mm_56">#REF!</definedName>
    <definedName name="M_WellGradedGranularBaseMaterial_GradeA_265_475mm_59">#REF!</definedName>
    <definedName name="M_WellGradedGranularBaseMaterial_GradeA_265_475mm_61">#REF!</definedName>
    <definedName name="M_WellGradedGranularBaseMaterial_GradeA_53_265mm_32" localSheetId="19">#REF!</definedName>
    <definedName name="M_WellGradedGranularBaseMaterial_GradeA_53_265mm_33" localSheetId="27">#REF!</definedName>
    <definedName name="M_WellGradedGranularBaseMaterial_GradeA_53_265mm_33">#REF!</definedName>
    <definedName name="M_WellGradedGranularBaseMaterial_GradeA_53_265mm_34">#REF!</definedName>
    <definedName name="M_WellGradedGranularBaseMaterial_GradeA_53_265mm_43">#REF!</definedName>
    <definedName name="M_WellGradedGranularBaseMaterial_GradeA_53_265mm_56">#REF!</definedName>
    <definedName name="M_WellGradedGranularBaseMaterial_GradeA_53_265mm_59">#REF!</definedName>
    <definedName name="M_WellGradedGranularBaseMaterial_GradeA_53_265mm_61">#REF!</definedName>
    <definedName name="M_WellGradedGranularBaseMaterial_GradeB_236mm_below_32" localSheetId="19">#REF!</definedName>
    <definedName name="M_WellGradedGranularBaseMaterial_GradeB_236mm_below_33" localSheetId="27">#REF!</definedName>
    <definedName name="M_WellGradedGranularBaseMaterial_GradeB_236mm_below_33">#REF!</definedName>
    <definedName name="M_WellGradedGranularBaseMaterial_GradeB_236mm_below_34">#REF!</definedName>
    <definedName name="M_WellGradedGranularBaseMaterial_GradeB_236mm_below_43">#REF!</definedName>
    <definedName name="M_WellGradedGranularBaseMaterial_GradeB_236mm_below_56">#REF!</definedName>
    <definedName name="M_WellGradedGranularBaseMaterial_GradeB_236mm_below_59">#REF!</definedName>
    <definedName name="M_WellGradedGranularBaseMaterial_GradeB_236mm_below_61">#REF!</definedName>
    <definedName name="M_WellGradedGranularBaseMaterial_GradeB_265_475mm_32" localSheetId="19">#REF!</definedName>
    <definedName name="M_WellGradedGranularBaseMaterial_GradeB_265_475mm_33" localSheetId="27">#REF!</definedName>
    <definedName name="M_WellGradedGranularBaseMaterial_GradeB_265_475mm_33">#REF!</definedName>
    <definedName name="M_WellGradedGranularBaseMaterial_GradeB_265_475mm_34">#REF!</definedName>
    <definedName name="M_WellGradedGranularBaseMaterial_GradeB_265_475mm_43">#REF!</definedName>
    <definedName name="M_WellGradedGranularBaseMaterial_GradeB_265_475mm_56">#REF!</definedName>
    <definedName name="M_WellGradedGranularBaseMaterial_GradeB_265_475mm_59">#REF!</definedName>
    <definedName name="M_WellGradedGranularBaseMaterial_GradeB_265_475mm_61">#REF!</definedName>
    <definedName name="M_WellGradedGranularBaseMaterial_GradeC_236mm_below_32" localSheetId="19">#REF!</definedName>
    <definedName name="M_WellGradedGranularBaseMaterial_GradeC_236mm_below_33" localSheetId="27">#REF!</definedName>
    <definedName name="M_WellGradedGranularBaseMaterial_GradeC_236mm_below_33">#REF!</definedName>
    <definedName name="M_WellGradedGranularBaseMaterial_GradeC_236mm_below_34">#REF!</definedName>
    <definedName name="M_WellGradedGranularBaseMaterial_GradeC_236mm_below_43">#REF!</definedName>
    <definedName name="M_WellGradedGranularBaseMaterial_GradeC_236mm_below_56">#REF!</definedName>
    <definedName name="M_WellGradedGranularBaseMaterial_GradeC_236mm_below_59">#REF!</definedName>
    <definedName name="M_WellGradedGranularBaseMaterial_GradeC_236mm_below_61">#REF!</definedName>
    <definedName name="M_WellGradedGranularBaseMaterial_GradeC_95_475mm_32" localSheetId="19">#REF!</definedName>
    <definedName name="M_WellGradedGranularBaseMaterial_GradeC_95_475mm_33" localSheetId="27">#REF!</definedName>
    <definedName name="M_WellGradedGranularBaseMaterial_GradeC_95_475mm_33">#REF!</definedName>
    <definedName name="M_WellGradedGranularBaseMaterial_GradeC_95_475mm_34">#REF!</definedName>
    <definedName name="M_WellGradedGranularBaseMaterial_GradeC_95_475mm_43">#REF!</definedName>
    <definedName name="M_WellGradedGranularBaseMaterial_GradeC_95_475mm_56">#REF!</definedName>
    <definedName name="M_WellGradedGranularBaseMaterial_GradeC_95_475mm_59">#REF!</definedName>
    <definedName name="M_WellGradedGranularBaseMaterial_GradeC_95_475mm_61">#REF!</definedName>
    <definedName name="M_WellGradedMateralForSubbase_GradeI_236mm_below_32" localSheetId="19">#REF!</definedName>
    <definedName name="M_WellGradedMateralForSubbase_GradeI_236mm_below_33" localSheetId="27">#REF!</definedName>
    <definedName name="M_WellGradedMateralForSubbase_GradeI_236mm_below_33">#REF!</definedName>
    <definedName name="M_WellGradedMateralForSubbase_GradeI_236mm_below_34">#REF!</definedName>
    <definedName name="M_WellGradedMateralForSubbase_GradeI_236mm_below_43">#REF!</definedName>
    <definedName name="M_WellGradedMateralForSubbase_GradeI_236mm_below_56">#REF!</definedName>
    <definedName name="M_WellGradedMateralForSubbase_GradeI_236mm_below_59">#REF!</definedName>
    <definedName name="M_WellGradedMateralForSubbase_GradeI_236mm_below_61">#REF!</definedName>
    <definedName name="M_WellGradedMateralForSubbase_GradeI_53_95mm_32" localSheetId="19">#REF!</definedName>
    <definedName name="M_WellGradedMateralForSubbase_GradeI_53_95mm_33" localSheetId="27">#REF!</definedName>
    <definedName name="M_WellGradedMateralForSubbase_GradeI_53_95mm_33">#REF!</definedName>
    <definedName name="M_WellGradedMateralForSubbase_GradeI_53_95mm_34">#REF!</definedName>
    <definedName name="M_WellGradedMateralForSubbase_GradeI_53_95mm_43">#REF!</definedName>
    <definedName name="M_WellGradedMateralForSubbase_GradeI_53_95mm_56">#REF!</definedName>
    <definedName name="M_WellGradedMateralForSubbase_GradeI_53_95mm_59">#REF!</definedName>
    <definedName name="M_WellGradedMateralForSubbase_GradeI_53_95mm_61">#REF!</definedName>
    <definedName name="M_WellGradedMateralForSubbase_GradeI_95_236mm_32" localSheetId="19">#REF!</definedName>
    <definedName name="M_WellGradedMateralForSubbase_GradeI_95_236mm_33" localSheetId="27">#REF!</definedName>
    <definedName name="M_WellGradedMateralForSubbase_GradeI_95_236mm_33">#REF!</definedName>
    <definedName name="M_WellGradedMateralForSubbase_GradeI_95_236mm_34">#REF!</definedName>
    <definedName name="M_WellGradedMateralForSubbase_GradeI_95_236mm_43">#REF!</definedName>
    <definedName name="M_WellGradedMateralForSubbase_GradeI_95_236mm_56">#REF!</definedName>
    <definedName name="M_WellGradedMateralForSubbase_GradeI_95_236mm_59">#REF!</definedName>
    <definedName name="M_WellGradedMateralForSubbase_GradeI_95_236mm_61">#REF!</definedName>
    <definedName name="M_WellGradedMateralForSubbase_GradeII_236mm_below_32" localSheetId="19">#REF!</definedName>
    <definedName name="M_WellGradedMateralForSubbase_GradeII_236mm_below_33" localSheetId="27">#REF!</definedName>
    <definedName name="M_WellGradedMateralForSubbase_GradeII_236mm_below_33">#REF!</definedName>
    <definedName name="M_WellGradedMateralForSubbase_GradeII_236mm_below_34">#REF!</definedName>
    <definedName name="M_WellGradedMateralForSubbase_GradeII_236mm_below_43">#REF!</definedName>
    <definedName name="M_WellGradedMateralForSubbase_GradeII_236mm_below_56">#REF!</definedName>
    <definedName name="M_WellGradedMateralForSubbase_GradeII_236mm_below_59">#REF!</definedName>
    <definedName name="M_WellGradedMateralForSubbase_GradeII_236mm_below_61">#REF!</definedName>
    <definedName name="M_WellGradedMateralForSubbase_GradeII_265_95mm_32" localSheetId="19">#REF!</definedName>
    <definedName name="M_WellGradedMateralForSubbase_GradeII_265_95mm_33" localSheetId="27">#REF!</definedName>
    <definedName name="M_WellGradedMateralForSubbase_GradeII_265_95mm_33">#REF!</definedName>
    <definedName name="M_WellGradedMateralForSubbase_GradeII_265_95mm_34">#REF!</definedName>
    <definedName name="M_WellGradedMateralForSubbase_GradeII_265_95mm_43">#REF!</definedName>
    <definedName name="M_WellGradedMateralForSubbase_GradeII_265_95mm_56">#REF!</definedName>
    <definedName name="M_WellGradedMateralForSubbase_GradeII_265_95mm_59">#REF!</definedName>
    <definedName name="M_WellGradedMateralForSubbase_GradeII_265_95mm_61">#REF!</definedName>
    <definedName name="M_WellGradedMateralForSubbase_GradeII_95_236mm_32" localSheetId="19">#REF!</definedName>
    <definedName name="M_WellGradedMateralForSubbase_GradeII_95_236mm_33" localSheetId="27">#REF!</definedName>
    <definedName name="M_WellGradedMateralForSubbase_GradeII_95_236mm_33">#REF!</definedName>
    <definedName name="M_WellGradedMateralForSubbase_GradeII_95_236mm_34">#REF!</definedName>
    <definedName name="M_WellGradedMateralForSubbase_GradeII_95_236mm_43">#REF!</definedName>
    <definedName name="M_WellGradedMateralForSubbase_GradeII_95_236mm_56">#REF!</definedName>
    <definedName name="M_WellGradedMateralForSubbase_GradeII_95_236mm_59">#REF!</definedName>
    <definedName name="M_WellGradedMateralForSubbase_GradeII_95_236mm_61">#REF!</definedName>
    <definedName name="M_WellGradedMateralForSubbase_GradeIII_236mm_below_32" localSheetId="19">#REF!</definedName>
    <definedName name="M_WellGradedMateralForSubbase_GradeIII_236mm_below_33" localSheetId="27">#REF!</definedName>
    <definedName name="M_WellGradedMateralForSubbase_GradeIII_236mm_below_33">#REF!</definedName>
    <definedName name="M_WellGradedMateralForSubbase_GradeIII_236mm_below_34">#REF!</definedName>
    <definedName name="M_WellGradedMateralForSubbase_GradeIII_236mm_below_43">#REF!</definedName>
    <definedName name="M_WellGradedMateralForSubbase_GradeIII_236mm_below_56">#REF!</definedName>
    <definedName name="M_WellGradedMateralForSubbase_GradeIII_236mm_below_59">#REF!</definedName>
    <definedName name="M_WellGradedMateralForSubbase_GradeIII_236mm_below_61">#REF!</definedName>
    <definedName name="M_WellGradedMateralForSubbase_GradeIII_475_236mm_32" localSheetId="19">#REF!</definedName>
    <definedName name="M_WellGradedMateralForSubbase_GradeIII_475_236mm_33" localSheetId="27">#REF!</definedName>
    <definedName name="M_WellGradedMateralForSubbase_GradeIII_475_236mm_33">#REF!</definedName>
    <definedName name="M_WellGradedMateralForSubbase_GradeIII_475_236mm_34">#REF!</definedName>
    <definedName name="M_WellGradedMateralForSubbase_GradeIII_475_236mm_43">#REF!</definedName>
    <definedName name="M_WellGradedMateralForSubbase_GradeIII_475_236mm_56">#REF!</definedName>
    <definedName name="M_WellGradedMateralForSubbase_GradeIII_475_236mm_59">#REF!</definedName>
    <definedName name="M_WellGradedMateralForSubbase_GradeIII_475_236mm_61">#REF!</definedName>
    <definedName name="M_WellGradedMateralForSubbase_GradeIII_95_475mm_32" localSheetId="19">#REF!</definedName>
    <definedName name="M_WellGradedMateralForSubbase_GradeIII_95_475mm_33" localSheetId="27">#REF!</definedName>
    <definedName name="M_WellGradedMateralForSubbase_GradeIII_95_475mm_33">#REF!</definedName>
    <definedName name="M_WellGradedMateralForSubbase_GradeIII_95_475mm_34">#REF!</definedName>
    <definedName name="M_WellGradedMateralForSubbase_GradeIII_95_475mm_43">#REF!</definedName>
    <definedName name="M_WellGradedMateralForSubbase_GradeIII_95_475mm_56">#REF!</definedName>
    <definedName name="M_WellGradedMateralForSubbase_GradeIII_95_475mm_59">#REF!</definedName>
    <definedName name="M_WellGradedMateralForSubbase_GradeIII_95_475mm_61">#REF!</definedName>
    <definedName name="M20_Foundations" localSheetId="19">#REF!</definedName>
    <definedName name="M20_GuidePosts">#REF!</definedName>
    <definedName name="M20_SuperStructure_Upto5m">#REF!</definedName>
    <definedName name="M25_ApproachSlab">#REF!</definedName>
    <definedName name="M25_BBs_Piers_SideWalls">#REF!</definedName>
    <definedName name="M25_DeckSlab">#REF!</definedName>
    <definedName name="M25_SubStructure_Above5m." localSheetId="19">#REF!</definedName>
    <definedName name="M25_SuperStructure_Above5m.">#REF!</definedName>
    <definedName name="M30_SuperStructure_Upto5m.">#REF!</definedName>
    <definedName name="M30_WC">#REF!</definedName>
    <definedName name="ma" localSheetId="6">#REF!</definedName>
    <definedName name="ma" localSheetId="12">#REF!</definedName>
    <definedName name="ma" localSheetId="34">#REF!</definedName>
    <definedName name="ma" localSheetId="19">#REF!</definedName>
    <definedName name="ma">#REF!</definedName>
    <definedName name="maa">#REF!</definedName>
    <definedName name="madhu" localSheetId="6">#REF!</definedName>
    <definedName name="madhu" localSheetId="12">#REF!</definedName>
    <definedName name="madhu" localSheetId="19">#REF!</definedName>
    <definedName name="madhu">#REF!</definedName>
    <definedName name="male_sp" localSheetId="19">#REF!</definedName>
    <definedName name="Man_Mazdoor" localSheetId="6">#REF!</definedName>
    <definedName name="Man_Mazdoor" localSheetId="12">#REF!</definedName>
    <definedName name="Man_Mazdoor" localSheetId="19">#REF!</definedName>
    <definedName name="Man_Mazdoor">#REF!</definedName>
    <definedName name="mandal">#REF!</definedName>
    <definedName name="mangalore" localSheetId="6">#REF!</definedName>
    <definedName name="mangalore" localSheetId="12">#REF!</definedName>
    <definedName name="mangalore" localSheetId="34">#REF!</definedName>
    <definedName name="mangalore" localSheetId="19">#REF!</definedName>
    <definedName name="mangalore">#REF!</definedName>
    <definedName name="maniku" localSheetId="19">#REF!</definedName>
    <definedName name="manm" localSheetId="19">#REF!</definedName>
    <definedName name="manmazdoor" localSheetId="6">#REF!</definedName>
    <definedName name="manmazdoor" localSheetId="12">#REF!</definedName>
    <definedName name="manmazdoor" localSheetId="34">#REF!</definedName>
    <definedName name="manmazdoor" localSheetId="19">#REF!</definedName>
    <definedName name="manmazdoor">#REF!</definedName>
    <definedName name="mason1" localSheetId="34">#REF!</definedName>
    <definedName name="mason2" localSheetId="34">#REF!</definedName>
    <definedName name="mass" localSheetId="6">#REF!</definedName>
    <definedName name="mass" localSheetId="12">#REF!</definedName>
    <definedName name="mass" localSheetId="19">#REF!</definedName>
    <definedName name="mass">#REF!</definedName>
    <definedName name="MASTICK" localSheetId="5">#REF!</definedName>
    <definedName name="MASTICK" localSheetId="6">#REF!</definedName>
    <definedName name="MASTICK" localSheetId="12">#REF!</definedName>
    <definedName name="MASTICK" localSheetId="34">#REF!</definedName>
    <definedName name="MASTICK" localSheetId="19">#REF!</definedName>
    <definedName name="MASTICK" localSheetId="30">#REF!</definedName>
    <definedName name="MASTICK">#REF!</definedName>
    <definedName name="MasticPads_12.70mm" localSheetId="19">#REF!</definedName>
    <definedName name="MasticPads_25.40mm">#REF!</definedName>
    <definedName name="Mate" localSheetId="6">#REF!</definedName>
    <definedName name="Mate" localSheetId="12">#REF!</definedName>
    <definedName name="Mate" localSheetId="34">#REF!</definedName>
    <definedName name="Mate" localSheetId="19">#REF!</definedName>
    <definedName name="Mate">#REF!</definedName>
    <definedName name="mbm" localSheetId="6">#REF!</definedName>
    <definedName name="mbm" localSheetId="12">#REF!</definedName>
    <definedName name="mbm" localSheetId="34">#REF!</definedName>
    <definedName name="mbm" localSheetId="19">#REF!</definedName>
    <definedName name="mbm">#REF!</definedName>
    <definedName name="mbmi" localSheetId="6">#REF!</definedName>
    <definedName name="mbmi" localSheetId="12">#REF!</definedName>
    <definedName name="mbmi" localSheetId="34">#REF!</definedName>
    <definedName name="mbmi" localSheetId="19">#REF!</definedName>
    <definedName name="mbmi">#REF!</definedName>
    <definedName name="MC" localSheetId="22">#REF!</definedName>
    <definedName name="MC" localSheetId="5">#REF!</definedName>
    <definedName name="MC" localSheetId="6">#REF!</definedName>
    <definedName name="MC" localSheetId="12">#REF!</definedName>
    <definedName name="MC" localSheetId="34">#REF!</definedName>
    <definedName name="MC" localSheetId="19">#REF!</definedName>
    <definedName name="MC" localSheetId="30">#REF!</definedName>
    <definedName name="MC" localSheetId="40">#REF!</definedName>
    <definedName name="MC" localSheetId="26">#REF!</definedName>
    <definedName name="MC">#REF!</definedName>
    <definedName name="mcode" localSheetId="6">#REF!</definedName>
    <definedName name="mcode" localSheetId="12">#REF!</definedName>
    <definedName name="mcode" localSheetId="34">#REF!</definedName>
    <definedName name="mcode" localSheetId="19">#REF!</definedName>
    <definedName name="mcode">#REF!</definedName>
    <definedName name="mcpl" localSheetId="6">#REF!</definedName>
    <definedName name="mcpl" localSheetId="12">#REF!</definedName>
    <definedName name="mcpl" localSheetId="19">#REF!</definedName>
    <definedName name="mcpl" localSheetId="30">#REF!</definedName>
    <definedName name="mcpl">#REF!</definedName>
    <definedName name="me" localSheetId="6">#REF!</definedName>
    <definedName name="me" localSheetId="12">#REF!</definedName>
    <definedName name="me" localSheetId="34">#REF!</definedName>
    <definedName name="me" localSheetId="19">#REF!</definedName>
    <definedName name="me">#REF!</definedName>
    <definedName name="Melamine" localSheetId="6">#REF!</definedName>
    <definedName name="Melamine" localSheetId="12">#REF!</definedName>
    <definedName name="Melamine" localSheetId="34">#REF!</definedName>
    <definedName name="Melamine" localSheetId="19">#REF!</definedName>
    <definedName name="Melamine">#REF!</definedName>
    <definedName name="Met14Crush">#REF!</definedName>
    <definedName name="Met22crush">#REF!</definedName>
    <definedName name="Met22HBG">#REF!</definedName>
    <definedName name="Met22MC">#REF!</definedName>
    <definedName name="Met236.5">#REF!</definedName>
    <definedName name="Met236below">#REF!</definedName>
    <definedName name="Met27crush">#REF!</definedName>
    <definedName name="Met5.7">#REF!</definedName>
    <definedName name="Met9.511.2">#REF!</definedName>
    <definedName name="metal" localSheetId="22">#REF!</definedName>
    <definedName name="metal" localSheetId="5">#REF!</definedName>
    <definedName name="metal" localSheetId="6">#REF!</definedName>
    <definedName name="metal" localSheetId="12">#REF!</definedName>
    <definedName name="metal" localSheetId="34">#REF!</definedName>
    <definedName name="metal" localSheetId="19">#REF!</definedName>
    <definedName name="metal" localSheetId="30">#REF!</definedName>
    <definedName name="metal" localSheetId="40">#REF!</definedName>
    <definedName name="metal" localSheetId="26">#REF!</definedName>
    <definedName name="metal">#REF!</definedName>
    <definedName name="metal_33">"$#REF!.$#REF!$#REF!"</definedName>
    <definedName name="metal_34">"$#REF!.$#REF!$#REF!"</definedName>
    <definedName name="metal_40" localSheetId="27">#REF!</definedName>
    <definedName name="metal_40">#REF!</definedName>
    <definedName name="metal_65" localSheetId="27">#REF!</definedName>
    <definedName name="metal_65">#REF!</definedName>
    <definedName name="metal_75" localSheetId="27">#REF!</definedName>
    <definedName name="metal_75">#REF!</definedName>
    <definedName name="metal_blast">#REF!</definedName>
    <definedName name="metal_hc75">#REF!</definedName>
    <definedName name="metal_pick">#REF!</definedName>
    <definedName name="metal_spr75" localSheetId="19">#REF!</definedName>
    <definedName name="metal_stack" localSheetId="27">#REF!</definedName>
    <definedName name="metal_stack">#REF!</definedName>
    <definedName name="metal1" localSheetId="22">#REF!</definedName>
    <definedName name="metal1" localSheetId="5">#REF!</definedName>
    <definedName name="metal1" localSheetId="6">#REF!</definedName>
    <definedName name="metal1" localSheetId="12">#REF!</definedName>
    <definedName name="metal1" localSheetId="34">#REF!</definedName>
    <definedName name="metal1" localSheetId="19">#REF!</definedName>
    <definedName name="metal1" localSheetId="30">#REF!</definedName>
    <definedName name="metal1" localSheetId="40">#REF!</definedName>
    <definedName name="metal1" localSheetId="26">#REF!</definedName>
    <definedName name="metal1">#REF!</definedName>
    <definedName name="metal1_33">"$#REF!.$#REF!$#REF!"</definedName>
    <definedName name="metal1_34">"$#REF!.$#REF!$#REF!"</definedName>
    <definedName name="metal10" localSheetId="5">#REF!</definedName>
    <definedName name="metal10" localSheetId="6">#REF!</definedName>
    <definedName name="metal10" localSheetId="12">#REF!</definedName>
    <definedName name="metal10" localSheetId="34">#REF!</definedName>
    <definedName name="metal10" localSheetId="19">#REF!</definedName>
    <definedName name="metal10" localSheetId="30">#REF!</definedName>
    <definedName name="metal10">#REF!</definedName>
    <definedName name="metal11" localSheetId="22">#REF!</definedName>
    <definedName name="metal11" localSheetId="5">#REF!</definedName>
    <definedName name="metal11" localSheetId="6">#REF!</definedName>
    <definedName name="metal11" localSheetId="12">#REF!</definedName>
    <definedName name="metal11" localSheetId="34">#REF!</definedName>
    <definedName name="metal11" localSheetId="19">#REF!</definedName>
    <definedName name="metal11" localSheetId="30">#REF!</definedName>
    <definedName name="metal11" localSheetId="40">#REF!</definedName>
    <definedName name="metal11" localSheetId="26">#REF!</definedName>
    <definedName name="metal11">#REF!</definedName>
    <definedName name="metal11_33">"$#REF!.$#REF!$#REF!"</definedName>
    <definedName name="metal11_34">"$#REF!.$#REF!$#REF!"</definedName>
    <definedName name="metal12" localSheetId="5">#REF!</definedName>
    <definedName name="metal12" localSheetId="6">#REF!</definedName>
    <definedName name="metal12" localSheetId="12">#REF!</definedName>
    <definedName name="metal12" localSheetId="34">#REF!</definedName>
    <definedName name="metal12" localSheetId="19">#REF!</definedName>
    <definedName name="metal12" localSheetId="30">#REF!</definedName>
    <definedName name="metal12">#REF!</definedName>
    <definedName name="metal12ss" localSheetId="6">#REF!</definedName>
    <definedName name="metal12ss" localSheetId="12">#REF!</definedName>
    <definedName name="metal12ss" localSheetId="19">#REF!</definedName>
    <definedName name="metal12ss" localSheetId="30">#REF!</definedName>
    <definedName name="metal12ss">#REF!</definedName>
    <definedName name="metal2">#REF!</definedName>
    <definedName name="metal20" localSheetId="6">#REF!</definedName>
    <definedName name="metal20" localSheetId="12">#REF!</definedName>
    <definedName name="metal20" localSheetId="34">#REF!</definedName>
    <definedName name="metal20" localSheetId="19">#REF!</definedName>
    <definedName name="metal20">#REF!</definedName>
    <definedName name="metal20ss" localSheetId="6">#REF!</definedName>
    <definedName name="metal20ss" localSheetId="12">#REF!</definedName>
    <definedName name="metal20ss" localSheetId="19">#REF!</definedName>
    <definedName name="metal20ss" localSheetId="30">#REF!</definedName>
    <definedName name="metal20ss">#REF!</definedName>
    <definedName name="metal3" localSheetId="22">#REF!</definedName>
    <definedName name="metal3" localSheetId="5">#REF!</definedName>
    <definedName name="metal3" localSheetId="6">#REF!</definedName>
    <definedName name="metal3" localSheetId="12">#REF!</definedName>
    <definedName name="metal3" localSheetId="34">#REF!</definedName>
    <definedName name="metal3" localSheetId="19">#REF!</definedName>
    <definedName name="metal3" localSheetId="30">#REF!</definedName>
    <definedName name="metal3" localSheetId="40">#REF!</definedName>
    <definedName name="metal3" localSheetId="26">#REF!</definedName>
    <definedName name="metal3">#REF!</definedName>
    <definedName name="metal3_33">"$#REF!.$#REF!$#REF!"</definedName>
    <definedName name="metal3_34">"$#REF!.$#REF!$#REF!"</definedName>
    <definedName name="metal40" localSheetId="6">#REF!</definedName>
    <definedName name="metal40" localSheetId="12">#REF!</definedName>
    <definedName name="metal40" localSheetId="34">#REF!</definedName>
    <definedName name="metal40" localSheetId="19">#REF!</definedName>
    <definedName name="metal40">#REF!</definedName>
    <definedName name="metal40ss" localSheetId="6">#REF!</definedName>
    <definedName name="metal40ss" localSheetId="12">#REF!</definedName>
    <definedName name="metal40ss" localSheetId="19">#REF!</definedName>
    <definedName name="metal40ss" localSheetId="30">#REF!</definedName>
    <definedName name="metal40ss">#REF!</definedName>
    <definedName name="metal45" localSheetId="6">#REF!</definedName>
    <definedName name="metal45" localSheetId="12">#REF!</definedName>
    <definedName name="metal45" localSheetId="19">#REF!</definedName>
    <definedName name="metal45" localSheetId="30">#REF!</definedName>
    <definedName name="metal45">#REF!</definedName>
    <definedName name="metal6" localSheetId="5">#REF!</definedName>
    <definedName name="metal6" localSheetId="6">#REF!</definedName>
    <definedName name="metal6" localSheetId="12">#REF!</definedName>
    <definedName name="metal6" localSheetId="34">#REF!</definedName>
    <definedName name="metal6" localSheetId="19">#REF!</definedName>
    <definedName name="metal6" localSheetId="30">#REF!</definedName>
    <definedName name="metal6">#REF!</definedName>
    <definedName name="metal65" localSheetId="6">#REF!</definedName>
    <definedName name="metal65" localSheetId="12">#REF!</definedName>
    <definedName name="metal65" localSheetId="19">#REF!</definedName>
    <definedName name="metal65" localSheetId="30">#REF!</definedName>
    <definedName name="metal65">#REF!</definedName>
    <definedName name="metal75" localSheetId="6">#REF!</definedName>
    <definedName name="metal75" localSheetId="12">#REF!</definedName>
    <definedName name="metal75" localSheetId="19">#REF!</definedName>
    <definedName name="metal75" localSheetId="30">#REF!</definedName>
    <definedName name="metal75">#REF!</definedName>
    <definedName name="MFL" localSheetId="6">#REF!</definedName>
    <definedName name="MFL" localSheetId="12">#REF!</definedName>
    <definedName name="MFL" localSheetId="19">#REF!</definedName>
    <definedName name="MFL">#REF!</definedName>
    <definedName name="MFLI" localSheetId="6">#REF!</definedName>
    <definedName name="MFLI" localSheetId="12">#REF!</definedName>
    <definedName name="MFLI" localSheetId="19">#REF!</definedName>
    <definedName name="MFLI">#REF!</definedName>
    <definedName name="MFLII" localSheetId="6">#REF!</definedName>
    <definedName name="MFLII" localSheetId="12">#REF!</definedName>
    <definedName name="MFLII" localSheetId="19">#REF!</definedName>
    <definedName name="MFLII">#REF!</definedName>
    <definedName name="mhc" localSheetId="6">#REF!</definedName>
    <definedName name="mhc" localSheetId="12">#REF!</definedName>
    <definedName name="mhc" localSheetId="34">#REF!</definedName>
    <definedName name="mhc" localSheetId="19">#REF!</definedName>
    <definedName name="mhc">#REF!</definedName>
    <definedName name="mini_hmp" localSheetId="19">#REF!</definedName>
    <definedName name="minpc" localSheetId="6">#REF!</definedName>
    <definedName name="minpc" localSheetId="12">#REF!</definedName>
    <definedName name="minpc" localSheetId="34">#REF!</definedName>
    <definedName name="minpc" localSheetId="19">#REF!</definedName>
    <definedName name="minpc">#REF!</definedName>
    <definedName name="MIX_SEAL_WBM" localSheetId="5">#REF!</definedName>
    <definedName name="MIX_SEAL_WBM" localSheetId="6">#REF!</definedName>
    <definedName name="MIX_SEAL_WBM" localSheetId="12">#REF!</definedName>
    <definedName name="MIX_SEAL_WBM" localSheetId="34">#REF!</definedName>
    <definedName name="MIX_SEAL_WBM" localSheetId="19">#REF!</definedName>
    <definedName name="MIX_SEAL_WBM" localSheetId="30">#REF!</definedName>
    <definedName name="MIX_SEAL_WBM">#REF!</definedName>
    <definedName name="MK" localSheetId="27" hidden="1">{"'ridftotal'!$A$4:$S$27"}</definedName>
    <definedName name="MK" localSheetId="22" hidden="1">{"'ridftotal'!$A$4:$S$27"}</definedName>
    <definedName name="MK" localSheetId="14" hidden="1">{"'ridftotal'!$A$4:$S$27"}</definedName>
    <definedName name="MK" localSheetId="34" hidden="1">{"'ridftotal'!$A$4:$S$27"}</definedName>
    <definedName name="MK" localSheetId="21" hidden="1">{"'ridftotal'!$A$4:$S$27"}</definedName>
    <definedName name="MK" localSheetId="19" hidden="1">{"'ridftotal'!$A$4:$S$27"}</definedName>
    <definedName name="MK" localSheetId="32" hidden="1">{"'ridftotal'!$A$4:$S$27"}</definedName>
    <definedName name="MK" localSheetId="30" hidden="1">{"'ridftotal'!$A$4:$S$27"}</definedName>
    <definedName name="MK" localSheetId="11" hidden="1">{"'ridftotal'!$A$4:$S$27"}</definedName>
    <definedName name="MK" localSheetId="3" hidden="1">{"'ridftotal'!$A$4:$S$27"}</definedName>
    <definedName name="MK" hidden="1">{"'ridftotal'!$A$4:$S$27"}</definedName>
    <definedName name="ml" localSheetId="6">#REF!</definedName>
    <definedName name="ml" localSheetId="12">#REF!</definedName>
    <definedName name="ml" localSheetId="34">#REF!</definedName>
    <definedName name="ml" localSheetId="19">#REF!</definedName>
    <definedName name="ml">#REF!</definedName>
    <definedName name="MLA" localSheetId="6">#REF!</definedName>
    <definedName name="MLA" localSheetId="12">#REF!</definedName>
    <definedName name="MLA" localSheetId="19">#REF!</definedName>
    <definedName name="MLA">#REF!</definedName>
    <definedName name="MLOADING" localSheetId="5">#REF!</definedName>
    <definedName name="MLOADING" localSheetId="6">#REF!</definedName>
    <definedName name="MLOADING" localSheetId="12">#REF!</definedName>
    <definedName name="MLOADING" localSheetId="34">#REF!</definedName>
    <definedName name="MLOADING" localSheetId="19">#REF!</definedName>
    <definedName name="MLOADING" localSheetId="30">#REF!</definedName>
    <definedName name="MLOADING">#REF!</definedName>
    <definedName name="mm1_33" localSheetId="19">#REF!</definedName>
    <definedName name="mm1_34" localSheetId="27">#REF!</definedName>
    <definedName name="mm1_34">#REF!</definedName>
    <definedName name="mmcc" localSheetId="19">#REF!</definedName>
    <definedName name="mmixing">#REF!</definedName>
    <definedName name="mn" localSheetId="6">#REF!</definedName>
    <definedName name="mn" localSheetId="12">#REF!</definedName>
    <definedName name="mn" localSheetId="19">#REF!</definedName>
    <definedName name="mn">#REF!</definedName>
    <definedName name="Mname" localSheetId="22">#REF!</definedName>
    <definedName name="Mname" localSheetId="5">#REF!</definedName>
    <definedName name="Mname" localSheetId="6">#REF!</definedName>
    <definedName name="Mname" localSheetId="12">#REF!</definedName>
    <definedName name="Mname" localSheetId="34">#REF!</definedName>
    <definedName name="Mname" localSheetId="19">#REF!</definedName>
    <definedName name="Mname" localSheetId="30">#REF!</definedName>
    <definedName name="Mname" localSheetId="40">#REF!</definedName>
    <definedName name="Mname" localSheetId="26">#REF!</definedName>
    <definedName name="Mname">#REF!</definedName>
    <definedName name="mnr" localSheetId="6">#REF!</definedName>
    <definedName name="mnr" localSheetId="12">#REF!</definedName>
    <definedName name="mnr" localSheetId="19">#REF!</definedName>
    <definedName name="mnr">#REF!</definedName>
    <definedName name="mpbm" localSheetId="6">#REF!</definedName>
    <definedName name="mpbm" localSheetId="12">#REF!</definedName>
    <definedName name="mpbm" localSheetId="34">#REF!</definedName>
    <definedName name="mpbm" localSheetId="19">#REF!</definedName>
    <definedName name="mpbm">#REF!</definedName>
    <definedName name="mpbmi" localSheetId="6">#REF!</definedName>
    <definedName name="mpbmi" localSheetId="12">#REF!</definedName>
    <definedName name="mpbmi" localSheetId="34">#REF!</definedName>
    <definedName name="mpbmi" localSheetId="19">#REF!</definedName>
    <definedName name="mpbmi">#REF!</definedName>
    <definedName name="MPLOT_PGR_CHP" localSheetId="22">#REF!</definedName>
    <definedName name="MPLOT_PGR_CHP" localSheetId="5">#REF!</definedName>
    <definedName name="MPLOT_PGR_CHP" localSheetId="6">#REF!</definedName>
    <definedName name="MPLOT_PGR_CHP" localSheetId="12">#REF!</definedName>
    <definedName name="MPLOT_PGR_CHP" localSheetId="34">#REF!</definedName>
    <definedName name="MPLOT_PGR_CHP" localSheetId="19">#REF!</definedName>
    <definedName name="MPLOT_PGR_CHP" localSheetId="30">#REF!</definedName>
    <definedName name="MPLOT_PGR_CHP" localSheetId="40">#REF!</definedName>
    <definedName name="MPLOT_PGR_CHP" localSheetId="26">#REF!</definedName>
    <definedName name="MPLOT_PGR_CHP">#REF!</definedName>
    <definedName name="mq" localSheetId="6">#REF!</definedName>
    <definedName name="mq" localSheetId="12">#REF!</definedName>
    <definedName name="mq" localSheetId="19">#REF!</definedName>
    <definedName name="mq">#REF!</definedName>
    <definedName name="mr" localSheetId="5">#REF!</definedName>
    <definedName name="MR" localSheetId="6">#REF!</definedName>
    <definedName name="MR" localSheetId="12">#REF!</definedName>
    <definedName name="mr" localSheetId="34">#REF!</definedName>
    <definedName name="MR" localSheetId="19">#REF!</definedName>
    <definedName name="MR">#REF!</definedName>
    <definedName name="MR_13MM" localSheetId="5">#REF!</definedName>
    <definedName name="MR_13MM" localSheetId="6">#REF!</definedName>
    <definedName name="MR_13MM" localSheetId="12">#REF!</definedName>
    <definedName name="MR_13MM" localSheetId="19">#REF!</definedName>
    <definedName name="MR_13MM" localSheetId="30">#REF!</definedName>
    <definedName name="MR_13MM">#REF!</definedName>
    <definedName name="MR_22MM">#REF!</definedName>
    <definedName name="MR_40MM">#REF!</definedName>
    <definedName name="MR_55MM" localSheetId="19">#REF!</definedName>
    <definedName name="MR_63MM" localSheetId="5">#REF!</definedName>
    <definedName name="MR_63MM" localSheetId="6">#REF!</definedName>
    <definedName name="MR_63MM" localSheetId="12">#REF!</definedName>
    <definedName name="MR_63MM" localSheetId="34">#REF!</definedName>
    <definedName name="MR_63MM" localSheetId="19">#REF!</definedName>
    <definedName name="MR_63MM" localSheetId="30">#REF!</definedName>
    <definedName name="MR_63MM">#REF!</definedName>
    <definedName name="MR_7MM">#REF!</definedName>
    <definedName name="MR_BT">#REF!</definedName>
    <definedName name="MR_BTE">#REF!</definedName>
    <definedName name="MR_GRADE2" localSheetId="19">#REF!</definedName>
    <definedName name="MR_GRADE3" localSheetId="19">#REF!</definedName>
    <definedName name="MR_GRAVEL" localSheetId="5">#REF!</definedName>
    <definedName name="MR_GRAVEL" localSheetId="6">#REF!</definedName>
    <definedName name="MR_GRAVEL" localSheetId="12">#REF!</definedName>
    <definedName name="MR_GRAVEL" localSheetId="34">#REF!</definedName>
    <definedName name="MR_GRAVEL" localSheetId="19">#REF!</definedName>
    <definedName name="MR_GRAVEL" localSheetId="30">#REF!</definedName>
    <definedName name="MR_GRAVEL">#REF!</definedName>
    <definedName name="MR_METAL11MM">#REF!</definedName>
    <definedName name="MR_SAND" localSheetId="19">#REF!</definedName>
    <definedName name="MR_SANDF" localSheetId="19">#REF!</definedName>
    <definedName name="MR_STONEDUST" localSheetId="5">#REF!</definedName>
    <definedName name="MR_STONEDUST" localSheetId="6">#REF!</definedName>
    <definedName name="MR_STONEDUST" localSheetId="12">#REF!</definedName>
    <definedName name="MR_STONEDUST" localSheetId="34">#REF!</definedName>
    <definedName name="MR_STONEDUST" localSheetId="19">#REF!</definedName>
    <definedName name="MR_STONEDUST" localSheetId="30">#REF!</definedName>
    <definedName name="MR_STONEDUST">#REF!</definedName>
    <definedName name="mrt" localSheetId="6">#REF!</definedName>
    <definedName name="mrt" localSheetId="12">#REF!</definedName>
    <definedName name="mrt" localSheetId="34">#REF!</definedName>
    <definedName name="mrt" localSheetId="19">#REF!</definedName>
    <definedName name="mrt">#REF!</definedName>
    <definedName name="mrti" localSheetId="6">#REF!</definedName>
    <definedName name="mrti" localSheetId="12">#REF!</definedName>
    <definedName name="mrti" localSheetId="34">#REF!</definedName>
    <definedName name="mrti" localSheetId="19">#REF!</definedName>
    <definedName name="mrti">#REF!</definedName>
    <definedName name="ms_channels" localSheetId="6">#REF!</definedName>
    <definedName name="ms_channels" localSheetId="12">#REF!</definedName>
    <definedName name="ms_channels" localSheetId="34">#REF!</definedName>
    <definedName name="ms_channels" localSheetId="19">#REF!</definedName>
    <definedName name="ms_channels">#REF!</definedName>
    <definedName name="ms_flat_25mm" localSheetId="6">#REF!</definedName>
    <definedName name="ms_flat_25mm" localSheetId="12">#REF!</definedName>
    <definedName name="ms_flat_25mm" localSheetId="34">#REF!</definedName>
    <definedName name="ms_flat_25mm" localSheetId="19">#REF!</definedName>
    <definedName name="ms_flat_25mm">#REF!</definedName>
    <definedName name="ms_pipes" localSheetId="6">#REF!</definedName>
    <definedName name="ms_pipes" localSheetId="12">#REF!</definedName>
    <definedName name="ms_pipes" localSheetId="34">#REF!</definedName>
    <definedName name="ms_pipes" localSheetId="19">#REF!</definedName>
    <definedName name="ms_pipes">#REF!</definedName>
    <definedName name="ms_plates" localSheetId="6">#REF!</definedName>
    <definedName name="ms_plates" localSheetId="12">#REF!</definedName>
    <definedName name="ms_plates" localSheetId="34">#REF!</definedName>
    <definedName name="ms_plates" localSheetId="19">#REF!</definedName>
    <definedName name="ms_plates">#REF!</definedName>
    <definedName name="MS_square_bar_10mm" localSheetId="6">#REF!</definedName>
    <definedName name="MS_square_bar_10mm" localSheetId="12">#REF!</definedName>
    <definedName name="MS_square_bar_10mm" localSheetId="34">#REF!</definedName>
    <definedName name="MS_square_bar_10mm" localSheetId="19">#REF!</definedName>
    <definedName name="MS_square_bar_10mm">#REF!</definedName>
    <definedName name="ms_truss" localSheetId="6">#REF!</definedName>
    <definedName name="ms_truss" localSheetId="12">#REF!</definedName>
    <definedName name="ms_truss" localSheetId="34">#REF!</definedName>
    <definedName name="ms_truss" localSheetId="19">#REF!</definedName>
    <definedName name="ms_truss">#REF!</definedName>
    <definedName name="msgrill" localSheetId="6">#REF!</definedName>
    <definedName name="msgrill" localSheetId="12">#REF!</definedName>
    <definedName name="msgrill" localSheetId="34">#REF!</definedName>
    <definedName name="msgrill" localSheetId="19">#REF!</definedName>
    <definedName name="msgrill">#REF!</definedName>
    <definedName name="MSS20mm_TypeA_HMP" localSheetId="19">#REF!</definedName>
    <definedName name="MSS20mm_TypeB_HMP">#REF!</definedName>
    <definedName name="MSS20mm_TypeB_Manual">#REF!</definedName>
    <definedName name="MSS25mm_TypeB_HMP">#REF!</definedName>
    <definedName name="mt" localSheetId="6">#REF!</definedName>
    <definedName name="mt" localSheetId="12">#REF!</definedName>
    <definedName name="mt" localSheetId="34">#REF!</definedName>
    <definedName name="mt" localSheetId="19">#REF!</definedName>
    <definedName name="mt">#REF!</definedName>
    <definedName name="mtor" localSheetId="6">#REF!</definedName>
    <definedName name="mtor" localSheetId="12">#REF!</definedName>
    <definedName name="mtor" localSheetId="34">#REF!</definedName>
    <definedName name="mtor" localSheetId="19">#REF!</definedName>
    <definedName name="mtor">#REF!</definedName>
    <definedName name="mukkidipalemm" localSheetId="27">#REF!</definedName>
    <definedName name="mukkidipalemm">#REF!</definedName>
    <definedName name="MULOADING" localSheetId="5">#REF!</definedName>
    <definedName name="MULOADING" localSheetId="6">#REF!</definedName>
    <definedName name="MULOADING" localSheetId="12">#REF!</definedName>
    <definedName name="MULOADING" localSheetId="34">#REF!</definedName>
    <definedName name="MULOADING" localSheetId="19">#REF!</definedName>
    <definedName name="MULOADING" localSheetId="30">#REF!</definedName>
    <definedName name="MULOADING">#REF!</definedName>
    <definedName name="mun" localSheetId="6">#REF!</definedName>
    <definedName name="mun" localSheetId="12">#REF!</definedName>
    <definedName name="mun" localSheetId="34">#REF!</definedName>
    <definedName name="mun" localSheetId="19">#REF!</definedName>
    <definedName name="mun">#REF!</definedName>
    <definedName name="murty" localSheetId="22">#REF!</definedName>
    <definedName name="murty" localSheetId="5">#REF!</definedName>
    <definedName name="murty" localSheetId="6">#REF!</definedName>
    <definedName name="murty" localSheetId="12">#REF!</definedName>
    <definedName name="murty" localSheetId="34">#REF!</definedName>
    <definedName name="murty" localSheetId="19">#REF!</definedName>
    <definedName name="murty" localSheetId="30">#REF!</definedName>
    <definedName name="murty" localSheetId="40">#REF!</definedName>
    <definedName name="murty" localSheetId="26">#REF!</definedName>
    <definedName name="murty">#REF!</definedName>
    <definedName name="murty_23">"$#REF!.$#REF!$#REF!"</definedName>
    <definedName name="murty_32">"$#REF!.$#REF!$#REF!"</definedName>
    <definedName name="murty_33">"$#REF!.$#REF!$#REF!"</definedName>
    <definedName name="murty_34">"$#REF!.$#REF!$#REF!"</definedName>
    <definedName name="murty_38">"$#REF!.$#REF!$#REF!"</definedName>
    <definedName name="murty_41">"$#REF!.$#REF!$#REF!"</definedName>
    <definedName name="murty_43">"$#REF!.$#REF!$#REF!"</definedName>
    <definedName name="murty_48">"$#REF!.$#REF!$#REF!"</definedName>
    <definedName name="murty_56">"$#REF!.$#REF!$#REF!"</definedName>
    <definedName name="murty_57">"$#REF!.$#REF!$#REF!"</definedName>
    <definedName name="murty_59">"$#REF!.$#REF!$#REF!"</definedName>
    <definedName name="murty_60">"$#REF!.$#REF!$#REF!"</definedName>
    <definedName name="murty_61">"$#REF!.$#REF!$#REF!"</definedName>
    <definedName name="murty_62">"$#REF!.$#REF!$#REF!"</definedName>
    <definedName name="murty_7">"$#REF!.$#REF!$#REF!"</definedName>
    <definedName name="murty_72">"$#REF!.$#REF!$#REF!"</definedName>
    <definedName name="murty_73">"$#REF!.$#REF!$#REF!"</definedName>
    <definedName name="murty_8">"$#REF!.$#REF!$#REF!"</definedName>
    <definedName name="n" localSheetId="22">#REF!</definedName>
    <definedName name="n" localSheetId="5">#REF!</definedName>
    <definedName name="n" localSheetId="6">#REF!</definedName>
    <definedName name="n" localSheetId="12">#REF!</definedName>
    <definedName name="n" localSheetId="34">#REF!</definedName>
    <definedName name="n" localSheetId="19">#REF!</definedName>
    <definedName name="n" localSheetId="30">#REF!</definedName>
    <definedName name="n" localSheetId="40">#REF!</definedName>
    <definedName name="n" localSheetId="26">#REF!</definedName>
    <definedName name="n">#REF!</definedName>
    <definedName name="n_33">"$#REF!.$#REF!$#REF!"</definedName>
    <definedName name="n_34">"$#REF!.$#REF!$#REF!"</definedName>
    <definedName name="NAIDUPALEM" localSheetId="5">#REF!</definedName>
    <definedName name="NAIDUPALEM" localSheetId="6">#REF!</definedName>
    <definedName name="NAIDUPALEM" localSheetId="12">#REF!</definedName>
    <definedName name="NAIDUPALEM" localSheetId="19">#REF!</definedName>
    <definedName name="NAIDUPALEM" localSheetId="30">#REF!</definedName>
    <definedName name="NAIDUPALEM">#REF!</definedName>
    <definedName name="name" localSheetId="22">#REF!</definedName>
    <definedName name="name" localSheetId="19">#REF!</definedName>
    <definedName name="nb" localSheetId="6">#REF!</definedName>
    <definedName name="nb" localSheetId="12">#REF!</definedName>
    <definedName name="nb" localSheetId="34">#REF!</definedName>
    <definedName name="nb" localSheetId="19">#REF!</definedName>
    <definedName name="nb">#REF!</definedName>
    <definedName name="nbc" localSheetId="6">#REF!</definedName>
    <definedName name="nbc" localSheetId="12">#REF!</definedName>
    <definedName name="nbc" localSheetId="34">#REF!</definedName>
    <definedName name="nbc" localSheetId="19">#REF!</definedName>
    <definedName name="nbc">#REF!</definedName>
    <definedName name="nbm" localSheetId="6">#REF!</definedName>
    <definedName name="nbm" localSheetId="12">#REF!</definedName>
    <definedName name="nbm" localSheetId="34">#REF!</definedName>
    <definedName name="nbm" localSheetId="19">#REF!</definedName>
    <definedName name="nbm">#REF!</definedName>
    <definedName name="NEw" localSheetId="6">#REF!</definedName>
    <definedName name="NEw" localSheetId="12">#REF!</definedName>
    <definedName name="NEw" localSheetId="19">#REF!</definedName>
    <definedName name="NEw">#REF!</definedName>
    <definedName name="newdata" localSheetId="22">#REF!</definedName>
    <definedName name="newdata" localSheetId="5">#REF!</definedName>
    <definedName name="newdata" localSheetId="6">#REF!</definedName>
    <definedName name="newdata" localSheetId="12">#REF!</definedName>
    <definedName name="newdata" localSheetId="34">#REF!</definedName>
    <definedName name="newdata" localSheetId="19">#REF!</definedName>
    <definedName name="newdata" localSheetId="30">#REF!</definedName>
    <definedName name="newdata" localSheetId="40">#REF!</definedName>
    <definedName name="newdata" localSheetId="26">#REF!</definedName>
    <definedName name="newdata">#REF!</definedName>
    <definedName name="newdata_23">"$#REF!.$#REF!$#REF!:$#REF!$#REF!"</definedName>
    <definedName name="newdata_33">"$#REF!.$#REF!$#REF!"</definedName>
    <definedName name="newdata_34">"$#REF!.$#REF!$#REF!"</definedName>
    <definedName name="newdata_38">"$#REF!.$#REF!$#REF!:$#REF!$#REF!"</definedName>
    <definedName name="newdata_41">"$#REF!.$#REF!$#REF!:$#REF!$#REF!"</definedName>
    <definedName name="newdata_43">"$#REF!.$#REF!$#REF!:$#REF!$#REF!"</definedName>
    <definedName name="newdata_48">"$#REF!.$#REF!$#REF!:$#REF!$#REF!"</definedName>
    <definedName name="newdata_56">"$#REF!.$#REF!$#REF!:$#REF!$#REF!"</definedName>
    <definedName name="newdata_57">"$#REF!.$#REF!$#REF!:$#REF!$#REF!"</definedName>
    <definedName name="newdata_59">"$#REF!.$#REF!$#REF!:$#REF!$#REF!"</definedName>
    <definedName name="newdata_60">"$#REF!.$#REF!$#REF!:$#REF!$#REF!"</definedName>
    <definedName name="newdata_61">"$#REF!.$#REF!$#REF!:$#REF!$#REF!"</definedName>
    <definedName name="newdata_62">"$#REF!.$#REF!$#REF!:$#REF!$#REF!"</definedName>
    <definedName name="newdata_7">"$#REF!.$#REF!$#REF!:$#REF!$#REF!"</definedName>
    <definedName name="newdata_72">"$#REF!.$#REF!$#REF!:$#REF!$#REF!"</definedName>
    <definedName name="newdata_73">"$#REF!.$#REF!$#REF!:$#REF!$#REF!"</definedName>
    <definedName name="newdata_8">"$#REF!.$#REF!$#REF!:$#REF!$#REF!"</definedName>
    <definedName name="ni" localSheetId="19">#REF!</definedName>
    <definedName name="ni">#REF!</definedName>
    <definedName name="NM" localSheetId="27" hidden="1">{"'ridftotal'!$A$4:$S$27"}</definedName>
    <definedName name="NM" localSheetId="22" hidden="1">{"'ridftotal'!$A$4:$S$27"}</definedName>
    <definedName name="NM" localSheetId="14" hidden="1">{"'ridftotal'!$A$4:$S$27"}</definedName>
    <definedName name="NM" localSheetId="34" hidden="1">{"'ridftotal'!$A$4:$S$27"}</definedName>
    <definedName name="NM" localSheetId="21" hidden="1">{"'ridftotal'!$A$4:$S$27"}</definedName>
    <definedName name="NM" localSheetId="19" hidden="1">{"'ridftotal'!$A$4:$S$27"}</definedName>
    <definedName name="NM" localSheetId="32" hidden="1">{"'ridftotal'!$A$4:$S$27"}</definedName>
    <definedName name="NM" localSheetId="30" hidden="1">{"'ridftotal'!$A$4:$S$27"}</definedName>
    <definedName name="NM" localSheetId="11" hidden="1">{"'ridftotal'!$A$4:$S$27"}</definedName>
    <definedName name="NM" localSheetId="3" hidden="1">{"'ridftotal'!$A$4:$S$27"}</definedName>
    <definedName name="NM" hidden="1">{"'ridftotal'!$A$4:$S$27"}</definedName>
    <definedName name="nn" localSheetId="27" hidden="1">{"'ridftotal'!$A$4:$S$27"}</definedName>
    <definedName name="nn" localSheetId="22" hidden="1">{"'ridftotal'!$A$4:$S$27"}</definedName>
    <definedName name="nn" localSheetId="14" hidden="1">{"'ridftotal'!$A$4:$S$27"}</definedName>
    <definedName name="nn" localSheetId="34" hidden="1">{"'ridftotal'!$A$4:$S$27"}</definedName>
    <definedName name="nn" localSheetId="21" hidden="1">{"'ridftotal'!$A$4:$S$27"}</definedName>
    <definedName name="nn" localSheetId="19" hidden="1">{"'ridftotal'!$A$4:$S$27"}</definedName>
    <definedName name="nn" localSheetId="32" hidden="1">{"'ridftotal'!$A$4:$S$27"}</definedName>
    <definedName name="nn" localSheetId="30" hidden="1">{"'ridftotal'!$A$4:$S$27"}</definedName>
    <definedName name="nn" localSheetId="11" hidden="1">{"'ridftotal'!$A$4:$S$27"}</definedName>
    <definedName name="nn" localSheetId="3" hidden="1">{"'ridftotal'!$A$4:$S$27"}</definedName>
    <definedName name="nn" hidden="1">{"'ridftotal'!$A$4:$S$27"}</definedName>
    <definedName name="NO_1000" localSheetId="22">#REF!</definedName>
    <definedName name="NO_1000" localSheetId="5">#REF!</definedName>
    <definedName name="NO_1000" localSheetId="6">#REF!</definedName>
    <definedName name="NO_1000" localSheetId="12">#REF!</definedName>
    <definedName name="NO_1000" localSheetId="34">#REF!</definedName>
    <definedName name="NO_1000" localSheetId="19">#REF!</definedName>
    <definedName name="NO_1000" localSheetId="30">#REF!</definedName>
    <definedName name="NO_1000" localSheetId="40">#REF!</definedName>
    <definedName name="NO_1000" localSheetId="26">#REF!</definedName>
    <definedName name="NO_1000">#REF!</definedName>
    <definedName name="NO_800" localSheetId="22">#REF!</definedName>
    <definedName name="NO_800" localSheetId="5">#REF!</definedName>
    <definedName name="NO_800" localSheetId="6">#REF!</definedName>
    <definedName name="NO_800" localSheetId="12">#REF!</definedName>
    <definedName name="NO_800" localSheetId="34">#REF!</definedName>
    <definedName name="NO_800" localSheetId="19">#REF!</definedName>
    <definedName name="NO_800" localSheetId="30">#REF!</definedName>
    <definedName name="NO_800" localSheetId="40">#REF!</definedName>
    <definedName name="NO_800" localSheetId="26">#REF!</definedName>
    <definedName name="NO_800">#REF!</definedName>
    <definedName name="nonreturnvalve" localSheetId="5">#REF!</definedName>
    <definedName name="nonreturnvalve" localSheetId="6">#REF!</definedName>
    <definedName name="nonreturnvalve" localSheetId="12">#REF!</definedName>
    <definedName name="nonreturnvalve" localSheetId="19">#REF!</definedName>
    <definedName name="nonreturnvalve" localSheetId="30">#REF!</definedName>
    <definedName name="nonreturnvalve">#REF!</definedName>
    <definedName name="NONRETURNVALVES" localSheetId="5">#REF!</definedName>
    <definedName name="NONRETURNVALVES" localSheetId="6">#REF!</definedName>
    <definedName name="NONRETURNVALVES" localSheetId="12">#REF!</definedName>
    <definedName name="NONRETURNVALVES" localSheetId="19">#REF!</definedName>
    <definedName name="NONRETURNVALVES" localSheetId="30">#REF!</definedName>
    <definedName name="NONRETURNVALVES">#REF!</definedName>
    <definedName name="nOS" localSheetId="5">#REF!</definedName>
    <definedName name="nOS" localSheetId="6">#REF!</definedName>
    <definedName name="nOS" localSheetId="12">#REF!</definedName>
    <definedName name="nOS" localSheetId="19">#REF!</definedName>
    <definedName name="nOS" localSheetId="30">#REF!</definedName>
    <definedName name="nOS">#REF!</definedName>
    <definedName name="notelg" localSheetId="19">#REF!</definedName>
    <definedName name="NP" localSheetId="14">#REF!</definedName>
    <definedName name="NP" localSheetId="6">#REF!</definedName>
    <definedName name="NP" localSheetId="12">#REF!</definedName>
    <definedName name="NP" localSheetId="19">#REF!</definedName>
    <definedName name="NP">#REF!</definedName>
    <definedName name="NV" localSheetId="14">#REF!</definedName>
    <definedName name="NV" localSheetId="6">#REF!</definedName>
    <definedName name="NV" localSheetId="12">#REF!</definedName>
    <definedName name="NV" localSheetId="19">#REF!</definedName>
    <definedName name="NV">#REF!</definedName>
    <definedName name="nw" localSheetId="22">#REF!</definedName>
    <definedName name="nw" localSheetId="5">#REF!</definedName>
    <definedName name="nw" localSheetId="6">#REF!</definedName>
    <definedName name="nw" localSheetId="12">#REF!</definedName>
    <definedName name="nw" localSheetId="34">#REF!</definedName>
    <definedName name="nw" localSheetId="19">#REF!</definedName>
    <definedName name="nw" localSheetId="30">#REF!</definedName>
    <definedName name="nw" localSheetId="40">#REF!</definedName>
    <definedName name="nw" localSheetId="26">#REF!</definedName>
    <definedName name="nw">#REF!</definedName>
    <definedName name="nw_33">"$#REF!.$#REF!$#REF!"</definedName>
    <definedName name="nw_34">"$#REF!.$#REF!$#REF!"</definedName>
    <definedName name="nw_55">"$#REF!.$A$2"</definedName>
    <definedName name="obd_paint" localSheetId="6">#REF!</definedName>
    <definedName name="obd_paint" localSheetId="12">#REF!</definedName>
    <definedName name="obd_paint" localSheetId="34">#REF!</definedName>
    <definedName name="obd_paint" localSheetId="19">#REF!</definedName>
    <definedName name="obd_paint">#REF!</definedName>
    <definedName name="oct" localSheetId="19">#REF!</definedName>
    <definedName name="od" localSheetId="19">#REF!</definedName>
    <definedName name="od">#REF!</definedName>
    <definedName name="OFL" localSheetId="14">#REF!</definedName>
    <definedName name="OFL" localSheetId="6">#REF!</definedName>
    <definedName name="OFL" localSheetId="12">#REF!</definedName>
    <definedName name="OFL" localSheetId="19">#REF!</definedName>
    <definedName name="OFL">#REF!</definedName>
    <definedName name="OGPC_HMP" localSheetId="19">#REF!</definedName>
    <definedName name="oh_33" localSheetId="19">#REF!</definedName>
    <definedName name="oh_34" localSheetId="27">#REF!</definedName>
    <definedName name="oh_34">#REF!</definedName>
    <definedName name="OHBRBRACEONETOSIX" localSheetId="5">#REF!</definedName>
    <definedName name="OHBRBRACEONETOSIX" localSheetId="6">#REF!</definedName>
    <definedName name="OHBRBRACEONETOSIX" localSheetId="12">#REF!</definedName>
    <definedName name="OHBRBRACEONETOSIX" localSheetId="19">#REF!</definedName>
    <definedName name="OHBRBRACEONETOSIX" localSheetId="30">#REF!</definedName>
    <definedName name="OHBRBRACEONETOSIX">#REF!</definedName>
    <definedName name="OHBRBRACESEVENTOTHIRTEEN" localSheetId="5">#REF!</definedName>
    <definedName name="OHBRBRACESEVENTOTHIRTEEN" localSheetId="6">#REF!</definedName>
    <definedName name="OHBRBRACESEVENTOTHIRTEEN" localSheetId="12">#REF!</definedName>
    <definedName name="OHBRBRACESEVENTOTHIRTEEN" localSheetId="19">#REF!</definedName>
    <definedName name="OHBRBRACESEVENTOTHIRTEEN" localSheetId="30">#REF!</definedName>
    <definedName name="OHBRBRACESEVENTOTHIRTEEN">#REF!</definedName>
    <definedName name="OHBRCOLUMNONETOSIX" localSheetId="5">#REF!</definedName>
    <definedName name="OHBRCOLUMNONETOSIX" localSheetId="6">#REF!</definedName>
    <definedName name="OHBRCOLUMNONETOSIX" localSheetId="12">#REF!</definedName>
    <definedName name="OHBRCOLUMNONETOSIX" localSheetId="19">#REF!</definedName>
    <definedName name="OHBRCOLUMNONETOSIX" localSheetId="30">#REF!</definedName>
    <definedName name="OHBRCOLUMNONETOSIX">#REF!</definedName>
    <definedName name="OHBRCOLUMNSEVENTOTHIRTEEN" localSheetId="5">#REF!</definedName>
    <definedName name="OHBRCOLUMNSEVENTOTHIRTEEN" localSheetId="6">#REF!</definedName>
    <definedName name="OHBRCOLUMNSEVENTOTHIRTEEN" localSheetId="12">#REF!</definedName>
    <definedName name="OHBRCOLUMNSEVENTOTHIRTEEN" localSheetId="19">#REF!</definedName>
    <definedName name="OHBRCOLUMNSEVENTOTHIRTEEN" localSheetId="30">#REF!</definedName>
    <definedName name="OHBRCOLUMNSEVENTOTHIRTEEN">#REF!</definedName>
    <definedName name="OHCP" localSheetId="22">#REF!</definedName>
    <definedName name="ohsrcap" localSheetId="6">#REF!</definedName>
    <definedName name="ohsrcap" localSheetId="12">#REF!</definedName>
    <definedName name="ohsrcap" localSheetId="34">#REF!</definedName>
    <definedName name="ohsrcap" localSheetId="19">#REF!</definedName>
    <definedName name="ohsrcap">#REF!</definedName>
    <definedName name="oi" localSheetId="6">#REF!</definedName>
    <definedName name="oi" localSheetId="12">#REF!</definedName>
    <definedName name="oi" localSheetId="34">#REF!</definedName>
    <definedName name="oi" localSheetId="19">#REF!</definedName>
    <definedName name="oi">#REF!</definedName>
    <definedName name="oii" localSheetId="6">#REF!</definedName>
    <definedName name="oii" localSheetId="12">#REF!</definedName>
    <definedName name="oii" localSheetId="34">#REF!</definedName>
    <definedName name="oii" localSheetId="19">#REF!</definedName>
    <definedName name="oii">#REF!</definedName>
    <definedName name="ok" localSheetId="19">#REF!</definedName>
    <definedName name="ok_33">"$#REF!.$#REF!$#REF!"</definedName>
    <definedName name="one" localSheetId="6">#REF!</definedName>
    <definedName name="one" localSheetId="12">#REF!</definedName>
    <definedName name="one" localSheetId="34">#REF!</definedName>
    <definedName name="one" localSheetId="19">#REF!</definedName>
    <definedName name="one">#REF!</definedName>
    <definedName name="ONETOSEVEN" localSheetId="5">#REF!</definedName>
    <definedName name="ONETOSEVEN" localSheetId="6">#REF!</definedName>
    <definedName name="ONETOSEVEN" localSheetId="12">#REF!</definedName>
    <definedName name="ONETOSEVEN" localSheetId="19">#REF!</definedName>
    <definedName name="ONETOSEVEN" localSheetId="30">#REF!</definedName>
    <definedName name="ONETOSEVEN">#REF!</definedName>
    <definedName name="oo">#REF!</definedName>
    <definedName name="OP">#REF!</definedName>
    <definedName name="opened">#REF!</definedName>
    <definedName name="OrderTable" localSheetId="22" hidden="1">#REF!</definedName>
    <definedName name="OrderTable" localSheetId="5" hidden="1">#REF!</definedName>
    <definedName name="OrderTable" localSheetId="42" hidden="1">#REF!</definedName>
    <definedName name="OrderTable" localSheetId="6" hidden="1">#REF!</definedName>
    <definedName name="OrderTable" localSheetId="12" hidden="1">#REF!</definedName>
    <definedName name="OrderTable" localSheetId="34" hidden="1">#REF!</definedName>
    <definedName name="OrderTable" localSheetId="28" hidden="1">#REF!</definedName>
    <definedName name="OrderTable" localSheetId="36" hidden="1">#REF!</definedName>
    <definedName name="OrderTable" localSheetId="21" hidden="1">#REF!</definedName>
    <definedName name="OrderTable" localSheetId="19" hidden="1">#REF!</definedName>
    <definedName name="OrderTable" localSheetId="32" hidden="1">#REF!</definedName>
    <definedName name="OrderTable" localSheetId="30" hidden="1">#REF!</definedName>
    <definedName name="OrderTable" localSheetId="37" hidden="1">#REF!</definedName>
    <definedName name="OrderTable" localSheetId="40" hidden="1">#REF!</definedName>
    <definedName name="OrderTable" localSheetId="26" hidden="1">#REF!</definedName>
    <definedName name="OrderTable" localSheetId="11" hidden="1">#REF!</definedName>
    <definedName name="OrderTable" localSheetId="3" hidden="1">#REF!</definedName>
    <definedName name="OrderTable" hidden="1">#REF!</definedName>
    <definedName name="others" localSheetId="5">#REF!</definedName>
    <definedName name="others" localSheetId="6">#REF!</definedName>
    <definedName name="others" localSheetId="12">#REF!</definedName>
    <definedName name="others" localSheetId="19">#REF!</definedName>
    <definedName name="others" localSheetId="30">#REF!</definedName>
    <definedName name="others">#REF!</definedName>
    <definedName name="OW">#REF!</definedName>
    <definedName name="p" localSheetId="22">#REF!</definedName>
    <definedName name="p" localSheetId="5">#REF!</definedName>
    <definedName name="p" localSheetId="6">#REF!</definedName>
    <definedName name="p" localSheetId="12">#REF!</definedName>
    <definedName name="p" localSheetId="34">#REF!</definedName>
    <definedName name="p" localSheetId="19">#REF!</definedName>
    <definedName name="p" localSheetId="30">#REF!</definedName>
    <definedName name="p" localSheetId="40">#REF!</definedName>
    <definedName name="p" localSheetId="26">#REF!</definedName>
    <definedName name="p">#REF!</definedName>
    <definedName name="Pa" localSheetId="6">#REF!</definedName>
    <definedName name="Pa" localSheetId="12">#REF!</definedName>
    <definedName name="Pa" localSheetId="34">#REF!</definedName>
    <definedName name="Pa" localSheetId="19">#REF!</definedName>
    <definedName name="Pa">#REF!</definedName>
    <definedName name="painting" localSheetId="19">#REF!</definedName>
    <definedName name="PartB" localSheetId="19">#REF!</definedName>
    <definedName name="PARTC" localSheetId="27">#REF!</definedName>
    <definedName name="PARTC">#REF!</definedName>
    <definedName name="Pasu" localSheetId="6">#REF!</definedName>
    <definedName name="Pasu" localSheetId="12">#REF!</definedName>
    <definedName name="Pasu" localSheetId="34">#REF!</definedName>
    <definedName name="Pasu" localSheetId="19">#REF!</definedName>
    <definedName name="Pasu">#REF!</definedName>
    <definedName name="pbm" localSheetId="6">#REF!</definedName>
    <definedName name="pbm" localSheetId="12">#REF!</definedName>
    <definedName name="pbm" localSheetId="34">#REF!</definedName>
    <definedName name="pbm" localSheetId="19">#REF!</definedName>
    <definedName name="pbm">#REF!</definedName>
    <definedName name="pc" localSheetId="22">#REF!</definedName>
    <definedName name="pc" localSheetId="5">#REF!</definedName>
    <definedName name="pc" localSheetId="6">#REF!</definedName>
    <definedName name="pc" localSheetId="12">#REF!</definedName>
    <definedName name="pc" localSheetId="34">#REF!</definedName>
    <definedName name="pc" localSheetId="19">#REF!</definedName>
    <definedName name="pc" localSheetId="30">#REF!</definedName>
    <definedName name="pc" localSheetId="40">#REF!</definedName>
    <definedName name="pc" localSheetId="26">#REF!</definedName>
    <definedName name="pc">#REF!</definedName>
    <definedName name="pc_33">"$#REF!.$#REF!$#REF!"</definedName>
    <definedName name="pc_34">"$#REF!.$#REF!$#REF!"</definedName>
    <definedName name="pcc" localSheetId="6">#REF!</definedName>
    <definedName name="pcc" localSheetId="12">#REF!</definedName>
    <definedName name="pcc" localSheetId="34">#REF!</definedName>
    <definedName name="pcc" localSheetId="19">#REF!</definedName>
    <definedName name="pcc">#REF!</definedName>
    <definedName name="pcc_bedblock" localSheetId="6">#REF!</definedName>
    <definedName name="pcc_bedblock" localSheetId="12">#REF!</definedName>
    <definedName name="pcc_bedblock" localSheetId="34">#REF!</definedName>
    <definedName name="pcc_bedblock" localSheetId="19">#REF!</definedName>
    <definedName name="pcc_bedblock">#REF!</definedName>
    <definedName name="PCC_M15" localSheetId="19">#REF!</definedName>
    <definedName name="PCC_M15_App.Slab">#REF!</definedName>
    <definedName name="PCdesign0.005" localSheetId="5">#REF!</definedName>
    <definedName name="PCdesign0.005" localSheetId="6">#REF!</definedName>
    <definedName name="PCdesign0.005" localSheetId="12">#REF!</definedName>
    <definedName name="PCdesign0.005" localSheetId="19">#REF!</definedName>
    <definedName name="PCdesign0.005">#REF!</definedName>
    <definedName name="PGS" localSheetId="6">#REF!</definedName>
    <definedName name="PGS" localSheetId="12">#REF!</definedName>
    <definedName name="PGS" localSheetId="19">#REF!</definedName>
    <definedName name="PGS">#REF!</definedName>
    <definedName name="phase" localSheetId="6">#REF!</definedName>
    <definedName name="phase" localSheetId="12">#REF!</definedName>
    <definedName name="phase" localSheetId="34">#REF!</definedName>
    <definedName name="phase" localSheetId="19">#REF!</definedName>
    <definedName name="phase">#REF!</definedName>
    <definedName name="phi" localSheetId="6">#REF!</definedName>
    <definedName name="phi" localSheetId="12">#REF!</definedName>
    <definedName name="phi" localSheetId="34">#REF!</definedName>
    <definedName name="phi" localSheetId="19">#REF!</definedName>
    <definedName name="phi">#REF!</definedName>
    <definedName name="Phone" localSheetId="22">#REF!</definedName>
    <definedName name="Phone" localSheetId="5">#REF!</definedName>
    <definedName name="Phone" localSheetId="6">#REF!</definedName>
    <definedName name="Phone" localSheetId="12">#REF!</definedName>
    <definedName name="Phone" localSheetId="34">#REF!</definedName>
    <definedName name="Phone" localSheetId="19">#REF!</definedName>
    <definedName name="Phone" localSheetId="30">#REF!</definedName>
    <definedName name="Phone" localSheetId="40">#REF!</definedName>
    <definedName name="Phone" localSheetId="26">#REF!</definedName>
    <definedName name="Phone">#REF!</definedName>
    <definedName name="Photos" localSheetId="6">#REF!</definedName>
    <definedName name="Photos" localSheetId="12">#REF!</definedName>
    <definedName name="Photos" localSheetId="19">#REF!</definedName>
    <definedName name="Photos">#REF!</definedName>
    <definedName name="pi">3.1415</definedName>
    <definedName name="pIIII" localSheetId="5">#REF!</definedName>
    <definedName name="pIIII" localSheetId="6">#REF!</definedName>
    <definedName name="pIIII" localSheetId="12">#REF!</definedName>
    <definedName name="pIIII" localSheetId="19">#REF!</definedName>
    <definedName name="pIIII" localSheetId="30">#REF!</definedName>
    <definedName name="pIIII">#REF!</definedName>
    <definedName name="PIPE" localSheetId="6">#REF!</definedName>
    <definedName name="PIPE" localSheetId="12">#REF!</definedName>
    <definedName name="PIPE" localSheetId="34">#REF!</definedName>
    <definedName name="PIPE" localSheetId="19">#REF!</definedName>
    <definedName name="PIPE">#REF!</definedName>
    <definedName name="pipewts">#REF!</definedName>
    <definedName name="piu">#REF!</definedName>
    <definedName name="PJI" localSheetId="14">#REF!</definedName>
    <definedName name="PJI" localSheetId="6">#REF!</definedName>
    <definedName name="PJI" localSheetId="12">#REF!</definedName>
    <definedName name="PJI" localSheetId="19">#REF!</definedName>
    <definedName name="PJI">#REF!</definedName>
    <definedName name="PJII" localSheetId="6">#REF!</definedName>
    <definedName name="PJII" localSheetId="12">#REF!</definedName>
    <definedName name="PJII" localSheetId="19">#REF!</definedName>
    <definedName name="PJII">#REF!</definedName>
    <definedName name="PJIII" localSheetId="6">#REF!</definedName>
    <definedName name="PJIII" localSheetId="12">#REF!</definedName>
    <definedName name="PJIII" localSheetId="19">#REF!</definedName>
    <definedName name="PJIII">#REF!</definedName>
    <definedName name="PK">#REF!</definedName>
    <definedName name="pkgno" localSheetId="5">#REF!</definedName>
    <definedName name="pkgno" localSheetId="6">#REF!</definedName>
    <definedName name="pkgno" localSheetId="12">#REF!</definedName>
    <definedName name="pkgno" localSheetId="19">#REF!</definedName>
    <definedName name="pkgno" localSheetId="30">#REF!</definedName>
    <definedName name="pkgno">#REF!</definedName>
    <definedName name="Pl.12mm1_3">#REF!</definedName>
    <definedName name="plaster_ornamental" localSheetId="6">#REF!</definedName>
    <definedName name="plaster_ornamental" localSheetId="12">#REF!</definedName>
    <definedName name="plaster_ornamental" localSheetId="34">#REF!</definedName>
    <definedName name="plaster_ornamental" localSheetId="19">#REF!</definedName>
    <definedName name="plaster_ornamental">#REF!</definedName>
    <definedName name="plaster_twelve" localSheetId="6">#REF!</definedName>
    <definedName name="plaster_twelve" localSheetId="12">#REF!</definedName>
    <definedName name="plaster_twelve" localSheetId="34">#REF!</definedName>
    <definedName name="plaster_twelve" localSheetId="19">#REF!</definedName>
    <definedName name="plaster_twelve">#REF!</definedName>
    <definedName name="plaster_twenty" localSheetId="6">#REF!</definedName>
    <definedName name="plaster_twenty" localSheetId="12">#REF!</definedName>
    <definedName name="plaster_twenty" localSheetId="34">#REF!</definedName>
    <definedName name="plaster_twenty" localSheetId="19">#REF!</definedName>
    <definedName name="plaster_twenty">#REF!</definedName>
    <definedName name="plastering12" localSheetId="19">#REF!</definedName>
    <definedName name="plasticemulsion_paint" localSheetId="6">#REF!</definedName>
    <definedName name="plasticemulsion_paint" localSheetId="12">#REF!</definedName>
    <definedName name="plasticemulsion_paint" localSheetId="34">#REF!</definedName>
    <definedName name="plasticemulsion_paint" localSheetId="19">#REF!</definedName>
    <definedName name="plasticemulsion_paint">#REF!</definedName>
    <definedName name="pm" localSheetId="6">#REF!</definedName>
    <definedName name="pm" localSheetId="12">#REF!</definedName>
    <definedName name="pm" localSheetId="19">#REF!</definedName>
    <definedName name="pm">#REF!</definedName>
    <definedName name="PM_AirCompressor_210cfm_32" localSheetId="19">#REF!</definedName>
    <definedName name="PM_AirCompressor_210cfm_33" localSheetId="27">#REF!</definedName>
    <definedName name="PM_AirCompressor_210cfm_33">#REF!</definedName>
    <definedName name="PM_AirCompressor_210cfm_34">#REF!</definedName>
    <definedName name="PM_AirCompressor_210cfm_43">#REF!</definedName>
    <definedName name="PM_AirCompressor_210cfm_55">#REF!</definedName>
    <definedName name="PM_AirCompressor_210cfm_56">#REF!</definedName>
    <definedName name="PM_AirCompressor_210cfm_59">#REF!</definedName>
    <definedName name="PM_AirCompressor_210cfm_61">#REF!</definedName>
    <definedName name="PM_BatchMixHMP_46_60THP_32" localSheetId="19">#REF!</definedName>
    <definedName name="PM_BatchMixHMP_46_60THP_33" localSheetId="27">#REF!</definedName>
    <definedName name="PM_BatchMixHMP_46_60THP_33">#REF!</definedName>
    <definedName name="PM_BatchMixHMP_46_60THP_34">#REF!</definedName>
    <definedName name="PM_BatchMixHMP_46_60THP_43">#REF!</definedName>
    <definedName name="PM_BatchMixHMP_46_60THP_55">#REF!</definedName>
    <definedName name="PM_BatchMixHMP_46_60THP_56">#REF!</definedName>
    <definedName name="PM_BatchMixHMP_46_60THP_59">#REF!</definedName>
    <definedName name="PM_BatchMixHMP_46_60THP_61">#REF!</definedName>
    <definedName name="PM_BatchTypeHMP_30_40_55" localSheetId="19">#REF!</definedName>
    <definedName name="PM_BitumenBoilerOilFired_1000_55" localSheetId="19">#REF!</definedName>
    <definedName name="PM_BitumenBoilerOilFired_200_32" localSheetId="19">#REF!</definedName>
    <definedName name="PM_BitumenBoilerOilFired_200_33" localSheetId="27">#REF!</definedName>
    <definedName name="PM_BitumenBoilerOilFired_200_33">#REF!</definedName>
    <definedName name="PM_BitumenBoilerOilFired_200_34">#REF!</definedName>
    <definedName name="PM_BitumenBoilerOilFired_200_43">#REF!</definedName>
    <definedName name="PM_BitumenBoilerOilFired_200_55">#REF!</definedName>
    <definedName name="PM_BitumenBoilerOilFired_200_56">#REF!</definedName>
    <definedName name="PM_BitumenBoilerOilFired_200_59">#REF!</definedName>
    <definedName name="PM_BitumenBoilerOilFired_200_61">#REF!</definedName>
    <definedName name="PM_BitumenEmulsionPressureDistributor_32" localSheetId="19">#REF!</definedName>
    <definedName name="PM_BitumenEmulsionPressureDistributor_33" localSheetId="27">#REF!</definedName>
    <definedName name="PM_BitumenEmulsionPressureDistributor_33">#REF!</definedName>
    <definedName name="PM_BitumenEmulsionPressureDistributor_34">#REF!</definedName>
    <definedName name="PM_BitumenEmulsionPressureDistributor_43">#REF!</definedName>
    <definedName name="PM_BitumenEmulsionPressureDistributor_55">#REF!</definedName>
    <definedName name="PM_BitumenEmulsionPressureDistributor_56">#REF!</definedName>
    <definedName name="PM_BitumenEmulsionPressureDistributor_59">#REF!</definedName>
    <definedName name="PM_BitumenEmulsionPressureDistributor_61">#REF!</definedName>
    <definedName name="PM_ConcreteMixer_32" localSheetId="19">#REF!</definedName>
    <definedName name="PM_ConcreteMixer_33" localSheetId="27">#REF!</definedName>
    <definedName name="PM_ConcreteMixer_33">#REF!</definedName>
    <definedName name="PM_ConcreteMixer_34">#REF!</definedName>
    <definedName name="PM_ConcreteMixer_43">#REF!</definedName>
    <definedName name="PM_ConcreteMixer_55">#REF!</definedName>
    <definedName name="PM_ConcreteMixer_56">#REF!</definedName>
    <definedName name="PM_ConcreteMixer_59">#REF!</definedName>
    <definedName name="PM_ConcreteMixer_61">#REF!</definedName>
    <definedName name="PM_Dozer_D50_32" localSheetId="19">#REF!</definedName>
    <definedName name="PM_Dozer_D50_33" localSheetId="27">#REF!</definedName>
    <definedName name="PM_Dozer_D50_33">#REF!</definedName>
    <definedName name="PM_Dozer_D50_34">#REF!</definedName>
    <definedName name="PM_Dozer_D50_43">#REF!</definedName>
    <definedName name="PM_Dozer_D50_56">#REF!</definedName>
    <definedName name="PM_Dozer_D50_59">#REF!</definedName>
    <definedName name="PM_Dozer_D50_61">#REF!</definedName>
    <definedName name="PM_ElectricGeneratorSet_125_55" localSheetId="19">#REF!</definedName>
    <definedName name="PM_FrontEndLoader_1cum_55" localSheetId="19">#REF!</definedName>
    <definedName name="PM_HydraulicBroom_32" localSheetId="19">#REF!</definedName>
    <definedName name="PM_HydraulicBroom_33" localSheetId="27">#REF!</definedName>
    <definedName name="PM_HydraulicBroom_33">#REF!</definedName>
    <definedName name="PM_HydraulicBroom_34">#REF!</definedName>
    <definedName name="PM_HydraulicBroom_43">#REF!</definedName>
    <definedName name="PM_HydraulicBroom_55">#REF!</definedName>
    <definedName name="PM_HydraulicBroom_56">#REF!</definedName>
    <definedName name="PM_HydraulicBroom_59">#REF!</definedName>
    <definedName name="PM_HydraulicBroom_61">#REF!</definedName>
    <definedName name="PM_HydraulicSelfPropelledChipSpreader_32" localSheetId="19">#REF!</definedName>
    <definedName name="PM_HydraulicSelfPropelledChipSpreader_33" localSheetId="27">#REF!</definedName>
    <definedName name="PM_HydraulicSelfPropelledChipSpreader_33">#REF!</definedName>
    <definedName name="PM_HydraulicSelfPropelledChipSpreader_34">#REF!</definedName>
    <definedName name="PM_HydraulicSelfPropelledChipSpreader_43">#REF!</definedName>
    <definedName name="PM_HydraulicSelfPropelledChipSpreader_55">#REF!</definedName>
    <definedName name="PM_HydraulicSelfPropelledChipSpreader_56">#REF!</definedName>
    <definedName name="PM_HydraulicSelfPropelledChipSpreader_59">#REF!</definedName>
    <definedName name="PM_HydraulicSelfPropelledChipSpreader_61">#REF!</definedName>
    <definedName name="PM_JackHammer_32" localSheetId="19">#REF!</definedName>
    <definedName name="PM_JackHammer_33" localSheetId="27">#REF!</definedName>
    <definedName name="PM_JackHammer_33">#REF!</definedName>
    <definedName name="PM_JackHammer_34">#REF!</definedName>
    <definedName name="PM_JackHammer_43">#REF!</definedName>
    <definedName name="PM_JackHammer_56">#REF!</definedName>
    <definedName name="PM_JackHammer_59">#REF!</definedName>
    <definedName name="PM_JackHammer_61">#REF!</definedName>
    <definedName name="PM_JointCuttingMachine_32" localSheetId="19">#REF!</definedName>
    <definedName name="PM_JointCuttingMachine_33" localSheetId="27">#REF!</definedName>
    <definedName name="PM_JointCuttingMachine_33">#REF!</definedName>
    <definedName name="PM_JointCuttingMachine_34">#REF!</definedName>
    <definedName name="PM_JointCuttingMachine_43">#REF!</definedName>
    <definedName name="PM_JointCuttingMachine_55">#REF!</definedName>
    <definedName name="PM_JointCuttingMachine_56">#REF!</definedName>
    <definedName name="PM_JointCuttingMachine_59">#REF!</definedName>
    <definedName name="PM_JointCuttingMachine_61">#REF!</definedName>
    <definedName name="PM_Mixall_6_10t_32" localSheetId="19">#REF!</definedName>
    <definedName name="PM_Mixall_6_10t_33" localSheetId="27">#REF!</definedName>
    <definedName name="PM_Mixall_6_10t_33">#REF!</definedName>
    <definedName name="PM_Mixall_6_10t_34">#REF!</definedName>
    <definedName name="PM_Mixall_6_10t_43">#REF!</definedName>
    <definedName name="PM_Mixall_6_10t_55">#REF!</definedName>
    <definedName name="PM_Mixall_6_10t_56">#REF!</definedName>
    <definedName name="PM_Mixall_6_10t_59">#REF!</definedName>
    <definedName name="PM_Mixall_6_10t_61">#REF!</definedName>
    <definedName name="PM_NeedleVibrator_32" localSheetId="19">#REF!</definedName>
    <definedName name="PM_NeedleVibrator_33" localSheetId="27">#REF!</definedName>
    <definedName name="PM_NeedleVibrator_33">#REF!</definedName>
    <definedName name="PM_NeedleVibrator_34">#REF!</definedName>
    <definedName name="PM_NeedleVibrator_43">#REF!</definedName>
    <definedName name="PM_NeedleVibrator_55">#REF!</definedName>
    <definedName name="PM_NeedleVibrator_56">#REF!</definedName>
    <definedName name="PM_NeedleVibrator_59">#REF!</definedName>
    <definedName name="PM_NeedleVibrator_61">#REF!</definedName>
    <definedName name="PM_PaverFinisher_55" localSheetId="19">#REF!</definedName>
    <definedName name="PM_PlateCompactor_32" localSheetId="19">#REF!</definedName>
    <definedName name="PM_PlateCompactor_33" localSheetId="27">#REF!</definedName>
    <definedName name="PM_PlateCompactor_33">#REF!</definedName>
    <definedName name="PM_PlateCompactor_34">#REF!</definedName>
    <definedName name="PM_PlateCompactor_43">#REF!</definedName>
    <definedName name="PM_PlateCompactor_56">#REF!</definedName>
    <definedName name="PM_PlateCompactor_59">#REF!</definedName>
    <definedName name="PM_PlateCompactor_61">#REF!</definedName>
    <definedName name="PM_PlateVibrator_32" localSheetId="19">#REF!</definedName>
    <definedName name="PM_PlateVibrator_33" localSheetId="27">#REF!</definedName>
    <definedName name="PM_PlateVibrator_33">#REF!</definedName>
    <definedName name="PM_PlateVibrator_34">#REF!</definedName>
    <definedName name="PM_PlateVibrator_43">#REF!</definedName>
    <definedName name="PM_PlateVibrator_55">#REF!</definedName>
    <definedName name="PM_PlateVibrator_56">#REF!</definedName>
    <definedName name="PM_PlateVibrator_59">#REF!</definedName>
    <definedName name="PM_PlateVibrator_61">#REF!</definedName>
    <definedName name="PM_ScreedVibrator_32" localSheetId="19">#REF!</definedName>
    <definedName name="PM_ScreedVibrator_33" localSheetId="27">#REF!</definedName>
    <definedName name="PM_ScreedVibrator_33">#REF!</definedName>
    <definedName name="PM_ScreedVibrator_34">#REF!</definedName>
    <definedName name="PM_ScreedVibrator_43">#REF!</definedName>
    <definedName name="PM_ScreedVibrator_55">#REF!</definedName>
    <definedName name="PM_ScreedVibrator_56">#REF!</definedName>
    <definedName name="PM_ScreedVibrator_59">#REF!</definedName>
    <definedName name="PM_ScreedVibrator_61">#REF!</definedName>
    <definedName name="PM_ThreeWheeled_80_100kN_StaticRoller_55" localSheetId="19">#REF!</definedName>
    <definedName name="PM_Tipper_55_55" localSheetId="19">#REF!</definedName>
    <definedName name="PM_Tractor_DiscHarrows_32" localSheetId="19">#REF!</definedName>
    <definedName name="PM_Tractor_DiscHarrows_33" localSheetId="27">#REF!</definedName>
    <definedName name="PM_Tractor_DiscHarrows_33">#REF!</definedName>
    <definedName name="PM_Tractor_DiscHarrows_34">#REF!</definedName>
    <definedName name="PM_Tractor_DiscHarrows_43">#REF!</definedName>
    <definedName name="PM_Tractor_DiscHarrows_56">#REF!</definedName>
    <definedName name="PM_Tractor_DiscHarrows_59">#REF!</definedName>
    <definedName name="PM_Tractor_DiscHarrows_61">#REF!</definedName>
    <definedName name="PM_Tractor_Ripper_32" localSheetId="19">#REF!</definedName>
    <definedName name="PM_Tractor_Ripper_33" localSheetId="27">#REF!</definedName>
    <definedName name="PM_Tractor_Ripper_33">#REF!</definedName>
    <definedName name="PM_Tractor_Ripper_34">#REF!</definedName>
    <definedName name="PM_Tractor_Ripper_43">#REF!</definedName>
    <definedName name="PM_Tractor_Ripper_56">#REF!</definedName>
    <definedName name="PM_Tractor_Ripper_59">#REF!</definedName>
    <definedName name="PM_Tractor_Ripper_61">#REF!</definedName>
    <definedName name="PM_Tractor_Rotavator_32" localSheetId="19">#REF!</definedName>
    <definedName name="PM_Tractor_Rotavator_33" localSheetId="27">#REF!</definedName>
    <definedName name="PM_Tractor_Rotavator_33">#REF!</definedName>
    <definedName name="PM_Tractor_Rotavator_34">#REF!</definedName>
    <definedName name="PM_Tractor_Rotavator_43">#REF!</definedName>
    <definedName name="PM_Tractor_Rotavator_56">#REF!</definedName>
    <definedName name="PM_Tractor_Rotavator_59">#REF!</definedName>
    <definedName name="PM_Tractor_Rotavator_61">#REF!</definedName>
    <definedName name="PM_Tractor_Trolley_32" localSheetId="19">#REF!</definedName>
    <definedName name="PM_Tractor_Trolley_33" localSheetId="27">#REF!</definedName>
    <definedName name="PM_Tractor_Trolley_33">#REF!</definedName>
    <definedName name="PM_Tractor_Trolley_34">#REF!</definedName>
    <definedName name="PM_Tractor_Trolley_43">#REF!</definedName>
    <definedName name="PM_Tractor_Trolley_56">#REF!</definedName>
    <definedName name="PM_Tractor_Trolley_59">#REF!</definedName>
    <definedName name="PM_Tractor_Trolley_61">#REF!</definedName>
    <definedName name="PM_Truck_32" localSheetId="19">#REF!</definedName>
    <definedName name="PM_Truck_33" localSheetId="27">#REF!</definedName>
    <definedName name="PM_Truck_33">#REF!</definedName>
    <definedName name="PM_Truck_34">#REF!</definedName>
    <definedName name="PM_Truck_43">#REF!</definedName>
    <definedName name="PM_Truck_56">#REF!</definedName>
    <definedName name="PM_Truck_59">#REF!</definedName>
    <definedName name="PM_Truck_61">#REF!</definedName>
    <definedName name="PM_VibratoryRoller_80_100kN_32" localSheetId="19">#REF!</definedName>
    <definedName name="PM_VibratoryRoller_80_100kN_33" localSheetId="27">#REF!</definedName>
    <definedName name="PM_VibratoryRoller_80_100kN_33">#REF!</definedName>
    <definedName name="PM_VibratoryRoller_80_100kN_34">#REF!</definedName>
    <definedName name="PM_VibratoryRoller_80_100kN_43">#REF!</definedName>
    <definedName name="PM_VibratoryRoller_80_100kN_55">#REF!</definedName>
    <definedName name="PM_VibratoryRoller_80_100kN_56">#REF!</definedName>
    <definedName name="PM_VibratoryRoller_80_100kN_59">#REF!</definedName>
    <definedName name="PM_VibratoryRoller_80_100kN_61">#REF!</definedName>
    <definedName name="PM_WaterTanker_6kl_32" localSheetId="19">#REF!</definedName>
    <definedName name="PM_WaterTanker_6kl_33" localSheetId="27">#REF!</definedName>
    <definedName name="PM_WaterTanker_6kl_33">#REF!</definedName>
    <definedName name="PM_WaterTanker_6kl_34">#REF!</definedName>
    <definedName name="PM_WaterTanker_6kl_43">#REF!</definedName>
    <definedName name="PM_WaterTanker_6kl_55">#REF!</definedName>
    <definedName name="PM_WaterTanker_6kl_56">#REF!</definedName>
    <definedName name="PM_WaterTanker_6kl_59">#REF!</definedName>
    <definedName name="PM_WaterTanker_6kl_61">#REF!</definedName>
    <definedName name="PM_WetMixPlant_or_PugMill_32" localSheetId="19">#REF!</definedName>
    <definedName name="PM_WetMixPlant_or_PugMill_33" localSheetId="27">#REF!</definedName>
    <definedName name="PM_WetMixPlant_or_PugMill_33">#REF!</definedName>
    <definedName name="PM_WetMixPlant_or_PugMill_34">#REF!</definedName>
    <definedName name="PM_WetMixPlant_or_PugMill_43">#REF!</definedName>
    <definedName name="PM_WetMixPlant_or_PugMill_56">#REF!</definedName>
    <definedName name="PM_WetMixPlant_or_PugMill_59">#REF!</definedName>
    <definedName name="PM_WetMixPlant_or_PugMill_61">#REF!</definedName>
    <definedName name="PMS" localSheetId="6">#REF!</definedName>
    <definedName name="PMS" localSheetId="12">#REF!</definedName>
    <definedName name="PMS" localSheetId="19">#REF!</definedName>
    <definedName name="PMS">#REF!</definedName>
    <definedName name="pop" localSheetId="6">#REF!</definedName>
    <definedName name="pop" localSheetId="12">#REF!</definedName>
    <definedName name="pop" localSheetId="34">#REF!</definedName>
    <definedName name="pop" localSheetId="19">#REF!</definedName>
    <definedName name="pop">#REF!</definedName>
    <definedName name="portico__bottom__steps" localSheetId="6">#REF!,#REF!,#REF!,#REF!,#REF!,#REF!,#REF!,#REF!,#REF!,#REF!,#REF!,#REF!,#REF!,#REF!,#REF!,#REF!,#REF!,#REF!,#REF!,#REF!,#REF!</definedName>
    <definedName name="portico__bottom__steps" localSheetId="12">#REF!,#REF!,#REF!,#REF!,#REF!,#REF!,#REF!,#REF!,#REF!,#REF!,#REF!,#REF!,#REF!,#REF!,#REF!,#REF!,#REF!,#REF!,#REF!,#REF!,#REF!</definedName>
    <definedName name="portico__bottom__steps" localSheetId="19">#REF!,#REF!,#REF!,#REF!,#REF!,#REF!,#REF!,#REF!,#REF!,#REF!,#REF!,#REF!,#REF!,#REF!,#REF!,#REF!,#REF!,#REF!,#REF!,#REF!,#REF!</definedName>
    <definedName name="portico__bottom__steps">#REF!,#REF!,#REF!,#REF!,#REF!,#REF!,#REF!,#REF!,#REF!,#REF!,#REF!,#REF!,#REF!,#REF!,#REF!,#REF!,#REF!,#REF!,#REF!,#REF!,#REF!</definedName>
    <definedName name="pp" localSheetId="27" hidden="1">{"'ridftotal'!$A$4:$S$27"}</definedName>
    <definedName name="pp" localSheetId="22" hidden="1">{"'ridftotal'!$A$4:$S$27"}</definedName>
    <definedName name="pp" localSheetId="14" hidden="1">{"'ridftotal'!$A$4:$S$27"}</definedName>
    <definedName name="pp" localSheetId="34">#REF!</definedName>
    <definedName name="pp" localSheetId="19" hidden="1">{"'ridftotal'!$A$4:$S$27"}</definedName>
    <definedName name="pp" localSheetId="30" hidden="1">{"'ridftotal'!$A$4:$S$27"}</definedName>
    <definedName name="pp" hidden="1">{"'ridftotal'!$A$4:$S$27"}</definedName>
    <definedName name="pppp" localSheetId="19">#REF!</definedName>
    <definedName name="PR_Habcode_16_Dig" localSheetId="22">#REF!</definedName>
    <definedName name="PR_Habcode_16_Dig" localSheetId="5">#REF!</definedName>
    <definedName name="PR_Habcode_16_Dig" localSheetId="6">#REF!</definedName>
    <definedName name="PR_Habcode_16_Dig" localSheetId="12">#REF!</definedName>
    <definedName name="PR_Habcode_16_Dig" localSheetId="34">#REF!</definedName>
    <definedName name="PR_Habcode_16_Dig" localSheetId="19">#REF!</definedName>
    <definedName name="PR_Habcode_16_Dig" localSheetId="30">#REF!</definedName>
    <definedName name="PR_Habcode_16_Dig" localSheetId="40">#REF!</definedName>
    <definedName name="PR_Habcode_16_Dig" localSheetId="26">#REF!</definedName>
    <definedName name="PR_Habcode_16_Dig">#REF!</definedName>
    <definedName name="prakashrao">#REF!</definedName>
    <definedName name="prb" localSheetId="6">#REF!</definedName>
    <definedName name="prb" localSheetId="12">#REF!</definedName>
    <definedName name="prb" localSheetId="34">#REF!</definedName>
    <definedName name="prb" localSheetId="19">#REF!</definedName>
    <definedName name="prb">#REF!</definedName>
    <definedName name="PRC" localSheetId="22">#REF!</definedName>
    <definedName name="PRC" localSheetId="5">#REF!</definedName>
    <definedName name="PRC" localSheetId="6">#REF!</definedName>
    <definedName name="PRC" localSheetId="12">#REF!</definedName>
    <definedName name="PRC" localSheetId="34">#REF!</definedName>
    <definedName name="PRC" localSheetId="19">#REF!</definedName>
    <definedName name="PRC" localSheetId="30">#REF!</definedName>
    <definedName name="PRC" localSheetId="40">#REF!</definedName>
    <definedName name="PRC" localSheetId="26">#REF!</definedName>
    <definedName name="PRC">#REF!</definedName>
    <definedName name="_xlnm.Print_Area" localSheetId="41">'2V 1m dia Pipe Culverts'!$A$1:$L$48</definedName>
    <definedName name="_xlnm.Print_Area" localSheetId="27">'3V 1m dia Pipe Culverts'!$A$1:$L$48</definedName>
    <definedName name="_xlnm.Print_Area" localSheetId="22">#REF!</definedName>
    <definedName name="_xlnm.Print_Area" localSheetId="16">Cover!$A$1:$T$32</definedName>
    <definedName name="_xlnm.Print_Area" localSheetId="5">#REF!</definedName>
    <definedName name="_xlnm.Print_Area" localSheetId="14">#REF!</definedName>
    <definedName name="_xlnm.Print_Area" localSheetId="9">'ESAL-result'!$A$1:$L$36</definedName>
    <definedName name="_xlnm.Print_Area" localSheetId="8">GA!$A$1:$E$38</definedName>
    <definedName name="_xlnm.Print_Area" localSheetId="4">'Input Data'!$A$1:$N$27</definedName>
    <definedName name="_xlnm.Print_Area" localSheetId="6">#REF!</definedName>
    <definedName name="_xlnm.Print_Area" localSheetId="12">'Key Map'!$A$1:$L$41</definedName>
    <definedName name="_xlnm.Print_Area" localSheetId="33">lead!$A$1:$J$67</definedName>
    <definedName name="_xlnm.Print_Area" localSheetId="34">LS_2LS!$A$1:$AD$37</definedName>
    <definedName name="_xlnm.Print_Area" localSheetId="24">'MTS Esti'!$A$1:$S$80</definedName>
    <definedName name="_xlnm.Print_Area" localSheetId="7">'Note File'!$A$1:$J$196</definedName>
    <definedName name="_xlnm.Print_Area" localSheetId="46">'NP4 pipes'!$A$1:$M$34</definedName>
    <definedName name="_xlnm.Print_Area" localSheetId="20">'Road data'!$A$1:$G$990</definedName>
    <definedName name="_xlnm.Print_Area" localSheetId="13">'Road Estimate'!$A$1:$L$73</definedName>
    <definedName name="_xlnm.Print_Area" localSheetId="21">'Road Furniture-Data'!$A$1:$H$360</definedName>
    <definedName name="_xlnm.Print_Area" localSheetId="18">'Road-furniture '!$A$1:$G$30</definedName>
    <definedName name="_xlnm.Print_Area" localSheetId="38">'Road-Marks'!$A$1:$G$32</definedName>
    <definedName name="_xlnm.Print_Area" localSheetId="19">'RSI-Estt'!$A$1:$L$39</definedName>
    <definedName name="_xlnm.Print_Area" localSheetId="31">'Schedule-A'!$A$1:$H$198</definedName>
    <definedName name="_xlnm.Print_Area" localSheetId="32">'Schedule-A (Part-B)'!$A$1:$G$18</definedName>
    <definedName name="_xlnm.Print_Area" localSheetId="30">Seigneorage!$A$1:$G$121</definedName>
    <definedName name="_xlnm.Print_Area" localSheetId="29">'Slab-Culverts Data'!$A$1:$J$682</definedName>
    <definedName name="_xlnm.Print_Area" localSheetId="11">SPR!$A$1:$V$87</definedName>
    <definedName name="_xlnm.Print_Area" localSheetId="43">'SSR-rates'!$A$1:$Q$121</definedName>
    <definedName name="_xlnm.Print_Area" localSheetId="39">'TENDER-NF'!$A$13:$J$144</definedName>
    <definedName name="_xlnm.Print_Area" localSheetId="10">'TRAFF-Count-ESAL-Cal'!$A$1:$M$35</definedName>
    <definedName name="_xlnm.Print_Area" localSheetId="2">'VUP Data'!$A$1:$J$839</definedName>
    <definedName name="_xlnm.Print_Area">#REF!</definedName>
    <definedName name="Print_Area_MI" localSheetId="5">#REF!</definedName>
    <definedName name="Print_Area_MI" localSheetId="6">#REF!</definedName>
    <definedName name="Print_Area_MI" localSheetId="12">#REF!</definedName>
    <definedName name="Print_Area_MI" localSheetId="19">#REF!</definedName>
    <definedName name="Print_Area_MI" localSheetId="30">#REF!</definedName>
    <definedName name="Print_Area_MI">#REF!</definedName>
    <definedName name="Print_Area_MI_10" localSheetId="5">#REF!</definedName>
    <definedName name="Print_Area_MI_10" localSheetId="6">#REF!</definedName>
    <definedName name="Print_Area_MI_10" localSheetId="12">#REF!</definedName>
    <definedName name="Print_Area_MI_10" localSheetId="19">#REF!</definedName>
    <definedName name="Print_Area_MI_10" localSheetId="30">#REF!</definedName>
    <definedName name="Print_Area_MI_10">#REF!</definedName>
    <definedName name="Print_Area_MI_12" localSheetId="5">#REF!</definedName>
    <definedName name="Print_Area_MI_12" localSheetId="6">#REF!</definedName>
    <definedName name="Print_Area_MI_12" localSheetId="12">#REF!</definedName>
    <definedName name="Print_Area_MI_12" localSheetId="19">#REF!</definedName>
    <definedName name="Print_Area_MI_12" localSheetId="30">#REF!</definedName>
    <definedName name="Print_Area_MI_12">#REF!</definedName>
    <definedName name="Print_Area_MI_3" localSheetId="5">#REF!</definedName>
    <definedName name="Print_Area_MI_3" localSheetId="6">#REF!</definedName>
    <definedName name="Print_Area_MI_3" localSheetId="12">#REF!</definedName>
    <definedName name="Print_Area_MI_3" localSheetId="19">#REF!</definedName>
    <definedName name="Print_Area_MI_3" localSheetId="30">#REF!</definedName>
    <definedName name="Print_Area_MI_3">#REF!</definedName>
    <definedName name="Print_Area_MI_6" localSheetId="5">#REF!</definedName>
    <definedName name="Print_Area_MI_6" localSheetId="6">#REF!</definedName>
    <definedName name="Print_Area_MI_6" localSheetId="12">#REF!</definedName>
    <definedName name="Print_Area_MI_6" localSheetId="19">#REF!</definedName>
    <definedName name="Print_Area_MI_6" localSheetId="30">#REF!</definedName>
    <definedName name="Print_Area_MI_6">#REF!</definedName>
    <definedName name="Print_Area_MI_7" localSheetId="5">#REF!</definedName>
    <definedName name="Print_Area_MI_7" localSheetId="6">#REF!</definedName>
    <definedName name="Print_Area_MI_7" localSheetId="12">#REF!</definedName>
    <definedName name="Print_Area_MI_7" localSheetId="19">#REF!</definedName>
    <definedName name="Print_Area_MI_7" localSheetId="30">#REF!</definedName>
    <definedName name="Print_Area_MI_7">#REF!</definedName>
    <definedName name="Print_Area_MI_9" localSheetId="5">#REF!</definedName>
    <definedName name="Print_Area_MI_9" localSheetId="6">#REF!</definedName>
    <definedName name="Print_Area_MI_9" localSheetId="12">#REF!</definedName>
    <definedName name="Print_Area_MI_9" localSheetId="19">#REF!</definedName>
    <definedName name="Print_Area_MI_9" localSheetId="30">#REF!</definedName>
    <definedName name="Print_Area_MI_9">#REF!</definedName>
    <definedName name="_xlnm.Print_Titles" localSheetId="35">'1V 1m dia Pipe Culverts'!$4:$5</definedName>
    <definedName name="_xlnm.Print_Titles" localSheetId="41">'2V 1m dia Pipe Culverts'!$4:$5</definedName>
    <definedName name="_xlnm.Print_Titles" localSheetId="27">'3V 1m dia Pipe Culverts'!$4:$5</definedName>
    <definedName name="_xlnm.Print_Titles" localSheetId="22">#REF!</definedName>
    <definedName name="_xlnm.Print_Titles" localSheetId="42">'Drain '!$4:$5</definedName>
    <definedName name="_xlnm.Print_Titles" localSheetId="34">#REF!</definedName>
    <definedName name="_xlnm.Print_Titles" localSheetId="25">'Mtc-data'!$3:$4</definedName>
    <definedName name="_xlnm.Print_Titles" localSheetId="44">'Pipe data'!$3:$3</definedName>
    <definedName name="_xlnm.Print_Titles" localSheetId="28">'Ret wall'!$4:$5</definedName>
    <definedName name="_xlnm.Print_Titles" localSheetId="36">'Road dam 30m'!$4:$5</definedName>
    <definedName name="_xlnm.Print_Titles" localSheetId="20">'Road data'!$4:$4</definedName>
    <definedName name="_xlnm.Print_Titles" localSheetId="13">'Road Estimate'!$3:$4</definedName>
    <definedName name="_xlnm.Print_Titles" localSheetId="21">'Road Furniture-Data'!$3:$4</definedName>
    <definedName name="_xlnm.Print_Titles" localSheetId="31">'Schedule-A'!$10:$10</definedName>
    <definedName name="_xlnm.Print_Titles" localSheetId="37">'Slab Culvert 1V 5m x 2m span'!$4:$5</definedName>
    <definedName name="_xlnm.Print_Titles" localSheetId="40">'Slab Culvert 1V 6m x 2m spa'!$4:$5</definedName>
    <definedName name="_xlnm.Print_Titles" localSheetId="26">'Slab Culvert 2V 6m x 2m spa'!$4:$5</definedName>
    <definedName name="_xlnm.Print_Titles" localSheetId="29">'Slab-Culverts Data'!$3:$3</definedName>
    <definedName name="_xlnm.Print_Titles" localSheetId="2">'VUP Data'!$4:$4</definedName>
    <definedName name="_xlnm.Print_Titles">#N/A</definedName>
    <definedName name="proBS" localSheetId="6">#REF!</definedName>
    <definedName name="proBS" localSheetId="12">#REF!</definedName>
    <definedName name="proBS" localSheetId="34">#REF!</definedName>
    <definedName name="proBS" localSheetId="19">#REF!</definedName>
    <definedName name="proBS">#REF!</definedName>
    <definedName name="ProdForm" localSheetId="22" hidden="1">#REF!</definedName>
    <definedName name="ProdForm" localSheetId="5" hidden="1">#REF!</definedName>
    <definedName name="ProdForm" localSheetId="42" hidden="1">#REF!</definedName>
    <definedName name="ProdForm" localSheetId="6" hidden="1">#REF!</definedName>
    <definedName name="ProdForm" localSheetId="12" hidden="1">#REF!</definedName>
    <definedName name="ProdForm" localSheetId="34" hidden="1">#REF!</definedName>
    <definedName name="ProdForm" localSheetId="28" hidden="1">#REF!</definedName>
    <definedName name="ProdForm" localSheetId="36" hidden="1">#REF!</definedName>
    <definedName name="ProdForm" localSheetId="21" hidden="1">#REF!</definedName>
    <definedName name="ProdForm" localSheetId="19" hidden="1">#REF!</definedName>
    <definedName name="ProdForm" localSheetId="32" hidden="1">#REF!</definedName>
    <definedName name="ProdForm" localSheetId="30" hidden="1">#REF!</definedName>
    <definedName name="ProdForm" localSheetId="37" hidden="1">#REF!</definedName>
    <definedName name="ProdForm" localSheetId="40" hidden="1">#REF!</definedName>
    <definedName name="ProdForm" localSheetId="26" hidden="1">#REF!</definedName>
    <definedName name="ProdForm" localSheetId="11" hidden="1">#REF!</definedName>
    <definedName name="ProdForm" localSheetId="3" hidden="1">#REF!</definedName>
    <definedName name="ProdForm" hidden="1">#REF!</definedName>
    <definedName name="product" localSheetId="22">#REF!</definedName>
    <definedName name="product" localSheetId="5">#REF!</definedName>
    <definedName name="product" localSheetId="6">#REF!</definedName>
    <definedName name="product" localSheetId="12">#REF!</definedName>
    <definedName name="product" localSheetId="34">#REF!</definedName>
    <definedName name="product" localSheetId="19">#REF!</definedName>
    <definedName name="product" localSheetId="30">#REF!</definedName>
    <definedName name="product" localSheetId="40">#REF!</definedName>
    <definedName name="product" localSheetId="26">#REF!</definedName>
    <definedName name="product">#REF!</definedName>
    <definedName name="ps" localSheetId="6">#REF!</definedName>
    <definedName name="ps" localSheetId="12">#REF!</definedName>
    <definedName name="ps" localSheetId="34">#REF!</definedName>
    <definedName name="ps" localSheetId="19">#REF!</definedName>
    <definedName name="ps">#REF!</definedName>
    <definedName name="pss" localSheetId="6">#REF!</definedName>
    <definedName name="pss" localSheetId="12">#REF!</definedName>
    <definedName name="pss" localSheetId="19">#REF!</definedName>
    <definedName name="pss" localSheetId="30">#REF!</definedName>
    <definedName name="pss">#REF!</definedName>
    <definedName name="psw" localSheetId="6">#REF!</definedName>
    <definedName name="psw" localSheetId="12">#REF!</definedName>
    <definedName name="psw" localSheetId="34">#REF!</definedName>
    <definedName name="psw" localSheetId="19">#REF!</definedName>
    <definedName name="psw">#REF!</definedName>
    <definedName name="pui" localSheetId="6">#REF!</definedName>
    <definedName name="pui" localSheetId="12">#REF!</definedName>
    <definedName name="pui" localSheetId="34">#REF!</definedName>
    <definedName name="pui" localSheetId="19">#REF!</definedName>
    <definedName name="pui">#REF!</definedName>
    <definedName name="Pump">#REF!</definedName>
    <definedName name="pumpset" localSheetId="5">#REF!</definedName>
    <definedName name="pumpset" localSheetId="6">#REF!</definedName>
    <definedName name="pumpset" localSheetId="12">#REF!</definedName>
    <definedName name="pumpset" localSheetId="19">#REF!</definedName>
    <definedName name="pumpset" localSheetId="30">#REF!</definedName>
    <definedName name="pumpset">#REF!</definedName>
    <definedName name="pvc_bends" localSheetId="6">#REF!</definedName>
    <definedName name="pvc_bends" localSheetId="12">#REF!</definedName>
    <definedName name="pvc_bends" localSheetId="34">#REF!</definedName>
    <definedName name="pvc_bends" localSheetId="19">#REF!</definedName>
    <definedName name="pvc_bends">#REF!</definedName>
    <definedName name="pvc_clamps" localSheetId="6">#REF!</definedName>
    <definedName name="pvc_clamps" localSheetId="12">#REF!</definedName>
    <definedName name="pvc_clamps" localSheetId="34">#REF!</definedName>
    <definedName name="pvc_clamps" localSheetId="19">#REF!</definedName>
    <definedName name="pvc_clamps">#REF!</definedName>
    <definedName name="pvc_collar" localSheetId="6">#REF!</definedName>
    <definedName name="pvc_collar" localSheetId="12">#REF!</definedName>
    <definedName name="pvc_collar" localSheetId="34">#REF!</definedName>
    <definedName name="pvc_collar" localSheetId="19">#REF!</definedName>
    <definedName name="pvc_collar">#REF!</definedName>
    <definedName name="pvc_pipes_110" localSheetId="6">#REF!</definedName>
    <definedName name="pvc_pipes_110" localSheetId="12">#REF!</definedName>
    <definedName name="pvc_pipes_110" localSheetId="34">#REF!</definedName>
    <definedName name="pvc_pipes_110" localSheetId="19">#REF!</definedName>
    <definedName name="pvc_pipes_110">#REF!</definedName>
    <definedName name="pvc_specials" localSheetId="5">#REF!</definedName>
    <definedName name="pvc_specials" localSheetId="6">#REF!</definedName>
    <definedName name="pvc_specials" localSheetId="12">#REF!</definedName>
    <definedName name="pvc_specials" localSheetId="19">#REF!</definedName>
    <definedName name="pvc_specials" localSheetId="30">#REF!</definedName>
    <definedName name="pvc_specials">#REF!</definedName>
    <definedName name="pvcALL" localSheetId="5">#REF!</definedName>
    <definedName name="pvcALL" localSheetId="6">#REF!</definedName>
    <definedName name="pvcALL" localSheetId="12">#REF!</definedName>
    <definedName name="pvcALL" localSheetId="19">#REF!</definedName>
    <definedName name="pvcALL" localSheetId="30">#REF!</definedName>
    <definedName name="pvcALL">#REF!</definedName>
    <definedName name="pvcBend" localSheetId="5">#REF!</definedName>
    <definedName name="pvcBend" localSheetId="6">#REF!</definedName>
    <definedName name="pvcBend" localSheetId="12">#REF!</definedName>
    <definedName name="pvcBend" localSheetId="19">#REF!</definedName>
    <definedName name="pvcBend" localSheetId="30">#REF!</definedName>
    <definedName name="pvcBend">#REF!</definedName>
    <definedName name="pvcCoupling" localSheetId="5">#REF!</definedName>
    <definedName name="pvcCoupling" localSheetId="6">#REF!</definedName>
    <definedName name="pvcCoupling" localSheetId="12">#REF!</definedName>
    <definedName name="pvcCoupling" localSheetId="19">#REF!</definedName>
    <definedName name="pvcCoupling" localSheetId="30">#REF!</definedName>
    <definedName name="pvcCoupling">#REF!</definedName>
    <definedName name="pvcDummy" localSheetId="5">#REF!</definedName>
    <definedName name="pvcDummy" localSheetId="6">#REF!</definedName>
    <definedName name="pvcDummy" localSheetId="12">#REF!</definedName>
    <definedName name="pvcDummy" localSheetId="19">#REF!</definedName>
    <definedName name="pvcDummy" localSheetId="30">#REF!</definedName>
    <definedName name="pvcDummy">#REF!</definedName>
    <definedName name="pvcElbow" localSheetId="5">#REF!</definedName>
    <definedName name="pvcElbow" localSheetId="6">#REF!</definedName>
    <definedName name="pvcElbow" localSheetId="12">#REF!</definedName>
    <definedName name="pvcElbow" localSheetId="19">#REF!</definedName>
    <definedName name="pvcElbow" localSheetId="30">#REF!</definedName>
    <definedName name="pvcElbow">#REF!</definedName>
    <definedName name="pvcFTA" localSheetId="5">#REF!</definedName>
    <definedName name="pvcFTA" localSheetId="6">#REF!</definedName>
    <definedName name="pvcFTA" localSheetId="12">#REF!</definedName>
    <definedName name="pvcFTA" localSheetId="19">#REF!</definedName>
    <definedName name="pvcFTA" localSheetId="30">#REF!</definedName>
    <definedName name="pvcFTA">#REF!</definedName>
    <definedName name="pvcMTA" localSheetId="5">#REF!</definedName>
    <definedName name="pvcMTA" localSheetId="6">#REF!</definedName>
    <definedName name="pvcMTA" localSheetId="12">#REF!</definedName>
    <definedName name="pvcMTA" localSheetId="19">#REF!</definedName>
    <definedName name="pvcMTA" localSheetId="30">#REF!</definedName>
    <definedName name="pvcMTA">#REF!</definedName>
    <definedName name="PVCreducedTee" localSheetId="5">#REF!</definedName>
    <definedName name="PVCreducedTee" localSheetId="6">#REF!</definedName>
    <definedName name="PVCreducedTee" localSheetId="12">#REF!</definedName>
    <definedName name="PVCreducedTee" localSheetId="19">#REF!</definedName>
    <definedName name="PVCreducedTee" localSheetId="30">#REF!</definedName>
    <definedName name="PVCreducedTee">#REF!</definedName>
    <definedName name="pvcSpecials" localSheetId="5">#REF!</definedName>
    <definedName name="pvcSpecials" localSheetId="6">#REF!</definedName>
    <definedName name="pvcSpecials" localSheetId="12">#REF!</definedName>
    <definedName name="pvcSpecials" localSheetId="19">#REF!</definedName>
    <definedName name="pvcSpecials" localSheetId="30">#REF!</definedName>
    <definedName name="pvcSpecials">#REF!</definedName>
    <definedName name="pvcTee" localSheetId="5">#REF!</definedName>
    <definedName name="pvcTee" localSheetId="6">#REF!</definedName>
    <definedName name="pvcTee" localSheetId="12">#REF!</definedName>
    <definedName name="pvcTee" localSheetId="19">#REF!</definedName>
    <definedName name="pvcTee" localSheetId="30">#REF!</definedName>
    <definedName name="pvcTee">#REF!</definedName>
    <definedName name="pvijay" localSheetId="19">#REF!</definedName>
    <definedName name="pvijay">#REF!</definedName>
    <definedName name="Q" localSheetId="27" hidden="1">{"'ridftotal'!$A$4:$S$27"}</definedName>
    <definedName name="Q" localSheetId="22" hidden="1">{"'ridftotal'!$A$4:$S$27"}</definedName>
    <definedName name="Q" localSheetId="14" hidden="1">{"'ridftotal'!$A$4:$S$27"}</definedName>
    <definedName name="q" localSheetId="34">#REF!</definedName>
    <definedName name="Q" localSheetId="21" hidden="1">{"'ridftotal'!$A$4:$S$27"}</definedName>
    <definedName name="Q" localSheetId="19" hidden="1">{"'ridftotal'!$A$4:$S$27"}</definedName>
    <definedName name="Q" localSheetId="32" hidden="1">{"'ridftotal'!$A$4:$S$27"}</definedName>
    <definedName name="Q" localSheetId="30" hidden="1">{"'ridftotal'!$A$4:$S$27"}</definedName>
    <definedName name="Q" localSheetId="11" hidden="1">{"'ridftotal'!$A$4:$S$27"}</definedName>
    <definedName name="Q" localSheetId="3" hidden="1">{"'ridftotal'!$A$4:$S$27"}</definedName>
    <definedName name="Q" hidden="1">{"'ridftotal'!$A$4:$S$27"}</definedName>
    <definedName name="Q_CD_EW" localSheetId="22">#REF!</definedName>
    <definedName name="Q_CD_EW" localSheetId="5">#REF!</definedName>
    <definedName name="Q_CD_EW" localSheetId="6">#REF!</definedName>
    <definedName name="Q_CD_EW" localSheetId="12">#REF!</definedName>
    <definedName name="Q_CD_EW" localSheetId="34">#REF!</definedName>
    <definedName name="Q_CD_EW" localSheetId="19">#REF!</definedName>
    <definedName name="Q_CD_EW" localSheetId="30">#REF!</definedName>
    <definedName name="Q_CD_EW" localSheetId="40">#REF!</definedName>
    <definedName name="Q_CD_EW" localSheetId="26">#REF!</definedName>
    <definedName name="Q_CD_EW">#REF!</definedName>
    <definedName name="Q_CD_M10_BODY" localSheetId="22">#REF!</definedName>
    <definedName name="Q_CD_M10_BODY" localSheetId="5">#REF!</definedName>
    <definedName name="Q_CD_M10_BODY" localSheetId="6">#REF!</definedName>
    <definedName name="Q_CD_M10_BODY" localSheetId="12">#REF!</definedName>
    <definedName name="Q_CD_M10_BODY" localSheetId="34">#REF!</definedName>
    <definedName name="Q_CD_M10_BODY" localSheetId="19">#REF!</definedName>
    <definedName name="Q_CD_M10_BODY" localSheetId="30">#REF!</definedName>
    <definedName name="Q_CD_M10_BODY" localSheetId="40">#REF!</definedName>
    <definedName name="Q_CD_M10_BODY" localSheetId="26">#REF!</definedName>
    <definedName name="Q_CD_M10_BODY">#REF!</definedName>
    <definedName name="Q_CD_M10_FOUN" localSheetId="22">#REF!</definedName>
    <definedName name="Q_CD_M10_FOUN" localSheetId="5">#REF!</definedName>
    <definedName name="Q_CD_M10_FOUN" localSheetId="6">#REF!</definedName>
    <definedName name="Q_CD_M10_FOUN" localSheetId="12">#REF!</definedName>
    <definedName name="Q_CD_M10_FOUN" localSheetId="34">#REF!</definedName>
    <definedName name="Q_CD_M10_FOUN" localSheetId="19">#REF!</definedName>
    <definedName name="Q_CD_M10_FOUN" localSheetId="30">#REF!</definedName>
    <definedName name="Q_CD_M10_FOUN" localSheetId="40">#REF!</definedName>
    <definedName name="Q_CD_M10_FOUN" localSheetId="26">#REF!</definedName>
    <definedName name="Q_CD_M10_FOUN">#REF!</definedName>
    <definedName name="Q_GRAVEL_SHOLDERS" localSheetId="22">#REF!</definedName>
    <definedName name="Q_GRAVEL_SHOLDERS" localSheetId="5">#REF!</definedName>
    <definedName name="Q_GRAVEL_SHOLDERS" localSheetId="6">#REF!</definedName>
    <definedName name="Q_GRAVEL_SHOLDERS" localSheetId="12">#REF!</definedName>
    <definedName name="Q_GRAVEL_SHOLDERS" localSheetId="34">#REF!</definedName>
    <definedName name="Q_GRAVEL_SHOLDERS" localSheetId="19">#REF!</definedName>
    <definedName name="Q_GRAVEL_SHOLDERS" localSheetId="30">#REF!</definedName>
    <definedName name="Q_GRAVEL_SHOLDERS" localSheetId="40">#REF!</definedName>
    <definedName name="Q_GRAVEL_SHOLDERS" localSheetId="26">#REF!</definedName>
    <definedName name="Q_GRAVEL_SHOLDERS">#REF!</definedName>
    <definedName name="Q_WBM2" localSheetId="22">#REF!</definedName>
    <definedName name="Q_WBM2" localSheetId="5">#REF!</definedName>
    <definedName name="Q_WBM2" localSheetId="6">#REF!</definedName>
    <definedName name="Q_WBM2" localSheetId="12">#REF!</definedName>
    <definedName name="Q_WBM2" localSheetId="34">#REF!</definedName>
    <definedName name="Q_WBM2" localSheetId="19">#REF!</definedName>
    <definedName name="Q_WBM2" localSheetId="30">#REF!</definedName>
    <definedName name="Q_WBM2" localSheetId="40">#REF!</definedName>
    <definedName name="Q_WBM2" localSheetId="26">#REF!</definedName>
    <definedName name="Q_WBM2">#REF!</definedName>
    <definedName name="Q_WBM3" localSheetId="22">#REF!</definedName>
    <definedName name="Q_WBM3" localSheetId="5">#REF!</definedName>
    <definedName name="Q_WBM3" localSheetId="6">#REF!</definedName>
    <definedName name="Q_WBM3" localSheetId="12">#REF!</definedName>
    <definedName name="Q_WBM3" localSheetId="34">#REF!</definedName>
    <definedName name="Q_WBM3" localSheetId="19">#REF!</definedName>
    <definedName name="Q_WBM3" localSheetId="30">#REF!</definedName>
    <definedName name="Q_WBM3" localSheetId="40">#REF!</definedName>
    <definedName name="Q_WBM3" localSheetId="26">#REF!</definedName>
    <definedName name="Q_WBM3">#REF!</definedName>
    <definedName name="QAF" localSheetId="6">#REF!</definedName>
    <definedName name="QAF" localSheetId="12">#REF!</definedName>
    <definedName name="QAF" localSheetId="19">#REF!</definedName>
    <definedName name="QAF">#REF!</definedName>
    <definedName name="QCMFL" localSheetId="6">#REF!</definedName>
    <definedName name="QCMFL" localSheetId="12">#REF!</definedName>
    <definedName name="QCMFL" localSheetId="19">#REF!</definedName>
    <definedName name="QCMFL">#REF!</definedName>
    <definedName name="QD" localSheetId="6">#REF!</definedName>
    <definedName name="QD" localSheetId="12">#REF!</definedName>
    <definedName name="QD" localSheetId="19">#REF!</definedName>
    <definedName name="QD">#REF!</definedName>
    <definedName name="QDI" localSheetId="6">#REF!</definedName>
    <definedName name="QDI" localSheetId="12">#REF!</definedName>
    <definedName name="QDI" localSheetId="19">#REF!</definedName>
    <definedName name="QDI">#REF!</definedName>
    <definedName name="QDII" localSheetId="6">#REF!</definedName>
    <definedName name="QDII" localSheetId="12">#REF!</definedName>
    <definedName name="QDII" localSheetId="19">#REF!</definedName>
    <definedName name="QDII">#REF!</definedName>
    <definedName name="QDIII" localSheetId="6">#REF!</definedName>
    <definedName name="QDIII" localSheetId="12">#REF!</definedName>
    <definedName name="QDIII" localSheetId="19">#REF!</definedName>
    <definedName name="QDIII">#REF!</definedName>
    <definedName name="QDMW" localSheetId="6">#REF!</definedName>
    <definedName name="QDMW" localSheetId="12">#REF!</definedName>
    <definedName name="QDMW" localSheetId="19">#REF!</definedName>
    <definedName name="QDMW">#REF!</definedName>
    <definedName name="qdsdd">#REF!</definedName>
    <definedName name="QI" localSheetId="6">#REF!</definedName>
    <definedName name="QI" localSheetId="12">#REF!</definedName>
    <definedName name="QI" localSheetId="19">#REF!</definedName>
    <definedName name="QI">#REF!</definedName>
    <definedName name="QII" localSheetId="6">#REF!</definedName>
    <definedName name="QII" localSheetId="12">#REF!</definedName>
    <definedName name="QII" localSheetId="19">#REF!</definedName>
    <definedName name="QII">#REF!</definedName>
    <definedName name="QIII" localSheetId="6">#REF!</definedName>
    <definedName name="QIII" localSheetId="12">#REF!</definedName>
    <definedName name="QIII" localSheetId="19">#REF!</definedName>
    <definedName name="QIII">#REF!</definedName>
    <definedName name="QIV" localSheetId="14">#REF!</definedName>
    <definedName name="QIV" localSheetId="6">#REF!</definedName>
    <definedName name="QIV" localSheetId="12">#REF!</definedName>
    <definedName name="QIV" localSheetId="19">#REF!</definedName>
    <definedName name="QIV">#REF!</definedName>
    <definedName name="QMD" localSheetId="14">#REF!</definedName>
    <definedName name="QMD" localSheetId="6">#REF!</definedName>
    <definedName name="QMD" localSheetId="12">#REF!</definedName>
    <definedName name="QMD" localSheetId="19">#REF!</definedName>
    <definedName name="QMD">#REF!</definedName>
    <definedName name="QO" localSheetId="6">#REF!</definedName>
    <definedName name="QO" localSheetId="12">#REF!</definedName>
    <definedName name="QO" localSheetId="19">#REF!</definedName>
    <definedName name="QO">#REF!</definedName>
    <definedName name="qq" localSheetId="22">#REF!</definedName>
    <definedName name="qq" localSheetId="5">#REF!</definedName>
    <definedName name="qq" localSheetId="6">#REF!</definedName>
    <definedName name="qq" localSheetId="12">#REF!</definedName>
    <definedName name="qq" localSheetId="19">#REF!</definedName>
    <definedName name="qq" localSheetId="30">#REF!</definedName>
    <definedName name="qq" localSheetId="40">#REF!</definedName>
    <definedName name="qq" localSheetId="26">#REF!</definedName>
    <definedName name="qq">#REF!</definedName>
    <definedName name="qqq" localSheetId="27" hidden="1">{"'ridftotal'!$A$4:$S$27"}</definedName>
    <definedName name="qqq" localSheetId="22" hidden="1">{"'ridftotal'!$A$4:$S$27"}</definedName>
    <definedName name="qqq" localSheetId="14" hidden="1">{"'ridftotal'!$A$4:$S$27"}</definedName>
    <definedName name="qqq" localSheetId="19" hidden="1">{"'ridftotal'!$A$4:$S$27"}</definedName>
    <definedName name="qqq" localSheetId="30" hidden="1">{"'ridftotal'!$A$4:$S$27"}</definedName>
    <definedName name="qqq" hidden="1">{"'ridftotal'!$A$4:$S$27"}</definedName>
    <definedName name="qqqqq">#REF!</definedName>
    <definedName name="qqqqqqqqqqqqqqqqqqqq" localSheetId="6">#REF!</definedName>
    <definedName name="qqqqqqqqqqqqqqqqqqqq" localSheetId="12">#REF!</definedName>
    <definedName name="qqqqqqqqqqqqqqqqqqqq" localSheetId="19">#REF!</definedName>
    <definedName name="qqqqqqqqqqqqqqqqqqqq">#REF!</definedName>
    <definedName name="qqww" localSheetId="19">#REF!</definedName>
    <definedName name="QTV" localSheetId="14">#REF!</definedName>
    <definedName name="QTV" localSheetId="6">#REF!</definedName>
    <definedName name="QTV" localSheetId="12">#REF!</definedName>
    <definedName name="QTV" localSheetId="19">#REF!</definedName>
    <definedName name="QTV">#REF!</definedName>
    <definedName name="Qty">#REF!</definedName>
    <definedName name="Qu" localSheetId="22">#REF!</definedName>
    <definedName name="Qu" localSheetId="5">#REF!</definedName>
    <definedName name="Qu" localSheetId="6">#REF!</definedName>
    <definedName name="Qu" localSheetId="12">#REF!</definedName>
    <definedName name="Qu" localSheetId="34">#REF!</definedName>
    <definedName name="Qu" localSheetId="19">#REF!</definedName>
    <definedName name="Qu" localSheetId="30">#REF!</definedName>
    <definedName name="Qu" localSheetId="40">#REF!</definedName>
    <definedName name="Qu" localSheetId="26">#REF!</definedName>
    <definedName name="Qu">#REF!</definedName>
    <definedName name="Qu_23">"$#REF!.$#REF!$#REF!"</definedName>
    <definedName name="Qu_32">"$#REF!.$#REF!$#REF!"</definedName>
    <definedName name="Qu_33">"$#REF!.$#REF!$#REF!"</definedName>
    <definedName name="Qu_34">"$#REF!.$#REF!$#REF!"</definedName>
    <definedName name="Qu_38">"$#REF!.$#REF!$#REF!"</definedName>
    <definedName name="Qu_41">"$#REF!.$#REF!$#REF!"</definedName>
    <definedName name="Qu_43">"$#REF!.$#REF!$#REF!"</definedName>
    <definedName name="Qu_48">"$#REF!.$#REF!$#REF!"</definedName>
    <definedName name="Qu_56">"$#REF!.$#REF!$#REF!"</definedName>
    <definedName name="Qu_57">"$#REF!.$#REF!$#REF!"</definedName>
    <definedName name="Qu_59">"$#REF!.$#REF!$#REF!"</definedName>
    <definedName name="Qu_60">"$#REF!.$#REF!$#REF!"</definedName>
    <definedName name="Qu_61">"$#REF!.$#REF!$#REF!"</definedName>
    <definedName name="Qu_62">"$#REF!.$#REF!$#REF!"</definedName>
    <definedName name="Qu_7">"$#REF!.$#REF!$#REF!"</definedName>
    <definedName name="Qu_72">"$#REF!.$#REF!$#REF!"</definedName>
    <definedName name="Qu_73">"$#REF!.$#REF!$#REF!"</definedName>
    <definedName name="Qu_8">"$#REF!.$#REF!$#REF!"</definedName>
    <definedName name="Quarry_Rubbish" localSheetId="27">#REF!</definedName>
    <definedName name="Quarry_Rubbish">#REF!</definedName>
    <definedName name="Quaspall" localSheetId="27">#REF!</definedName>
    <definedName name="Quaspall">#REF!</definedName>
    <definedName name="quer10" localSheetId="19">#REF!</definedName>
    <definedName name="Query2" localSheetId="22">#REF!</definedName>
    <definedName name="Query2" localSheetId="5">#REF!</definedName>
    <definedName name="Query2" localSheetId="6">#REF!</definedName>
    <definedName name="Query2" localSheetId="12">#REF!</definedName>
    <definedName name="Query2" localSheetId="34">#REF!</definedName>
    <definedName name="Query2" localSheetId="19">#REF!</definedName>
    <definedName name="Query2" localSheetId="30">#REF!</definedName>
    <definedName name="Query2" localSheetId="40">#REF!</definedName>
    <definedName name="Query2" localSheetId="26">#REF!</definedName>
    <definedName name="Query2">#REF!</definedName>
    <definedName name="Query2_23">"$#REF!.$#REF!$#REF!"</definedName>
    <definedName name="Query2_32">"$#REF!.$#REF!$#REF!"</definedName>
    <definedName name="Query2_33">"$#REF!.$#REF!$#REF!"</definedName>
    <definedName name="Query2_34">"$#REF!.$#REF!$#REF!"</definedName>
    <definedName name="Query2_38">"$#REF!.$#REF!$#REF!"</definedName>
    <definedName name="Query2_41">"$#REF!.$#REF!$#REF!"</definedName>
    <definedName name="Query2_43">"$#REF!.$#REF!$#REF!"</definedName>
    <definedName name="Query2_48">"$#REF!.$#REF!$#REF!"</definedName>
    <definedName name="Query2_56">"$#REF!.$#REF!$#REF!"</definedName>
    <definedName name="Query2_57">"$#REF!.$#REF!$#REF!"</definedName>
    <definedName name="Query2_59">"$#REF!.$#REF!$#REF!"</definedName>
    <definedName name="Query2_60">"$#REF!.$#REF!$#REF!"</definedName>
    <definedName name="Query2_61">"$#REF!.$#REF!$#REF!"</definedName>
    <definedName name="Query2_62">"$#REF!.$#REF!$#REF!"</definedName>
    <definedName name="Query2_7">"$#REF!.$#REF!$#REF!"</definedName>
    <definedName name="Query2_72">"$#REF!.$#REF!$#REF!"</definedName>
    <definedName name="Query2_73">"$#REF!.$#REF!$#REF!"</definedName>
    <definedName name="Query2_8">"$#REF!.$#REF!$#REF!"</definedName>
    <definedName name="QV" localSheetId="6">#REF!</definedName>
    <definedName name="QV" localSheetId="12">#REF!</definedName>
    <definedName name="QV" localSheetId="19">#REF!</definedName>
    <definedName name="QV">#REF!</definedName>
    <definedName name="QVI" localSheetId="6">#REF!</definedName>
    <definedName name="QVI" localSheetId="12">#REF!</definedName>
    <definedName name="QVI" localSheetId="19">#REF!</definedName>
    <definedName name="QVI">#REF!</definedName>
    <definedName name="qw" localSheetId="27" hidden="1">{"'ridftotal'!$A$4:$S$27"}</definedName>
    <definedName name="qw" localSheetId="22" hidden="1">{"'ridftotal'!$A$4:$S$27"}</definedName>
    <definedName name="qw" localSheetId="5">#REF!</definedName>
    <definedName name="qw" localSheetId="14" hidden="1">{"'ridftotal'!$A$4:$S$27"}</definedName>
    <definedName name="qw" localSheetId="19" hidden="1">{"'ridftotal'!$A$4:$S$27"}</definedName>
    <definedName name="qw" localSheetId="30" hidden="1">{"'ridftotal'!$A$4:$S$27"}</definedName>
    <definedName name="qw" hidden="1">{"'ridftotal'!$A$4:$S$27"}</definedName>
    <definedName name="r.ohsr.40.12.7" localSheetId="6">#REF!</definedName>
    <definedName name="r.ohsr.40.12.7" localSheetId="12">#REF!</definedName>
    <definedName name="r.ohsr.40.12.7" localSheetId="34">#REF!</definedName>
    <definedName name="r.ohsr.40.12.7" localSheetId="19">#REF!</definedName>
    <definedName name="r.ohsr.40.12.7">#REF!</definedName>
    <definedName name="r.ohsr.40.9.55" localSheetId="6">#REF!</definedName>
    <definedName name="r.ohsr.40.9.55" localSheetId="12">#REF!</definedName>
    <definedName name="r.ohsr.40.9.55" localSheetId="34">#REF!</definedName>
    <definedName name="r.ohsr.40.9.55" localSheetId="19">#REF!</definedName>
    <definedName name="r.ohsr.40.9.55">#REF!</definedName>
    <definedName name="r.ohsr.60.12.9" localSheetId="6">#REF!</definedName>
    <definedName name="r.ohsr.60.12.9" localSheetId="12">#REF!</definedName>
    <definedName name="r.ohsr.60.12.9" localSheetId="34">#REF!</definedName>
    <definedName name="r.ohsr.60.12.9" localSheetId="19">#REF!</definedName>
    <definedName name="r.ohsr.60.12.9">#REF!</definedName>
    <definedName name="r.ohsr.60.9.75" localSheetId="6">#REF!</definedName>
    <definedName name="r.ohsr.60.9.75" localSheetId="12">#REF!</definedName>
    <definedName name="r.ohsr.60.9.75" localSheetId="34">#REF!</definedName>
    <definedName name="r.ohsr.60.9.75" localSheetId="19">#REF!</definedName>
    <definedName name="r.ohsr.60.9.75">#REF!</definedName>
    <definedName name="R_SCSD_80100_33">#N/A</definedName>
    <definedName name="ra_33">"$#REF!.$#REF!$#REF!"</definedName>
    <definedName name="Rabbit" localSheetId="6">#REF!</definedName>
    <definedName name="Rabbit" localSheetId="12">#REF!</definedName>
    <definedName name="Rabbit" localSheetId="34">#REF!</definedName>
    <definedName name="Rabbit" localSheetId="19">#REF!</definedName>
    <definedName name="Rabbit">#REF!</definedName>
    <definedName name="raised_pointing" localSheetId="6">#REF!</definedName>
    <definedName name="raised_pointing" localSheetId="12">#REF!</definedName>
    <definedName name="raised_pointing" localSheetId="34">#REF!</definedName>
    <definedName name="raised_pointing" localSheetId="19">#REF!</definedName>
    <definedName name="raised_pointing">#REF!</definedName>
    <definedName name="raja" localSheetId="19">#REF!</definedName>
    <definedName name="raMA_23">#N/A</definedName>
    <definedName name="raMA_33">#N/A</definedName>
    <definedName name="raMA_34">#N/A</definedName>
    <definedName name="raMA_38">#N/A</definedName>
    <definedName name="raMA_41">#N/A</definedName>
    <definedName name="raMA_43">#N/A</definedName>
    <definedName name="raMA_48">#N/A</definedName>
    <definedName name="raMA_56">#N/A</definedName>
    <definedName name="raMA_57">#N/A</definedName>
    <definedName name="raMA_59">#N/A</definedName>
    <definedName name="raMA_60">#N/A</definedName>
    <definedName name="raMA_61">#N/A</definedName>
    <definedName name="raMA_62">#N/A</definedName>
    <definedName name="raMA_7">#N/A</definedName>
    <definedName name="raMA_72">#N/A</definedName>
    <definedName name="raMA_73">#N/A</definedName>
    <definedName name="raMA_8">#N/A</definedName>
    <definedName name="ramki" localSheetId="6">#REF!</definedName>
    <definedName name="ramki" localSheetId="12">#REF!</definedName>
    <definedName name="ramki" localSheetId="19">#REF!</definedName>
    <definedName name="ramki">#REF!</definedName>
    <definedName name="rangaraor" localSheetId="22">#REF!</definedName>
    <definedName name="rangaraor" localSheetId="5">#REF!</definedName>
    <definedName name="rangaraor" localSheetId="6">#REF!</definedName>
    <definedName name="rangaraor" localSheetId="12">#REF!</definedName>
    <definedName name="rangaraor" localSheetId="34">#REF!</definedName>
    <definedName name="rangaraor" localSheetId="19">#REF!</definedName>
    <definedName name="rangaraor" localSheetId="30">#REF!</definedName>
    <definedName name="rangaraor" localSheetId="40">#REF!</definedName>
    <definedName name="rangaraor" localSheetId="26">#REF!</definedName>
    <definedName name="rangaraor">#REF!</definedName>
    <definedName name="range">#REF!</definedName>
    <definedName name="rao">#REF!</definedName>
    <definedName name="ras" localSheetId="6">#REF!</definedName>
    <definedName name="ras" localSheetId="12">#REF!</definedName>
    <definedName name="ras" localSheetId="34">#REF!</definedName>
    <definedName name="ras" localSheetId="19">#REF!</definedName>
    <definedName name="ras">#REF!</definedName>
    <definedName name="rate_33" localSheetId="27">#REF!</definedName>
    <definedName name="rate_33">#REF!</definedName>
    <definedName name="rate_34">#REF!</definedName>
    <definedName name="rate10mm">#REF!</definedName>
    <definedName name="rate12mm" localSheetId="27">#REF!</definedName>
    <definedName name="rate12mm">#REF!</definedName>
    <definedName name="rate20mmirc" localSheetId="27">#REF!</definedName>
    <definedName name="rate20mmirc">#REF!</definedName>
    <definedName name="rate20ss">#REF!</definedName>
    <definedName name="rate40mmirc" localSheetId="27">#REF!</definedName>
    <definedName name="rate40mmirc">#REF!</definedName>
    <definedName name="rate40ss">#REF!</definedName>
    <definedName name="rate50mm">#REF!</definedName>
    <definedName name="rate63mm">#REF!</definedName>
    <definedName name="rate6mm">#REF!</definedName>
    <definedName name="rategrl" localSheetId="27">#REF!</definedName>
    <definedName name="rategrl">#REF!</definedName>
    <definedName name="rates" localSheetId="22">#REF!</definedName>
    <definedName name="rates" localSheetId="5">#REF!</definedName>
    <definedName name="rates" localSheetId="6">#REF!</definedName>
    <definedName name="rates" localSheetId="12">#REF!</definedName>
    <definedName name="rates" localSheetId="34">#REF!</definedName>
    <definedName name="rates" localSheetId="19">#REF!</definedName>
    <definedName name="rates" localSheetId="30">#REF!</definedName>
    <definedName name="rates" localSheetId="40">#REF!</definedName>
    <definedName name="rates" localSheetId="26">#REF!</definedName>
    <definedName name="rates">#REF!</definedName>
    <definedName name="rates_33">"$#REF!.$#REF!$#REF!"</definedName>
    <definedName name="rates_34">"$#REF!.$#REF!$#REF!"</definedName>
    <definedName name="rates1" localSheetId="22">#REF!</definedName>
    <definedName name="rates1" localSheetId="5">#REF!</definedName>
    <definedName name="rates1" localSheetId="6">#REF!</definedName>
    <definedName name="rates1" localSheetId="12">#REF!</definedName>
    <definedName name="rates1" localSheetId="34">#REF!</definedName>
    <definedName name="rates1" localSheetId="19">#REF!</definedName>
    <definedName name="rates1" localSheetId="30">#REF!</definedName>
    <definedName name="rates1" localSheetId="40">#REF!</definedName>
    <definedName name="rates1" localSheetId="26">#REF!</definedName>
    <definedName name="rates1">#REF!</definedName>
    <definedName name="rates1_33">"$#REF!.$#REF!$#REF!"</definedName>
    <definedName name="rates1_34">"$#REF!.$#REF!$#REF!"</definedName>
    <definedName name="rates11" localSheetId="22">#REF!</definedName>
    <definedName name="rates11" localSheetId="5">#REF!</definedName>
    <definedName name="rates11" localSheetId="6">#REF!</definedName>
    <definedName name="rates11" localSheetId="12">#REF!</definedName>
    <definedName name="rates11" localSheetId="34">#REF!</definedName>
    <definedName name="rates11" localSheetId="19">#REF!</definedName>
    <definedName name="rates11" localSheetId="30">#REF!</definedName>
    <definedName name="rates11" localSheetId="40">#REF!</definedName>
    <definedName name="rates11" localSheetId="26">#REF!</definedName>
    <definedName name="rates11">#REF!</definedName>
    <definedName name="rates11_33">"$#REF!.$#REF!$#REF!"</definedName>
    <definedName name="rates11_34">"$#REF!.$#REF!$#REF!"</definedName>
    <definedName name="rates4" localSheetId="22">#REF!</definedName>
    <definedName name="rates4" localSheetId="5">#REF!</definedName>
    <definedName name="rates4" localSheetId="6">#REF!</definedName>
    <definedName name="rates4" localSheetId="12">#REF!</definedName>
    <definedName name="rates4" localSheetId="34">#REF!</definedName>
    <definedName name="rates4" localSheetId="19">#REF!</definedName>
    <definedName name="rates4" localSheetId="30">#REF!</definedName>
    <definedName name="rates4" localSheetId="40">#REF!</definedName>
    <definedName name="rates4" localSheetId="26">#REF!</definedName>
    <definedName name="rates4">#REF!</definedName>
    <definedName name="rates4_33">"$#REF!.$#REF!$#REF!"</definedName>
    <definedName name="rates4_34">"$#REF!.$#REF!$#REF!"</definedName>
    <definedName name="rb" localSheetId="19">#REF!</definedName>
    <definedName name="rb">#REF!</definedName>
    <definedName name="rbsw" localSheetId="6">#REF!</definedName>
    <definedName name="rbsw" localSheetId="12">#REF!</definedName>
    <definedName name="rbsw" localSheetId="34">#REF!</definedName>
    <definedName name="rbsw" localSheetId="19">#REF!</definedName>
    <definedName name="rbsw">#REF!</definedName>
    <definedName name="rbw" localSheetId="6">#REF!</definedName>
    <definedName name="rbw" localSheetId="12">#REF!</definedName>
    <definedName name="rbw" localSheetId="34">#REF!</definedName>
    <definedName name="rbw" localSheetId="19">#REF!</definedName>
    <definedName name="rbw">#REF!</definedName>
    <definedName name="RCArea" localSheetId="22" hidden="1">#REF!</definedName>
    <definedName name="RCArea" localSheetId="5" hidden="1">#REF!</definedName>
    <definedName name="RCArea" localSheetId="42" hidden="1">#REF!</definedName>
    <definedName name="RCArea" localSheetId="6" hidden="1">#REF!</definedName>
    <definedName name="RCArea" localSheetId="12" hidden="1">#REF!</definedName>
    <definedName name="RCArea" localSheetId="34" hidden="1">#REF!</definedName>
    <definedName name="RCArea" localSheetId="28" hidden="1">#REF!</definedName>
    <definedName name="RCArea" localSheetId="36" hidden="1">#REF!</definedName>
    <definedName name="RCArea" localSheetId="21" hidden="1">#REF!</definedName>
    <definedName name="RCArea" localSheetId="19" hidden="1">#REF!</definedName>
    <definedName name="RCArea" localSheetId="32" hidden="1">#REF!</definedName>
    <definedName name="RCArea" localSheetId="30" hidden="1">#REF!</definedName>
    <definedName name="RCArea" localSheetId="37" hidden="1">#REF!</definedName>
    <definedName name="RCArea" localSheetId="40" hidden="1">#REF!</definedName>
    <definedName name="RCArea" localSheetId="26" hidden="1">#REF!</definedName>
    <definedName name="RCArea" localSheetId="11" hidden="1">#REF!</definedName>
    <definedName name="RCArea" localSheetId="3" hidden="1">#REF!</definedName>
    <definedName name="RCArea" hidden="1">#REF!</definedName>
    <definedName name="RCC_M20_GuidePosts">#REF!</definedName>
    <definedName name="RCC_Railing" localSheetId="19">#REF!</definedName>
    <definedName name="RCL" localSheetId="14">#REF!</definedName>
    <definedName name="RCL" localSheetId="6">#REF!</definedName>
    <definedName name="RCL" localSheetId="12">#REF!</definedName>
    <definedName name="RCL" localSheetId="19">#REF!</definedName>
    <definedName name="RCL">#REF!</definedName>
    <definedName name="rcm_facia" localSheetId="6">#REF!</definedName>
    <definedName name="rcm_facia" localSheetId="12">#REF!</definedName>
    <definedName name="rcm_facia" localSheetId="34">#REF!</definedName>
    <definedName name="rcm_facia" localSheetId="19">#REF!</definedName>
    <definedName name="rcm_facia">#REF!</definedName>
    <definedName name="rcml">#REF!</definedName>
    <definedName name="rd" localSheetId="6">#REF!</definedName>
    <definedName name="rd" localSheetId="12">#REF!</definedName>
    <definedName name="rd" localSheetId="34">#REF!</definedName>
    <definedName name="rd" localSheetId="19">#REF!</definedName>
    <definedName name="rd">#REF!</definedName>
    <definedName name="rdm" localSheetId="6">#REF!</definedName>
    <definedName name="rdm" localSheetId="12">#REF!</definedName>
    <definedName name="rdm" localSheetId="34">#REF!</definedName>
    <definedName name="rdm" localSheetId="19">#REF!</definedName>
    <definedName name="rdm">#REF!</definedName>
    <definedName name="RECV" localSheetId="22">#REF!</definedName>
    <definedName name="RECV" localSheetId="5">#REF!</definedName>
    <definedName name="RECV" localSheetId="6">#REF!</definedName>
    <definedName name="RECV" localSheetId="12">#REF!</definedName>
    <definedName name="RECV" localSheetId="34">#REF!</definedName>
    <definedName name="RECV" localSheetId="19">#REF!</definedName>
    <definedName name="RECV" localSheetId="30">#REF!</definedName>
    <definedName name="RECV" localSheetId="40">#REF!</definedName>
    <definedName name="RECV" localSheetId="26">#REF!</definedName>
    <definedName name="RECV">#REF!</definedName>
    <definedName name="red" localSheetId="6">#REF!</definedName>
    <definedName name="red" localSheetId="12">#REF!</definedName>
    <definedName name="red" localSheetId="34">#REF!</definedName>
    <definedName name="red" localSheetId="19">#REF!</definedName>
    <definedName name="red">#REF!</definedName>
    <definedName name="reduced" hidden="1">#REF!</definedName>
    <definedName name="refilling" localSheetId="19">#REF!</definedName>
    <definedName name="reil1" localSheetId="27">#REF!</definedName>
    <definedName name="reil1">#REF!</definedName>
    <definedName name="rejgh">#REF!</definedName>
    <definedName name="RemovingStumps">#REF!</definedName>
    <definedName name="revet" localSheetId="19">#REF!</definedName>
    <definedName name="REVETMENT_23">#N/A</definedName>
    <definedName name="REVETMENT_33">#N/A</definedName>
    <definedName name="REVETMENT_34">#N/A</definedName>
    <definedName name="REVETMENT_38">#N/A</definedName>
    <definedName name="REVETMENT_41">#N/A</definedName>
    <definedName name="REVETMENT_43">#N/A</definedName>
    <definedName name="REVETMENT_48">#N/A</definedName>
    <definedName name="REVETMENT_57">#N/A</definedName>
    <definedName name="REVETMENT_59">#N/A</definedName>
    <definedName name="REVETMENT_60">#N/A</definedName>
    <definedName name="REVETMENT_61">#N/A</definedName>
    <definedName name="REVETMENT_62">#N/A</definedName>
    <definedName name="REVETMENT_7">#N/A</definedName>
    <definedName name="REVETMENT_72">#N/A</definedName>
    <definedName name="REVETMENT_73">#N/A</definedName>
    <definedName name="REVETMENT_8">#N/A</definedName>
    <definedName name="Revt.300" localSheetId="27">#REF!</definedName>
    <definedName name="Revt.300">#REF!</definedName>
    <definedName name="rh" localSheetId="6">#REF!</definedName>
    <definedName name="rh" localSheetId="12">#REF!</definedName>
    <definedName name="rh" localSheetId="19">#REF!</definedName>
    <definedName name="rh">#REF!</definedName>
    <definedName name="RHL" localSheetId="14">#REF!</definedName>
    <definedName name="RHL" localSheetId="6">#REF!</definedName>
    <definedName name="RHL" localSheetId="12">#REF!</definedName>
    <definedName name="RHL" localSheetId="19">#REF!</definedName>
    <definedName name="RHL">#REF!</definedName>
    <definedName name="ri" localSheetId="5">#REF!</definedName>
    <definedName name="RI" localSheetId="6">#REF!</definedName>
    <definedName name="RI" localSheetId="12">#REF!</definedName>
    <definedName name="ri" localSheetId="34">#REF!</definedName>
    <definedName name="RI" localSheetId="19">#REF!</definedName>
    <definedName name="RI">#REF!</definedName>
    <definedName name="Ridf4_Prop__2_" localSheetId="22">#REF!</definedName>
    <definedName name="Ridf4_Prop__2_" localSheetId="5">#REF!</definedName>
    <definedName name="Ridf4_Prop__2_" localSheetId="6">#REF!</definedName>
    <definedName name="Ridf4_Prop__2_" localSheetId="12">#REF!</definedName>
    <definedName name="Ridf4_Prop__2_" localSheetId="34">#REF!</definedName>
    <definedName name="Ridf4_Prop__2_" localSheetId="19">#REF!</definedName>
    <definedName name="Ridf4_Prop__2_" localSheetId="30">#REF!</definedName>
    <definedName name="Ridf4_Prop__2_" localSheetId="40">#REF!</definedName>
    <definedName name="Ridf4_Prop__2_" localSheetId="26">#REF!</definedName>
    <definedName name="Ridf4_Prop__2_">#REF!</definedName>
    <definedName name="rii" localSheetId="5">#REF!</definedName>
    <definedName name="RII" localSheetId="6">#REF!</definedName>
    <definedName name="RII" localSheetId="12">#REF!</definedName>
    <definedName name="rii" localSheetId="34">#REF!</definedName>
    <definedName name="RII" localSheetId="19">#REF!</definedName>
    <definedName name="RII">#REF!</definedName>
    <definedName name="riii" localSheetId="5">#REF!</definedName>
    <definedName name="RIII" localSheetId="6">#REF!</definedName>
    <definedName name="RIII" localSheetId="12">#REF!</definedName>
    <definedName name="riii" localSheetId="34">#REF!</definedName>
    <definedName name="RIII" localSheetId="19">#REF!</definedName>
    <definedName name="RIII">#REF!</definedName>
    <definedName name="riser_shahbad" localSheetId="6">#REF!</definedName>
    <definedName name="riser_shahbad" localSheetId="12">#REF!</definedName>
    <definedName name="riser_shahbad" localSheetId="34">#REF!</definedName>
    <definedName name="riser_shahbad" localSheetId="19">#REF!</definedName>
    <definedName name="riser_shahbad">#REF!</definedName>
    <definedName name="riufghr">#REF!</definedName>
    <definedName name="rk" localSheetId="5">#REF!</definedName>
    <definedName name="rk" localSheetId="6">#REF!</definedName>
    <definedName name="rk" localSheetId="12">#REF!</definedName>
    <definedName name="rk" localSheetId="19">#REF!</definedName>
    <definedName name="rk" localSheetId="30">#REF!</definedName>
    <definedName name="rk">#REF!</definedName>
    <definedName name="RO" localSheetId="6">#REF!</definedName>
    <definedName name="RO" localSheetId="12">#REF!</definedName>
    <definedName name="RO" localSheetId="19">#REF!</definedName>
    <definedName name="RO">#REF!</definedName>
    <definedName name="road." localSheetId="27">#REF!</definedName>
    <definedName name="road.">#REF!</definedName>
    <definedName name="road_23">#N/A</definedName>
    <definedName name="road_33">#N/A</definedName>
    <definedName name="road_34">#N/A</definedName>
    <definedName name="road_38">#N/A</definedName>
    <definedName name="road_41">#N/A</definedName>
    <definedName name="road_43">#N/A</definedName>
    <definedName name="road_48">#N/A</definedName>
    <definedName name="road_57">#N/A</definedName>
    <definedName name="road_59">#N/A</definedName>
    <definedName name="road_60">#N/A</definedName>
    <definedName name="road_61">#N/A</definedName>
    <definedName name="road_62">#N/A</definedName>
    <definedName name="road_7">#N/A</definedName>
    <definedName name="road_72">#N/A</definedName>
    <definedName name="road_73">#N/A</definedName>
    <definedName name="road_8">#N/A</definedName>
    <definedName name="Road_Section_No_" localSheetId="27">#REF!</definedName>
    <definedName name="Road_Section_No_">#REF!</definedName>
    <definedName name="ROI" localSheetId="14">#REF!</definedName>
    <definedName name="ROI" localSheetId="6">#REF!</definedName>
    <definedName name="ROI" localSheetId="12">#REF!</definedName>
    <definedName name="ROI" localSheetId="19">#REF!</definedName>
    <definedName name="ROI">#REF!</definedName>
    <definedName name="rokkt">#REF!</definedName>
    <definedName name="rr" localSheetId="34">#REF!</definedName>
    <definedName name="rr_blast" localSheetId="19">#REF!</definedName>
    <definedName name="rr_stone" localSheetId="6">#REF!</definedName>
    <definedName name="rr_stone" localSheetId="12">#REF!</definedName>
    <definedName name="rr_stone" localSheetId="34">#REF!</definedName>
    <definedName name="rr_stone" localSheetId="19">#REF!</definedName>
    <definedName name="rr_stone">#REF!</definedName>
    <definedName name="rr3_33">#REF!</definedName>
    <definedName name="rr3_34">#REF!</definedName>
    <definedName name="rrr1_33" localSheetId="27">#REF!</definedName>
    <definedName name="rrr1_33">#REF!</definedName>
    <definedName name="rrr1_34">#REF!</definedName>
    <definedName name="rrwrw" localSheetId="27">#REF!</definedName>
    <definedName name="rrwrw">#REF!</definedName>
    <definedName name="RS" localSheetId="6">#REF!</definedName>
    <definedName name="RS" localSheetId="12">#REF!</definedName>
    <definedName name="rs" localSheetId="34">#REF!</definedName>
    <definedName name="RS" localSheetId="19">#REF!</definedName>
    <definedName name="RS">#REF!</definedName>
    <definedName name="Rt.data" localSheetId="27">#REF!</definedName>
    <definedName name="Rt.data">#REF!</definedName>
    <definedName name="rtcf" localSheetId="6">#REF!</definedName>
    <definedName name="rtcf" localSheetId="12">#REF!</definedName>
    <definedName name="rtcf" localSheetId="34">#REF!</definedName>
    <definedName name="rtcf" localSheetId="19">#REF!</definedName>
    <definedName name="rtcf">#REF!</definedName>
    <definedName name="rtcfo" localSheetId="6">#REF!</definedName>
    <definedName name="rtcfo" localSheetId="12">#REF!</definedName>
    <definedName name="rtcfo" localSheetId="34">#REF!</definedName>
    <definedName name="rtcfo" localSheetId="19">#REF!</definedName>
    <definedName name="rtcfo">#REF!</definedName>
    <definedName name="RTGOI">#REF!</definedName>
    <definedName name="RW" localSheetId="14">#REF!</definedName>
    <definedName name="RW" localSheetId="6">#REF!</definedName>
    <definedName name="RW" localSheetId="12">#REF!</definedName>
    <definedName name="RW" localSheetId="19">#REF!</definedName>
    <definedName name="RW">#REF!</definedName>
    <definedName name="rwm" localSheetId="6">#REF!</definedName>
    <definedName name="rwm" localSheetId="12">#REF!</definedName>
    <definedName name="rwm" localSheetId="34">#REF!</definedName>
    <definedName name="rwm" localSheetId="19">#REF!</definedName>
    <definedName name="rwm">#REF!</definedName>
    <definedName name="RWS" localSheetId="22">#REF!</definedName>
    <definedName name="RWS" localSheetId="5">#REF!</definedName>
    <definedName name="RWS" localSheetId="6">#REF!</definedName>
    <definedName name="RWS" localSheetId="12">#REF!</definedName>
    <definedName name="RWS" localSheetId="34">#REF!</definedName>
    <definedName name="RWS" localSheetId="19">#REF!</definedName>
    <definedName name="RWS" localSheetId="30">#REF!</definedName>
    <definedName name="RWS" localSheetId="40">#REF!</definedName>
    <definedName name="RWS" localSheetId="26">#REF!</definedName>
    <definedName name="RWS">#REF!</definedName>
    <definedName name="S" localSheetId="22">#REF!</definedName>
    <definedName name="s" localSheetId="5">#REF!</definedName>
    <definedName name="s" localSheetId="6">#REF!</definedName>
    <definedName name="s" localSheetId="12">#REF!</definedName>
    <definedName name="s" localSheetId="34">#REF!</definedName>
    <definedName name="s" localSheetId="19">#REF!</definedName>
    <definedName name="s" localSheetId="30">#REF!</definedName>
    <definedName name="s" localSheetId="40">#REF!</definedName>
    <definedName name="s" localSheetId="26">#REF!</definedName>
    <definedName name="s">#REF!</definedName>
    <definedName name="s_33">"$#REF!.$#REF!$#REF!"</definedName>
    <definedName name="s_34">"$#REF!.$#REF!$#REF!"</definedName>
    <definedName name="sa_33">#N/A</definedName>
    <definedName name="sa_38">#N/A</definedName>
    <definedName name="sa_41">#N/A</definedName>
    <definedName name="sa_7">#N/A</definedName>
    <definedName name="sa_8">#N/A</definedName>
    <definedName name="sad" localSheetId="27" hidden="1">{"'ridftotal'!$A$4:$S$27"}</definedName>
    <definedName name="sad" localSheetId="22" hidden="1">{"'ridftotal'!$A$4:$S$27"}</definedName>
    <definedName name="sad" localSheetId="14" hidden="1">{"'ridftotal'!$A$4:$S$27"}</definedName>
    <definedName name="sad" localSheetId="19" hidden="1">{"'ridftotal'!$A$4:$S$27"}</definedName>
    <definedName name="sad" localSheetId="30" hidden="1">{"'ridftotal'!$A$4:$S$27"}</definedName>
    <definedName name="sad" hidden="1">{"'ridftotal'!$A$4:$S$27"}</definedName>
    <definedName name="sadfas" localSheetId="22">#REF!</definedName>
    <definedName name="sadfas" localSheetId="5">#REF!</definedName>
    <definedName name="sadfas" localSheetId="6">#REF!</definedName>
    <definedName name="sadfas" localSheetId="12">#REF!</definedName>
    <definedName name="sadfas" localSheetId="34">#REF!</definedName>
    <definedName name="sadfas" localSheetId="19">#REF!</definedName>
    <definedName name="sadfas" localSheetId="30">#REF!</definedName>
    <definedName name="sadfas" localSheetId="40">#REF!</definedName>
    <definedName name="sadfas" localSheetId="26">#REF!</definedName>
    <definedName name="sadfas">#REF!</definedName>
    <definedName name="sadfas_33">"$#REF!.$#REF!$#REF!"</definedName>
    <definedName name="sadfas_34">"$#REF!.$#REF!$#REF!"</definedName>
    <definedName name="sai" localSheetId="5">#REF!</definedName>
    <definedName name="sai" localSheetId="6">#REF!</definedName>
    <definedName name="sai" localSheetId="12">#REF!</definedName>
    <definedName name="sai" localSheetId="34">#REF!</definedName>
    <definedName name="sai" localSheetId="19">#REF!</definedName>
    <definedName name="sai" localSheetId="30">#REF!</definedName>
    <definedName name="sai">#REF!</definedName>
    <definedName name="Sand_screened" localSheetId="6">#REF!</definedName>
    <definedName name="Sand_screened" localSheetId="12">#REF!</definedName>
    <definedName name="Sand_screened" localSheetId="34">#REF!</definedName>
    <definedName name="Sand_screened" localSheetId="19">#REF!</definedName>
    <definedName name="Sand_screened">#REF!</definedName>
    <definedName name="SAND1" localSheetId="19">#REF!</definedName>
    <definedName name="SANDFILLING" localSheetId="5">#REF!</definedName>
    <definedName name="SANDFILLING" localSheetId="6">#REF!</definedName>
    <definedName name="SANDFILLING" localSheetId="12">#REF!</definedName>
    <definedName name="sandfilling" localSheetId="34">#REF!</definedName>
    <definedName name="SANDFILLING" localSheetId="19">#REF!</definedName>
    <definedName name="SANDFILLING" localSheetId="30">#REF!</definedName>
    <definedName name="SANDFILLING">#REF!</definedName>
    <definedName name="sandmortar" localSheetId="6">#REF!</definedName>
    <definedName name="sandmortar" localSheetId="12">#REF!</definedName>
    <definedName name="sandmortar" localSheetId="34">#REF!</definedName>
    <definedName name="sandmortar" localSheetId="19">#REF!</definedName>
    <definedName name="sandmortar">#REF!</definedName>
    <definedName name="sandscreen" localSheetId="6">#REF!</definedName>
    <definedName name="sandscreen" localSheetId="12">#REF!</definedName>
    <definedName name="sandscreen" localSheetId="34">#REF!</definedName>
    <definedName name="sandscreen" localSheetId="19">#REF!</definedName>
    <definedName name="sandscreen">#REF!</definedName>
    <definedName name="SASA">#REF!</definedName>
    <definedName name="sb">#REF!</definedName>
    <definedName name="sbc" localSheetId="6">#REF!</definedName>
    <definedName name="sbc" localSheetId="12">#REF!</definedName>
    <definedName name="sbc" localSheetId="34">#REF!</definedName>
    <definedName name="sbc" localSheetId="19">#REF!</definedName>
    <definedName name="sbc">#REF!</definedName>
    <definedName name="sbl">#REF!</definedName>
    <definedName name="sbw">#REF!</definedName>
    <definedName name="sc" localSheetId="6">#REF!</definedName>
    <definedName name="sc" localSheetId="12">#REF!</definedName>
    <definedName name="sc" localSheetId="19">#REF!</definedName>
    <definedName name="sc">#REF!</definedName>
    <definedName name="sc_earth" localSheetId="6">#REF!</definedName>
    <definedName name="sc_earth" localSheetId="12">#REF!</definedName>
    <definedName name="sc_earth" localSheetId="19">#REF!</definedName>
    <definedName name="sc_earth" localSheetId="30">#REF!</definedName>
    <definedName name="sc_earth">#REF!</definedName>
    <definedName name="sc_metal" localSheetId="6">#REF!</definedName>
    <definedName name="sc_metal" localSheetId="12">#REF!</definedName>
    <definedName name="sc_metal" localSheetId="19">#REF!</definedName>
    <definedName name="sc_metal" localSheetId="30">#REF!</definedName>
    <definedName name="sc_metal">#REF!</definedName>
    <definedName name="sc_sand" localSheetId="6">#REF!</definedName>
    <definedName name="sc_sand" localSheetId="12">#REF!</definedName>
    <definedName name="sc_sand" localSheetId="19">#REF!</definedName>
    <definedName name="sc_sand" localSheetId="30">#REF!</definedName>
    <definedName name="sc_sand">#REF!</definedName>
    <definedName name="SC2MV" localSheetId="6">#REF!</definedName>
    <definedName name="SC2MV" localSheetId="12">#REF!</definedName>
    <definedName name="SC2MV" localSheetId="19">#REF!</definedName>
    <definedName name="SC2MV">#REF!</definedName>
    <definedName name="scafhire" localSheetId="6">#REF!</definedName>
    <definedName name="scafhire" localSheetId="12">#REF!</definedName>
    <definedName name="scafhire" localSheetId="34">#REF!</definedName>
    <definedName name="scafhire" localSheetId="19">#REF!</definedName>
    <definedName name="scafhire">#REF!</definedName>
    <definedName name="scafhirechr" localSheetId="6">#REF!</definedName>
    <definedName name="scafhirechr" localSheetId="12">#REF!</definedName>
    <definedName name="scafhirechr" localSheetId="34">#REF!</definedName>
    <definedName name="scafhirechr" localSheetId="19">#REF!</definedName>
    <definedName name="scafhirechr">#REF!</definedName>
    <definedName name="scafhirechr1.24" localSheetId="6">#REF!</definedName>
    <definedName name="scafhirechr1.24" localSheetId="12">#REF!</definedName>
    <definedName name="scafhirechr1.24" localSheetId="34">#REF!</definedName>
    <definedName name="scafhirechr1.24" localSheetId="19">#REF!</definedName>
    <definedName name="scafhirechr1.24">#REF!</definedName>
    <definedName name="scafhirechr115" localSheetId="6">#REF!</definedName>
    <definedName name="scafhirechr115" localSheetId="12">#REF!</definedName>
    <definedName name="scafhirechr115" localSheetId="34">#REF!</definedName>
    <definedName name="scafhirechr115" localSheetId="19">#REF!</definedName>
    <definedName name="scafhirechr115">#REF!</definedName>
    <definedName name="scale">#REF!</definedName>
    <definedName name="Scarifying_BT">#REF!</definedName>
    <definedName name="Scarifying_Gravel">#REF!</definedName>
    <definedName name="Scarifying_Gravel_lift1Km.">#REF!</definedName>
    <definedName name="Scarifying_Gravel_VRolling">#REF!</definedName>
    <definedName name="SDBC" localSheetId="19">#REF!</definedName>
    <definedName name="sdf" localSheetId="27" hidden="1">{"'ridftotal'!$A$4:$S$27"}</definedName>
    <definedName name="sdf" localSheetId="22" hidden="1">{"'ridftotal'!$A$4:$S$27"}</definedName>
    <definedName name="sdf" localSheetId="14" hidden="1">{"'ridftotal'!$A$4:$S$27"}</definedName>
    <definedName name="sdf" localSheetId="19" hidden="1">{"'ridftotal'!$A$4:$S$27"}</definedName>
    <definedName name="sdf" localSheetId="30" hidden="1">{"'ridftotal'!$A$4:$S$27"}</definedName>
    <definedName name="sdf" hidden="1">{"'ridftotal'!$A$4:$S$27"}</definedName>
    <definedName name="sdfd" localSheetId="27" hidden="1">{"'ridftotal'!$A$4:$S$27"}</definedName>
    <definedName name="sdfd" localSheetId="22" hidden="1">{"'ridftotal'!$A$4:$S$27"}</definedName>
    <definedName name="sdfd" localSheetId="14" hidden="1">{"'ridftotal'!$A$4:$S$27"}</definedName>
    <definedName name="sdfd" localSheetId="19" hidden="1">{"'ridftotal'!$A$4:$S$27"}</definedName>
    <definedName name="sdfd" localSheetId="30" hidden="1">{"'ridftotal'!$A$4:$S$27"}</definedName>
    <definedName name="sdfd" hidden="1">{"'ridftotal'!$A$4:$S$27"}</definedName>
    <definedName name="sdfdfdfdf" localSheetId="27" hidden="1">{"'ridftotal'!$A$4:$S$27"}</definedName>
    <definedName name="sdfdfdfdf" localSheetId="22" hidden="1">{"'ridftotal'!$A$4:$S$27"}</definedName>
    <definedName name="sdfdfdfdf" localSheetId="14" hidden="1">{"'ridftotal'!$A$4:$S$27"}</definedName>
    <definedName name="sdfdfdfdf" localSheetId="19" hidden="1">{"'ridftotal'!$A$4:$S$27"}</definedName>
    <definedName name="sdfdfdfdf" localSheetId="30" hidden="1">{"'ridftotal'!$A$4:$S$27"}</definedName>
    <definedName name="sdfdfdfdf" hidden="1">{"'ridftotal'!$A$4:$S$27"}</definedName>
    <definedName name="sdfggdg">#REF!</definedName>
    <definedName name="sdfok">#REF!</definedName>
    <definedName name="sdfsadfsd" localSheetId="5">#REF!</definedName>
    <definedName name="sdfsadfsd" localSheetId="6">#REF!</definedName>
    <definedName name="sdfsadfsd" localSheetId="12">#REF!</definedName>
    <definedName name="sdfsadfsd" localSheetId="19">#REF!</definedName>
    <definedName name="sdfsadfsd">#REF!</definedName>
    <definedName name="sds" localSheetId="27" hidden="1">{"'ridftotal'!$A$4:$S$27"}</definedName>
    <definedName name="sds" localSheetId="22" hidden="1">{"'ridftotal'!$A$4:$S$27"}</definedName>
    <definedName name="sds" localSheetId="14" hidden="1">{"'ridftotal'!$A$4:$S$27"}</definedName>
    <definedName name="sds" localSheetId="19" hidden="1">{"'ridftotal'!$A$4:$S$27"}</definedName>
    <definedName name="sds" localSheetId="30" hidden="1">{"'ridftotal'!$A$4:$S$27"}</definedName>
    <definedName name="sds" hidden="1">{"'ridftotal'!$A$4:$S$27"}</definedName>
    <definedName name="sdsD" localSheetId="22">#REF!</definedName>
    <definedName name="sdsD" localSheetId="5">#REF!</definedName>
    <definedName name="sdsD" localSheetId="6">#REF!</definedName>
    <definedName name="sdsD" localSheetId="12">#REF!</definedName>
    <definedName name="sdsD" localSheetId="34">#REF!</definedName>
    <definedName name="sdsD" localSheetId="19">#REF!</definedName>
    <definedName name="sdsD" localSheetId="30">#REF!</definedName>
    <definedName name="sdsD" localSheetId="40">#REF!</definedName>
    <definedName name="sdsD" localSheetId="26">#REF!</definedName>
    <definedName name="sdsD">#REF!</definedName>
    <definedName name="sdsdaffas">#REF!</definedName>
    <definedName name="sdwessdwe">#REF!</definedName>
    <definedName name="SE" localSheetId="22">#REF!</definedName>
    <definedName name="SE">#REF!</definedName>
    <definedName name="se_33">#N/A</definedName>
    <definedName name="se_34">#N/A</definedName>
    <definedName name="se_38">#N/A</definedName>
    <definedName name="se_41">#N/A</definedName>
    <definedName name="se_7">#N/A</definedName>
    <definedName name="se_8">#N/A</definedName>
    <definedName name="searth" localSheetId="5">#REF!</definedName>
    <definedName name="searth" localSheetId="6">#REF!</definedName>
    <definedName name="searth" localSheetId="12">#REF!</definedName>
    <definedName name="searth" localSheetId="34">#REF!</definedName>
    <definedName name="searth" localSheetId="19">#REF!</definedName>
    <definedName name="searth" localSheetId="30">#REF!</definedName>
    <definedName name="searth">#REF!</definedName>
    <definedName name="sectorwise" localSheetId="22">#REF!</definedName>
    <definedName name="sectorwise" localSheetId="5">#REF!</definedName>
    <definedName name="sectorwise" localSheetId="6">#REF!</definedName>
    <definedName name="sectorwise" localSheetId="12">#REF!</definedName>
    <definedName name="sectorwise" localSheetId="34">#REF!</definedName>
    <definedName name="sectorwise" localSheetId="19">#REF!</definedName>
    <definedName name="sectorwise" localSheetId="30">#REF!</definedName>
    <definedName name="sectorwise" localSheetId="40">#REF!</definedName>
    <definedName name="sectorwise" localSheetId="26">#REF!</definedName>
    <definedName name="sectorwise">#REF!</definedName>
    <definedName name="sei" localSheetId="19">#REF!</definedName>
    <definedName name="seig_earth" localSheetId="19">#REF!</definedName>
    <definedName name="seig_gravel">#REF!</definedName>
    <definedName name="seig_metal">#REF!</definedName>
    <definedName name="seig_sand">#REF!</definedName>
    <definedName name="sein" localSheetId="22">#REF!</definedName>
    <definedName name="sein" localSheetId="5">#REF!</definedName>
    <definedName name="sein" localSheetId="6">#REF!</definedName>
    <definedName name="sein" localSheetId="12">#REF!</definedName>
    <definedName name="sein" localSheetId="34">#REF!</definedName>
    <definedName name="sein" localSheetId="19">#REF!</definedName>
    <definedName name="sein" localSheetId="30">#REF!</definedName>
    <definedName name="sein" localSheetId="40">#REF!</definedName>
    <definedName name="sein" localSheetId="26">#REF!</definedName>
    <definedName name="sein">#REF!</definedName>
    <definedName name="sein_33">"$#REF!.$#REF!$#REF!"</definedName>
    <definedName name="sein_34">"$#REF!.$#REF!$#REF!"</definedName>
    <definedName name="sein1" localSheetId="22">#REF!</definedName>
    <definedName name="sein1" localSheetId="5">#REF!</definedName>
    <definedName name="sein1" localSheetId="6">#REF!</definedName>
    <definedName name="sein1" localSheetId="12">#REF!</definedName>
    <definedName name="sein1" localSheetId="34">#REF!</definedName>
    <definedName name="sein1" localSheetId="19">#REF!</definedName>
    <definedName name="sein1" localSheetId="30">#REF!</definedName>
    <definedName name="sein1" localSheetId="40">#REF!</definedName>
    <definedName name="sein1" localSheetId="26">#REF!</definedName>
    <definedName name="sein1">#REF!</definedName>
    <definedName name="sein1_33">"$#REF!.$#REF!$#REF!"</definedName>
    <definedName name="sein1_34">"$#REF!.$#REF!$#REF!"</definedName>
    <definedName name="sein4" localSheetId="22">#REF!</definedName>
    <definedName name="sein4" localSheetId="5">#REF!</definedName>
    <definedName name="sein4" localSheetId="6">#REF!</definedName>
    <definedName name="sein4" localSheetId="12">#REF!</definedName>
    <definedName name="sein4" localSheetId="34">#REF!</definedName>
    <definedName name="sein4" localSheetId="19">#REF!</definedName>
    <definedName name="sein4" localSheetId="30">#REF!</definedName>
    <definedName name="sein4" localSheetId="40">#REF!</definedName>
    <definedName name="sein4" localSheetId="26">#REF!</definedName>
    <definedName name="sein4">#REF!</definedName>
    <definedName name="sein4_33">"$#REF!.$#REF!$#REF!"</definedName>
    <definedName name="sein4_34">"$#REF!.$#REF!$#REF!"</definedName>
    <definedName name="SelectD1OrC1" localSheetId="19">#REF!</definedName>
    <definedName name="SelectLessOrExcess" localSheetId="27">#REF!</definedName>
    <definedName name="SelectLessOrExcess">#REF!</definedName>
    <definedName name="SEM" localSheetId="19">#REF!</definedName>
    <definedName name="seonalnew" localSheetId="22">#REF!</definedName>
    <definedName name="seonalnew" localSheetId="5">#REF!</definedName>
    <definedName name="seonalnew" localSheetId="6">#REF!</definedName>
    <definedName name="seonalnew" localSheetId="12">#REF!</definedName>
    <definedName name="seonalnew" localSheetId="34">#REF!</definedName>
    <definedName name="seonalnew" localSheetId="19">#REF!</definedName>
    <definedName name="seonalnew" localSheetId="30">#REF!</definedName>
    <definedName name="seonalnew" localSheetId="40">#REF!</definedName>
    <definedName name="seonalnew" localSheetId="26">#REF!</definedName>
    <definedName name="seonalnew">#REF!</definedName>
    <definedName name="SES">#REF!</definedName>
    <definedName name="SEVENTOTHIRTEEN" localSheetId="5">#REF!</definedName>
    <definedName name="SEVENTOTHIRTEEN" localSheetId="6">#REF!</definedName>
    <definedName name="SEVENTOTHIRTEEN" localSheetId="12">#REF!</definedName>
    <definedName name="SEVENTOTHIRTEEN" localSheetId="19">#REF!</definedName>
    <definedName name="SEVENTOTHIRTEEN" localSheetId="30">#REF!</definedName>
    <definedName name="SEVENTOTHIRTEEN">#REF!</definedName>
    <definedName name="sf" localSheetId="6">#REF!</definedName>
    <definedName name="sf" localSheetId="12">#REF!</definedName>
    <definedName name="sf" localSheetId="19">#REF!</definedName>
    <definedName name="sf" localSheetId="30">#REF!</definedName>
    <definedName name="sf">#REF!</definedName>
    <definedName name="sheet_32" localSheetId="27">#REF!</definedName>
    <definedName name="sheet_32">#REF!</definedName>
    <definedName name="sheet_43">#REF!</definedName>
    <definedName name="sheet_56">#REF!</definedName>
    <definedName name="sheet_59">#REF!</definedName>
    <definedName name="sheet_61">#REF!</definedName>
    <definedName name="sheet1">#REF!</definedName>
    <definedName name="Sheet2_23">#N/A</definedName>
    <definedName name="Sheet2_33">#N/A</definedName>
    <definedName name="Sheet2_38">#N/A</definedName>
    <definedName name="Sheet2_41">#N/A</definedName>
    <definedName name="Sheet2_43">#N/A</definedName>
    <definedName name="Sheet2_48">#N/A</definedName>
    <definedName name="Sheet2_57">#N/A</definedName>
    <definedName name="Sheet2_59">#N/A</definedName>
    <definedName name="Sheet2_60">#N/A</definedName>
    <definedName name="Sheet2_61">#N/A</definedName>
    <definedName name="Sheet2_62">#N/A</definedName>
    <definedName name="Sheet2_7">#N/A</definedName>
    <definedName name="Sheet2_72">#N/A</definedName>
    <definedName name="Sheet2_73">#N/A</definedName>
    <definedName name="Sheet2_8">#N/A</definedName>
    <definedName name="SHOULDERS" localSheetId="5">#REF!</definedName>
    <definedName name="SHOULDERS" localSheetId="6">#REF!</definedName>
    <definedName name="SHOULDERS" localSheetId="12">#REF!</definedName>
    <definedName name="SHOULDERS" localSheetId="34">#REF!</definedName>
    <definedName name="SHOULDERS" localSheetId="19">#REF!</definedName>
    <definedName name="SHOULDERS" localSheetId="30">#REF!</definedName>
    <definedName name="SHOULDERS">#REF!</definedName>
    <definedName name="Shyam" localSheetId="5">#REF!</definedName>
    <definedName name="Shyam" localSheetId="6">#REF!</definedName>
    <definedName name="Shyam" localSheetId="12">#REF!</definedName>
    <definedName name="Shyam" localSheetId="19">#REF!</definedName>
    <definedName name="Shyam" localSheetId="30">#REF!</definedName>
    <definedName name="Shyam">#REF!</definedName>
    <definedName name="si" localSheetId="6">#REF!</definedName>
    <definedName name="si" localSheetId="12">#REF!</definedName>
    <definedName name="si" localSheetId="34">#REF!</definedName>
    <definedName name="si" localSheetId="19">#REF!</definedName>
    <definedName name="si">#REF!</definedName>
    <definedName name="SIDEWALL" localSheetId="6">#REF!</definedName>
    <definedName name="SIDEWALL" localSheetId="12">#REF!</definedName>
    <definedName name="SIDEWALL" localSheetId="34">#REF!</definedName>
    <definedName name="SIDEWALL" localSheetId="19">#REF!</definedName>
    <definedName name="SIDEWALL">#REF!</definedName>
    <definedName name="SIDEWALLSONETOSIX" localSheetId="5">#REF!</definedName>
    <definedName name="SIDEWALLSONETOSIX" localSheetId="6">#REF!</definedName>
    <definedName name="SIDEWALLSONETOSIX" localSheetId="12">#REF!</definedName>
    <definedName name="SIDEWALLSONETOSIX" localSheetId="19">#REF!</definedName>
    <definedName name="SIDEWALLSONETOSIX" localSheetId="30">#REF!</definedName>
    <definedName name="SIDEWALLSONETOSIX">#REF!</definedName>
    <definedName name="SIDEWALLSSEVENTOTHIRTEEN" localSheetId="5">#REF!</definedName>
    <definedName name="SIDEWALLSSEVENTOTHIRTEEN" localSheetId="6">#REF!</definedName>
    <definedName name="SIDEWALLSSEVENTOTHIRTEEN" localSheetId="12">#REF!</definedName>
    <definedName name="SIDEWALLSSEVENTOTHIRTEEN" localSheetId="19">#REF!</definedName>
    <definedName name="SIDEWALLSSEVENTOTHIRTEEN" localSheetId="30">#REF!</definedName>
    <definedName name="SIDEWALLSSEVENTOTHIRTEEN">#REF!</definedName>
    <definedName name="sir" localSheetId="5">#REF!</definedName>
    <definedName name="sir" localSheetId="6">#REF!</definedName>
    <definedName name="sir" localSheetId="12">#REF!</definedName>
    <definedName name="sir" localSheetId="19">#REF!</definedName>
    <definedName name="sir" localSheetId="30">#REF!</definedName>
    <definedName name="sir">#REF!</definedName>
    <definedName name="SIXTOTHIRTEEN" localSheetId="5">#REF!</definedName>
    <definedName name="SIXTOTHIRTEEN" localSheetId="6">#REF!</definedName>
    <definedName name="SIXTOTHIRTEEN" localSheetId="12">#REF!</definedName>
    <definedName name="SIXTOTHIRTEEN" localSheetId="19">#REF!</definedName>
    <definedName name="SIXTOTHIRTEEN" localSheetId="30">#REF!</definedName>
    <definedName name="SIXTOTHIRTEEN">#REF!</definedName>
    <definedName name="SKDIRD" localSheetId="27" hidden="1">{"'ridftotal'!$A$4:$S$27"}</definedName>
    <definedName name="SKDIRD" localSheetId="22" hidden="1">{"'ridftotal'!$A$4:$S$27"}</definedName>
    <definedName name="SKDIRD" localSheetId="14" hidden="1">{"'ridftotal'!$A$4:$S$27"}</definedName>
    <definedName name="SKDIRD" localSheetId="34" hidden="1">{"'ridftotal'!$A$4:$S$27"}</definedName>
    <definedName name="SKDIRD" localSheetId="21" hidden="1">{"'ridftotal'!$A$4:$S$27"}</definedName>
    <definedName name="SKDIRD" localSheetId="19" hidden="1">{"'ridftotal'!$A$4:$S$27"}</definedName>
    <definedName name="SKDIRD" localSheetId="32" hidden="1">{"'ridftotal'!$A$4:$S$27"}</definedName>
    <definedName name="SKDIRD" localSheetId="30" hidden="1">{"'ridftotal'!$A$4:$S$27"}</definedName>
    <definedName name="SKDIRD" localSheetId="11" hidden="1">{"'ridftotal'!$A$4:$S$27"}</definedName>
    <definedName name="SKDIRD" localSheetId="3" hidden="1">{"'ridftotal'!$A$4:$S$27"}</definedName>
    <definedName name="SKDIRD" hidden="1">{"'ridftotal'!$A$4:$S$27"}</definedName>
    <definedName name="skirting_shahbad" localSheetId="6">#REF!</definedName>
    <definedName name="skirting_shahbad" localSheetId="12">#REF!</definedName>
    <definedName name="skirting_shahbad" localSheetId="34">#REF!</definedName>
    <definedName name="skirting_shahbad" localSheetId="19">#REF!</definedName>
    <definedName name="skirting_shahbad">#REF!</definedName>
    <definedName name="SL" localSheetId="6">#REF!</definedName>
    <definedName name="SL" localSheetId="12">#REF!</definedName>
    <definedName name="SL" localSheetId="19">#REF!</definedName>
    <definedName name="SL">#REF!</definedName>
    <definedName name="sluicevalve" localSheetId="5">#REF!</definedName>
    <definedName name="sluicevalve" localSheetId="6">#REF!</definedName>
    <definedName name="sluicevalve" localSheetId="12">#REF!</definedName>
    <definedName name="sluicevalve" localSheetId="19">#REF!</definedName>
    <definedName name="sluicevalve" localSheetId="30">#REF!</definedName>
    <definedName name="sluicevalve">#REF!</definedName>
    <definedName name="SLUICEVALVES" localSheetId="5">#REF!</definedName>
    <definedName name="SLUICEVALVES" localSheetId="6">#REF!</definedName>
    <definedName name="SLUICEVALVES" localSheetId="12">#REF!</definedName>
    <definedName name="SLUICEVALVES" localSheetId="19">#REF!</definedName>
    <definedName name="SLUICEVALVES" localSheetId="30">#REF!</definedName>
    <definedName name="SLUICEVALVES">#REF!</definedName>
    <definedName name="sm" localSheetId="6">#REF!</definedName>
    <definedName name="sm" localSheetId="12">#REF!</definedName>
    <definedName name="sm" localSheetId="19">#REF!</definedName>
    <definedName name="sm" localSheetId="30">#REF!</definedName>
    <definedName name="sm">#REF!</definedName>
    <definedName name="sma">#REF!</definedName>
    <definedName name="smetal" localSheetId="5">#REF!</definedName>
    <definedName name="smetal" localSheetId="6">#REF!</definedName>
    <definedName name="smetal" localSheetId="12">#REF!</definedName>
    <definedName name="smetal" localSheetId="34">#REF!</definedName>
    <definedName name="smetal" localSheetId="19">#REF!</definedName>
    <definedName name="smetal" localSheetId="30">#REF!</definedName>
    <definedName name="smetal">#REF!</definedName>
    <definedName name="Soling" localSheetId="27">#REF!</definedName>
    <definedName name="Soling">#REF!</definedName>
    <definedName name="sp">#REF!</definedName>
    <definedName name="sp002a" localSheetId="6">#REF!</definedName>
    <definedName name="sp002a" localSheetId="12">#REF!</definedName>
    <definedName name="sp002a" localSheetId="34">#REF!</definedName>
    <definedName name="sp002a" localSheetId="19">#REF!</definedName>
    <definedName name="sp002a">#REF!</definedName>
    <definedName name="sp004a" localSheetId="6">#REF!</definedName>
    <definedName name="sp004a" localSheetId="12">#REF!</definedName>
    <definedName name="sp004a" localSheetId="34">#REF!</definedName>
    <definedName name="sp004a" localSheetId="19">#REF!</definedName>
    <definedName name="sp004a">#REF!</definedName>
    <definedName name="SP005A" localSheetId="6">#REF!</definedName>
    <definedName name="SP005A" localSheetId="12">#REF!</definedName>
    <definedName name="SP005A" localSheetId="34">#REF!</definedName>
    <definedName name="SP005A" localSheetId="19">#REF!</definedName>
    <definedName name="SP005A">#REF!</definedName>
    <definedName name="SP022a" localSheetId="6">#REF!</definedName>
    <definedName name="SP022a" localSheetId="12">#REF!</definedName>
    <definedName name="SP022a" localSheetId="34">#REF!</definedName>
    <definedName name="SP022a" localSheetId="19">#REF!</definedName>
    <definedName name="SP022a">#REF!</definedName>
    <definedName name="sp023a" localSheetId="6">#REF!</definedName>
    <definedName name="sp023a" localSheetId="12">#REF!</definedName>
    <definedName name="sp023a" localSheetId="34">#REF!</definedName>
    <definedName name="sp023a" localSheetId="19">#REF!</definedName>
    <definedName name="sp023a">#REF!</definedName>
    <definedName name="sp025a" localSheetId="6">#REF!</definedName>
    <definedName name="sp025a" localSheetId="12">#REF!</definedName>
    <definedName name="sp025a" localSheetId="34">#REF!</definedName>
    <definedName name="sp025a" localSheetId="19">#REF!</definedName>
    <definedName name="sp025a">#REF!</definedName>
    <definedName name="SP034a" localSheetId="6">#REF!</definedName>
    <definedName name="SP034a" localSheetId="12">#REF!</definedName>
    <definedName name="SP034a" localSheetId="34">#REF!</definedName>
    <definedName name="SP034a" localSheetId="19">#REF!</definedName>
    <definedName name="SP034a">#REF!</definedName>
    <definedName name="spaint">#REF!</definedName>
    <definedName name="spas" localSheetId="6">#REF!</definedName>
    <definedName name="spas" localSheetId="12">#REF!</definedName>
    <definedName name="spas" localSheetId="34">#REF!</definedName>
    <definedName name="spas" localSheetId="19">#REF!</definedName>
    <definedName name="spas">#REF!</definedName>
    <definedName name="spds" localSheetId="6">#REF!</definedName>
    <definedName name="spds" localSheetId="12">#REF!</definedName>
    <definedName name="spds" localSheetId="34">#REF!</definedName>
    <definedName name="spds" localSheetId="19">#REF!</definedName>
    <definedName name="spds">#REF!</definedName>
    <definedName name="SpecialPrice" localSheetId="22" hidden="1">#REF!</definedName>
    <definedName name="SpecialPrice" localSheetId="5" hidden="1">#REF!</definedName>
    <definedName name="SpecialPrice" localSheetId="42" hidden="1">#REF!</definedName>
    <definedName name="SpecialPrice" localSheetId="6" hidden="1">#REF!</definedName>
    <definedName name="SpecialPrice" localSheetId="12" hidden="1">#REF!</definedName>
    <definedName name="SpecialPrice" localSheetId="34" hidden="1">#REF!</definedName>
    <definedName name="SpecialPrice" localSheetId="28" hidden="1">#REF!</definedName>
    <definedName name="SpecialPrice" localSheetId="36" hidden="1">#REF!</definedName>
    <definedName name="SpecialPrice" localSheetId="21" hidden="1">#REF!</definedName>
    <definedName name="SpecialPrice" localSheetId="19" hidden="1">#REF!</definedName>
    <definedName name="SpecialPrice" localSheetId="32" hidden="1">#REF!</definedName>
    <definedName name="SpecialPrice" localSheetId="30" hidden="1">#REF!</definedName>
    <definedName name="SpecialPrice" localSheetId="37" hidden="1">#REF!</definedName>
    <definedName name="SpecialPrice" localSheetId="40" hidden="1">#REF!</definedName>
    <definedName name="SpecialPrice" localSheetId="26" hidden="1">#REF!</definedName>
    <definedName name="SpecialPrice" localSheetId="11" hidden="1">#REF!</definedName>
    <definedName name="SpecialPrice" localSheetId="3" hidden="1">#REF!</definedName>
    <definedName name="SpecialPrice" hidden="1">#REF!</definedName>
    <definedName name="spl" localSheetId="19">#REF!</definedName>
    <definedName name="SPREADING_40MM" localSheetId="5">#REF!</definedName>
    <definedName name="SPREADING_40MM" localSheetId="6">#REF!</definedName>
    <definedName name="SPREADING_40MM" localSheetId="12">#REF!</definedName>
    <definedName name="SPREADING_40MM" localSheetId="34">#REF!</definedName>
    <definedName name="SPREADING_40MM" localSheetId="19">#REF!</definedName>
    <definedName name="SPREADING_40MM" localSheetId="30">#REF!</definedName>
    <definedName name="SPREADING_40MM">#REF!</definedName>
    <definedName name="SPREADING_65MM_23">#N/A</definedName>
    <definedName name="SPREADING_65MM_33">#N/A</definedName>
    <definedName name="SPREADING_65MM_34">#N/A</definedName>
    <definedName name="SPREADING_65MM_38">#N/A</definedName>
    <definedName name="SPREADING_65MM_41">#N/A</definedName>
    <definedName name="SPREADING_65MM_43">#N/A</definedName>
    <definedName name="SPREADING_65MM_48">#N/A</definedName>
    <definedName name="SPREADING_65MM_57">#N/A</definedName>
    <definedName name="SPREADING_65MM_59">#N/A</definedName>
    <definedName name="SPREADING_65MM_60">#N/A</definedName>
    <definedName name="SPREADING_65MM_61">#N/A</definedName>
    <definedName name="SPREADING_65MM_62">#N/A</definedName>
    <definedName name="SPREADING_65MM_7">#N/A</definedName>
    <definedName name="SPREADING_65MM_72">#N/A</definedName>
    <definedName name="SPREADING_65MM_73">#N/A</definedName>
    <definedName name="SPREADING_65MM_8">#N/A</definedName>
    <definedName name="spryer" localSheetId="19">#REF!</definedName>
    <definedName name="sreenu" localSheetId="19">#REF!</definedName>
    <definedName name="SRS" localSheetId="27">#REF!</definedName>
    <definedName name="SRS">#REF!</definedName>
    <definedName name="ss" localSheetId="22">#REF!</definedName>
    <definedName name="ss" localSheetId="5">#REF!</definedName>
    <definedName name="ss" localSheetId="6">#REF!</definedName>
    <definedName name="ss" localSheetId="12">#REF!</definedName>
    <definedName name="ss" localSheetId="34">#REF!</definedName>
    <definedName name="ss" localSheetId="19">#REF!</definedName>
    <definedName name="ss" localSheetId="30">#REF!</definedName>
    <definedName name="ss" localSheetId="40">#REF!</definedName>
    <definedName name="ss" localSheetId="26">#REF!</definedName>
    <definedName name="ss">#REF!</definedName>
    <definedName name="ss_23">"$#REF!.$#REF!$#REF!:$#REF!$#REF!"</definedName>
    <definedName name="ss_33">"$#REF!.$#REF!$#REF!"</definedName>
    <definedName name="ss_34">"$#REF!.$#REF!$#REF!"</definedName>
    <definedName name="ss_38">"$#REF!.$#REF!$#REF!:$#REF!$#REF!"</definedName>
    <definedName name="ss_41">"$#REF!.$#REF!$#REF!:$#REF!$#REF!"</definedName>
    <definedName name="ss_43">"$#REF!.$#REF!$#REF!:$#REF!$#REF!"</definedName>
    <definedName name="ss_48">"$#REF!.$#REF!$#REF!:$#REF!$#REF!"</definedName>
    <definedName name="ss_57">"$#REF!.$#REF!$#REF!:$#REF!$#REF!"</definedName>
    <definedName name="ss_59">"$#REF!.$#REF!$#REF!:$#REF!$#REF!"</definedName>
    <definedName name="ss_60">"$#REF!.$#REF!$#REF!:$#REF!$#REF!"</definedName>
    <definedName name="ss_61">"$#REF!.$#REF!$#REF!:$#REF!$#REF!"</definedName>
    <definedName name="ss_62">"$#REF!.$#REF!$#REF!:$#REF!$#REF!"</definedName>
    <definedName name="ss_7">"$#REF!.$#REF!$#REF!:$#REF!$#REF!"</definedName>
    <definedName name="ss_72">"$#REF!.$#REF!$#REF!:$#REF!$#REF!"</definedName>
    <definedName name="ss_73">"$#REF!.$#REF!$#REF!:$#REF!$#REF!"</definedName>
    <definedName name="ss_8">"$#REF!.$#REF!$#REF!:$#REF!$#REF!"</definedName>
    <definedName name="ss_pipes" localSheetId="6">#REF!</definedName>
    <definedName name="ss_pipes" localSheetId="12">#REF!</definedName>
    <definedName name="ss_pipes" localSheetId="34">#REF!</definedName>
    <definedName name="ss_pipes" localSheetId="19">#REF!</definedName>
    <definedName name="ss_pipes">#REF!</definedName>
    <definedName name="ss_railing" localSheetId="6">#REF!</definedName>
    <definedName name="ss_railing" localSheetId="12">#REF!</definedName>
    <definedName name="ss_railing" localSheetId="34">#REF!</definedName>
    <definedName name="ss_railing" localSheetId="19">#REF!</definedName>
    <definedName name="ss_railing">#REF!</definedName>
    <definedName name="ss12_33">#REF!</definedName>
    <definedName name="ss12_34">#REF!</definedName>
    <definedName name="ss20_33">#REF!</definedName>
    <definedName name="ss20_34">#REF!</definedName>
    <definedName name="ss40_33">#REF!</definedName>
    <definedName name="ss40_34">#REF!</definedName>
    <definedName name="ssand" localSheetId="5">#REF!</definedName>
    <definedName name="ssand" localSheetId="6">#REF!</definedName>
    <definedName name="ssand" localSheetId="12">#REF!</definedName>
    <definedName name="ssand" localSheetId="19">#REF!</definedName>
    <definedName name="ssand" localSheetId="30">#REF!</definedName>
    <definedName name="ssand">#REF!</definedName>
    <definedName name="ssd">#REF!</definedName>
    <definedName name="SSF" localSheetId="6">#REF!</definedName>
    <definedName name="SSF" localSheetId="12">#REF!</definedName>
    <definedName name="SSF" localSheetId="34">#REF!</definedName>
    <definedName name="SSF" localSheetId="19">#REF!</definedName>
    <definedName name="SSF">#REF!</definedName>
    <definedName name="ssfsfsfswrw" localSheetId="19">#REF!</definedName>
    <definedName name="sss" localSheetId="22">#REF!</definedName>
    <definedName name="sss" localSheetId="5">#REF!</definedName>
    <definedName name="sss" localSheetId="6">#REF!</definedName>
    <definedName name="sss" localSheetId="12">#REF!</definedName>
    <definedName name="sss" localSheetId="34">#REF!</definedName>
    <definedName name="sss" localSheetId="19">#REF!</definedName>
    <definedName name="sss" localSheetId="30">#REF!</definedName>
    <definedName name="sss" localSheetId="40">#REF!</definedName>
    <definedName name="sss" localSheetId="26">#REF!</definedName>
    <definedName name="sss">#REF!</definedName>
    <definedName name="sss_33">"$#REF!.$#REF!$#REF!"</definedName>
    <definedName name="sss_34">"$#REF!.$#REF!$#REF!"</definedName>
    <definedName name="sssaaa" localSheetId="6">#REF!</definedName>
    <definedName name="sssaaa" localSheetId="12">#REF!</definedName>
    <definedName name="sssaaa" localSheetId="34">#REF!</definedName>
    <definedName name="sssaaa" localSheetId="19">#REF!</definedName>
    <definedName name="sssaaa">#REF!</definedName>
    <definedName name="ssss">#REF!</definedName>
    <definedName name="sssssss" localSheetId="27">#REF!</definedName>
    <definedName name="sssssss">#REF!</definedName>
    <definedName name="sssssssssssssssssssss">#REF!</definedName>
    <definedName name="SSSSSSSSSSSSSSSSSSSSSSSSSSSSSSSSSSSSSSSSS">#REF!</definedName>
    <definedName name="st" localSheetId="6">#REF!</definedName>
    <definedName name="st" localSheetId="12">#REF!</definedName>
    <definedName name="st" localSheetId="19">#REF!</definedName>
    <definedName name="st">#REF!</definedName>
    <definedName name="stack" localSheetId="22">#REF!</definedName>
    <definedName name="stack" localSheetId="5">#REF!</definedName>
    <definedName name="stack" localSheetId="6">#REF!</definedName>
    <definedName name="stack" localSheetId="12">#REF!</definedName>
    <definedName name="stack" localSheetId="34">#REF!</definedName>
    <definedName name="stack" localSheetId="19">#REF!</definedName>
    <definedName name="stack" localSheetId="30">#REF!</definedName>
    <definedName name="stack" localSheetId="40">#REF!</definedName>
    <definedName name="stack" localSheetId="26">#REF!</definedName>
    <definedName name="stack">#REF!</definedName>
    <definedName name="stack_33">"$#REF!.$#REF!$#REF!"</definedName>
    <definedName name="stack_34">"$#REF!.$#REF!$#REF!"</definedName>
    <definedName name="stack1" localSheetId="22">#REF!</definedName>
    <definedName name="stack1" localSheetId="5">#REF!</definedName>
    <definedName name="stack1" localSheetId="6">#REF!</definedName>
    <definedName name="stack1" localSheetId="12">#REF!</definedName>
    <definedName name="stack1" localSheetId="34">#REF!</definedName>
    <definedName name="stack1" localSheetId="19">#REF!</definedName>
    <definedName name="stack1" localSheetId="30">#REF!</definedName>
    <definedName name="stack1" localSheetId="40">#REF!</definedName>
    <definedName name="stack1" localSheetId="26">#REF!</definedName>
    <definedName name="stack1">#REF!</definedName>
    <definedName name="stack1_33">"$#REF!.$#REF!$#REF!"</definedName>
    <definedName name="stack1_34">"$#REF!.$#REF!$#REF!"</definedName>
    <definedName name="stack4" localSheetId="22">#REF!</definedName>
    <definedName name="stack4" localSheetId="5">#REF!</definedName>
    <definedName name="stack4" localSheetId="6">#REF!</definedName>
    <definedName name="stack4" localSheetId="12">#REF!</definedName>
    <definedName name="stack4" localSheetId="34">#REF!</definedName>
    <definedName name="stack4" localSheetId="19">#REF!</definedName>
    <definedName name="stack4" localSheetId="30">#REF!</definedName>
    <definedName name="stack4" localSheetId="40">#REF!</definedName>
    <definedName name="stack4" localSheetId="26">#REF!</definedName>
    <definedName name="stack4">#REF!</definedName>
    <definedName name="stack4_33">"$#REF!.$#REF!$#REF!"</definedName>
    <definedName name="stack4_34">"$#REF!.$#REF!$#REF!"</definedName>
    <definedName name="stacking" localSheetId="27">#REF!</definedName>
    <definedName name="stacking">#REF!</definedName>
    <definedName name="staf_23">#N/A</definedName>
    <definedName name="staf_33">#N/A</definedName>
    <definedName name="staf_34">#N/A</definedName>
    <definedName name="staf_38">#N/A</definedName>
    <definedName name="staf_41">#N/A</definedName>
    <definedName name="staf_43">#N/A</definedName>
    <definedName name="staf_48">#N/A</definedName>
    <definedName name="staf_57">#N/A</definedName>
    <definedName name="staf_59">#N/A</definedName>
    <definedName name="staf_60">#N/A</definedName>
    <definedName name="staf_61">#N/A</definedName>
    <definedName name="staf_62">#N/A</definedName>
    <definedName name="staf_7">#N/A</definedName>
    <definedName name="staf_72">#N/A</definedName>
    <definedName name="staf_73">#N/A</definedName>
    <definedName name="staf_8">#N/A</definedName>
    <definedName name="State" localSheetId="22">#REF!</definedName>
    <definedName name="State" localSheetId="5">#REF!</definedName>
    <definedName name="State" localSheetId="6">#REF!</definedName>
    <definedName name="State" localSheetId="12">#REF!</definedName>
    <definedName name="State" localSheetId="34">#REF!</definedName>
    <definedName name="State" localSheetId="19">#REF!</definedName>
    <definedName name="State" localSheetId="30">#REF!</definedName>
    <definedName name="State" localSheetId="40">#REF!</definedName>
    <definedName name="State" localSheetId="26">#REF!</definedName>
    <definedName name="State">#REF!</definedName>
    <definedName name="STEEL" localSheetId="5">#REF!</definedName>
    <definedName name="STEEL" localSheetId="6">#REF!</definedName>
    <definedName name="STEEL" localSheetId="12">#REF!</definedName>
    <definedName name="STEEL" localSheetId="19">#REF!</definedName>
    <definedName name="STEEL" localSheetId="30">#REF!</definedName>
    <definedName name="STEEL">#REF!</definedName>
    <definedName name="steel_hysd" localSheetId="6">#REF!</definedName>
    <definedName name="steel_hysd" localSheetId="12">#REF!</definedName>
    <definedName name="steel_hysd" localSheetId="34">#REF!</definedName>
    <definedName name="steel_hysd" localSheetId="19">#REF!</definedName>
    <definedName name="steel_hysd">#REF!</definedName>
    <definedName name="steel_mildbar" localSheetId="6">#REF!</definedName>
    <definedName name="steel_mildbar" localSheetId="12">#REF!</definedName>
    <definedName name="steel_mildbar" localSheetId="34">#REF!</definedName>
    <definedName name="steel_mildbar" localSheetId="19">#REF!</definedName>
    <definedName name="steel_mildbar">#REF!</definedName>
    <definedName name="steelcenA" localSheetId="6">#REF!</definedName>
    <definedName name="steelcenA" localSheetId="12">#REF!</definedName>
    <definedName name="steelcenA" localSheetId="34">#REF!</definedName>
    <definedName name="steelcenA" localSheetId="19">#REF!</definedName>
    <definedName name="steelcenA">#REF!</definedName>
    <definedName name="steelcenB" localSheetId="6">#REF!</definedName>
    <definedName name="steelcenB" localSheetId="12">#REF!</definedName>
    <definedName name="steelcenB" localSheetId="34">#REF!</definedName>
    <definedName name="steelcenB" localSheetId="19">#REF!</definedName>
    <definedName name="steelcenB">#REF!</definedName>
    <definedName name="steelcenpb" localSheetId="6">#REF!</definedName>
    <definedName name="steelcenpb" localSheetId="12">#REF!</definedName>
    <definedName name="steelcenpb" localSheetId="34">#REF!</definedName>
    <definedName name="steelcenpb" localSheetId="19">#REF!</definedName>
    <definedName name="steelcenpb">#REF!</definedName>
    <definedName name="sth" localSheetId="6">#REF!</definedName>
    <definedName name="sth" localSheetId="12">#REF!</definedName>
    <definedName name="sth" localSheetId="34">#REF!</definedName>
    <definedName name="sth" localSheetId="19">#REF!</definedName>
    <definedName name="sth">#REF!</definedName>
    <definedName name="stock" localSheetId="6">#REF!</definedName>
    <definedName name="stock" localSheetId="12">#REF!</definedName>
    <definedName name="stock" localSheetId="19">#REF!</definedName>
    <definedName name="stock" localSheetId="30">#REF!</definedName>
    <definedName name="stock">#REF!</definedName>
    <definedName name="STONE" localSheetId="5">#REF!</definedName>
    <definedName name="STONE" localSheetId="19">#REF!</definedName>
    <definedName name="STONE" localSheetId="30">#REF!</definedName>
    <definedName name="STONEDUST" localSheetId="5">#REF!</definedName>
    <definedName name="STONEDUST" localSheetId="6">#REF!</definedName>
    <definedName name="STONEDUST" localSheetId="12">#REF!</definedName>
    <definedName name="STONEDUST" localSheetId="34">#REF!</definedName>
    <definedName name="STONEDUST" localSheetId="19">#REF!</definedName>
    <definedName name="STONEDUST" localSheetId="30">#REF!</definedName>
    <definedName name="STONEDUST">#REF!</definedName>
    <definedName name="STR" localSheetId="14">#REF!</definedName>
    <definedName name="STR" localSheetId="6">#REF!</definedName>
    <definedName name="STR" localSheetId="12">#REF!</definedName>
    <definedName name="STR" localSheetId="19">#REF!</definedName>
    <definedName name="STR">#REF!</definedName>
    <definedName name="str_steel" localSheetId="6">#REF!</definedName>
    <definedName name="str_steel" localSheetId="12">#REF!</definedName>
    <definedName name="str_steel" localSheetId="34">#REF!</definedName>
    <definedName name="str_steel" localSheetId="19">#REF!</definedName>
    <definedName name="str_steel">#REF!</definedName>
    <definedName name="str_steel_plates" localSheetId="6">#REF!</definedName>
    <definedName name="str_steel_plates" localSheetId="12">#REF!</definedName>
    <definedName name="str_steel_plates" localSheetId="34">#REF!</definedName>
    <definedName name="str_steel_plates" localSheetId="19">#REF!</definedName>
    <definedName name="str_steel_plates">#REF!</definedName>
    <definedName name="stth" localSheetId="6">#REF!</definedName>
    <definedName name="stth" localSheetId="12">#REF!</definedName>
    <definedName name="stth" localSheetId="34">#REF!</definedName>
    <definedName name="stth" localSheetId="19">#REF!</definedName>
    <definedName name="stth">#REF!</definedName>
    <definedName name="subbu" localSheetId="5">#REF!</definedName>
    <definedName name="subbu" localSheetId="6">#REF!</definedName>
    <definedName name="subbu" localSheetId="12">#REF!</definedName>
    <definedName name="subbu" localSheetId="19">#REF!</definedName>
    <definedName name="subbu" localSheetId="30">#REF!</definedName>
    <definedName name="subbu">#REF!</definedName>
    <definedName name="SubGrade_Shoulders_SelectedEarth">#REF!</definedName>
    <definedName name="supervisor" localSheetId="19">#REF!</definedName>
    <definedName name="suryacem_paint" localSheetId="6">#REF!</definedName>
    <definedName name="suryacem_paint" localSheetId="12">#REF!</definedName>
    <definedName name="suryacem_paint" localSheetId="34">#REF!</definedName>
    <definedName name="suryacem_paint" localSheetId="19">#REF!</definedName>
    <definedName name="suryacem_paint">#REF!</definedName>
    <definedName name="sw_23">#N/A</definedName>
    <definedName name="sw_33">#N/A</definedName>
    <definedName name="sw_34">#N/A</definedName>
    <definedName name="sw_38">#N/A</definedName>
    <definedName name="sw_41">#N/A</definedName>
    <definedName name="sw_43">#N/A</definedName>
    <definedName name="sw_48">#N/A</definedName>
    <definedName name="sw_57">#N/A</definedName>
    <definedName name="sw_59">#N/A</definedName>
    <definedName name="sw_60">#N/A</definedName>
    <definedName name="sw_61">#N/A</definedName>
    <definedName name="sw_62">#N/A</definedName>
    <definedName name="sw_7">#N/A</definedName>
    <definedName name="sw_72">#N/A</definedName>
    <definedName name="sw_73">#N/A</definedName>
    <definedName name="sw_8">#N/A</definedName>
    <definedName name="SWARE" localSheetId="27">#REF!</definedName>
    <definedName name="SWARE">#REF!</definedName>
    <definedName name="sware2" localSheetId="27">#REF!</definedName>
    <definedName name="sware2">#REF!</definedName>
    <definedName name="swc" localSheetId="6">#REF!</definedName>
    <definedName name="swc" localSheetId="12">#REF!</definedName>
    <definedName name="swc" localSheetId="34">#REF!</definedName>
    <definedName name="swc" localSheetId="19">#REF!</definedName>
    <definedName name="swc">#REF!</definedName>
    <definedName name="swci" localSheetId="6">#REF!</definedName>
    <definedName name="swci" localSheetId="12">#REF!</definedName>
    <definedName name="swci" localSheetId="34">#REF!</definedName>
    <definedName name="swci" localSheetId="19">#REF!</definedName>
    <definedName name="swci">#REF!</definedName>
    <definedName name="T" localSheetId="27" hidden="1">{"'ridftotal'!$A$4:$S$27"}</definedName>
    <definedName name="T" localSheetId="22" hidden="1">{"'ridftotal'!$A$4:$S$27"}</definedName>
    <definedName name="T" localSheetId="14" hidden="1">{"'ridftotal'!$A$4:$S$27"}</definedName>
    <definedName name="t" localSheetId="34">#REF!</definedName>
    <definedName name="T" localSheetId="21" hidden="1">{"'ridftotal'!$A$4:$S$27"}</definedName>
    <definedName name="T" localSheetId="19" hidden="1">{"'ridftotal'!$A$4:$S$27"}</definedName>
    <definedName name="T" localSheetId="32" hidden="1">{"'ridftotal'!$A$4:$S$27"}</definedName>
    <definedName name="T" localSheetId="30" hidden="1">{"'ridftotal'!$A$4:$S$27"}</definedName>
    <definedName name="T" localSheetId="11" hidden="1">{"'ridftotal'!$A$4:$S$27"}</definedName>
    <definedName name="T" localSheetId="3" hidden="1">{"'ridftotal'!$A$4:$S$27"}</definedName>
    <definedName name="T" hidden="1">{"'ridftotal'!$A$4:$S$27"}</definedName>
    <definedName name="Table1" localSheetId="22">#REF!</definedName>
    <definedName name="Table1" localSheetId="5">#REF!</definedName>
    <definedName name="Table1" localSheetId="6">#REF!</definedName>
    <definedName name="Table1" localSheetId="12">#REF!</definedName>
    <definedName name="Table1" localSheetId="34">#REF!</definedName>
    <definedName name="Table1" localSheetId="19">#REF!</definedName>
    <definedName name="Table1" localSheetId="30">#REF!</definedName>
    <definedName name="Table1" localSheetId="40">#REF!</definedName>
    <definedName name="Table1" localSheetId="26">#REF!</definedName>
    <definedName name="Table1">#REF!</definedName>
    <definedName name="Table1_23">"$#REF!.$#REF!$#REF!"</definedName>
    <definedName name="Table1_32">"$#REF!.$#REF!$#REF!"</definedName>
    <definedName name="Table1_33">"$#REF!.$#REF!$#REF!"</definedName>
    <definedName name="Table1_34">"$#REF!.$#REF!$#REF!"</definedName>
    <definedName name="Table1_38">"$#REF!.$#REF!$#REF!"</definedName>
    <definedName name="Table1_41">"$#REF!.$#REF!$#REF!"</definedName>
    <definedName name="Table1_43">"$#REF!.$#REF!$#REF!"</definedName>
    <definedName name="Table1_48">"$#REF!.$#REF!$#REF!"</definedName>
    <definedName name="Table1_56">"$#REF!.$#REF!$#REF!"</definedName>
    <definedName name="Table1_57">"$#REF!.$#REF!$#REF!"</definedName>
    <definedName name="Table1_59">"$#REF!.$#REF!$#REF!"</definedName>
    <definedName name="Table1_60">"$#REF!.$#REF!$#REF!"</definedName>
    <definedName name="Table1_61">"$#REF!.$#REF!$#REF!"</definedName>
    <definedName name="Table1_62">"$#REF!.$#REF!$#REF!"</definedName>
    <definedName name="Table1_7">"$#REF!.$#REF!$#REF!"</definedName>
    <definedName name="Table1_72">"$#REF!.$#REF!$#REF!"</definedName>
    <definedName name="Table1_73">"$#REF!.$#REF!$#REF!"</definedName>
    <definedName name="Table1_8">"$#REF!.$#REF!$#REF!"</definedName>
    <definedName name="Table2" localSheetId="22">#REF!</definedName>
    <definedName name="Table2" localSheetId="5">#REF!</definedName>
    <definedName name="Table2" localSheetId="6">#REF!</definedName>
    <definedName name="Table2" localSheetId="12">#REF!</definedName>
    <definedName name="Table2" localSheetId="34">#REF!</definedName>
    <definedName name="Table2" localSheetId="19">#REF!</definedName>
    <definedName name="Table2" localSheetId="30">#REF!</definedName>
    <definedName name="Table2" localSheetId="40">#REF!</definedName>
    <definedName name="Table2" localSheetId="26">#REF!</definedName>
    <definedName name="Table2">#REF!</definedName>
    <definedName name="Table2_23">"$#REF!.$#REF!$#REF!"</definedName>
    <definedName name="Table2_32">"$#REF!.$#REF!$#REF!"</definedName>
    <definedName name="Table2_33">"$#REF!.$#REF!$#REF!"</definedName>
    <definedName name="Table2_34">"$#REF!.$#REF!$#REF!"</definedName>
    <definedName name="Table2_38">"$#REF!.$#REF!$#REF!"</definedName>
    <definedName name="Table2_41">"$#REF!.$#REF!$#REF!"</definedName>
    <definedName name="Table2_43">"$#REF!.$#REF!$#REF!"</definedName>
    <definedName name="Table2_48">"$#REF!.$#REF!$#REF!"</definedName>
    <definedName name="Table2_56">"$#REF!.$#REF!$#REF!"</definedName>
    <definedName name="Table2_57">"$#REF!.$#REF!$#REF!"</definedName>
    <definedName name="Table2_59">"$#REF!.$#REF!$#REF!"</definedName>
    <definedName name="Table2_60">"$#REF!.$#REF!$#REF!"</definedName>
    <definedName name="Table2_61">"$#REF!.$#REF!$#REF!"</definedName>
    <definedName name="Table2_62">"$#REF!.$#REF!$#REF!"</definedName>
    <definedName name="Table2_7">"$#REF!.$#REF!$#REF!"</definedName>
    <definedName name="Table2_72">"$#REF!.$#REF!$#REF!"</definedName>
    <definedName name="Table2_73">"$#REF!.$#REF!$#REF!"</definedName>
    <definedName name="Table2_8">"$#REF!.$#REF!$#REF!"</definedName>
    <definedName name="Table3" localSheetId="22">#REF!</definedName>
    <definedName name="Table3" localSheetId="5">#REF!</definedName>
    <definedName name="Table3" localSheetId="6">#REF!</definedName>
    <definedName name="Table3" localSheetId="12">#REF!</definedName>
    <definedName name="Table3" localSheetId="34">#REF!</definedName>
    <definedName name="Table3" localSheetId="19">#REF!</definedName>
    <definedName name="Table3" localSheetId="30">#REF!</definedName>
    <definedName name="Table3" localSheetId="40">#REF!</definedName>
    <definedName name="Table3" localSheetId="26">#REF!</definedName>
    <definedName name="Table3">#REF!</definedName>
    <definedName name="Table3_23">"$#REF!.$#REF!$#REF!"</definedName>
    <definedName name="Table3_32">"$#REF!.$#REF!$#REF!"</definedName>
    <definedName name="Table3_33">"$#REF!.$#REF!$#REF!"</definedName>
    <definedName name="Table3_34">"$#REF!.$#REF!$#REF!"</definedName>
    <definedName name="Table3_38">"$#REF!.$#REF!$#REF!"</definedName>
    <definedName name="Table3_41">"$#REF!.$#REF!$#REF!"</definedName>
    <definedName name="Table3_43">"$#REF!.$#REF!$#REF!"</definedName>
    <definedName name="Table3_48">"$#REF!.$#REF!$#REF!"</definedName>
    <definedName name="Table3_56">"$#REF!.$#REF!$#REF!"</definedName>
    <definedName name="Table3_57">"$#REF!.$#REF!$#REF!"</definedName>
    <definedName name="Table3_59">"$#REF!.$#REF!$#REF!"</definedName>
    <definedName name="Table3_60">"$#REF!.$#REF!$#REF!"</definedName>
    <definedName name="Table3_61">"$#REF!.$#REF!$#REF!"</definedName>
    <definedName name="Table3_62">"$#REF!.$#REF!$#REF!"</definedName>
    <definedName name="Table3_7">"$#REF!.$#REF!$#REF!"</definedName>
    <definedName name="Table3_72">"$#REF!.$#REF!$#REF!"</definedName>
    <definedName name="Table3_73">"$#REF!.$#REF!$#REF!"</definedName>
    <definedName name="Table3_8">"$#REF!.$#REF!$#REF!"</definedName>
    <definedName name="Table4" localSheetId="22">#REF!</definedName>
    <definedName name="Table4" localSheetId="5">#REF!</definedName>
    <definedName name="Table4" localSheetId="6">#REF!</definedName>
    <definedName name="Table4" localSheetId="12">#REF!</definedName>
    <definedName name="Table4" localSheetId="34">#REF!</definedName>
    <definedName name="Table4" localSheetId="19">#REF!</definedName>
    <definedName name="Table4" localSheetId="30">#REF!</definedName>
    <definedName name="Table4" localSheetId="40">#REF!</definedName>
    <definedName name="Table4" localSheetId="26">#REF!</definedName>
    <definedName name="Table4">#REF!</definedName>
    <definedName name="Table4_23">"$#REF!.$#REF!$#REF!"</definedName>
    <definedName name="Table4_32">"$#REF!.$#REF!$#REF!"</definedName>
    <definedName name="Table4_33">"$#REF!.$#REF!$#REF!"</definedName>
    <definedName name="Table4_34">"$#REF!.$#REF!$#REF!"</definedName>
    <definedName name="Table4_38">"$#REF!.$#REF!$#REF!"</definedName>
    <definedName name="Table4_41">"$#REF!.$#REF!$#REF!"</definedName>
    <definedName name="Table4_43">"$#REF!.$#REF!$#REF!"</definedName>
    <definedName name="Table4_48">"$#REF!.$#REF!$#REF!"</definedName>
    <definedName name="Table4_56">"$#REF!.$#REF!$#REF!"</definedName>
    <definedName name="Table4_57">"$#REF!.$#REF!$#REF!"</definedName>
    <definedName name="Table4_59">"$#REF!.$#REF!$#REF!"</definedName>
    <definedName name="Table4_60">"$#REF!.$#REF!$#REF!"</definedName>
    <definedName name="Table4_61">"$#REF!.$#REF!$#REF!"</definedName>
    <definedName name="Table4_62">"$#REF!.$#REF!$#REF!"</definedName>
    <definedName name="Table4_7">"$#REF!.$#REF!$#REF!"</definedName>
    <definedName name="Table4_72">"$#REF!.$#REF!$#REF!"</definedName>
    <definedName name="Table4_73">"$#REF!.$#REF!$#REF!"</definedName>
    <definedName name="Table4_8">"$#REF!.$#REF!$#REF!"</definedName>
    <definedName name="TAI" localSheetId="14">#REF!</definedName>
    <definedName name="TAI" localSheetId="6">#REF!</definedName>
    <definedName name="TAI" localSheetId="12">#REF!</definedName>
    <definedName name="TAI" localSheetId="19">#REF!</definedName>
    <definedName name="TAI">#REF!</definedName>
    <definedName name="TAII" localSheetId="6">#REF!</definedName>
    <definedName name="TAII" localSheetId="12">#REF!</definedName>
    <definedName name="TAII" localSheetId="19">#REF!</definedName>
    <definedName name="TAII">#REF!</definedName>
    <definedName name="TAIII" localSheetId="6">#REF!</definedName>
    <definedName name="TAIII" localSheetId="12">#REF!</definedName>
    <definedName name="TAIII" localSheetId="19">#REF!</definedName>
    <definedName name="TAIII">#REF!</definedName>
    <definedName name="TAO" localSheetId="6">#REF!</definedName>
    <definedName name="TAO" localSheetId="12">#REF!</definedName>
    <definedName name="TAO" localSheetId="19">#REF!</definedName>
    <definedName name="TAO">#REF!</definedName>
    <definedName name="TapSpecials" localSheetId="5">#REF!</definedName>
    <definedName name="TapSpecials" localSheetId="6">#REF!</definedName>
    <definedName name="TapSpecials" localSheetId="12">#REF!</definedName>
    <definedName name="TapSpecials" localSheetId="19">#REF!</definedName>
    <definedName name="TapSpecials" localSheetId="30">#REF!</definedName>
    <definedName name="TapSpecials">#REF!</definedName>
    <definedName name="tas" localSheetId="6">#REF!</definedName>
    <definedName name="tas" localSheetId="12">#REF!</definedName>
    <definedName name="tas" localSheetId="34">#REF!</definedName>
    <definedName name="tas" localSheetId="19">#REF!</definedName>
    <definedName name="tas">#REF!</definedName>
    <definedName name="TAWBM" localSheetId="22">#REF!</definedName>
    <definedName name="TAWBM" localSheetId="5">#REF!</definedName>
    <definedName name="TAWBM" localSheetId="6">#REF!</definedName>
    <definedName name="TAWBM" localSheetId="12">#REF!</definedName>
    <definedName name="TAWBM" localSheetId="34">#REF!</definedName>
    <definedName name="TAWBM" localSheetId="19">#REF!</definedName>
    <definedName name="TAWBM" localSheetId="30">#REF!</definedName>
    <definedName name="TAWBM" localSheetId="40">#REF!</definedName>
    <definedName name="TAWBM" localSheetId="26">#REF!</definedName>
    <definedName name="TAWBM">#REF!</definedName>
    <definedName name="tbiiv0" localSheetId="6">#REF!</definedName>
    <definedName name="tbiiv0" localSheetId="12">#REF!</definedName>
    <definedName name="tbiiv0" localSheetId="34">#REF!</definedName>
    <definedName name="tbiiv0" localSheetId="19">#REF!</definedName>
    <definedName name="tbiiv0">#REF!</definedName>
    <definedName name="tbiv0" localSheetId="6">#REF!</definedName>
    <definedName name="tbiv0" localSheetId="12">#REF!</definedName>
    <definedName name="tbiv0" localSheetId="34">#REF!</definedName>
    <definedName name="tbiv0" localSheetId="19">#REF!</definedName>
    <definedName name="tbiv0">#REF!</definedName>
    <definedName name="tbl_ProdInfo" localSheetId="22" hidden="1">#REF!</definedName>
    <definedName name="tbl_ProdInfo" localSheetId="5" hidden="1">#REF!</definedName>
    <definedName name="tbl_ProdInfo" localSheetId="42" hidden="1">#REF!</definedName>
    <definedName name="tbl_ProdInfo" localSheetId="6" hidden="1">#REF!</definedName>
    <definedName name="tbl_ProdInfo" localSheetId="12" hidden="1">#REF!</definedName>
    <definedName name="tbl_ProdInfo" localSheetId="34" hidden="1">#REF!</definedName>
    <definedName name="tbl_ProdInfo" localSheetId="28" hidden="1">#REF!</definedName>
    <definedName name="tbl_ProdInfo" localSheetId="36" hidden="1">#REF!</definedName>
    <definedName name="tbl_ProdInfo" localSheetId="21" hidden="1">#REF!</definedName>
    <definedName name="tbl_ProdInfo" localSheetId="19" hidden="1">#REF!</definedName>
    <definedName name="tbl_ProdInfo" localSheetId="32" hidden="1">#REF!</definedName>
    <definedName name="tbl_ProdInfo" localSheetId="30" hidden="1">#REF!</definedName>
    <definedName name="tbl_ProdInfo" localSheetId="37" hidden="1">#REF!</definedName>
    <definedName name="tbl_ProdInfo" localSheetId="40" hidden="1">#REF!</definedName>
    <definedName name="tbl_ProdInfo" localSheetId="26" hidden="1">#REF!</definedName>
    <definedName name="tbl_ProdInfo" localSheetId="11" hidden="1">#REF!</definedName>
    <definedName name="tbl_ProdInfo" localSheetId="3" hidden="1">#REF!</definedName>
    <definedName name="tbl_ProdInfo" hidden="1">#REF!</definedName>
    <definedName name="td" localSheetId="5">#REF!</definedName>
    <definedName name="TD" localSheetId="6">#REF!</definedName>
    <definedName name="TD" localSheetId="12">#REF!</definedName>
    <definedName name="td" localSheetId="34">#REF!</definedName>
    <definedName name="TD" localSheetId="19">#REF!</definedName>
    <definedName name="TD">#REF!</definedName>
    <definedName name="TDS" localSheetId="6">#REF!</definedName>
    <definedName name="TDS" localSheetId="12">#REF!</definedName>
    <definedName name="TDS" localSheetId="19">#REF!</definedName>
    <definedName name="TDS">#REF!</definedName>
    <definedName name="TECV" localSheetId="22">#REF!</definedName>
    <definedName name="TECV" localSheetId="5">#REF!</definedName>
    <definedName name="TECV" localSheetId="6">#REF!</definedName>
    <definedName name="TECV" localSheetId="12">#REF!</definedName>
    <definedName name="TECV" localSheetId="34">#REF!</definedName>
    <definedName name="TECV" localSheetId="19">#REF!</definedName>
    <definedName name="TECV" localSheetId="30">#REF!</definedName>
    <definedName name="TECV" localSheetId="40">#REF!</definedName>
    <definedName name="TECV" localSheetId="26">#REF!</definedName>
    <definedName name="TECV">#REF!</definedName>
    <definedName name="teeta">#REF!</definedName>
    <definedName name="TEi">#REF!</definedName>
    <definedName name="ten" localSheetId="6">#REF!</definedName>
    <definedName name="ten" localSheetId="12">#REF!</definedName>
    <definedName name="ten" localSheetId="34">#REF!</definedName>
    <definedName name="ten" localSheetId="19">#REF!</definedName>
    <definedName name="ten">#REF!</definedName>
    <definedName name="th" localSheetId="6">#REF!</definedName>
    <definedName name="th" localSheetId="12">#REF!</definedName>
    <definedName name="th" localSheetId="34">#REF!</definedName>
    <definedName name="th" localSheetId="19">#REF!</definedName>
    <definedName name="th">#REF!</definedName>
    <definedName name="TI" localSheetId="14">#REF!</definedName>
    <definedName name="TI" localSheetId="6">#REF!</definedName>
    <definedName name="TI" localSheetId="12">#REF!</definedName>
    <definedName name="TI" localSheetId="19">#REF!</definedName>
    <definedName name="TI">#REF!</definedName>
    <definedName name="tit">#REF!</definedName>
    <definedName name="TL" localSheetId="22">#REF!</definedName>
    <definedName name="TL" localSheetId="30">#REF!</definedName>
    <definedName name="tm" localSheetId="6">#REF!</definedName>
    <definedName name="tm" localSheetId="12">#REF!</definedName>
    <definedName name="tm" localSheetId="34">#REF!</definedName>
    <definedName name="tm" localSheetId="19">#REF!</definedName>
    <definedName name="tm">#REF!</definedName>
    <definedName name="TOPDOMEONETOSIX" localSheetId="5">#REF!</definedName>
    <definedName name="TOPDOMEONETOSIX" localSheetId="6">#REF!</definedName>
    <definedName name="TOPDOMEONETOSIX" localSheetId="12">#REF!</definedName>
    <definedName name="TOPDOMEONETOSIX" localSheetId="19">#REF!</definedName>
    <definedName name="TOPDOMEONETOSIX" localSheetId="30">#REF!</definedName>
    <definedName name="TOPDOMEONETOSIX">#REF!</definedName>
    <definedName name="TOPDOMESEVENTOTHIRTEEN" localSheetId="5">#REF!</definedName>
    <definedName name="TOPDOMESEVENTOTHIRTEEN" localSheetId="6">#REF!</definedName>
    <definedName name="TOPDOMESEVENTOTHIRTEEN" localSheetId="12">#REF!</definedName>
    <definedName name="TOPDOMESEVENTOTHIRTEEN" localSheetId="19">#REF!</definedName>
    <definedName name="TOPDOMESEVENTOTHIRTEEN" localSheetId="30">#REF!</definedName>
    <definedName name="TOPDOMESEVENTOTHIRTEEN">#REF!</definedName>
    <definedName name="TOPRINGGIRDERONETOSIX" localSheetId="5">#REF!</definedName>
    <definedName name="TOPRINGGIRDERONETOSIX" localSheetId="6">#REF!</definedName>
    <definedName name="TOPRINGGIRDERONETOSIX" localSheetId="12">#REF!</definedName>
    <definedName name="TOPRINGGIRDERONETOSIX" localSheetId="19">#REF!</definedName>
    <definedName name="TOPRINGGIRDERONETOSIX" localSheetId="30">#REF!</definedName>
    <definedName name="TOPRINGGIRDERONETOSIX">#REF!</definedName>
    <definedName name="TOPRINGGIRDERSEVENTOTHIRTEEN" localSheetId="5">#REF!</definedName>
    <definedName name="TOPRINGGIRDERSEVENTOTHIRTEEN" localSheetId="6">#REF!</definedName>
    <definedName name="TOPRINGGIRDERSEVENTOTHIRTEEN" localSheetId="12">#REF!</definedName>
    <definedName name="TOPRINGGIRDERSEVENTOTHIRTEEN" localSheetId="19">#REF!</definedName>
    <definedName name="TOPRINGGIRDERSEVENTOTHIRTEEN" localSheetId="30">#REF!</definedName>
    <definedName name="TOPRINGGIRDERSEVENTOTHIRTEEN">#REF!</definedName>
    <definedName name="tot" localSheetId="34">#REF!</definedName>
    <definedName name="totalpop" localSheetId="6">#REF!</definedName>
    <definedName name="totalpop" localSheetId="12">#REF!</definedName>
    <definedName name="totalpop" localSheetId="34">#REF!</definedName>
    <definedName name="totalpop" localSheetId="19">#REF!</definedName>
    <definedName name="totalpop">#REF!</definedName>
    <definedName name="TPI" localSheetId="14">#REF!</definedName>
    <definedName name="TPI" localSheetId="6">#REF!</definedName>
    <definedName name="TPI" localSheetId="12">#REF!</definedName>
    <definedName name="TPI" localSheetId="19">#REF!</definedName>
    <definedName name="TPI">#REF!</definedName>
    <definedName name="TPII" localSheetId="6">#REF!</definedName>
    <definedName name="TPII" localSheetId="12">#REF!</definedName>
    <definedName name="TPII" localSheetId="19">#REF!</definedName>
    <definedName name="TPII">#REF!</definedName>
    <definedName name="TPIII" localSheetId="6">#REF!</definedName>
    <definedName name="TPIII" localSheetId="12">#REF!</definedName>
    <definedName name="TPIII" localSheetId="19">#REF!</definedName>
    <definedName name="TPIII">#REF!</definedName>
    <definedName name="TPO" localSheetId="6">#REF!</definedName>
    <definedName name="TPO" localSheetId="12">#REF!</definedName>
    <definedName name="TPO" localSheetId="19">#REF!</definedName>
    <definedName name="TPO">#REF!</definedName>
    <definedName name="tr" localSheetId="6">#REF!</definedName>
    <definedName name="tr" localSheetId="12">#REF!</definedName>
    <definedName name="tr" localSheetId="34">#REF!</definedName>
    <definedName name="tr" localSheetId="19">#REF!</definedName>
    <definedName name="tr">#REF!</definedName>
    <definedName name="TRACTOR" localSheetId="5">#REF!</definedName>
    <definedName name="TRACTOR" localSheetId="6">#REF!</definedName>
    <definedName name="TRACTOR" localSheetId="12">#REF!</definedName>
    <definedName name="TRACTOR" localSheetId="34">#REF!</definedName>
    <definedName name="TRACTOR" localSheetId="19">#REF!</definedName>
    <definedName name="TRACTOR" localSheetId="30">#REF!</definedName>
    <definedName name="TRACTOR">#REF!</definedName>
    <definedName name="tractor_frm">#REF!</definedName>
    <definedName name="TRAFFIC">#REF!</definedName>
    <definedName name="treads_shahbad" localSheetId="6">#REF!</definedName>
    <definedName name="treads_shahbad" localSheetId="12">#REF!</definedName>
    <definedName name="treads_shahbad" localSheetId="34">#REF!</definedName>
    <definedName name="treads_shahbad" localSheetId="19">#REF!</definedName>
    <definedName name="treads_shahbad">#REF!</definedName>
    <definedName name="TREE" localSheetId="5">#REF!</definedName>
    <definedName name="TREE" localSheetId="6">#REF!</definedName>
    <definedName name="TREE" localSheetId="12">#REF!</definedName>
    <definedName name="TREE" localSheetId="34">#REF!</definedName>
    <definedName name="TREE" localSheetId="19">#REF!</definedName>
    <definedName name="TREE" localSheetId="30">#REF!</definedName>
    <definedName name="TREE">#REF!</definedName>
    <definedName name="trees">#REF!</definedName>
    <definedName name="TRI">#REF!</definedName>
    <definedName name="trtrt">#REF!</definedName>
    <definedName name="Ts" localSheetId="6">#REF!</definedName>
    <definedName name="Ts" localSheetId="12">#REF!</definedName>
    <definedName name="Ts" localSheetId="34">#REF!</definedName>
    <definedName name="Ts" localSheetId="19">#REF!</definedName>
    <definedName name="Ts">#REF!</definedName>
    <definedName name="ttttt" localSheetId="5">#REF!</definedName>
    <definedName name="ttttt" localSheetId="6">#REF!</definedName>
    <definedName name="ttttt" localSheetId="12">#REF!</definedName>
    <definedName name="ttttt" localSheetId="34">#REF!</definedName>
    <definedName name="ttttt" localSheetId="19">#REF!</definedName>
    <definedName name="ttttt" localSheetId="30">#REF!</definedName>
    <definedName name="ttttt">#REF!</definedName>
    <definedName name="ttttt_33">"$#REF!.$#REF!$#REF!"</definedName>
    <definedName name="TWA" localSheetId="14">#REF!</definedName>
    <definedName name="TWA" localSheetId="6">#REF!</definedName>
    <definedName name="TWA" localSheetId="12">#REF!</definedName>
    <definedName name="TWA" localSheetId="19">#REF!</definedName>
    <definedName name="TWA">#REF!</definedName>
    <definedName name="twbm" localSheetId="22">#REF!</definedName>
    <definedName name="twbm" localSheetId="5">#REF!</definedName>
    <definedName name="twbm" localSheetId="6">#REF!</definedName>
    <definedName name="twbm" localSheetId="12">#REF!</definedName>
    <definedName name="twbm" localSheetId="34">#REF!</definedName>
    <definedName name="twbm" localSheetId="19">#REF!</definedName>
    <definedName name="twbm" localSheetId="30">#REF!</definedName>
    <definedName name="twbm" localSheetId="40">#REF!</definedName>
    <definedName name="twbm" localSheetId="26">#REF!</definedName>
    <definedName name="twbm">#REF!</definedName>
    <definedName name="twbm_23">"$#REF!.$#REF!$#REF!"</definedName>
    <definedName name="twbm_33">"$#REF!.$#REF!$#REF!"</definedName>
    <definedName name="twbm_34">"$#REF!.$#REF!$#REF!"</definedName>
    <definedName name="twbm_38">"$#REF!.$#REF!$#REF!"</definedName>
    <definedName name="twbm_41">"$#REF!.$#REF!$#REF!"</definedName>
    <definedName name="twbm_43">"$#REF!.$#REF!$#REF!"</definedName>
    <definedName name="twbm_48">"$#REF!.$#REF!$#REF!"</definedName>
    <definedName name="twbm_57">"$#REF!.$#REF!$#REF!"</definedName>
    <definedName name="twbm_59">"$#REF!.$#REF!$#REF!"</definedName>
    <definedName name="twbm_60">"$#REF!.$#REF!$#REF!"</definedName>
    <definedName name="twbm_61">"$#REF!.$#REF!$#REF!"</definedName>
    <definedName name="twbm_62">"$#REF!.$#REF!$#REF!"</definedName>
    <definedName name="twbm_7">"$#REF!.$#REF!$#REF!"</definedName>
    <definedName name="twbm_72">"$#REF!.$#REF!$#REF!"</definedName>
    <definedName name="twbm_73">"$#REF!.$#REF!$#REF!"</definedName>
    <definedName name="twbm_8">"$#REF!.$#REF!$#REF!"</definedName>
    <definedName name="TWP" localSheetId="6">#REF!</definedName>
    <definedName name="TWP" localSheetId="12">#REF!</definedName>
    <definedName name="TWP" localSheetId="19">#REF!</definedName>
    <definedName name="TWP">#REF!</definedName>
    <definedName name="twtttt" localSheetId="6">#REF!</definedName>
    <definedName name="twtttt" localSheetId="12">#REF!</definedName>
    <definedName name="twtttt" localSheetId="19">#REF!</definedName>
    <definedName name="twtttt">#REF!</definedName>
    <definedName name="tytytko">#REF!</definedName>
    <definedName name="u_23">#N/A</definedName>
    <definedName name="u_33">#N/A</definedName>
    <definedName name="u_38">#N/A</definedName>
    <definedName name="u_41">#N/A</definedName>
    <definedName name="u_43">#N/A</definedName>
    <definedName name="u_48">#N/A</definedName>
    <definedName name="u_57">#N/A</definedName>
    <definedName name="u_59">#N/A</definedName>
    <definedName name="u_60">#N/A</definedName>
    <definedName name="u_61">#N/A</definedName>
    <definedName name="u_62">#N/A</definedName>
    <definedName name="u_7">#N/A</definedName>
    <definedName name="u_72">#N/A</definedName>
    <definedName name="u_73">#N/A</definedName>
    <definedName name="u_8">#N/A</definedName>
    <definedName name="UCN" localSheetId="27">#REF!</definedName>
    <definedName name="UCN">#REF!</definedName>
    <definedName name="UH" localSheetId="14">#REF!</definedName>
    <definedName name="UH" localSheetId="6">#REF!</definedName>
    <definedName name="UH" localSheetId="12">#REF!</definedName>
    <definedName name="UH" localSheetId="19">#REF!</definedName>
    <definedName name="UH">#REF!</definedName>
    <definedName name="uiuiu">#REF!</definedName>
    <definedName name="unloading" localSheetId="19">#REF!</definedName>
    <definedName name="US" localSheetId="27">#REF!</definedName>
    <definedName name="US">#REF!</definedName>
    <definedName name="utgyuj" localSheetId="6">#REF!</definedName>
    <definedName name="utgyuj" localSheetId="12">#REF!</definedName>
    <definedName name="utgyuj" localSheetId="34">#REF!</definedName>
    <definedName name="utgyuj" localSheetId="19">#REF!</definedName>
    <definedName name="utgyuj">#REF!</definedName>
    <definedName name="uuu_21" localSheetId="27">#REF!</definedName>
    <definedName name="uuu_21">#REF!</definedName>
    <definedName name="uuu_33">#REF!</definedName>
    <definedName name="uuu_34">#REF!</definedName>
    <definedName name="uytrog">#REF!</definedName>
    <definedName name="v" localSheetId="6">#REF!</definedName>
    <definedName name="v" localSheetId="12">#REF!</definedName>
    <definedName name="v" localSheetId="34">#REF!</definedName>
    <definedName name="v" localSheetId="19">#REF!</definedName>
    <definedName name="v">#REF!</definedName>
    <definedName name="vaibrating">#REF!</definedName>
    <definedName name="VALVES" localSheetId="5">#REF!</definedName>
    <definedName name="VALVES" localSheetId="6">#REF!</definedName>
    <definedName name="VALVES" localSheetId="12">#REF!</definedName>
    <definedName name="VALVES" localSheetId="19">#REF!</definedName>
    <definedName name="VALVES" localSheetId="30">#REF!</definedName>
    <definedName name="VALVES">#REF!</definedName>
    <definedName name="var" localSheetId="22">#REF!</definedName>
    <definedName name="var" localSheetId="5">#REF!</definedName>
    <definedName name="var" localSheetId="6">#REF!</definedName>
    <definedName name="var" localSheetId="12">#REF!</definedName>
    <definedName name="var" localSheetId="34">#REF!</definedName>
    <definedName name="var" localSheetId="19">#REF!</definedName>
    <definedName name="var" localSheetId="30">#REF!</definedName>
    <definedName name="var" localSheetId="40">#REF!</definedName>
    <definedName name="var" localSheetId="26">#REF!</definedName>
    <definedName name="var">#REF!</definedName>
    <definedName name="var_33">"$#REF!.$#REF!$#REF!"</definedName>
    <definedName name="var_34">"$#REF!.$#REF!$#REF!"</definedName>
    <definedName name="var1_33">"$#REF!.$A$2:$E$59"</definedName>
    <definedName name="var1_34">"$#REF!.$A$2:$E$59"</definedName>
    <definedName name="var4_33">"$#REF!.$A$2:$E$59"</definedName>
    <definedName name="var4_34">"$#REF!.$A$2:$E$59"</definedName>
    <definedName name="vark" localSheetId="5">#REF!</definedName>
    <definedName name="vark" localSheetId="6">#REF!</definedName>
    <definedName name="vark" localSheetId="12">#REF!</definedName>
    <definedName name="vark" localSheetId="19">#REF!</definedName>
    <definedName name="vark" localSheetId="30">#REF!</definedName>
    <definedName name="vark">#REF!</definedName>
    <definedName name="vat" localSheetId="22">#REF!</definedName>
    <definedName name="vat_name" localSheetId="19">#REF!</definedName>
    <definedName name="vat_rate" localSheetId="27">#REF!</definedName>
    <definedName name="vat_rate">#REF!</definedName>
    <definedName name="vatname" localSheetId="5">#REF!</definedName>
    <definedName name="vatname" localSheetId="6">#REF!</definedName>
    <definedName name="vatname" localSheetId="12">#REF!</definedName>
    <definedName name="vatname" localSheetId="34">#REF!</definedName>
    <definedName name="vatname" localSheetId="19">#REF!</definedName>
    <definedName name="vatname" localSheetId="30">#REF!</definedName>
    <definedName name="vatname">#REF!</definedName>
    <definedName name="VB" localSheetId="27" hidden="1">{"'ridftotal'!$A$4:$S$27"}</definedName>
    <definedName name="VB" localSheetId="22" hidden="1">{"'ridftotal'!$A$4:$S$27"}</definedName>
    <definedName name="VB" localSheetId="14" hidden="1">{"'ridftotal'!$A$4:$S$27"}</definedName>
    <definedName name="VB" localSheetId="34" hidden="1">{"'ridftotal'!$A$4:$S$27"}</definedName>
    <definedName name="VB" localSheetId="21" hidden="1">{"'ridftotal'!$A$4:$S$27"}</definedName>
    <definedName name="VB" localSheetId="19" hidden="1">{"'ridftotal'!$A$4:$S$27"}</definedName>
    <definedName name="VB" localSheetId="32" hidden="1">{"'ridftotal'!$A$4:$S$27"}</definedName>
    <definedName name="VB" localSheetId="30" hidden="1">{"'ridftotal'!$A$4:$S$27"}</definedName>
    <definedName name="VB" localSheetId="11" hidden="1">{"'ridftotal'!$A$4:$S$27"}</definedName>
    <definedName name="VB" localSheetId="3" hidden="1">{"'ridftotal'!$A$4:$S$27"}</definedName>
    <definedName name="VB" hidden="1">{"'ridftotal'!$A$4:$S$27"}</definedName>
    <definedName name="VC" localSheetId="5">#REF!</definedName>
    <definedName name="VC" localSheetId="6">#REF!</definedName>
    <definedName name="VC" localSheetId="12">#REF!</definedName>
    <definedName name="VC" localSheetId="34">#REF!</definedName>
    <definedName name="VC" localSheetId="19">#REF!</definedName>
    <definedName name="VC" localSheetId="40">#REF!</definedName>
    <definedName name="VC" localSheetId="26">#REF!</definedName>
    <definedName name="VC">#REF!</definedName>
    <definedName name="vcc">#REF!</definedName>
    <definedName name="ver" localSheetId="27">#REF!</definedName>
    <definedName name="ver">#REF!</definedName>
    <definedName name="VI" localSheetId="14">#REF!</definedName>
    <definedName name="VI" localSheetId="6">#REF!</definedName>
    <definedName name="VI" localSheetId="12">#REF!</definedName>
    <definedName name="VI" localSheetId="19">#REF!</definedName>
    <definedName name="VI">#REF!</definedName>
    <definedName name="Vibchr" localSheetId="6">#REF!</definedName>
    <definedName name="Vibchr" localSheetId="12">#REF!</definedName>
    <definedName name="Vibchr" localSheetId="34">#REF!</definedName>
    <definedName name="Vibchr" localSheetId="19">#REF!</definedName>
    <definedName name="Vibchr">#REF!</definedName>
    <definedName name="VII" localSheetId="6">#REF!</definedName>
    <definedName name="VII" localSheetId="12">#REF!</definedName>
    <definedName name="VII" localSheetId="19">#REF!</definedName>
    <definedName name="VII">#REF!</definedName>
    <definedName name="VIII" localSheetId="6">#REF!</definedName>
    <definedName name="VIII" localSheetId="12">#REF!</definedName>
    <definedName name="VIII" localSheetId="19">#REF!</definedName>
    <definedName name="VIII">#REF!</definedName>
    <definedName name="vitrified" localSheetId="6">#REF!</definedName>
    <definedName name="vitrified" localSheetId="12">#REF!</definedName>
    <definedName name="vitrified" localSheetId="34">#REF!</definedName>
    <definedName name="vitrified" localSheetId="19">#REF!</definedName>
    <definedName name="vitrified">#REF!</definedName>
    <definedName name="vivekananda_33" localSheetId="19">#REF!</definedName>
    <definedName name="vivekananda_34" localSheetId="27">#REF!</definedName>
    <definedName name="vivekananda_34">#REF!</definedName>
    <definedName name="VMAX" localSheetId="14">#REF!</definedName>
    <definedName name="VMAX" localSheetId="6">#REF!</definedName>
    <definedName name="VMAX" localSheetId="12">#REF!</definedName>
    <definedName name="VMAX" localSheetId="19">#REF!</definedName>
    <definedName name="VMAX">#REF!</definedName>
    <definedName name="Vname" localSheetId="22">#REF!</definedName>
    <definedName name="Vname" localSheetId="5">#REF!</definedName>
    <definedName name="Vname" localSheetId="6">#REF!</definedName>
    <definedName name="Vname" localSheetId="12">#REF!</definedName>
    <definedName name="Vname" localSheetId="34">#REF!</definedName>
    <definedName name="Vname" localSheetId="19">#REF!</definedName>
    <definedName name="Vname" localSheetId="30">#REF!</definedName>
    <definedName name="Vname" localSheetId="40">#REF!</definedName>
    <definedName name="Vname" localSheetId="26">#REF!</definedName>
    <definedName name="Vname">#REF!</definedName>
    <definedName name="VO" localSheetId="6">#REF!</definedName>
    <definedName name="VO" localSheetId="12">#REF!</definedName>
    <definedName name="VO" localSheetId="19">#REF!</definedName>
    <definedName name="VO">#REF!</definedName>
    <definedName name="vrcc" localSheetId="19">#REF!</definedName>
    <definedName name="vrcc_col" localSheetId="6">#REF!</definedName>
    <definedName name="vrcc_col" localSheetId="12">#REF!</definedName>
    <definedName name="vrcc_col" localSheetId="34">#REF!</definedName>
    <definedName name="vrcc_col" localSheetId="19">#REF!</definedName>
    <definedName name="vrcc_col">#REF!</definedName>
    <definedName name="vrcc_footing" localSheetId="6">#REF!</definedName>
    <definedName name="vrcc_footing" localSheetId="12">#REF!</definedName>
    <definedName name="vrcc_footing" localSheetId="34">#REF!</definedName>
    <definedName name="vrcc_footing" localSheetId="19">#REF!</definedName>
    <definedName name="vrcc_footing">#REF!</definedName>
    <definedName name="vrcc_lintel" localSheetId="6">#REF!</definedName>
    <definedName name="vrcc_lintel" localSheetId="12">#REF!</definedName>
    <definedName name="vrcc_lintel" localSheetId="34">#REF!</definedName>
    <definedName name="vrcc_lintel" localSheetId="19">#REF!</definedName>
    <definedName name="vrcc_lintel">#REF!</definedName>
    <definedName name="vrcc_pb" localSheetId="6">#REF!</definedName>
    <definedName name="vrcc_pb" localSheetId="12">#REF!</definedName>
    <definedName name="vrcc_pb" localSheetId="34">#REF!</definedName>
    <definedName name="vrcc_pb" localSheetId="19">#REF!</definedName>
    <definedName name="vrcc_pb">#REF!</definedName>
    <definedName name="vrcc_platform" localSheetId="6">#REF!</definedName>
    <definedName name="vrcc_platform" localSheetId="12">#REF!</definedName>
    <definedName name="vrcc_platform" localSheetId="34">#REF!</definedName>
    <definedName name="vrcc_platform" localSheetId="19">#REF!</definedName>
    <definedName name="vrcc_platform">#REF!</definedName>
    <definedName name="vrcc_roof_IIv" localSheetId="6">#REF!</definedName>
    <definedName name="vrcc_roof_IIv" localSheetId="12">#REF!</definedName>
    <definedName name="vrcc_roof_IIv" localSheetId="34">#REF!</definedName>
    <definedName name="vrcc_roof_IIv" localSheetId="19">#REF!</definedName>
    <definedName name="vrcc_roof_IIv">#REF!</definedName>
    <definedName name="vrcc_roofbeam" localSheetId="6">#REF!</definedName>
    <definedName name="vrcc_roofbeam" localSheetId="12">#REF!</definedName>
    <definedName name="vrcc_roofbeam" localSheetId="34">#REF!</definedName>
    <definedName name="vrcc_roofbeam" localSheetId="19">#REF!</definedName>
    <definedName name="vrcc_roofbeam">#REF!</definedName>
    <definedName name="vrcc_sunshade" localSheetId="6">#REF!</definedName>
    <definedName name="vrcc_sunshade" localSheetId="12">#REF!</definedName>
    <definedName name="vrcc_sunshade" localSheetId="34">#REF!</definedName>
    <definedName name="vrcc_sunshade" localSheetId="19">#REF!</definedName>
    <definedName name="vrcc_sunshade">#REF!</definedName>
    <definedName name="vsi" localSheetId="6">#REF!</definedName>
    <definedName name="vsi" localSheetId="12">#REF!</definedName>
    <definedName name="vsi" localSheetId="34">#REF!</definedName>
    <definedName name="vsi" localSheetId="19">#REF!</definedName>
    <definedName name="vsi">#REF!</definedName>
    <definedName name="vso" localSheetId="6">#REF!</definedName>
    <definedName name="vso" localSheetId="12">#REF!</definedName>
    <definedName name="vso" localSheetId="34">#REF!</definedName>
    <definedName name="vso" localSheetId="19">#REF!</definedName>
    <definedName name="vso">#REF!</definedName>
    <definedName name="vsp" localSheetId="6">#REF!</definedName>
    <definedName name="vsp" localSheetId="12">#REF!</definedName>
    <definedName name="vsp" localSheetId="34">#REF!</definedName>
    <definedName name="vsp" localSheetId="19">#REF!</definedName>
    <definedName name="vsp">#REF!</definedName>
    <definedName name="vt" localSheetId="5">#REF!</definedName>
    <definedName name="vt" localSheetId="6">#REF!</definedName>
    <definedName name="vt" localSheetId="12">#REF!</definedName>
    <definedName name="vt" localSheetId="34">#REF!</definedName>
    <definedName name="vt" localSheetId="19">#REF!</definedName>
    <definedName name="vt" localSheetId="30">#REF!</definedName>
    <definedName name="vt">#REF!</definedName>
    <definedName name="VV" localSheetId="6">#REF!</definedName>
    <definedName name="VV" localSheetId="12">#REF!</definedName>
    <definedName name="VV" localSheetId="19">#REF!</definedName>
    <definedName name="VV">#REF!</definedName>
    <definedName name="vvv" localSheetId="19">#REF!</definedName>
    <definedName name="vvvvv" localSheetId="5">#REF!</definedName>
    <definedName name="vvvvv" localSheetId="6">#REF!</definedName>
    <definedName name="vvvvv" localSheetId="12">#REF!</definedName>
    <definedName name="vvvvv" localSheetId="19">#REF!</definedName>
    <definedName name="vvvvv" localSheetId="30">#REF!</definedName>
    <definedName name="vvvvv">#REF!</definedName>
    <definedName name="VVVVVVVVVVVVVVVVVVV">#REF!</definedName>
    <definedName name="W" localSheetId="27" hidden="1">{"'ridftotal'!$A$4:$S$27"}</definedName>
    <definedName name="W" localSheetId="22" hidden="1">{"'ridftotal'!$A$4:$S$27"}</definedName>
    <definedName name="W" localSheetId="14" hidden="1">{"'ridftotal'!$A$4:$S$27"}</definedName>
    <definedName name="w" localSheetId="34">#REF!</definedName>
    <definedName name="W" localSheetId="21" hidden="1">{"'ridftotal'!$A$4:$S$27"}</definedName>
    <definedName name="W" localSheetId="19" hidden="1">{"'ridftotal'!$A$4:$S$27"}</definedName>
    <definedName name="W" localSheetId="32" hidden="1">{"'ridftotal'!$A$4:$S$27"}</definedName>
    <definedName name="W" localSheetId="30" hidden="1">{"'ridftotal'!$A$4:$S$27"}</definedName>
    <definedName name="W" localSheetId="11" hidden="1">{"'ridftotal'!$A$4:$S$27"}</definedName>
    <definedName name="W" localSheetId="3" hidden="1">{"'ridftotal'!$A$4:$S$27"}</definedName>
    <definedName name="W" hidden="1">{"'ridftotal'!$A$4:$S$27"}</definedName>
    <definedName name="w3e" localSheetId="6">#REF!</definedName>
    <definedName name="w3e" localSheetId="12">#REF!</definedName>
    <definedName name="w3e" localSheetId="34">#REF!</definedName>
    <definedName name="w3e" localSheetId="19">#REF!</definedName>
    <definedName name="w3e">#REF!</definedName>
    <definedName name="Was" localSheetId="6">#REF!</definedName>
    <definedName name="Was" localSheetId="12">#REF!</definedName>
    <definedName name="Was" localSheetId="34">#REF!</definedName>
    <definedName name="Was" localSheetId="19">#REF!</definedName>
    <definedName name="Was">#REF!</definedName>
    <definedName name="wasi" localSheetId="6">#REF!</definedName>
    <definedName name="wasi" localSheetId="12">#REF!</definedName>
    <definedName name="wasi" localSheetId="34">#REF!</definedName>
    <definedName name="wasi" localSheetId="19">#REF!</definedName>
    <definedName name="wasi">#REF!</definedName>
    <definedName name="water" localSheetId="5">#REF!</definedName>
    <definedName name="water" localSheetId="6">#REF!</definedName>
    <definedName name="water" localSheetId="12">#REF!</definedName>
    <definedName name="water" localSheetId="34">#REF!</definedName>
    <definedName name="water" localSheetId="19">#REF!</definedName>
    <definedName name="water" localSheetId="30">#REF!</definedName>
    <definedName name="water">#REF!</definedName>
    <definedName name="waterproof_paint" localSheetId="6">#REF!</definedName>
    <definedName name="waterproof_paint" localSheetId="12">#REF!</definedName>
    <definedName name="waterproof_paint" localSheetId="34">#REF!</definedName>
    <definedName name="waterproof_paint" localSheetId="19">#REF!</definedName>
    <definedName name="waterproof_paint">#REF!</definedName>
    <definedName name="WBM_Gr.2" localSheetId="19">#REF!</definedName>
    <definedName name="WBM_Gr.3">#REF!</definedName>
    <definedName name="wbs" localSheetId="6">#REF!</definedName>
    <definedName name="wbs" localSheetId="12">#REF!</definedName>
    <definedName name="wbs" localSheetId="34">#REF!</definedName>
    <definedName name="wbs" localSheetId="19">#REF!</definedName>
    <definedName name="wbs">#REF!</definedName>
    <definedName name="wbsi" localSheetId="6">#REF!</definedName>
    <definedName name="wbsi" localSheetId="12">#REF!</definedName>
    <definedName name="wbsi" localSheetId="34">#REF!</definedName>
    <definedName name="wbsi" localSheetId="19">#REF!</definedName>
    <definedName name="wbsi">#REF!</definedName>
    <definedName name="wd" localSheetId="6">#REF!</definedName>
    <definedName name="wd" localSheetId="12">#REF!</definedName>
    <definedName name="wd" localSheetId="34">#REF!</definedName>
    <definedName name="wd" localSheetId="19">#REF!</definedName>
    <definedName name="wd">#REF!</definedName>
    <definedName name="wdtd" localSheetId="6">#REF!</definedName>
    <definedName name="wdtd" localSheetId="12">#REF!</definedName>
    <definedName name="wdtd" localSheetId="34">#REF!</definedName>
    <definedName name="wdtd" localSheetId="19">#REF!</definedName>
    <definedName name="wdtd">#REF!</definedName>
    <definedName name="we" localSheetId="6">#REF!</definedName>
    <definedName name="we" localSheetId="12">#REF!</definedName>
    <definedName name="we" localSheetId="34">#REF!</definedName>
    <definedName name="we" localSheetId="19">#REF!</definedName>
    <definedName name="we">#REF!</definedName>
    <definedName name="WeepHoles" localSheetId="19">#REF!</definedName>
    <definedName name="wei" localSheetId="6">#REF!</definedName>
    <definedName name="wei" localSheetId="12">#REF!</definedName>
    <definedName name="wei" localSheetId="34">#REF!</definedName>
    <definedName name="wei" localSheetId="19">#REF!</definedName>
    <definedName name="wei">#REF!</definedName>
    <definedName name="wewew" hidden="1">{"'ridftotal'!$A$4:$S$27"}</definedName>
    <definedName name="wgl" localSheetId="27" hidden="1">{"'ridftotal'!$A$4:$S$27"}</definedName>
    <definedName name="wgl" localSheetId="22" hidden="1">{"'ridftotal'!$A$4:$S$27"}</definedName>
    <definedName name="wgl" localSheetId="14" hidden="1">{"'ridftotal'!$A$4:$S$27"}</definedName>
    <definedName name="wgl" localSheetId="34" hidden="1">{"'ridftotal'!$A$4:$S$27"}</definedName>
    <definedName name="wgl" localSheetId="21" hidden="1">{"'ridftotal'!$A$4:$S$27"}</definedName>
    <definedName name="wgl" localSheetId="19" hidden="1">{"'ridftotal'!$A$4:$S$27"}</definedName>
    <definedName name="wgl" localSheetId="32" hidden="1">{"'ridftotal'!$A$4:$S$27"}</definedName>
    <definedName name="wgl" localSheetId="30" hidden="1">{"'ridftotal'!$A$4:$S$27"}</definedName>
    <definedName name="wgl" localSheetId="11" hidden="1">{"'ridftotal'!$A$4:$S$27"}</definedName>
    <definedName name="wgl" localSheetId="3" hidden="1">{"'ridftotal'!$A$4:$S$27"}</definedName>
    <definedName name="wgl" hidden="1">{"'ridftotal'!$A$4:$S$27"}</definedName>
    <definedName name="wh" localSheetId="6">#REF!</definedName>
    <definedName name="wh" localSheetId="12">#REF!</definedName>
    <definedName name="wh" localSheetId="34">#REF!</definedName>
    <definedName name="wh" localSheetId="19">#REF!</definedName>
    <definedName name="wh">#REF!</definedName>
    <definedName name="wha">#REF!</definedName>
    <definedName name="what">#REF!</definedName>
    <definedName name="Wi">#REF!</definedName>
    <definedName name="window" localSheetId="6">#REF!</definedName>
    <definedName name="window" localSheetId="12">#REF!</definedName>
    <definedName name="window" localSheetId="34">#REF!</definedName>
    <definedName name="window" localSheetId="19">#REF!</definedName>
    <definedName name="window">#REF!</definedName>
    <definedName name="window_sizes" localSheetId="5">#REF!</definedName>
    <definedName name="window_sizes" localSheetId="6">#REF!</definedName>
    <definedName name="window_sizes" localSheetId="12">#REF!</definedName>
    <definedName name="window_sizes" localSheetId="19">#REF!</definedName>
    <definedName name="window_sizes" localSheetId="30">#REF!</definedName>
    <definedName name="window_sizes">#REF!</definedName>
    <definedName name="wl" localSheetId="6">#REF!</definedName>
    <definedName name="wl" localSheetId="12">#REF!</definedName>
    <definedName name="wl" localSheetId="34">#REF!</definedName>
    <definedName name="wl" localSheetId="19">#REF!</definedName>
    <definedName name="wl">#REF!</definedName>
    <definedName name="WLA" localSheetId="6">#REF!</definedName>
    <definedName name="WLA" localSheetId="12">#REF!</definedName>
    <definedName name="WLA" localSheetId="19">#REF!</definedName>
    <definedName name="WLA">#REF!</definedName>
    <definedName name="wltd" localSheetId="6">#REF!</definedName>
    <definedName name="wltd" localSheetId="12">#REF!</definedName>
    <definedName name="wltd" localSheetId="34">#REF!</definedName>
    <definedName name="wltd" localSheetId="19">#REF!</definedName>
    <definedName name="wltd">#REF!</definedName>
    <definedName name="wm" localSheetId="5">#REF!</definedName>
    <definedName name="wm" localSheetId="6">#REF!</definedName>
    <definedName name="wm" localSheetId="12">#REF!</definedName>
    <definedName name="wm" localSheetId="34">#REF!</definedName>
    <definedName name="wm" localSheetId="19">#REF!</definedName>
    <definedName name="wm" localSheetId="30">#REF!</definedName>
    <definedName name="wm">#REF!</definedName>
    <definedName name="wmm" localSheetId="6">#REF!</definedName>
    <definedName name="wmm" localSheetId="12">#REF!</definedName>
    <definedName name="wmm" localSheetId="19">#REF!</definedName>
    <definedName name="wmm" localSheetId="30">#REF!</definedName>
    <definedName name="wmm">#REF!</definedName>
    <definedName name="wmz">#REF!</definedName>
    <definedName name="wn" localSheetId="6">#REF!</definedName>
    <definedName name="wn" localSheetId="12">#REF!</definedName>
    <definedName name="wn" localSheetId="34">#REF!</definedName>
    <definedName name="wn" localSheetId="19">#REF!</definedName>
    <definedName name="wn">#REF!</definedName>
    <definedName name="Woman_Mazdoor" localSheetId="6">#REF!</definedName>
    <definedName name="Woman_Mazdoor" localSheetId="12">#REF!</definedName>
    <definedName name="Woman_Mazdoor" localSheetId="19">#REF!</definedName>
    <definedName name="Woman_Mazdoor">#REF!</definedName>
    <definedName name="word" localSheetId="5">#REF!</definedName>
    <definedName name="word" localSheetId="6">#REF!</definedName>
    <definedName name="word" localSheetId="12">#REF!</definedName>
    <definedName name="word" localSheetId="19">#REF!</definedName>
    <definedName name="word" localSheetId="30">#REF!</definedName>
    <definedName name="word">#REF!</definedName>
    <definedName name="wp" localSheetId="6">#REF!</definedName>
    <definedName name="wp" localSheetId="12">#REF!</definedName>
    <definedName name="wp" localSheetId="34">#REF!</definedName>
    <definedName name="wp" localSheetId="19">#REF!</definedName>
    <definedName name="wp">#REF!</definedName>
    <definedName name="WR" localSheetId="14">#REF!</definedName>
    <definedName name="WR" localSheetId="6">#REF!</definedName>
    <definedName name="WR" localSheetId="12">#REF!</definedName>
    <definedName name="WR" localSheetId="19">#REF!</definedName>
    <definedName name="WR">#REF!</definedName>
    <definedName name="wrb" localSheetId="6">#REF!</definedName>
    <definedName name="wrb" localSheetId="12">#REF!</definedName>
    <definedName name="wrb" localSheetId="34">#REF!</definedName>
    <definedName name="wrb" localSheetId="19">#REF!</definedName>
    <definedName name="wrb">#REF!</definedName>
    <definedName name="wrbi" localSheetId="6">#REF!</definedName>
    <definedName name="wrbi" localSheetId="12">#REF!</definedName>
    <definedName name="wrbi" localSheetId="34">#REF!</definedName>
    <definedName name="wrbi" localSheetId="19">#REF!</definedName>
    <definedName name="wrbi">#REF!</definedName>
    <definedName name="wrn.detailed." localSheetId="27" hidden="1">{#N/A,#N/A,FALSE,"no"}</definedName>
    <definedName name="wrn.detailed." localSheetId="22" hidden="1">{#N/A,#N/A,FALSE,"no"}</definedName>
    <definedName name="wrn.detailed." localSheetId="14" hidden="1">{#N/A,#N/A,FALSE,"no"}</definedName>
    <definedName name="wrn.detailed." localSheetId="34" hidden="1">{#N/A,#N/A,FALSE,"no"}</definedName>
    <definedName name="wrn.detailed." localSheetId="19" hidden="1">{#N/A,#N/A,FALSE,"no"}</definedName>
    <definedName name="wrn.detailed." localSheetId="30" hidden="1">{#N/A,#N/A,FALSE,"no"}</definedName>
    <definedName name="wrn.detailed." localSheetId="11" hidden="1">{#N/A,#N/A,FALSE,"no"}</definedName>
    <definedName name="wrn.detailed." hidden="1">{#N/A,#N/A,FALSE,"no"}</definedName>
    <definedName name="WRO" localSheetId="14">#REF!</definedName>
    <definedName name="WRO" localSheetId="6">#REF!</definedName>
    <definedName name="WRO" localSheetId="12">#REF!</definedName>
    <definedName name="WRO" localSheetId="19">#REF!</definedName>
    <definedName name="WRO">#REF!</definedName>
    <definedName name="ws" hidden="1">{"'ridftotal'!$A$4:$S$27"}</definedName>
    <definedName name="wsw" localSheetId="6">#REF!</definedName>
    <definedName name="wsw" localSheetId="12">#REF!</definedName>
    <definedName name="wsw" localSheetId="34">#REF!</definedName>
    <definedName name="wsw" localSheetId="19">#REF!</definedName>
    <definedName name="wsw">#REF!</definedName>
    <definedName name="wtd" localSheetId="6">#REF!</definedName>
    <definedName name="wtd" localSheetId="12">#REF!</definedName>
    <definedName name="wtd" localSheetId="34">#REF!</definedName>
    <definedName name="wtd" localSheetId="19">#REF!</definedName>
    <definedName name="wtd">#REF!</definedName>
    <definedName name="ww" localSheetId="22">#REF!</definedName>
    <definedName name="ww" localSheetId="5">#REF!</definedName>
    <definedName name="ww" localSheetId="6">#REF!</definedName>
    <definedName name="ww" localSheetId="12">#REF!</definedName>
    <definedName name="ww" localSheetId="34">#REF!</definedName>
    <definedName name="ww" localSheetId="19">#REF!</definedName>
    <definedName name="ww" localSheetId="30">#REF!</definedName>
    <definedName name="ww" localSheetId="40">#REF!</definedName>
    <definedName name="ww" localSheetId="26">#REF!</definedName>
    <definedName name="ww">#REF!</definedName>
    <definedName name="wwi" localSheetId="6">#REF!</definedName>
    <definedName name="wwi" localSheetId="12">#REF!</definedName>
    <definedName name="wwi" localSheetId="34">#REF!</definedName>
    <definedName name="wwi" localSheetId="19">#REF!</definedName>
    <definedName name="wwi">#REF!</definedName>
    <definedName name="WWWW" localSheetId="19">#REF!</definedName>
    <definedName name="wwwwww" localSheetId="27">#REF!</definedName>
    <definedName name="wwwwww">#REF!</definedName>
    <definedName name="wz">#REF!</definedName>
    <definedName name="x" localSheetId="5" hidden="1">{#N/A,#N/A,FALSE,"no"}</definedName>
    <definedName name="x" localSheetId="6">#REF!</definedName>
    <definedName name="x" localSheetId="12">#REF!</definedName>
    <definedName name="x" localSheetId="34" hidden="1">{#N/A,#N/A,FALSE,"no"}</definedName>
    <definedName name="x" localSheetId="19">#REF!</definedName>
    <definedName name="x" localSheetId="30">#REF!</definedName>
    <definedName name="x">#REF!</definedName>
    <definedName name="xbb" localSheetId="6">#REF!</definedName>
    <definedName name="xbb" localSheetId="12">#REF!</definedName>
    <definedName name="xbb" localSheetId="19">#REF!</definedName>
    <definedName name="xbb" localSheetId="30">#REF!</definedName>
    <definedName name="xbb">#REF!</definedName>
    <definedName name="xbm" localSheetId="6">#REF!</definedName>
    <definedName name="xbm" localSheetId="12">#REF!</definedName>
    <definedName name="xbm" localSheetId="19">#REF!</definedName>
    <definedName name="xbm" localSheetId="30">#REF!</definedName>
    <definedName name="xbm">#REF!</definedName>
    <definedName name="xcc11534020" localSheetId="6">#REF!</definedName>
    <definedName name="xcc11534020" localSheetId="12">#REF!</definedName>
    <definedName name="xcc11534020" localSheetId="19">#REF!</definedName>
    <definedName name="xcc11534020" localSheetId="30">#REF!</definedName>
    <definedName name="xcc11534020">#REF!</definedName>
    <definedName name="xcc136c" localSheetId="6">#REF!</definedName>
    <definedName name="xcc136c" localSheetId="12">#REF!</definedName>
    <definedName name="xcc136c" localSheetId="19">#REF!</definedName>
    <definedName name="xcc136c" localSheetId="30">#REF!</definedName>
    <definedName name="xcc136c">#REF!</definedName>
    <definedName name="xcf" localSheetId="6">#REF!</definedName>
    <definedName name="xcf" localSheetId="12">#REF!</definedName>
    <definedName name="xcf" localSheetId="19">#REF!</definedName>
    <definedName name="xcf" localSheetId="30">#REF!</definedName>
    <definedName name="xcf">#REF!</definedName>
    <definedName name="xcgi" localSheetId="6">#REF!</definedName>
    <definedName name="xcgi" localSheetId="12">#REF!</definedName>
    <definedName name="xcgi" localSheetId="19">#REF!</definedName>
    <definedName name="xcgi" localSheetId="30">#REF!</definedName>
    <definedName name="xcgi">#REF!</definedName>
    <definedName name="xcrs" localSheetId="6">#REF!</definedName>
    <definedName name="xcrs" localSheetId="12">#REF!</definedName>
    <definedName name="xcrs" localSheetId="19">#REF!</definedName>
    <definedName name="xcrs" localSheetId="30">#REF!</definedName>
    <definedName name="xcrs">#REF!</definedName>
    <definedName name="xew" localSheetId="6">#REF!</definedName>
    <definedName name="xew" localSheetId="12">#REF!</definedName>
    <definedName name="xew" localSheetId="19">#REF!</definedName>
    <definedName name="xew" localSheetId="30">#REF!</definedName>
    <definedName name="xew">#REF!</definedName>
    <definedName name="xew20b" localSheetId="6">#REF!</definedName>
    <definedName name="xew20b" localSheetId="12">#REF!</definedName>
    <definedName name="xew20b" localSheetId="19">#REF!</definedName>
    <definedName name="xew20b" localSheetId="30">#REF!</definedName>
    <definedName name="xew20b">#REF!</definedName>
    <definedName name="xfb" localSheetId="6">#REF!</definedName>
    <definedName name="xfb" localSheetId="12">#REF!</definedName>
    <definedName name="xfb" localSheetId="19">#REF!</definedName>
    <definedName name="xfb" localSheetId="30">#REF!</definedName>
    <definedName name="xfb">#REF!</definedName>
    <definedName name="xfp" localSheetId="6">#REF!</definedName>
    <definedName name="xfp" localSheetId="12">#REF!</definedName>
    <definedName name="xfp" localSheetId="19">#REF!</definedName>
    <definedName name="xfp" localSheetId="30">#REF!</definedName>
    <definedName name="xfp">#REF!</definedName>
    <definedName name="xfpolish" localSheetId="6">#REF!</definedName>
    <definedName name="xfpolish" localSheetId="12">#REF!</definedName>
    <definedName name="xfpolish" localSheetId="19">#REF!</definedName>
    <definedName name="xfpolish" localSheetId="30">#REF!</definedName>
    <definedName name="xfpolish">#REF!</definedName>
    <definedName name="xfprr" localSheetId="6">#REF!</definedName>
    <definedName name="xfprr" localSheetId="12">#REF!</definedName>
    <definedName name="xfprr" localSheetId="19">#REF!</definedName>
    <definedName name="xfprr" localSheetId="30">#REF!</definedName>
    <definedName name="xfprr">#REF!</definedName>
    <definedName name="xfpss" localSheetId="6">#REF!</definedName>
    <definedName name="xfpss" localSheetId="12">#REF!</definedName>
    <definedName name="xfpss" localSheetId="19">#REF!</definedName>
    <definedName name="xfpss" localSheetId="30">#REF!</definedName>
    <definedName name="xfpss">#REF!</definedName>
    <definedName name="xfscc" localSheetId="6">#REF!</definedName>
    <definedName name="xfscc" localSheetId="12">#REF!</definedName>
    <definedName name="xfscc" localSheetId="19">#REF!</definedName>
    <definedName name="xfscc" localSheetId="30">#REF!</definedName>
    <definedName name="xfscc">#REF!</definedName>
    <definedName name="xfss" localSheetId="6">#REF!</definedName>
    <definedName name="xfss" localSheetId="12">#REF!</definedName>
    <definedName name="xfss" localSheetId="19">#REF!</definedName>
    <definedName name="xfss" localSheetId="30">#REF!</definedName>
    <definedName name="xfss">#REF!</definedName>
    <definedName name="xfsscc" localSheetId="6">#REF!</definedName>
    <definedName name="xfsscc" localSheetId="12">#REF!</definedName>
    <definedName name="xfsscc" localSheetId="19">#REF!</definedName>
    <definedName name="xfsscc" localSheetId="30">#REF!</definedName>
    <definedName name="xfsscc">#REF!</definedName>
    <definedName name="xhb11010" localSheetId="6">#REF!</definedName>
    <definedName name="xhb11010" localSheetId="12">#REF!</definedName>
    <definedName name="xhb11010" localSheetId="34">#REF!</definedName>
    <definedName name="xhb11010" localSheetId="19">#REF!</definedName>
    <definedName name="xhb11010">#REF!</definedName>
    <definedName name="xhb1104" localSheetId="6">#REF!</definedName>
    <definedName name="xhb1104" localSheetId="12">#REF!</definedName>
    <definedName name="xhb1104" localSheetId="34">#REF!</definedName>
    <definedName name="xhb1104" localSheetId="19">#REF!</definedName>
    <definedName name="xhb1104">#REF!</definedName>
    <definedName name="xhb1106" localSheetId="6">#REF!</definedName>
    <definedName name="xhb1106" localSheetId="12">#REF!</definedName>
    <definedName name="xhb1106" localSheetId="34">#REF!</definedName>
    <definedName name="xhb1106" localSheetId="19">#REF!</definedName>
    <definedName name="xhb1106">#REF!</definedName>
    <definedName name="xhb1108" localSheetId="6">#REF!</definedName>
    <definedName name="xhb1108" localSheetId="12">#REF!</definedName>
    <definedName name="xhb1108" localSheetId="34">#REF!</definedName>
    <definedName name="xhb1108" localSheetId="19">#REF!</definedName>
    <definedName name="xhb1108">#REF!</definedName>
    <definedName name="xhb12510" localSheetId="6">#REF!</definedName>
    <definedName name="xhb12510" localSheetId="12">#REF!</definedName>
    <definedName name="xhb12510" localSheetId="34">#REF!</definedName>
    <definedName name="xhb12510" localSheetId="19">#REF!</definedName>
    <definedName name="xhb12510">#REF!</definedName>
    <definedName name="xhb1254" localSheetId="6">#REF!</definedName>
    <definedName name="xhb1254" localSheetId="12">#REF!</definedName>
    <definedName name="xhb1254" localSheetId="34">#REF!</definedName>
    <definedName name="xhb1254" localSheetId="19">#REF!</definedName>
    <definedName name="xhb1254">#REF!</definedName>
    <definedName name="xhb1256" localSheetId="6">#REF!</definedName>
    <definedName name="xhb1256" localSheetId="12">#REF!</definedName>
    <definedName name="xhb1256" localSheetId="34">#REF!</definedName>
    <definedName name="xhb1256" localSheetId="19">#REF!</definedName>
    <definedName name="xhb1256">#REF!</definedName>
    <definedName name="xhb1258" localSheetId="6">#REF!</definedName>
    <definedName name="xhb1258" localSheetId="12">#REF!</definedName>
    <definedName name="xhb1258" localSheetId="34">#REF!</definedName>
    <definedName name="xhb1258" localSheetId="19">#REF!</definedName>
    <definedName name="xhb1258">#REF!</definedName>
    <definedName name="xhb14010" localSheetId="6">#REF!</definedName>
    <definedName name="xhb14010" localSheetId="12">#REF!</definedName>
    <definedName name="xhb14010" localSheetId="34">#REF!</definedName>
    <definedName name="xhb14010" localSheetId="19">#REF!</definedName>
    <definedName name="xhb14010">#REF!</definedName>
    <definedName name="xhb1404" localSheetId="6">#REF!</definedName>
    <definedName name="xhb1404" localSheetId="12">#REF!</definedName>
    <definedName name="xhb1404" localSheetId="34">#REF!</definedName>
    <definedName name="xhb1404" localSheetId="19">#REF!</definedName>
    <definedName name="xhb1404">#REF!</definedName>
    <definedName name="xhb1406" localSheetId="6">#REF!</definedName>
    <definedName name="xhb1406" localSheetId="12">#REF!</definedName>
    <definedName name="xhb1406" localSheetId="34">#REF!</definedName>
    <definedName name="xhb1406" localSheetId="19">#REF!</definedName>
    <definedName name="xhb1406">#REF!</definedName>
    <definedName name="xhb1408" localSheetId="6">#REF!</definedName>
    <definedName name="xhb1408" localSheetId="12">#REF!</definedName>
    <definedName name="xhb1408" localSheetId="34">#REF!</definedName>
    <definedName name="xhb1408" localSheetId="19">#REF!</definedName>
    <definedName name="xhb1408">#REF!</definedName>
    <definedName name="xhb16010" localSheetId="6">#REF!</definedName>
    <definedName name="xhb16010" localSheetId="12">#REF!</definedName>
    <definedName name="xhb16010" localSheetId="34">#REF!</definedName>
    <definedName name="xhb16010" localSheetId="19">#REF!</definedName>
    <definedName name="xhb16010">#REF!</definedName>
    <definedName name="xhb1604" localSheetId="6">#REF!</definedName>
    <definedName name="xhb1604" localSheetId="12">#REF!</definedName>
    <definedName name="xhb1604" localSheetId="34">#REF!</definedName>
    <definedName name="xhb1604" localSheetId="19">#REF!</definedName>
    <definedName name="xhb1604">#REF!</definedName>
    <definedName name="xhb1606" localSheetId="6">#REF!</definedName>
    <definedName name="xhb1606" localSheetId="12">#REF!</definedName>
    <definedName name="xhb1606" localSheetId="34">#REF!</definedName>
    <definedName name="xhb1606" localSheetId="19">#REF!</definedName>
    <definedName name="xhb1606">#REF!</definedName>
    <definedName name="xhb1608" localSheetId="6">#REF!</definedName>
    <definedName name="xhb1608" localSheetId="12">#REF!</definedName>
    <definedName name="xhb1608" localSheetId="34">#REF!</definedName>
    <definedName name="xhb1608" localSheetId="19">#REF!</definedName>
    <definedName name="xhb1608">#REF!</definedName>
    <definedName name="xhb18010" localSheetId="6">#REF!</definedName>
    <definedName name="xhb18010" localSheetId="12">#REF!</definedName>
    <definedName name="xhb18010" localSheetId="34">#REF!</definedName>
    <definedName name="xhb18010" localSheetId="19">#REF!</definedName>
    <definedName name="xhb18010">#REF!</definedName>
    <definedName name="xhb1804" localSheetId="6">#REF!</definedName>
    <definedName name="xhb1804" localSheetId="12">#REF!</definedName>
    <definedName name="xhb1804" localSheetId="34">#REF!</definedName>
    <definedName name="xhb1804" localSheetId="19">#REF!</definedName>
    <definedName name="xhb1804">#REF!</definedName>
    <definedName name="xhb1806" localSheetId="6">#REF!</definedName>
    <definedName name="xhb1806" localSheetId="12">#REF!</definedName>
    <definedName name="xhb1806" localSheetId="34">#REF!</definedName>
    <definedName name="xhb1806" localSheetId="19">#REF!</definedName>
    <definedName name="xhb1806">#REF!</definedName>
    <definedName name="xhb1808" localSheetId="6">#REF!</definedName>
    <definedName name="xhb1808" localSheetId="12">#REF!</definedName>
    <definedName name="xhb1808" localSheetId="34">#REF!</definedName>
    <definedName name="xhb1808" localSheetId="19">#REF!</definedName>
    <definedName name="xhb1808">#REF!</definedName>
    <definedName name="xhb20010" localSheetId="6">#REF!</definedName>
    <definedName name="xhb20010" localSheetId="12">#REF!</definedName>
    <definedName name="xhb20010" localSheetId="34">#REF!</definedName>
    <definedName name="xhb20010" localSheetId="19">#REF!</definedName>
    <definedName name="xhb20010">#REF!</definedName>
    <definedName name="xhb2004" localSheetId="6">#REF!</definedName>
    <definedName name="xhb2004" localSheetId="12">#REF!</definedName>
    <definedName name="xhb2004" localSheetId="34">#REF!</definedName>
    <definedName name="xhb2004" localSheetId="19">#REF!</definedName>
    <definedName name="xhb2004">#REF!</definedName>
    <definedName name="xhb2006" localSheetId="6">#REF!</definedName>
    <definedName name="xhb2006" localSheetId="12">#REF!</definedName>
    <definedName name="xhb2006" localSheetId="34">#REF!</definedName>
    <definedName name="xhb2006" localSheetId="19">#REF!</definedName>
    <definedName name="xhb2006">#REF!</definedName>
    <definedName name="xhb2008" localSheetId="6">#REF!</definedName>
    <definedName name="xhb2008" localSheetId="12">#REF!</definedName>
    <definedName name="xhb2008" localSheetId="34">#REF!</definedName>
    <definedName name="xhb2008" localSheetId="19">#REF!</definedName>
    <definedName name="xhb2008">#REF!</definedName>
    <definedName name="xhb22510" localSheetId="6">#REF!</definedName>
    <definedName name="xhb22510" localSheetId="12">#REF!</definedName>
    <definedName name="xhb22510" localSheetId="34">#REF!</definedName>
    <definedName name="xhb22510" localSheetId="19">#REF!</definedName>
    <definedName name="xhb22510">#REF!</definedName>
    <definedName name="xhb2254" localSheetId="6">#REF!</definedName>
    <definedName name="xhb2254" localSheetId="12">#REF!</definedName>
    <definedName name="xhb2254" localSheetId="34">#REF!</definedName>
    <definedName name="xhb2254" localSheetId="19">#REF!</definedName>
    <definedName name="xhb2254">#REF!</definedName>
    <definedName name="xhb2258" localSheetId="6">#REF!</definedName>
    <definedName name="xhb2258" localSheetId="12">#REF!</definedName>
    <definedName name="xhb2258" localSheetId="34">#REF!</definedName>
    <definedName name="xhb2258" localSheetId="19">#REF!</definedName>
    <definedName name="xhb2258">#REF!</definedName>
    <definedName name="xhb25010" localSheetId="6">#REF!</definedName>
    <definedName name="xhb25010" localSheetId="12">#REF!</definedName>
    <definedName name="xhb25010" localSheetId="34">#REF!</definedName>
    <definedName name="xhb25010" localSheetId="19">#REF!</definedName>
    <definedName name="xhb25010">#REF!</definedName>
    <definedName name="xhb2504" localSheetId="6">#REF!</definedName>
    <definedName name="xhb2504" localSheetId="12">#REF!</definedName>
    <definedName name="xhb2504" localSheetId="34">#REF!</definedName>
    <definedName name="xhb2504" localSheetId="19">#REF!</definedName>
    <definedName name="xhb2504">#REF!</definedName>
    <definedName name="xhb2508" localSheetId="6">#REF!</definedName>
    <definedName name="xhb2508" localSheetId="12">#REF!</definedName>
    <definedName name="xhb2508" localSheetId="34">#REF!</definedName>
    <definedName name="xhb2508" localSheetId="19">#REF!</definedName>
    <definedName name="xhb2508">#REF!</definedName>
    <definedName name="xhb28010" localSheetId="6">#REF!</definedName>
    <definedName name="xhb28010" localSheetId="12">#REF!</definedName>
    <definedName name="xhb28010" localSheetId="34">#REF!</definedName>
    <definedName name="xhb28010" localSheetId="19">#REF!</definedName>
    <definedName name="xhb28010">#REF!</definedName>
    <definedName name="xhb2804" localSheetId="6">#REF!</definedName>
    <definedName name="xhb2804" localSheetId="12">#REF!</definedName>
    <definedName name="xhb2804" localSheetId="34">#REF!</definedName>
    <definedName name="xhb2804" localSheetId="19">#REF!</definedName>
    <definedName name="xhb2804">#REF!</definedName>
    <definedName name="xhb2808" localSheetId="6">#REF!</definedName>
    <definedName name="xhb2808" localSheetId="12">#REF!</definedName>
    <definedName name="xhb2808" localSheetId="34">#REF!</definedName>
    <definedName name="xhb2808" localSheetId="19">#REF!</definedName>
    <definedName name="xhb2808">#REF!</definedName>
    <definedName name="xhb31510" localSheetId="6">#REF!</definedName>
    <definedName name="xhb31510" localSheetId="12">#REF!</definedName>
    <definedName name="xhb31510" localSheetId="34">#REF!</definedName>
    <definedName name="xhb31510" localSheetId="19">#REF!</definedName>
    <definedName name="xhb31510">#REF!</definedName>
    <definedName name="xhb3154" localSheetId="6">#REF!</definedName>
    <definedName name="xhb3154" localSheetId="12">#REF!</definedName>
    <definedName name="xhb3154" localSheetId="34">#REF!</definedName>
    <definedName name="xhb3154" localSheetId="19">#REF!</definedName>
    <definedName name="xhb3154">#REF!</definedName>
    <definedName name="xhb3158" localSheetId="6">#REF!</definedName>
    <definedName name="xhb3158" localSheetId="12">#REF!</definedName>
    <definedName name="xhb3158" localSheetId="34">#REF!</definedName>
    <definedName name="xhb3158" localSheetId="19">#REF!</definedName>
    <definedName name="xhb3158">#REF!</definedName>
    <definedName name="xhb6310" localSheetId="6">#REF!</definedName>
    <definedName name="xhb6310" localSheetId="12">#REF!</definedName>
    <definedName name="xhb6310" localSheetId="34">#REF!</definedName>
    <definedName name="xhb6310" localSheetId="19">#REF!</definedName>
    <definedName name="xhb6310">#REF!</definedName>
    <definedName name="xhb636" localSheetId="6">#REF!</definedName>
    <definedName name="xhb636" localSheetId="12">#REF!</definedName>
    <definedName name="xhb636" localSheetId="34">#REF!</definedName>
    <definedName name="xhb636" localSheetId="19">#REF!</definedName>
    <definedName name="xhb636">#REF!</definedName>
    <definedName name="xhb638" localSheetId="6">#REF!</definedName>
    <definedName name="xhb638" localSheetId="12">#REF!</definedName>
    <definedName name="xhb638" localSheetId="34">#REF!</definedName>
    <definedName name="xhb638" localSheetId="19">#REF!</definedName>
    <definedName name="xhb638">#REF!</definedName>
    <definedName name="xhb7510" localSheetId="6">#REF!</definedName>
    <definedName name="xhb7510" localSheetId="12">#REF!</definedName>
    <definedName name="xhb7510" localSheetId="34">#REF!</definedName>
    <definedName name="xhb7510" localSheetId="19">#REF!</definedName>
    <definedName name="xhb7510">#REF!</definedName>
    <definedName name="xhb754" localSheetId="6">#REF!</definedName>
    <definedName name="xhb754" localSheetId="12">#REF!</definedName>
    <definedName name="xhb754" localSheetId="34">#REF!</definedName>
    <definedName name="xhb754" localSheetId="19">#REF!</definedName>
    <definedName name="xhb754">#REF!</definedName>
    <definedName name="xhb756" localSheetId="6">#REF!</definedName>
    <definedName name="xhb756" localSheetId="12">#REF!</definedName>
    <definedName name="xhb756" localSheetId="34">#REF!</definedName>
    <definedName name="xhb756" localSheetId="19">#REF!</definedName>
    <definedName name="xhb756">#REF!</definedName>
    <definedName name="xhb758" localSheetId="6">#REF!</definedName>
    <definedName name="xhb758" localSheetId="12">#REF!</definedName>
    <definedName name="xhb758" localSheetId="34">#REF!</definedName>
    <definedName name="xhb758" localSheetId="19">#REF!</definedName>
    <definedName name="xhb758">#REF!</definedName>
    <definedName name="xhb9010" localSheetId="6">#REF!</definedName>
    <definedName name="xhb9010" localSheetId="12">#REF!</definedName>
    <definedName name="xhb9010" localSheetId="34">#REF!</definedName>
    <definedName name="xhb9010" localSheetId="19">#REF!</definedName>
    <definedName name="xhb9010">#REF!</definedName>
    <definedName name="xhb904" localSheetId="6">#REF!</definedName>
    <definedName name="xhb904" localSheetId="12">#REF!</definedName>
    <definedName name="xhb904" localSheetId="34">#REF!</definedName>
    <definedName name="xhb904" localSheetId="19">#REF!</definedName>
    <definedName name="xhb904">#REF!</definedName>
    <definedName name="xhb906" localSheetId="6">#REF!</definedName>
    <definedName name="xhb906" localSheetId="12">#REF!</definedName>
    <definedName name="xhb906" localSheetId="34">#REF!</definedName>
    <definedName name="xhb906" localSheetId="19">#REF!</definedName>
    <definedName name="xhb906">#REF!</definedName>
    <definedName name="xhb908" localSheetId="6">#REF!</definedName>
    <definedName name="xhb908" localSheetId="12">#REF!</definedName>
    <definedName name="xhb908" localSheetId="34">#REF!</definedName>
    <definedName name="xhb908" localSheetId="19">#REF!</definedName>
    <definedName name="xhb908">#REF!</definedName>
    <definedName name="XI" localSheetId="14">#REF!</definedName>
    <definedName name="XI" localSheetId="6">#REF!</definedName>
    <definedName name="XI" localSheetId="12">#REF!</definedName>
    <definedName name="XI" localSheetId="19">#REF!</definedName>
    <definedName name="XI">#REF!</definedName>
    <definedName name="ximp" localSheetId="6">#REF!</definedName>
    <definedName name="ximp" localSheetId="12">#REF!</definedName>
    <definedName name="ximp" localSheetId="19">#REF!</definedName>
    <definedName name="ximp" localSheetId="30">#REF!</definedName>
    <definedName name="ximp">#REF!</definedName>
    <definedName name="ximp20" localSheetId="6">#REF!</definedName>
    <definedName name="ximp20" localSheetId="12">#REF!</definedName>
    <definedName name="ximp20" localSheetId="19">#REF!</definedName>
    <definedName name="ximp20" localSheetId="30">#REF!</definedName>
    <definedName name="ximp20">#REF!</definedName>
    <definedName name="xlin" localSheetId="6">#REF!</definedName>
    <definedName name="xlin" localSheetId="12">#REF!</definedName>
    <definedName name="xlin" localSheetId="19">#REF!</definedName>
    <definedName name="xlin" localSheetId="30">#REF!</definedName>
    <definedName name="xlin">#REF!</definedName>
    <definedName name="XOTOXSIX" localSheetId="5">#REF!</definedName>
    <definedName name="XOTOXSIX" localSheetId="6">#REF!</definedName>
    <definedName name="XOTOXSIX" localSheetId="12">#REF!</definedName>
    <definedName name="XOTOXSIX" localSheetId="19">#REF!</definedName>
    <definedName name="XOTOXSIX" localSheetId="30">#REF!</definedName>
    <definedName name="XOTOXSIX">#REF!</definedName>
    <definedName name="xpb16010" localSheetId="6">#REF!</definedName>
    <definedName name="xpb16010" localSheetId="12">#REF!</definedName>
    <definedName name="xpb16010" localSheetId="34">#REF!</definedName>
    <definedName name="xpb16010" localSheetId="19">#REF!</definedName>
    <definedName name="xpb16010">#REF!</definedName>
    <definedName name="xpb18010" localSheetId="6">#REF!</definedName>
    <definedName name="xpb18010" localSheetId="12">#REF!</definedName>
    <definedName name="xpb18010" localSheetId="34">#REF!</definedName>
    <definedName name="xpb18010" localSheetId="19">#REF!</definedName>
    <definedName name="xpb18010">#REF!</definedName>
    <definedName name="xpb20010" localSheetId="6">#REF!</definedName>
    <definedName name="xpb20010" localSheetId="12">#REF!</definedName>
    <definedName name="xpb20010" localSheetId="34">#REF!</definedName>
    <definedName name="xpb20010" localSheetId="19">#REF!</definedName>
    <definedName name="xpb20010">#REF!</definedName>
    <definedName name="xpb2004" localSheetId="6">#REF!</definedName>
    <definedName name="xpb2004" localSheetId="12">#REF!</definedName>
    <definedName name="xpb2004" localSheetId="34">#REF!</definedName>
    <definedName name="xpb2004" localSheetId="19">#REF!</definedName>
    <definedName name="xpb2004">#REF!</definedName>
    <definedName name="xpb22510" localSheetId="6">#REF!</definedName>
    <definedName name="xpb22510" localSheetId="12">#REF!</definedName>
    <definedName name="xpb22510" localSheetId="34">#REF!</definedName>
    <definedName name="xpb22510" localSheetId="19">#REF!</definedName>
    <definedName name="xpb22510">#REF!</definedName>
    <definedName name="xpb2254" localSheetId="6">#REF!</definedName>
    <definedName name="xpb2254" localSheetId="12">#REF!</definedName>
    <definedName name="xpb2254" localSheetId="34">#REF!</definedName>
    <definedName name="xpb2254" localSheetId="19">#REF!</definedName>
    <definedName name="xpb2254">#REF!</definedName>
    <definedName name="xpb2256" localSheetId="6">#REF!</definedName>
    <definedName name="xpb2256" localSheetId="12">#REF!</definedName>
    <definedName name="xpb2256" localSheetId="34">#REF!</definedName>
    <definedName name="xpb2256" localSheetId="19">#REF!</definedName>
    <definedName name="xpb2256">#REF!</definedName>
    <definedName name="xpb25010" localSheetId="6">#REF!</definedName>
    <definedName name="xpb25010" localSheetId="12">#REF!</definedName>
    <definedName name="xpb25010" localSheetId="34">#REF!</definedName>
    <definedName name="xpb25010" localSheetId="19">#REF!</definedName>
    <definedName name="xpb25010">#REF!</definedName>
    <definedName name="xpb2504" localSheetId="6">#REF!</definedName>
    <definedName name="xpb2504" localSheetId="12">#REF!</definedName>
    <definedName name="xpb2504" localSheetId="34">#REF!</definedName>
    <definedName name="xpb2504" localSheetId="19">#REF!</definedName>
    <definedName name="xpb2504">#REF!</definedName>
    <definedName name="xpb2506" localSheetId="6">#REF!</definedName>
    <definedName name="xpb2506" localSheetId="12">#REF!</definedName>
    <definedName name="xpb2506" localSheetId="34">#REF!</definedName>
    <definedName name="xpb2506" localSheetId="19">#REF!</definedName>
    <definedName name="xpb2506">#REF!</definedName>
    <definedName name="xpb28010" localSheetId="6">#REF!</definedName>
    <definedName name="xpb28010" localSheetId="12">#REF!</definedName>
    <definedName name="xpb28010" localSheetId="34">#REF!</definedName>
    <definedName name="xpb28010" localSheetId="19">#REF!</definedName>
    <definedName name="xpb28010">#REF!</definedName>
    <definedName name="xpb2804" localSheetId="6">#REF!</definedName>
    <definedName name="xpb2804" localSheetId="12">#REF!</definedName>
    <definedName name="xpb2804" localSheetId="34">#REF!</definedName>
    <definedName name="xpb2804" localSheetId="19">#REF!</definedName>
    <definedName name="xpb2804">#REF!</definedName>
    <definedName name="xpb2806" localSheetId="6">#REF!</definedName>
    <definedName name="xpb2806" localSheetId="12">#REF!</definedName>
    <definedName name="xpb2806" localSheetId="34">#REF!</definedName>
    <definedName name="xpb2806" localSheetId="19">#REF!</definedName>
    <definedName name="xpb2806">#REF!</definedName>
    <definedName name="xpb31510" localSheetId="6">#REF!</definedName>
    <definedName name="xpb31510" localSheetId="12">#REF!</definedName>
    <definedName name="xpb31510" localSheetId="34">#REF!</definedName>
    <definedName name="xpb31510" localSheetId="19">#REF!</definedName>
    <definedName name="xpb31510">#REF!</definedName>
    <definedName name="xpb3154" localSheetId="6">#REF!</definedName>
    <definedName name="xpb3154" localSheetId="12">#REF!</definedName>
    <definedName name="xpb3154" localSheetId="34">#REF!</definedName>
    <definedName name="xpb3154" localSheetId="19">#REF!</definedName>
    <definedName name="xpb3154">#REF!</definedName>
    <definedName name="xpb3156" localSheetId="6">#REF!</definedName>
    <definedName name="xpb3156" localSheetId="12">#REF!</definedName>
    <definedName name="xpb3156" localSheetId="34">#REF!</definedName>
    <definedName name="xpb3156" localSheetId="19">#REF!</definedName>
    <definedName name="xpb3156">#REF!</definedName>
    <definedName name="xpb634" localSheetId="6">#REF!</definedName>
    <definedName name="xpb634" localSheetId="12">#REF!</definedName>
    <definedName name="xpb634" localSheetId="34">#REF!</definedName>
    <definedName name="xpb634" localSheetId="19">#REF!</definedName>
    <definedName name="xpb634">#REF!</definedName>
    <definedName name="xpb9010" localSheetId="6">#REF!</definedName>
    <definedName name="xpb9010" localSheetId="12">#REF!</definedName>
    <definedName name="xpb9010" localSheetId="34">#REF!</definedName>
    <definedName name="xpb9010" localSheetId="19">#REF!</definedName>
    <definedName name="xpb9010">#REF!</definedName>
    <definedName name="xpl121513" localSheetId="6">#REF!</definedName>
    <definedName name="xpl121513" localSheetId="12">#REF!</definedName>
    <definedName name="xpl121513" localSheetId="19">#REF!</definedName>
    <definedName name="xpl121513" localSheetId="30">#REF!</definedName>
    <definedName name="xpl121513">#REF!</definedName>
    <definedName name="xpl1312" localSheetId="6">#REF!</definedName>
    <definedName name="xpl1312" localSheetId="12">#REF!</definedName>
    <definedName name="xpl1312" localSheetId="19">#REF!</definedName>
    <definedName name="xpl1312" localSheetId="30">#REF!</definedName>
    <definedName name="xpl1312">#REF!</definedName>
    <definedName name="xpl1320" localSheetId="6">#REF!</definedName>
    <definedName name="xpl1320" localSheetId="12">#REF!</definedName>
    <definedName name="xpl1320" localSheetId="19">#REF!</definedName>
    <definedName name="xpl1320" localSheetId="30">#REF!</definedName>
    <definedName name="xpl1320">#REF!</definedName>
    <definedName name="xpl1412" localSheetId="6">#REF!</definedName>
    <definedName name="xpl1412" localSheetId="12">#REF!</definedName>
    <definedName name="xpl1412" localSheetId="19">#REF!</definedName>
    <definedName name="xpl1412" localSheetId="30">#REF!</definedName>
    <definedName name="xpl1412">#REF!</definedName>
    <definedName name="xpl1420" localSheetId="6">#REF!</definedName>
    <definedName name="xpl1420" localSheetId="12">#REF!</definedName>
    <definedName name="xpl1420" localSheetId="19">#REF!</definedName>
    <definedName name="xpl1420" localSheetId="30">#REF!</definedName>
    <definedName name="xpl1420">#REF!</definedName>
    <definedName name="xpl201513" localSheetId="6">#REF!</definedName>
    <definedName name="xpl201513" localSheetId="12">#REF!</definedName>
    <definedName name="xpl201513" localSheetId="19">#REF!</definedName>
    <definedName name="xpl201513" localSheetId="30">#REF!</definedName>
    <definedName name="xpl201513">#REF!</definedName>
    <definedName name="xrf" localSheetId="6">#REF!</definedName>
    <definedName name="xrf" localSheetId="12">#REF!</definedName>
    <definedName name="xrf" localSheetId="19">#REF!</definedName>
    <definedName name="xrf" localSheetId="30">#REF!</definedName>
    <definedName name="xrf">#REF!</definedName>
    <definedName name="xrr" localSheetId="6">#REF!</definedName>
    <definedName name="xrr" localSheetId="12">#REF!</definedName>
    <definedName name="xrr" localSheetId="19">#REF!</definedName>
    <definedName name="xrr" localSheetId="30">#REF!</definedName>
    <definedName name="xrr">#REF!</definedName>
    <definedName name="xrs" localSheetId="6">#REF!</definedName>
    <definedName name="xrs" localSheetId="12">#REF!</definedName>
    <definedName name="xrs" localSheetId="19">#REF!</definedName>
    <definedName name="xrs" localSheetId="30">#REF!</definedName>
    <definedName name="xrs">#REF!</definedName>
    <definedName name="xrs112" localSheetId="6">#REF!</definedName>
    <definedName name="xrs112" localSheetId="12">#REF!</definedName>
    <definedName name="xrs112" localSheetId="19">#REF!</definedName>
    <definedName name="xrs112" localSheetId="30">#REF!</definedName>
    <definedName name="xrs112">#REF!</definedName>
    <definedName name="xrs120" localSheetId="6">#REF!</definedName>
    <definedName name="xrs120" localSheetId="12">#REF!</definedName>
    <definedName name="xrs120" localSheetId="19">#REF!</definedName>
    <definedName name="xrs120" localSheetId="30">#REF!</definedName>
    <definedName name="xrs120">#REF!</definedName>
    <definedName name="xrsd225" localSheetId="6">#REF!</definedName>
    <definedName name="xrsd225" localSheetId="12">#REF!</definedName>
    <definedName name="xrsd225" localSheetId="19">#REF!</definedName>
    <definedName name="xrsd225" localSheetId="30">#REF!</definedName>
    <definedName name="xrsd225">#REF!</definedName>
    <definedName name="xsc" localSheetId="6">#REF!</definedName>
    <definedName name="xsc" localSheetId="12">#REF!</definedName>
    <definedName name="xsc" localSheetId="19">#REF!</definedName>
    <definedName name="xsc" localSheetId="30">#REF!</definedName>
    <definedName name="xsc">#REF!</definedName>
    <definedName name="xscp" localSheetId="6">#REF!</definedName>
    <definedName name="xscp" localSheetId="12">#REF!</definedName>
    <definedName name="xscp" localSheetId="19">#REF!</definedName>
    <definedName name="xscp" localSheetId="30">#REF!</definedName>
    <definedName name="xscp">#REF!</definedName>
    <definedName name="xsep" localSheetId="6">#REF!</definedName>
    <definedName name="xsep" localSheetId="12">#REF!</definedName>
    <definedName name="xsep" localSheetId="19">#REF!</definedName>
    <definedName name="xsep" localSheetId="30">#REF!</definedName>
    <definedName name="xsep">#REF!</definedName>
    <definedName name="xsfb" localSheetId="6">#REF!</definedName>
    <definedName name="xsfb" localSheetId="12">#REF!</definedName>
    <definedName name="xsfb" localSheetId="19">#REF!</definedName>
    <definedName name="xsfb" localSheetId="30">#REF!</definedName>
    <definedName name="xsfb">#REF!</definedName>
    <definedName name="XSIXTOXTHIRTEEN" localSheetId="5">#REF!</definedName>
    <definedName name="XSIXTOXTHIRTEEN" localSheetId="6">#REF!</definedName>
    <definedName name="XSIXTOXTHIRTEEN" localSheetId="12">#REF!</definedName>
    <definedName name="XSIXTOXTHIRTEEN" localSheetId="19">#REF!</definedName>
    <definedName name="XSIXTOXTHIRTEEN" localSheetId="30">#REF!</definedName>
    <definedName name="XSIXTOXTHIRTEEN">#REF!</definedName>
    <definedName name="xspread" localSheetId="6">#REF!</definedName>
    <definedName name="xspread" localSheetId="12">#REF!</definedName>
    <definedName name="xspread" localSheetId="19">#REF!</definedName>
    <definedName name="xspread" localSheetId="30">#REF!</definedName>
    <definedName name="xspread">#REF!</definedName>
    <definedName name="xss" localSheetId="6">#REF!</definedName>
    <definedName name="xss" localSheetId="12">#REF!</definedName>
    <definedName name="xss" localSheetId="19">#REF!</definedName>
    <definedName name="xss" localSheetId="30">#REF!</definedName>
    <definedName name="xss">#REF!</definedName>
    <definedName name="xtb" localSheetId="6">#REF!</definedName>
    <definedName name="xtb" localSheetId="12">#REF!</definedName>
    <definedName name="xtb" localSheetId="19">#REF!</definedName>
    <definedName name="xtb" localSheetId="30">#REF!</definedName>
    <definedName name="xtb">#REF!</definedName>
    <definedName name="xvrcc1153" localSheetId="6">#REF!</definedName>
    <definedName name="xvrcc1153" localSheetId="12">#REF!</definedName>
    <definedName name="xvrcc1153" localSheetId="19">#REF!</definedName>
    <definedName name="xvrcc1153" localSheetId="30">#REF!</definedName>
    <definedName name="xvrcc1153">#REF!</definedName>
    <definedName name="xvrcc124" localSheetId="6">#REF!</definedName>
    <definedName name="xvrcc124" localSheetId="12">#REF!</definedName>
    <definedName name="xvrcc124" localSheetId="19">#REF!</definedName>
    <definedName name="xvrcc124" localSheetId="30">#REF!</definedName>
    <definedName name="xvrcc124">#REF!</definedName>
    <definedName name="xww" localSheetId="6">#REF!</definedName>
    <definedName name="xww" localSheetId="12">#REF!</definedName>
    <definedName name="xww" localSheetId="19">#REF!</definedName>
    <definedName name="xww" localSheetId="30">#REF!</definedName>
    <definedName name="xww">#REF!</definedName>
    <definedName name="xx" localSheetId="27" hidden="1">{"'ridftotal'!$A$4:$S$27"}</definedName>
    <definedName name="xx" localSheetId="22" hidden="1">{"'ridftotal'!$A$4:$S$27"}</definedName>
    <definedName name="xx" localSheetId="14" hidden="1">{"'ridftotal'!$A$4:$S$27"}</definedName>
    <definedName name="xx" localSheetId="34" hidden="1">{"'ridftotal'!$A$4:$S$27"}</definedName>
    <definedName name="xx" localSheetId="21" hidden="1">{"'ridftotal'!$A$4:$S$27"}</definedName>
    <definedName name="xx" localSheetId="19" hidden="1">{"'ridftotal'!$A$4:$S$27"}</definedName>
    <definedName name="xx" localSheetId="32" hidden="1">{"'ridftotal'!$A$4:$S$27"}</definedName>
    <definedName name="xx" localSheetId="30" hidden="1">{"'ridftotal'!$A$4:$S$27"}</definedName>
    <definedName name="xx" localSheetId="11" hidden="1">{"'ridftotal'!$A$4:$S$27"}</definedName>
    <definedName name="xx" localSheetId="3" hidden="1">{"'ridftotal'!$A$4:$S$27"}</definedName>
    <definedName name="xx" hidden="1">{"'ridftotal'!$A$4:$S$27"}</definedName>
    <definedName name="xxx" localSheetId="6">#REF!</definedName>
    <definedName name="xxx" localSheetId="12">#REF!</definedName>
    <definedName name="xxx" localSheetId="19">#REF!</definedName>
    <definedName name="xxx" localSheetId="30">#REF!</definedName>
    <definedName name="xxx">#REF!</definedName>
    <definedName name="xxxbxb" localSheetId="22">#REF!</definedName>
    <definedName name="xxxbxb" localSheetId="5">#REF!</definedName>
    <definedName name="xxxbxb" localSheetId="6">#REF!</definedName>
    <definedName name="xxxbxb" localSheetId="12">#REF!</definedName>
    <definedName name="xxxbxb" localSheetId="34">#REF!</definedName>
    <definedName name="xxxbxb" localSheetId="19">#REF!</definedName>
    <definedName name="xxxbxb" localSheetId="30">#REF!</definedName>
    <definedName name="xxxbxb" localSheetId="40">#REF!</definedName>
    <definedName name="xxxbxb" localSheetId="26">#REF!</definedName>
    <definedName name="xxxbxb">#REF!</definedName>
    <definedName name="xxxx" localSheetId="27" hidden="1">{"'ridftotal'!$A$4:$S$27"}</definedName>
    <definedName name="xxxx" localSheetId="22" hidden="1">{"'ridftotal'!$A$4:$S$27"}</definedName>
    <definedName name="xxxx" localSheetId="14" hidden="1">{"'ridftotal'!$A$4:$S$27"}</definedName>
    <definedName name="xxxx" localSheetId="34" hidden="1">{"'ridftotal'!$A$4:$S$27"}</definedName>
    <definedName name="xxxx" localSheetId="21" hidden="1">{"'ridftotal'!$A$4:$S$27"}</definedName>
    <definedName name="xxxx" localSheetId="19" hidden="1">{"'ridftotal'!$A$4:$S$27"}</definedName>
    <definedName name="xxxx" localSheetId="32" hidden="1">{"'ridftotal'!$A$4:$S$27"}</definedName>
    <definedName name="xxxx" localSheetId="30" hidden="1">{"'ridftotal'!$A$4:$S$27"}</definedName>
    <definedName name="xxxx" localSheetId="11" hidden="1">{"'ridftotal'!$A$4:$S$27"}</definedName>
    <definedName name="xxxx" localSheetId="3" hidden="1">{"'ridftotal'!$A$4:$S$27"}</definedName>
    <definedName name="xxxx" hidden="1">{"'ridftotal'!$A$4:$S$27"}</definedName>
    <definedName name="xz" localSheetId="19">#REF!</definedName>
    <definedName name="y" localSheetId="22">#REF!</definedName>
    <definedName name="y" localSheetId="5">#REF!</definedName>
    <definedName name="y" localSheetId="6">#REF!</definedName>
    <definedName name="y" localSheetId="12">#REF!</definedName>
    <definedName name="y" localSheetId="34">#REF!</definedName>
    <definedName name="y" localSheetId="19">#REF!</definedName>
    <definedName name="y" localSheetId="30">#REF!</definedName>
    <definedName name="y" localSheetId="40">#REF!</definedName>
    <definedName name="y" localSheetId="26">#REF!</definedName>
    <definedName name="y">#REF!</definedName>
    <definedName name="y_43">"$#REF!.$A$2:$L$14"</definedName>
    <definedName name="y_59">"$#REF!.$A$2:$L$14"</definedName>
    <definedName name="y_61">"$#REF!.$A$2:$L$14"</definedName>
    <definedName name="year" localSheetId="5">#REF!</definedName>
    <definedName name="year" localSheetId="6">#REF!</definedName>
    <definedName name="year" localSheetId="12">#REF!</definedName>
    <definedName name="year" localSheetId="34">#REF!</definedName>
    <definedName name="year" localSheetId="19">#REF!</definedName>
    <definedName name="year" localSheetId="30">#REF!</definedName>
    <definedName name="year">#REF!</definedName>
    <definedName name="yeild" localSheetId="27">#REF!</definedName>
    <definedName name="yeild">#REF!</definedName>
    <definedName name="yes" localSheetId="5">#REF!</definedName>
    <definedName name="yes">#REF!</definedName>
    <definedName name="ytttyt" localSheetId="27">#REF!</definedName>
    <definedName name="ytttyt">#REF!</definedName>
    <definedName name="ytyttyfg">#REF!</definedName>
    <definedName name="yyuydr">#REF!</definedName>
    <definedName name="yyuye">#REF!</definedName>
    <definedName name="yyuyu">#REF!</definedName>
    <definedName name="yyyyy" localSheetId="5">#REF!</definedName>
    <definedName name="yyyyy" localSheetId="6">#REF!</definedName>
    <definedName name="yyyyy" localSheetId="12">#REF!</definedName>
    <definedName name="yyyyy" localSheetId="34">#REF!</definedName>
    <definedName name="yyyyy" localSheetId="19">#REF!</definedName>
    <definedName name="yyyyy" localSheetId="30">#REF!</definedName>
    <definedName name="yyyyy">#REF!</definedName>
    <definedName name="yyyyy_33">"$#REF!.$#REF!$#REF!"</definedName>
    <definedName name="yyyyyyyyyyyyyyyyyyyyyyyyyyyyyyyyyyyyyyyyyyyy" localSheetId="27">#REF!</definedName>
    <definedName name="yyyyyyyyyyyyyyyyyyyyyyyyyyyyyyyyyyyyyyyyyyyy">#REF!</definedName>
    <definedName name="z" localSheetId="34">#REF!</definedName>
    <definedName name="z.p.h.s" localSheetId="19">#REF!</definedName>
    <definedName name="zam" localSheetId="5">#REF!</definedName>
    <definedName name="zam" localSheetId="6">#REF!</definedName>
    <definedName name="zam" localSheetId="12">#REF!</definedName>
    <definedName name="zam" localSheetId="34">#REF!</definedName>
    <definedName name="zam" localSheetId="19">#REF!</definedName>
    <definedName name="zam" localSheetId="30">#REF!</definedName>
    <definedName name="zam">#REF!</definedName>
    <definedName name="ZEROTOSIX" localSheetId="5">#REF!</definedName>
    <definedName name="ZEROTOSIX" localSheetId="6">#REF!</definedName>
    <definedName name="ZEROTOSIX" localSheetId="12">#REF!</definedName>
    <definedName name="ZEROTOSIX" localSheetId="19">#REF!</definedName>
    <definedName name="ZEROTOSIX" localSheetId="30">#REF!</definedName>
    <definedName name="ZEROTOSIX">#REF!</definedName>
    <definedName name="Zip" localSheetId="22">#REF!</definedName>
    <definedName name="Zip" localSheetId="5">#REF!</definedName>
    <definedName name="Zip" localSheetId="6">#REF!</definedName>
    <definedName name="Zip" localSheetId="12">#REF!</definedName>
    <definedName name="Zip" localSheetId="34">#REF!</definedName>
    <definedName name="Zip" localSheetId="19">#REF!</definedName>
    <definedName name="Zip" localSheetId="30">#REF!</definedName>
    <definedName name="Zip" localSheetId="40">#REF!</definedName>
    <definedName name="Zip" localSheetId="26">#REF!</definedName>
    <definedName name="Zip">#REF!</definedName>
    <definedName name="ZPHS.">#REF!</definedName>
    <definedName name="zzz" localSheetId="27" hidden="1">{"'ridftotal'!$A$4:$S$27"}</definedName>
    <definedName name="zzz" localSheetId="22" hidden="1">{"'ridftotal'!$A$4:$S$27"}</definedName>
    <definedName name="zzz" localSheetId="14" hidden="1">{"'ridftotal'!$A$4:$S$27"}</definedName>
    <definedName name="zzz" localSheetId="19" hidden="1">{"'ridftotal'!$A$4:$S$27"}</definedName>
    <definedName name="zzz" localSheetId="30" hidden="1">{"'ridftotal'!$A$4:$S$27"}</definedName>
    <definedName name="zzz" hidden="1">{"'ridftotal'!$A$4:$S$27"}</definedName>
  </definedNames>
  <calcPr calcId="144525"/>
</workbook>
</file>

<file path=xl/calcChain.xml><?xml version="1.0" encoding="utf-8"?>
<calcChain xmlns="http://schemas.openxmlformats.org/spreadsheetml/2006/main">
  <c r="F8" i="164" l="1"/>
  <c r="F21" i="164" s="1"/>
  <c r="F6" i="164"/>
  <c r="A20" i="133" l="1"/>
  <c r="A19" i="133"/>
  <c r="A13" i="133"/>
  <c r="A12" i="133"/>
  <c r="A10" i="133"/>
  <c r="A9" i="133"/>
  <c r="F16" i="203" l="1"/>
  <c r="A60" i="164"/>
  <c r="A56" i="164"/>
  <c r="A32" i="164"/>
  <c r="A28" i="164"/>
  <c r="A24" i="164"/>
  <c r="A20" i="164"/>
  <c r="F25" i="164"/>
  <c r="F29" i="164" s="1"/>
  <c r="G29" i="164"/>
  <c r="H35" i="201"/>
  <c r="H34" i="201"/>
  <c r="E35" i="201"/>
  <c r="E34" i="201"/>
  <c r="B35" i="201"/>
  <c r="B34" i="201"/>
  <c r="C10" i="185" l="1"/>
  <c r="C11" i="185" s="1"/>
  <c r="E16" i="107"/>
  <c r="E13" i="107"/>
  <c r="I7" i="164"/>
  <c r="C6" i="171"/>
  <c r="C5" i="171"/>
  <c r="F20" i="200"/>
  <c r="D20" i="200"/>
  <c r="H30" i="162" l="1"/>
  <c r="N30" i="162" s="1"/>
  <c r="C15" i="184" l="1"/>
  <c r="C14" i="184"/>
  <c r="C13" i="184"/>
  <c r="C12" i="184"/>
  <c r="C11" i="184"/>
  <c r="F7" i="184"/>
  <c r="E7" i="184"/>
  <c r="B2" i="184"/>
  <c r="H15" i="147"/>
  <c r="G15" i="147"/>
  <c r="H14" i="147"/>
  <c r="G14" i="147"/>
  <c r="H13" i="147"/>
  <c r="G13" i="147"/>
  <c r="H12" i="147"/>
  <c r="G12" i="147"/>
  <c r="H11" i="147"/>
  <c r="G11" i="147"/>
  <c r="H10" i="147"/>
  <c r="G10" i="147"/>
  <c r="H9" i="147"/>
  <c r="G9" i="147"/>
  <c r="G6" i="146"/>
  <c r="I8" i="147"/>
  <c r="I9" i="147" s="1"/>
  <c r="I10" i="147" s="1"/>
  <c r="I11" i="147" s="1"/>
  <c r="H8" i="147"/>
  <c r="G8" i="147"/>
  <c r="A18" i="146"/>
  <c r="A19" i="146"/>
  <c r="A20" i="146"/>
  <c r="A21" i="146"/>
  <c r="A22" i="146" s="1"/>
  <c r="A23" i="146" s="1"/>
  <c r="A24" i="146" s="1"/>
  <c r="A25" i="146" s="1"/>
  <c r="A26" i="146" s="1"/>
  <c r="A27" i="146" s="1"/>
  <c r="A28" i="146" s="1"/>
  <c r="A29" i="146" s="1"/>
  <c r="A30" i="146" s="1"/>
  <c r="A31" i="146" s="1"/>
  <c r="A32" i="146" s="1"/>
  <c r="N13" i="146"/>
  <c r="G7" i="146"/>
  <c r="G8" i="146"/>
  <c r="G9" i="146" s="1"/>
  <c r="F13" i="146"/>
  <c r="E13" i="146"/>
  <c r="N12" i="146"/>
  <c r="F12" i="146"/>
  <c r="E12" i="146"/>
  <c r="N11" i="146"/>
  <c r="F11" i="146"/>
  <c r="E11" i="146"/>
  <c r="N10" i="146"/>
  <c r="F10" i="146"/>
  <c r="E10" i="146"/>
  <c r="N9" i="146"/>
  <c r="F9" i="146"/>
  <c r="E9" i="146"/>
  <c r="N8" i="146"/>
  <c r="F8" i="146"/>
  <c r="E8" i="146"/>
  <c r="P7" i="146"/>
  <c r="N7" i="146"/>
  <c r="I6" i="146"/>
  <c r="I7" i="146" s="1"/>
  <c r="I8" i="146" s="1"/>
  <c r="I9" i="146" s="1"/>
  <c r="F7" i="146"/>
  <c r="E7" i="146"/>
  <c r="N6" i="146"/>
  <c r="K8" i="147"/>
  <c r="K9" i="147" s="1"/>
  <c r="K10" i="147" s="1"/>
  <c r="K11" i="147" s="1"/>
  <c r="F6" i="146"/>
  <c r="E6" i="146"/>
  <c r="B1" i="146"/>
  <c r="C1" i="147" s="1"/>
  <c r="E303" i="202"/>
  <c r="D303" i="202"/>
  <c r="E297" i="202"/>
  <c r="D297" i="202"/>
  <c r="B282" i="202"/>
  <c r="E280" i="202"/>
  <c r="G280" i="202" s="1"/>
  <c r="E281" i="202"/>
  <c r="G281" i="202" s="1"/>
  <c r="E264" i="202"/>
  <c r="E285" i="202" s="1"/>
  <c r="G285" i="202" s="1"/>
  <c r="G286" i="202" s="1"/>
  <c r="B262" i="202"/>
  <c r="E261" i="202"/>
  <c r="G261" i="202"/>
  <c r="B258" i="202"/>
  <c r="E257" i="202"/>
  <c r="G257" i="202" s="1"/>
  <c r="E256" i="202"/>
  <c r="G256" i="202" s="1"/>
  <c r="A248" i="202"/>
  <c r="E239" i="202"/>
  <c r="G239" i="202"/>
  <c r="E237" i="202"/>
  <c r="G237" i="202" s="1"/>
  <c r="E236" i="202"/>
  <c r="G236" i="202"/>
  <c r="B233" i="202"/>
  <c r="E232" i="202"/>
  <c r="G232" i="202" s="1"/>
  <c r="E231" i="202"/>
  <c r="G231" i="202" s="1"/>
  <c r="E204" i="202"/>
  <c r="G204" i="202" s="1"/>
  <c r="E203" i="202"/>
  <c r="G203" i="202" s="1"/>
  <c r="E201" i="202"/>
  <c r="G201" i="202" s="1"/>
  <c r="B198" i="202"/>
  <c r="E197" i="202"/>
  <c r="G197" i="202"/>
  <c r="E196" i="202"/>
  <c r="G196" i="202"/>
  <c r="E195" i="202"/>
  <c r="G195" i="202"/>
  <c r="E198" i="202" s="1"/>
  <c r="G198" i="202" s="1"/>
  <c r="A190" i="202"/>
  <c r="G159" i="202"/>
  <c r="E156" i="202"/>
  <c r="G154" i="202"/>
  <c r="G143" i="202"/>
  <c r="J138" i="202"/>
  <c r="J135" i="202"/>
  <c r="K135" i="202"/>
  <c r="B114" i="202"/>
  <c r="E84" i="202"/>
  <c r="E113" i="202" s="1"/>
  <c r="G113" i="202" s="1"/>
  <c r="E91" i="202"/>
  <c r="F163" i="202"/>
  <c r="G163" i="202" s="1"/>
  <c r="E90" i="202"/>
  <c r="E119" i="202" s="1"/>
  <c r="G119" i="202" s="1"/>
  <c r="B85" i="202"/>
  <c r="G84" i="202"/>
  <c r="G65" i="202"/>
  <c r="E37" i="202"/>
  <c r="E64" i="202" s="1"/>
  <c r="G64" i="202" s="1"/>
  <c r="E62" i="202"/>
  <c r="G62" i="202"/>
  <c r="B59" i="202"/>
  <c r="G37" i="202"/>
  <c r="G36" i="202"/>
  <c r="E35" i="202"/>
  <c r="E34" i="202"/>
  <c r="E88" i="202"/>
  <c r="G88" i="202" s="1"/>
  <c r="B31" i="202"/>
  <c r="E30" i="202"/>
  <c r="E58" i="202"/>
  <c r="G29" i="202"/>
  <c r="P20" i="202"/>
  <c r="P15" i="202"/>
  <c r="G9" i="202"/>
  <c r="P10" i="202"/>
  <c r="E399" i="113"/>
  <c r="D399" i="113"/>
  <c r="C387" i="113"/>
  <c r="B387" i="113"/>
  <c r="G381" i="113"/>
  <c r="G382" i="113"/>
  <c r="G383" i="113"/>
  <c r="G375" i="113"/>
  <c r="G376" i="113"/>
  <c r="G379" i="113" s="1"/>
  <c r="G377" i="113"/>
  <c r="G378" i="113"/>
  <c r="B372" i="113"/>
  <c r="G369" i="113"/>
  <c r="G370" i="113"/>
  <c r="E372" i="113" s="1"/>
  <c r="G371" i="113"/>
  <c r="D362" i="113"/>
  <c r="D363" i="113"/>
  <c r="D361" i="113"/>
  <c r="D359" i="113"/>
  <c r="B359" i="113"/>
  <c r="E355" i="113"/>
  <c r="G355" i="113" s="1"/>
  <c r="E354" i="113"/>
  <c r="G354" i="113" s="1"/>
  <c r="B351" i="113"/>
  <c r="E350" i="113"/>
  <c r="G350" i="113" s="1"/>
  <c r="E349" i="113"/>
  <c r="G349" i="113" s="1"/>
  <c r="E348" i="113"/>
  <c r="G348" i="113" s="1"/>
  <c r="E351" i="113" s="1"/>
  <c r="D339" i="113"/>
  <c r="D340" i="113"/>
  <c r="D338" i="113"/>
  <c r="D336" i="113"/>
  <c r="B336" i="113"/>
  <c r="B333" i="113"/>
  <c r="E332" i="113"/>
  <c r="G332" i="113"/>
  <c r="E331" i="113"/>
  <c r="G331" i="113"/>
  <c r="E330" i="113"/>
  <c r="G330" i="113"/>
  <c r="E333" i="113" s="1"/>
  <c r="G333" i="113" s="1"/>
  <c r="D325" i="113"/>
  <c r="D326" i="113"/>
  <c r="D324" i="113"/>
  <c r="D322" i="113"/>
  <c r="B322" i="113"/>
  <c r="B319" i="113"/>
  <c r="E318" i="113"/>
  <c r="G318" i="113"/>
  <c r="E317" i="113"/>
  <c r="G317" i="113"/>
  <c r="E316" i="113"/>
  <c r="G316" i="113"/>
  <c r="E319" i="113" s="1"/>
  <c r="G319" i="113" s="1"/>
  <c r="D312" i="113"/>
  <c r="D313" i="113"/>
  <c r="D311" i="113"/>
  <c r="D309" i="113"/>
  <c r="B309" i="113"/>
  <c r="B306" i="113"/>
  <c r="E305" i="113"/>
  <c r="G305" i="113"/>
  <c r="E304" i="113"/>
  <c r="G304" i="113"/>
  <c r="E303" i="113"/>
  <c r="G303" i="113"/>
  <c r="E306" i="113" s="1"/>
  <c r="G306" i="113" s="1"/>
  <c r="D294" i="113"/>
  <c r="D295" i="113"/>
  <c r="D293" i="113"/>
  <c r="D291" i="113"/>
  <c r="B291" i="113"/>
  <c r="E287" i="113"/>
  <c r="G287" i="113" s="1"/>
  <c r="G288" i="113" s="1"/>
  <c r="B284" i="113"/>
  <c r="E283" i="113"/>
  <c r="G283" i="113" s="1"/>
  <c r="E282" i="113"/>
  <c r="G282" i="113" s="1"/>
  <c r="E281" i="113"/>
  <c r="G281" i="113" s="1"/>
  <c r="A105" i="113"/>
  <c r="A131" i="113" s="1"/>
  <c r="A156" i="113" s="1"/>
  <c r="A180" i="113" s="1"/>
  <c r="A232" i="113" s="1"/>
  <c r="A253" i="113" s="1"/>
  <c r="A276" i="113" s="1"/>
  <c r="D272" i="113"/>
  <c r="D273" i="113"/>
  <c r="D271" i="113"/>
  <c r="D269" i="113"/>
  <c r="B269" i="113"/>
  <c r="E265" i="113"/>
  <c r="G265" i="113" s="1"/>
  <c r="E264" i="113"/>
  <c r="G264" i="113" s="1"/>
  <c r="B261" i="113"/>
  <c r="E260" i="113"/>
  <c r="G260" i="113"/>
  <c r="E259" i="113"/>
  <c r="G259" i="113"/>
  <c r="E258" i="113"/>
  <c r="G258" i="113"/>
  <c r="E252" i="113"/>
  <c r="D250" i="113"/>
  <c r="D251" i="113" s="1"/>
  <c r="D249" i="113"/>
  <c r="D247" i="113"/>
  <c r="B247" i="113"/>
  <c r="E243" i="113"/>
  <c r="G243" i="113"/>
  <c r="G244" i="113" s="1"/>
  <c r="B240" i="113"/>
  <c r="E239" i="113"/>
  <c r="G239" i="113"/>
  <c r="E238" i="113"/>
  <c r="G238" i="113"/>
  <c r="E237" i="113"/>
  <c r="G237" i="113"/>
  <c r="E240" i="113" s="1"/>
  <c r="G240" i="113" s="1"/>
  <c r="B226" i="113"/>
  <c r="B225" i="113"/>
  <c r="E220" i="113"/>
  <c r="G220" i="113"/>
  <c r="E219" i="113"/>
  <c r="G219" i="113"/>
  <c r="G221" i="113" s="1"/>
  <c r="B215" i="113"/>
  <c r="B214" i="113"/>
  <c r="B208" i="113"/>
  <c r="E207" i="113"/>
  <c r="G207" i="113"/>
  <c r="E206" i="113"/>
  <c r="G206" i="113"/>
  <c r="E205" i="113"/>
  <c r="G205" i="113"/>
  <c r="D195" i="113"/>
  <c r="B195" i="113"/>
  <c r="B187" i="113"/>
  <c r="E186" i="113"/>
  <c r="G186" i="113" s="1"/>
  <c r="E185" i="113"/>
  <c r="G185" i="113" s="1"/>
  <c r="E184" i="113"/>
  <c r="G184" i="113" s="1"/>
  <c r="C173" i="113"/>
  <c r="B173" i="113"/>
  <c r="E170" i="113"/>
  <c r="G170" i="113"/>
  <c r="E169" i="113"/>
  <c r="G169" i="113"/>
  <c r="G171" i="113" s="1"/>
  <c r="B162" i="113"/>
  <c r="E161" i="113"/>
  <c r="G161" i="113"/>
  <c r="E160" i="113"/>
  <c r="G160" i="113"/>
  <c r="D149" i="113"/>
  <c r="B149" i="113"/>
  <c r="B143" i="113"/>
  <c r="B142" i="113"/>
  <c r="B139" i="113"/>
  <c r="E138" i="113"/>
  <c r="G138" i="113" s="1"/>
  <c r="E137" i="113"/>
  <c r="G137" i="113" s="1"/>
  <c r="E136" i="113"/>
  <c r="G136" i="113" s="1"/>
  <c r="B124" i="113"/>
  <c r="D123" i="113"/>
  <c r="B123" i="113"/>
  <c r="B117" i="113"/>
  <c r="B116" i="113"/>
  <c r="B113" i="113"/>
  <c r="E112" i="113"/>
  <c r="G112" i="113" s="1"/>
  <c r="E111" i="113"/>
  <c r="G111" i="113" s="1"/>
  <c r="E110" i="113"/>
  <c r="G110" i="113" s="1"/>
  <c r="B99" i="113"/>
  <c r="C98" i="113"/>
  <c r="B98" i="113"/>
  <c r="E93" i="113"/>
  <c r="G93" i="113" s="1"/>
  <c r="E92" i="113"/>
  <c r="G92" i="113" s="1"/>
  <c r="G94" i="113" s="1"/>
  <c r="B88" i="113"/>
  <c r="B87" i="113"/>
  <c r="B81" i="113"/>
  <c r="E80" i="113"/>
  <c r="G80" i="113" s="1"/>
  <c r="E79" i="113"/>
  <c r="G79" i="113" s="1"/>
  <c r="E78" i="113"/>
  <c r="G78" i="113" s="1"/>
  <c r="C67" i="113"/>
  <c r="B67" i="113"/>
  <c r="B61" i="113"/>
  <c r="E10" i="113"/>
  <c r="E60" i="113"/>
  <c r="G60" i="113" s="1"/>
  <c r="E59" i="113"/>
  <c r="G59" i="113" s="1"/>
  <c r="A55" i="113"/>
  <c r="C48" i="113"/>
  <c r="B48" i="113"/>
  <c r="E46" i="113"/>
  <c r="G46" i="113"/>
  <c r="B43" i="113"/>
  <c r="C32" i="113"/>
  <c r="B32" i="113"/>
  <c r="E30" i="113"/>
  <c r="G30" i="113" s="1"/>
  <c r="B27" i="113"/>
  <c r="E26" i="113"/>
  <c r="G26" i="113"/>
  <c r="E9" i="113"/>
  <c r="G9" i="113" s="1"/>
  <c r="E25" i="113"/>
  <c r="G25" i="113" s="1"/>
  <c r="B16" i="113"/>
  <c r="C15" i="113"/>
  <c r="B15" i="113"/>
  <c r="E13" i="113"/>
  <c r="G13" i="113"/>
  <c r="B11" i="113"/>
  <c r="G10" i="113"/>
  <c r="D2" i="113"/>
  <c r="K129" i="86"/>
  <c r="J129" i="86"/>
  <c r="I129" i="86"/>
  <c r="H129" i="86"/>
  <c r="G101" i="86"/>
  <c r="K95" i="86"/>
  <c r="P78" i="86"/>
  <c r="O78" i="86"/>
  <c r="P61" i="86"/>
  <c r="P60" i="86"/>
  <c r="P59" i="86"/>
  <c r="B38" i="86"/>
  <c r="B39" i="86" s="1"/>
  <c r="B40" i="86" s="1"/>
  <c r="B41" i="86" s="1"/>
  <c r="B42" i="86" s="1"/>
  <c r="B43" i="86" s="1"/>
  <c r="B44" i="86" s="1"/>
  <c r="B45" i="86" s="1"/>
  <c r="B46" i="86" s="1"/>
  <c r="B47" i="86" s="1"/>
  <c r="B48" i="86" s="1"/>
  <c r="B49" i="86" s="1"/>
  <c r="B50" i="86" s="1"/>
  <c r="B51" i="86" s="1"/>
  <c r="B52" i="86" s="1"/>
  <c r="B53" i="86" s="1"/>
  <c r="B54" i="86" s="1"/>
  <c r="B55" i="86" s="1"/>
  <c r="B56" i="86" s="1"/>
  <c r="B57" i="86" s="1"/>
  <c r="B58" i="86" s="1"/>
  <c r="B59" i="86" s="1"/>
  <c r="B60" i="86" s="1"/>
  <c r="B61" i="86" s="1"/>
  <c r="B62" i="86" s="1"/>
  <c r="B63" i="86" s="1"/>
  <c r="B64" i="86" s="1"/>
  <c r="B65" i="86" s="1"/>
  <c r="B66" i="86" s="1"/>
  <c r="B67" i="86" s="1"/>
  <c r="B68" i="86" s="1"/>
  <c r="B69" i="86" s="1"/>
  <c r="B70" i="86" s="1"/>
  <c r="B71" i="86" s="1"/>
  <c r="B72" i="86" s="1"/>
  <c r="B73" i="86" s="1"/>
  <c r="B74" i="86" s="1"/>
  <c r="B75" i="86" s="1"/>
  <c r="B76" i="86" s="1"/>
  <c r="B77" i="86" s="1"/>
  <c r="B78" i="86" s="1"/>
  <c r="B79" i="86" s="1"/>
  <c r="B80" i="86" s="1"/>
  <c r="B81" i="86" s="1"/>
  <c r="B82" i="86" s="1"/>
  <c r="B83" i="86" s="1"/>
  <c r="B84" i="86" s="1"/>
  <c r="B85" i="86" s="1"/>
  <c r="B86" i="86" s="1"/>
  <c r="B87" i="86" s="1"/>
  <c r="B88" i="86" s="1"/>
  <c r="B89" i="86" s="1"/>
  <c r="B90" i="86" s="1"/>
  <c r="B91" i="86" s="1"/>
  <c r="B92" i="86" s="1"/>
  <c r="B93" i="86" s="1"/>
  <c r="B94" i="86" s="1"/>
  <c r="B95" i="86" s="1"/>
  <c r="B96" i="86" s="1"/>
  <c r="B97" i="86" s="1"/>
  <c r="B98" i="86" s="1"/>
  <c r="B99" i="86" s="1"/>
  <c r="B100" i="86" s="1"/>
  <c r="B101" i="86" s="1"/>
  <c r="B102" i="86" s="1"/>
  <c r="B103" i="86" s="1"/>
  <c r="B104" i="86" s="1"/>
  <c r="B105" i="86" s="1"/>
  <c r="B106" i="86" s="1"/>
  <c r="B107" i="86" s="1"/>
  <c r="B108" i="86" s="1"/>
  <c r="B109" i="86" s="1"/>
  <c r="B110" i="86" s="1"/>
  <c r="B111" i="86" s="1"/>
  <c r="B112" i="86" s="1"/>
  <c r="B113" i="86" s="1"/>
  <c r="B114" i="86" s="1"/>
  <c r="B115" i="86" s="1"/>
  <c r="B116" i="86" s="1"/>
  <c r="B117" i="86" s="1"/>
  <c r="B118" i="86" s="1"/>
  <c r="B119" i="86" s="1"/>
  <c r="B120" i="86" s="1"/>
  <c r="B121" i="86" s="1"/>
  <c r="B122" i="86" s="1"/>
  <c r="B123" i="86" s="1"/>
  <c r="B124" i="86" s="1"/>
  <c r="B125" i="86" s="1"/>
  <c r="B126" i="86" s="1"/>
  <c r="B127" i="86" s="1"/>
  <c r="B128" i="86" s="1"/>
  <c r="B129" i="86" s="1"/>
  <c r="B130" i="86" s="1"/>
  <c r="B131" i="86" s="1"/>
  <c r="B132" i="86" s="1"/>
  <c r="B133" i="86" s="1"/>
  <c r="B134" i="86" s="1"/>
  <c r="B135" i="86" s="1"/>
  <c r="B136" i="86" s="1"/>
  <c r="B137" i="86" s="1"/>
  <c r="B138" i="86" s="1"/>
  <c r="B139" i="86" s="1"/>
  <c r="B140" i="86" s="1"/>
  <c r="B141" i="86" s="1"/>
  <c r="B142" i="86" s="1"/>
  <c r="B143" i="86" s="1"/>
  <c r="B144" i="86" s="1"/>
  <c r="B145" i="86" s="1"/>
  <c r="B146" i="86" s="1"/>
  <c r="B147" i="86" s="1"/>
  <c r="B148" i="86" s="1"/>
  <c r="B149" i="86" s="1"/>
  <c r="B150" i="86" s="1"/>
  <c r="B151" i="86" s="1"/>
  <c r="B152" i="86" s="1"/>
  <c r="B153" i="86" s="1"/>
  <c r="B154" i="86" s="1"/>
  <c r="B155" i="86" s="1"/>
  <c r="B156" i="86" s="1"/>
  <c r="B157" i="86" s="1"/>
  <c r="B158" i="86" s="1"/>
  <c r="B159" i="86" s="1"/>
  <c r="B160" i="86" s="1"/>
  <c r="B161" i="86" s="1"/>
  <c r="B162" i="86" s="1"/>
  <c r="B163" i="86" s="1"/>
  <c r="B164" i="86" s="1"/>
  <c r="B165" i="86" s="1"/>
  <c r="B166" i="86" s="1"/>
  <c r="B167" i="86" s="1"/>
  <c r="B168" i="86" s="1"/>
  <c r="B169" i="86" s="1"/>
  <c r="B170" i="86" s="1"/>
  <c r="B171" i="86" s="1"/>
  <c r="B172" i="86" s="1"/>
  <c r="B173" i="86" s="1"/>
  <c r="B174" i="86" s="1"/>
  <c r="B175" i="86" s="1"/>
  <c r="B176" i="86" s="1"/>
  <c r="B177" i="86" s="1"/>
  <c r="B178" i="86" s="1"/>
  <c r="B179" i="86" s="1"/>
  <c r="B180" i="86" s="1"/>
  <c r="B181" i="86" s="1"/>
  <c r="B182" i="86" s="1"/>
  <c r="B183" i="86" s="1"/>
  <c r="B184" i="86" s="1"/>
  <c r="B185" i="86" s="1"/>
  <c r="B186" i="86" s="1"/>
  <c r="B187" i="86" s="1"/>
  <c r="B188" i="86" s="1"/>
  <c r="B189" i="86" s="1"/>
  <c r="B190" i="86" s="1"/>
  <c r="B191" i="86" s="1"/>
  <c r="B192" i="86" s="1"/>
  <c r="B193" i="86" s="1"/>
  <c r="B194" i="86" s="1"/>
  <c r="B195" i="86" s="1"/>
  <c r="B196" i="86" s="1"/>
  <c r="B197" i="86" s="1"/>
  <c r="B198" i="86" s="1"/>
  <c r="B199" i="86" s="1"/>
  <c r="B200" i="86" s="1"/>
  <c r="B201" i="86" s="1"/>
  <c r="B202" i="86" s="1"/>
  <c r="B203" i="86" s="1"/>
  <c r="B204" i="86" s="1"/>
  <c r="B205" i="86" s="1"/>
  <c r="B206" i="86" s="1"/>
  <c r="B207" i="86" s="1"/>
  <c r="B208" i="86" s="1"/>
  <c r="B209" i="86" s="1"/>
  <c r="B210" i="86" s="1"/>
  <c r="B211" i="86" s="1"/>
  <c r="B212" i="86" s="1"/>
  <c r="B213" i="86" s="1"/>
  <c r="B214" i="86" s="1"/>
  <c r="B215" i="86" s="1"/>
  <c r="B216" i="86" s="1"/>
  <c r="B217" i="86" s="1"/>
  <c r="B218" i="86" s="1"/>
  <c r="B219" i="86" s="1"/>
  <c r="B220" i="86" s="1"/>
  <c r="B221" i="86" s="1"/>
  <c r="B222" i="86" s="1"/>
  <c r="B223" i="86" s="1"/>
  <c r="B224" i="86" s="1"/>
  <c r="B225" i="86" s="1"/>
  <c r="B226" i="86" s="1"/>
  <c r="B227" i="86" s="1"/>
  <c r="B228" i="86" s="1"/>
  <c r="B229" i="86" s="1"/>
  <c r="B230" i="86" s="1"/>
  <c r="B231" i="86" s="1"/>
  <c r="B232" i="86" s="1"/>
  <c r="B233" i="86" s="1"/>
  <c r="B234" i="86" s="1"/>
  <c r="B235" i="86" s="1"/>
  <c r="B236" i="86" s="1"/>
  <c r="B237" i="86" s="1"/>
  <c r="B238" i="86" s="1"/>
  <c r="B239" i="86" s="1"/>
  <c r="B240" i="86" s="1"/>
  <c r="B241" i="86" s="1"/>
  <c r="B242" i="86" s="1"/>
  <c r="B243" i="86" s="1"/>
  <c r="B244" i="86" s="1"/>
  <c r="B245" i="86" s="1"/>
  <c r="B246" i="86" s="1"/>
  <c r="B247" i="86" s="1"/>
  <c r="B248" i="86" s="1"/>
  <c r="B249" i="86" s="1"/>
  <c r="B250" i="86" s="1"/>
  <c r="B251" i="86" s="1"/>
  <c r="B252" i="86" s="1"/>
  <c r="B253" i="86" s="1"/>
  <c r="B254" i="86" s="1"/>
  <c r="B255" i="86" s="1"/>
  <c r="B256" i="86" s="1"/>
  <c r="B257" i="86" s="1"/>
  <c r="B258" i="86" s="1"/>
  <c r="B259" i="86" s="1"/>
  <c r="B260" i="86" s="1"/>
  <c r="B261" i="86" s="1"/>
  <c r="B262" i="86" s="1"/>
  <c r="B263" i="86" s="1"/>
  <c r="B264" i="86" s="1"/>
  <c r="B265" i="86" s="1"/>
  <c r="B266" i="86" s="1"/>
  <c r="B267" i="86" s="1"/>
  <c r="B268" i="86" s="1"/>
  <c r="B269" i="86" s="1"/>
  <c r="B270" i="86" s="1"/>
  <c r="B271" i="86" s="1"/>
  <c r="B272" i="86" s="1"/>
  <c r="B273" i="86" s="1"/>
  <c r="B274" i="86" s="1"/>
  <c r="B275" i="86" s="1"/>
  <c r="B276" i="86" s="1"/>
  <c r="B277" i="86" s="1"/>
  <c r="B278" i="86" s="1"/>
  <c r="B279" i="86" s="1"/>
  <c r="B280" i="86" s="1"/>
  <c r="B281" i="86" s="1"/>
  <c r="B282" i="86" s="1"/>
  <c r="B283" i="86" s="1"/>
  <c r="B284" i="86" s="1"/>
  <c r="B285" i="86" s="1"/>
  <c r="B286" i="86" s="1"/>
  <c r="B287" i="86" s="1"/>
  <c r="B288" i="86" s="1"/>
  <c r="B289" i="86" s="1"/>
  <c r="B290" i="86" s="1"/>
  <c r="B291" i="86" s="1"/>
  <c r="B292" i="86" s="1"/>
  <c r="B293" i="86" s="1"/>
  <c r="B294" i="86" s="1"/>
  <c r="B295" i="86" s="1"/>
  <c r="B296" i="86" s="1"/>
  <c r="B297" i="86" s="1"/>
  <c r="B298" i="86" s="1"/>
  <c r="B299" i="86" s="1"/>
  <c r="B300" i="86" s="1"/>
  <c r="B301" i="86" s="1"/>
  <c r="B302" i="86" s="1"/>
  <c r="B303" i="86" s="1"/>
  <c r="B304" i="86" s="1"/>
  <c r="B305" i="86" s="1"/>
  <c r="B306" i="86" s="1"/>
  <c r="B307" i="86" s="1"/>
  <c r="B308" i="86" s="1"/>
  <c r="B309" i="86" s="1"/>
  <c r="B310" i="86" s="1"/>
  <c r="B311" i="86" s="1"/>
  <c r="B312" i="86" s="1"/>
  <c r="B313" i="86" s="1"/>
  <c r="B314" i="86" s="1"/>
  <c r="B315" i="86" s="1"/>
  <c r="B316" i="86" s="1"/>
  <c r="B317" i="86" s="1"/>
  <c r="B318" i="86" s="1"/>
  <c r="B319" i="86" s="1"/>
  <c r="B320" i="86" s="1"/>
  <c r="B321" i="86" s="1"/>
  <c r="B322" i="86" s="1"/>
  <c r="B323" i="86" s="1"/>
  <c r="B324" i="86" s="1"/>
  <c r="B325" i="86" s="1"/>
  <c r="B326" i="86" s="1"/>
  <c r="B327" i="86" s="1"/>
  <c r="B328" i="86" s="1"/>
  <c r="B329" i="86" s="1"/>
  <c r="B330" i="86" s="1"/>
  <c r="B331" i="86" s="1"/>
  <c r="B332" i="86" s="1"/>
  <c r="B333" i="86" s="1"/>
  <c r="B334" i="86" s="1"/>
  <c r="B335" i="86" s="1"/>
  <c r="B336" i="86" s="1"/>
  <c r="B337" i="86" s="1"/>
  <c r="B338" i="86" s="1"/>
  <c r="B339" i="86" s="1"/>
  <c r="B340" i="86" s="1"/>
  <c r="B341" i="86" s="1"/>
  <c r="B342" i="86" s="1"/>
  <c r="B343" i="86" s="1"/>
  <c r="B344" i="86" s="1"/>
  <c r="B345" i="86" s="1"/>
  <c r="B346" i="86" s="1"/>
  <c r="B347" i="86" s="1"/>
  <c r="B348" i="86" s="1"/>
  <c r="B349" i="86" s="1"/>
  <c r="B350" i="86" s="1"/>
  <c r="B351" i="86" s="1"/>
  <c r="B352" i="86" s="1"/>
  <c r="B353" i="86" s="1"/>
  <c r="B354" i="86" s="1"/>
  <c r="B355" i="86" s="1"/>
  <c r="B356" i="86" s="1"/>
  <c r="B357" i="86" s="1"/>
  <c r="B358" i="86" s="1"/>
  <c r="B359" i="86" s="1"/>
  <c r="B360" i="86" s="1"/>
  <c r="B361" i="86" s="1"/>
  <c r="B362" i="86" s="1"/>
  <c r="B363" i="86" s="1"/>
  <c r="B364" i="86" s="1"/>
  <c r="B365" i="86" s="1"/>
  <c r="B366" i="86" s="1"/>
  <c r="B367" i="86" s="1"/>
  <c r="B368" i="86" s="1"/>
  <c r="B369" i="86" s="1"/>
  <c r="B370" i="86" s="1"/>
  <c r="B371" i="86" s="1"/>
  <c r="B372" i="86" s="1"/>
  <c r="B373" i="86" s="1"/>
  <c r="B374" i="86" s="1"/>
  <c r="B375" i="86" s="1"/>
  <c r="B376" i="86" s="1"/>
  <c r="B377" i="86" s="1"/>
  <c r="B378" i="86" s="1"/>
  <c r="B379" i="86" s="1"/>
  <c r="B380" i="86" s="1"/>
  <c r="B381" i="86" s="1"/>
  <c r="B382" i="86" s="1"/>
  <c r="B383" i="86" s="1"/>
  <c r="B384" i="86" s="1"/>
  <c r="B385" i="86" s="1"/>
  <c r="B386" i="86" s="1"/>
  <c r="B387" i="86" s="1"/>
  <c r="B388" i="86" s="1"/>
  <c r="B389" i="86" s="1"/>
  <c r="B390" i="86" s="1"/>
  <c r="B391" i="86" s="1"/>
  <c r="B392" i="86" s="1"/>
  <c r="B393" i="86" s="1"/>
  <c r="B394" i="86" s="1"/>
  <c r="B395" i="86" s="1"/>
  <c r="B396" i="86" s="1"/>
  <c r="B397" i="86" s="1"/>
  <c r="B398" i="86" s="1"/>
  <c r="B399" i="86" s="1"/>
  <c r="B400" i="86" s="1"/>
  <c r="B401" i="86" s="1"/>
  <c r="B402" i="86" s="1"/>
  <c r="B403" i="86" s="1"/>
  <c r="B404" i="86" s="1"/>
  <c r="B405" i="86" s="1"/>
  <c r="B406" i="86" s="1"/>
  <c r="B407" i="86" s="1"/>
  <c r="B408" i="86" s="1"/>
  <c r="B409" i="86" s="1"/>
  <c r="B410" i="86" s="1"/>
  <c r="B411" i="86" s="1"/>
  <c r="B412" i="86" s="1"/>
  <c r="B413" i="86" s="1"/>
  <c r="B414" i="86" s="1"/>
  <c r="B415" i="86" s="1"/>
  <c r="B416" i="86" s="1"/>
  <c r="B417" i="86" s="1"/>
  <c r="B418" i="86" s="1"/>
  <c r="B419" i="86" s="1"/>
  <c r="B420" i="86" s="1"/>
  <c r="B421" i="86" s="1"/>
  <c r="B422" i="86" s="1"/>
  <c r="B423" i="86" s="1"/>
  <c r="B424" i="86" s="1"/>
  <c r="B425" i="86" s="1"/>
  <c r="B426" i="86" s="1"/>
  <c r="B427" i="86" s="1"/>
  <c r="B428" i="86" s="1"/>
  <c r="B429" i="86" s="1"/>
  <c r="B430" i="86" s="1"/>
  <c r="B431" i="86" s="1"/>
  <c r="B432" i="86" s="1"/>
  <c r="B433" i="86" s="1"/>
  <c r="B434" i="86" s="1"/>
  <c r="B435" i="86" s="1"/>
  <c r="B436" i="86" s="1"/>
  <c r="B437" i="86" s="1"/>
  <c r="B438" i="86" s="1"/>
  <c r="B439" i="86" s="1"/>
  <c r="B440" i="86" s="1"/>
  <c r="B441" i="86" s="1"/>
  <c r="B442" i="86" s="1"/>
  <c r="B443" i="86" s="1"/>
  <c r="B444" i="86" s="1"/>
  <c r="B445" i="86" s="1"/>
  <c r="B446" i="86" s="1"/>
  <c r="B447" i="86" s="1"/>
  <c r="B448" i="86" s="1"/>
  <c r="B449" i="86" s="1"/>
  <c r="B450" i="86" s="1"/>
  <c r="B451" i="86" s="1"/>
  <c r="B452" i="86" s="1"/>
  <c r="B453" i="86" s="1"/>
  <c r="B454" i="86" s="1"/>
  <c r="B455" i="86" s="1"/>
  <c r="B456" i="86" s="1"/>
  <c r="B457" i="86" s="1"/>
  <c r="B458" i="86" s="1"/>
  <c r="B459" i="86" s="1"/>
  <c r="B460" i="86" s="1"/>
  <c r="B461" i="86" s="1"/>
  <c r="B462" i="86" s="1"/>
  <c r="B463" i="86" s="1"/>
  <c r="B464" i="86" s="1"/>
  <c r="B465" i="86" s="1"/>
  <c r="B466" i="86" s="1"/>
  <c r="B467" i="86" s="1"/>
  <c r="B468" i="86" s="1"/>
  <c r="B469" i="86" s="1"/>
  <c r="B470" i="86" s="1"/>
  <c r="B471" i="86" s="1"/>
  <c r="B472" i="86" s="1"/>
  <c r="B473" i="86" s="1"/>
  <c r="B474" i="86" s="1"/>
  <c r="B475" i="86" s="1"/>
  <c r="B476" i="86" s="1"/>
  <c r="B477" i="86" s="1"/>
  <c r="B478" i="86" s="1"/>
  <c r="B479" i="86" s="1"/>
  <c r="B480" i="86" s="1"/>
  <c r="B481" i="86" s="1"/>
  <c r="B482" i="86" s="1"/>
  <c r="B483" i="86" s="1"/>
  <c r="B484" i="86" s="1"/>
  <c r="B485" i="86" s="1"/>
  <c r="B486" i="86" s="1"/>
  <c r="B487" i="86" s="1"/>
  <c r="B488" i="86" s="1"/>
  <c r="B489" i="86" s="1"/>
  <c r="B490" i="86" s="1"/>
  <c r="B491" i="86" s="1"/>
  <c r="B492" i="86" s="1"/>
  <c r="B493" i="86" s="1"/>
  <c r="B494" i="86" s="1"/>
  <c r="B495" i="86" s="1"/>
  <c r="B496" i="86" s="1"/>
  <c r="B497" i="86" s="1"/>
  <c r="B498" i="86" s="1"/>
  <c r="B499" i="86" s="1"/>
  <c r="B500" i="86" s="1"/>
  <c r="B501" i="86" s="1"/>
  <c r="B502" i="86" s="1"/>
  <c r="B503" i="86" s="1"/>
  <c r="B504" i="86" s="1"/>
  <c r="B505" i="86" s="1"/>
  <c r="B506" i="86" s="1"/>
  <c r="B507" i="86" s="1"/>
  <c r="O2" i="86"/>
  <c r="D11" i="86" s="1"/>
  <c r="D9" i="86"/>
  <c r="D4" i="86"/>
  <c r="C4" i="86"/>
  <c r="D3" i="86"/>
  <c r="C3" i="86"/>
  <c r="N2" i="86"/>
  <c r="C12" i="86" s="1"/>
  <c r="C13" i="86" s="1"/>
  <c r="C14" i="86" s="1"/>
  <c r="C15" i="86" s="1"/>
  <c r="C16" i="86" s="1"/>
  <c r="C17" i="86" s="1"/>
  <c r="C18" i="86" s="1"/>
  <c r="C19" i="86" s="1"/>
  <c r="C20" i="86" s="1"/>
  <c r="C21" i="86" s="1"/>
  <c r="C22" i="86" s="1"/>
  <c r="C23" i="86" s="1"/>
  <c r="C24" i="86" s="1"/>
  <c r="C25" i="86" s="1"/>
  <c r="C26" i="86" s="1"/>
  <c r="C27" i="86" s="1"/>
  <c r="C28" i="86" s="1"/>
  <c r="C29" i="86" s="1"/>
  <c r="C30" i="86" s="1"/>
  <c r="C31" i="86" s="1"/>
  <c r="C32" i="86" s="1"/>
  <c r="C33" i="86" s="1"/>
  <c r="C34" i="86" s="1"/>
  <c r="C35" i="86" s="1"/>
  <c r="C36" i="86" s="1"/>
  <c r="C37" i="86" s="1"/>
  <c r="C38" i="86" s="1"/>
  <c r="C39" i="86" s="1"/>
  <c r="C40" i="86" s="1"/>
  <c r="C41" i="86" s="1"/>
  <c r="C42" i="86" s="1"/>
  <c r="C43" i="86" s="1"/>
  <c r="C44" i="86" s="1"/>
  <c r="C45" i="86" s="1"/>
  <c r="C46" i="86" s="1"/>
  <c r="C47" i="86" s="1"/>
  <c r="C48" i="86" s="1"/>
  <c r="C49" i="86" s="1"/>
  <c r="C50" i="86" s="1"/>
  <c r="C51" i="86" s="1"/>
  <c r="C52" i="86" s="1"/>
  <c r="C53" i="86" s="1"/>
  <c r="C54" i="86" s="1"/>
  <c r="C55" i="86" s="1"/>
  <c r="C56" i="86" s="1"/>
  <c r="C57" i="86" s="1"/>
  <c r="C58" i="86" s="1"/>
  <c r="C59" i="86" s="1"/>
  <c r="C60" i="86" s="1"/>
  <c r="C61" i="86" s="1"/>
  <c r="C62" i="86" s="1"/>
  <c r="C63" i="86" s="1"/>
  <c r="C64" i="86" s="1"/>
  <c r="C65" i="86" s="1"/>
  <c r="C66" i="86" s="1"/>
  <c r="C67" i="86" s="1"/>
  <c r="C68" i="86" s="1"/>
  <c r="C69" i="86" s="1"/>
  <c r="C70" i="86" s="1"/>
  <c r="C71" i="86" s="1"/>
  <c r="C72" i="86" s="1"/>
  <c r="C73" i="86" s="1"/>
  <c r="C74" i="86" s="1"/>
  <c r="C75" i="86" s="1"/>
  <c r="C76" i="86" s="1"/>
  <c r="C77" i="86" s="1"/>
  <c r="C78" i="86" s="1"/>
  <c r="C79" i="86" s="1"/>
  <c r="C80" i="86" s="1"/>
  <c r="C81" i="86" s="1"/>
  <c r="C82" i="86" s="1"/>
  <c r="C83" i="86" s="1"/>
  <c r="C84" i="86" s="1"/>
  <c r="C85" i="86" s="1"/>
  <c r="C86" i="86" s="1"/>
  <c r="C87" i="86" s="1"/>
  <c r="C88" i="86" s="1"/>
  <c r="C89" i="86" s="1"/>
  <c r="C90" i="86" s="1"/>
  <c r="C91" i="86" s="1"/>
  <c r="C92" i="86" s="1"/>
  <c r="C93" i="86" s="1"/>
  <c r="C94" i="86" s="1"/>
  <c r="C95" i="86" s="1"/>
  <c r="C96" i="86" s="1"/>
  <c r="C97" i="86" s="1"/>
  <c r="C98" i="86" s="1"/>
  <c r="C99" i="86" s="1"/>
  <c r="C100" i="86" s="1"/>
  <c r="C101" i="86" s="1"/>
  <c r="C102" i="86" s="1"/>
  <c r="C103" i="86" s="1"/>
  <c r="C104" i="86" s="1"/>
  <c r="C105" i="86" s="1"/>
  <c r="C106" i="86" s="1"/>
  <c r="C107" i="86" s="1"/>
  <c r="C108" i="86" s="1"/>
  <c r="C109" i="86" s="1"/>
  <c r="C110" i="86" s="1"/>
  <c r="C111" i="86" s="1"/>
  <c r="C112" i="86" s="1"/>
  <c r="C113" i="86" s="1"/>
  <c r="C114" i="86" s="1"/>
  <c r="C115" i="86" s="1"/>
  <c r="C116" i="86" s="1"/>
  <c r="C117" i="86" s="1"/>
  <c r="C118" i="86" s="1"/>
  <c r="C119" i="86" s="1"/>
  <c r="C120" i="86" s="1"/>
  <c r="C121" i="86" s="1"/>
  <c r="C122" i="86" s="1"/>
  <c r="C123" i="86" s="1"/>
  <c r="C124" i="86" s="1"/>
  <c r="C125" i="86" s="1"/>
  <c r="C126" i="86" s="1"/>
  <c r="C127" i="86" s="1"/>
  <c r="C128" i="86" s="1"/>
  <c r="C129" i="86" s="1"/>
  <c r="C130" i="86" s="1"/>
  <c r="C131" i="86" s="1"/>
  <c r="C132" i="86" s="1"/>
  <c r="C133" i="86" s="1"/>
  <c r="C134" i="86" s="1"/>
  <c r="C135" i="86" s="1"/>
  <c r="C136" i="86" s="1"/>
  <c r="C137" i="86" s="1"/>
  <c r="C138" i="86" s="1"/>
  <c r="C139" i="86" s="1"/>
  <c r="C140" i="86" s="1"/>
  <c r="C141" i="86" s="1"/>
  <c r="C142" i="86" s="1"/>
  <c r="C143" i="86" s="1"/>
  <c r="C144" i="86" s="1"/>
  <c r="C145" i="86" s="1"/>
  <c r="C146" i="86" s="1"/>
  <c r="C147" i="86" s="1"/>
  <c r="C148" i="86" s="1"/>
  <c r="C149" i="86" s="1"/>
  <c r="C150" i="86" s="1"/>
  <c r="C151" i="86" s="1"/>
  <c r="C152" i="86" s="1"/>
  <c r="C153" i="86" s="1"/>
  <c r="C154" i="86" s="1"/>
  <c r="C155" i="86" s="1"/>
  <c r="C156" i="86" s="1"/>
  <c r="C157" i="86" s="1"/>
  <c r="C158" i="86" s="1"/>
  <c r="C159" i="86" s="1"/>
  <c r="C160" i="86" s="1"/>
  <c r="C161" i="86" s="1"/>
  <c r="C162" i="86" s="1"/>
  <c r="C163" i="86" s="1"/>
  <c r="C164" i="86" s="1"/>
  <c r="C165" i="86" s="1"/>
  <c r="C166" i="86" s="1"/>
  <c r="C167" i="86" s="1"/>
  <c r="C168" i="86" s="1"/>
  <c r="C169" i="86" s="1"/>
  <c r="C170" i="86" s="1"/>
  <c r="C171" i="86" s="1"/>
  <c r="C172" i="86" s="1"/>
  <c r="C173" i="86" s="1"/>
  <c r="C174" i="86" s="1"/>
  <c r="C175" i="86" s="1"/>
  <c r="C176" i="86" s="1"/>
  <c r="C177" i="86" s="1"/>
  <c r="C178" i="86" s="1"/>
  <c r="C179" i="86" s="1"/>
  <c r="C180" i="86" s="1"/>
  <c r="C181" i="86" s="1"/>
  <c r="C182" i="86" s="1"/>
  <c r="C183" i="86" s="1"/>
  <c r="C184" i="86" s="1"/>
  <c r="C185" i="86" s="1"/>
  <c r="C186" i="86" s="1"/>
  <c r="C187" i="86" s="1"/>
  <c r="C188" i="86" s="1"/>
  <c r="C189" i="86" s="1"/>
  <c r="C190" i="86" s="1"/>
  <c r="C191" i="86" s="1"/>
  <c r="C192" i="86" s="1"/>
  <c r="C193" i="86" s="1"/>
  <c r="C194" i="86" s="1"/>
  <c r="C195" i="86" s="1"/>
  <c r="C196" i="86" s="1"/>
  <c r="C197" i="86" s="1"/>
  <c r="C198" i="86" s="1"/>
  <c r="C199" i="86" s="1"/>
  <c r="C200" i="86" s="1"/>
  <c r="C201" i="86" s="1"/>
  <c r="C202" i="86" s="1"/>
  <c r="C203" i="86" s="1"/>
  <c r="C204" i="86" s="1"/>
  <c r="C205" i="86" s="1"/>
  <c r="C206" i="86" s="1"/>
  <c r="C207" i="86" s="1"/>
  <c r="C208" i="86" s="1"/>
  <c r="C209" i="86" s="1"/>
  <c r="C210" i="86" s="1"/>
  <c r="C211" i="86" s="1"/>
  <c r="C212" i="86" s="1"/>
  <c r="C213" i="86" s="1"/>
  <c r="C214" i="86" s="1"/>
  <c r="C215" i="86" s="1"/>
  <c r="C216" i="86" s="1"/>
  <c r="C217" i="86" s="1"/>
  <c r="C218" i="86" s="1"/>
  <c r="C219" i="86" s="1"/>
  <c r="C220" i="86" s="1"/>
  <c r="C221" i="86" s="1"/>
  <c r="C222" i="86" s="1"/>
  <c r="C223" i="86" s="1"/>
  <c r="C224" i="86" s="1"/>
  <c r="C225" i="86" s="1"/>
  <c r="C226" i="86" s="1"/>
  <c r="C227" i="86" s="1"/>
  <c r="C228" i="86" s="1"/>
  <c r="C229" i="86" s="1"/>
  <c r="C230" i="86" s="1"/>
  <c r="C231" i="86" s="1"/>
  <c r="C232" i="86" s="1"/>
  <c r="C233" i="86" s="1"/>
  <c r="C234" i="86" s="1"/>
  <c r="C235" i="86" s="1"/>
  <c r="C236" i="86" s="1"/>
  <c r="C237" i="86" s="1"/>
  <c r="C238" i="86" s="1"/>
  <c r="C239" i="86" s="1"/>
  <c r="C240" i="86" s="1"/>
  <c r="C241" i="86" s="1"/>
  <c r="C242" i="86" s="1"/>
  <c r="C243" i="86" s="1"/>
  <c r="C244" i="86" s="1"/>
  <c r="C245" i="86" s="1"/>
  <c r="C246" i="86" s="1"/>
  <c r="C247" i="86" s="1"/>
  <c r="C248" i="86" s="1"/>
  <c r="C249" i="86" s="1"/>
  <c r="C250" i="86" s="1"/>
  <c r="C251" i="86" s="1"/>
  <c r="C252" i="86" s="1"/>
  <c r="C253" i="86" s="1"/>
  <c r="C254" i="86" s="1"/>
  <c r="C255" i="86" s="1"/>
  <c r="C256" i="86" s="1"/>
  <c r="C257" i="86" s="1"/>
  <c r="C258" i="86" s="1"/>
  <c r="C259" i="86" s="1"/>
  <c r="C260" i="86" s="1"/>
  <c r="C261" i="86" s="1"/>
  <c r="C262" i="86" s="1"/>
  <c r="C263" i="86" s="1"/>
  <c r="C264" i="86" s="1"/>
  <c r="C265" i="86" s="1"/>
  <c r="C266" i="86" s="1"/>
  <c r="C267" i="86" s="1"/>
  <c r="C268" i="86" s="1"/>
  <c r="C269" i="86" s="1"/>
  <c r="C270" i="86" s="1"/>
  <c r="C271" i="86" s="1"/>
  <c r="C272" i="86" s="1"/>
  <c r="C273" i="86" s="1"/>
  <c r="C274" i="86" s="1"/>
  <c r="C275" i="86" s="1"/>
  <c r="C276" i="86" s="1"/>
  <c r="C277" i="86" s="1"/>
  <c r="C278" i="86" s="1"/>
  <c r="C279" i="86" s="1"/>
  <c r="C280" i="86" s="1"/>
  <c r="C281" i="86" s="1"/>
  <c r="C282" i="86" s="1"/>
  <c r="C283" i="86" s="1"/>
  <c r="C284" i="86" s="1"/>
  <c r="C285" i="86" s="1"/>
  <c r="C286" i="86" s="1"/>
  <c r="C287" i="86" s="1"/>
  <c r="C288" i="86" s="1"/>
  <c r="C289" i="86" s="1"/>
  <c r="C290" i="86" s="1"/>
  <c r="C291" i="86" s="1"/>
  <c r="C292" i="86" s="1"/>
  <c r="C293" i="86" s="1"/>
  <c r="C294" i="86" s="1"/>
  <c r="C295" i="86" s="1"/>
  <c r="C296" i="86" s="1"/>
  <c r="C297" i="86" s="1"/>
  <c r="C298" i="86" s="1"/>
  <c r="C299" i="86" s="1"/>
  <c r="C300" i="86" s="1"/>
  <c r="C301" i="86" s="1"/>
  <c r="C302" i="86" s="1"/>
  <c r="C303" i="86" s="1"/>
  <c r="C304" i="86" s="1"/>
  <c r="C305" i="86" s="1"/>
  <c r="C306" i="86" s="1"/>
  <c r="C307" i="86" s="1"/>
  <c r="C308" i="86" s="1"/>
  <c r="C309" i="86" s="1"/>
  <c r="C310" i="86" s="1"/>
  <c r="C311" i="86" s="1"/>
  <c r="C312" i="86" s="1"/>
  <c r="C313" i="86" s="1"/>
  <c r="C314" i="86" s="1"/>
  <c r="C315" i="86" s="1"/>
  <c r="C316" i="86" s="1"/>
  <c r="C317" i="86" s="1"/>
  <c r="C318" i="86" s="1"/>
  <c r="C319" i="86" s="1"/>
  <c r="C320" i="86" s="1"/>
  <c r="C321" i="86" s="1"/>
  <c r="C322" i="86" s="1"/>
  <c r="C323" i="86" s="1"/>
  <c r="C324" i="86" s="1"/>
  <c r="C325" i="86" s="1"/>
  <c r="C326" i="86" s="1"/>
  <c r="C327" i="86" s="1"/>
  <c r="C328" i="86" s="1"/>
  <c r="C329" i="86" s="1"/>
  <c r="C330" i="86" s="1"/>
  <c r="C331" i="86" s="1"/>
  <c r="C332" i="86" s="1"/>
  <c r="C333" i="86" s="1"/>
  <c r="C334" i="86" s="1"/>
  <c r="C335" i="86" s="1"/>
  <c r="C336" i="86" s="1"/>
  <c r="C337" i="86" s="1"/>
  <c r="C338" i="86" s="1"/>
  <c r="C339" i="86" s="1"/>
  <c r="C340" i="86" s="1"/>
  <c r="C341" i="86" s="1"/>
  <c r="C342" i="86" s="1"/>
  <c r="C343" i="86" s="1"/>
  <c r="C344" i="86" s="1"/>
  <c r="C345" i="86" s="1"/>
  <c r="C346" i="86" s="1"/>
  <c r="C347" i="86" s="1"/>
  <c r="C348" i="86" s="1"/>
  <c r="C349" i="86" s="1"/>
  <c r="C350" i="86" s="1"/>
  <c r="C351" i="86" s="1"/>
  <c r="C352" i="86" s="1"/>
  <c r="C353" i="86" s="1"/>
  <c r="C354" i="86" s="1"/>
  <c r="C355" i="86" s="1"/>
  <c r="C356" i="86" s="1"/>
  <c r="C357" i="86" s="1"/>
  <c r="C358" i="86" s="1"/>
  <c r="C359" i="86" s="1"/>
  <c r="C360" i="86" s="1"/>
  <c r="C361" i="86" s="1"/>
  <c r="C362" i="86" s="1"/>
  <c r="C363" i="86" s="1"/>
  <c r="C364" i="86" s="1"/>
  <c r="C365" i="86" s="1"/>
  <c r="C366" i="86" s="1"/>
  <c r="C367" i="86" s="1"/>
  <c r="C368" i="86" s="1"/>
  <c r="C369" i="86" s="1"/>
  <c r="C370" i="86" s="1"/>
  <c r="C371" i="86" s="1"/>
  <c r="C372" i="86" s="1"/>
  <c r="C373" i="86" s="1"/>
  <c r="C374" i="86" s="1"/>
  <c r="C375" i="86" s="1"/>
  <c r="C376" i="86" s="1"/>
  <c r="C377" i="86" s="1"/>
  <c r="C378" i="86" s="1"/>
  <c r="C379" i="86" s="1"/>
  <c r="C380" i="86" s="1"/>
  <c r="C381" i="86" s="1"/>
  <c r="C382" i="86" s="1"/>
  <c r="C383" i="86" s="1"/>
  <c r="C384" i="86" s="1"/>
  <c r="C385" i="86" s="1"/>
  <c r="C386" i="86" s="1"/>
  <c r="C387" i="86" s="1"/>
  <c r="C388" i="86" s="1"/>
  <c r="C389" i="86" s="1"/>
  <c r="C390" i="86" s="1"/>
  <c r="C391" i="86" s="1"/>
  <c r="C392" i="86" s="1"/>
  <c r="C393" i="86" s="1"/>
  <c r="C394" i="86" s="1"/>
  <c r="C395" i="86" s="1"/>
  <c r="C396" i="86" s="1"/>
  <c r="C397" i="86" s="1"/>
  <c r="C398" i="86" s="1"/>
  <c r="C399" i="86" s="1"/>
  <c r="C400" i="86" s="1"/>
  <c r="C401" i="86" s="1"/>
  <c r="C402" i="86" s="1"/>
  <c r="C403" i="86" s="1"/>
  <c r="C404" i="86" s="1"/>
  <c r="C405" i="86" s="1"/>
  <c r="C406" i="86" s="1"/>
  <c r="C407" i="86" s="1"/>
  <c r="C408" i="86" s="1"/>
  <c r="C409" i="86" s="1"/>
  <c r="C410" i="86" s="1"/>
  <c r="C411" i="86" s="1"/>
  <c r="C412" i="86" s="1"/>
  <c r="C413" i="86" s="1"/>
  <c r="C414" i="86" s="1"/>
  <c r="C415" i="86" s="1"/>
  <c r="C416" i="86" s="1"/>
  <c r="C417" i="86" s="1"/>
  <c r="C418" i="86" s="1"/>
  <c r="C419" i="86" s="1"/>
  <c r="C420" i="86" s="1"/>
  <c r="C421" i="86" s="1"/>
  <c r="C422" i="86" s="1"/>
  <c r="C423" i="86" s="1"/>
  <c r="C424" i="86" s="1"/>
  <c r="C425" i="86" s="1"/>
  <c r="C426" i="86" s="1"/>
  <c r="C427" i="86" s="1"/>
  <c r="C428" i="86" s="1"/>
  <c r="C429" i="86" s="1"/>
  <c r="C430" i="86" s="1"/>
  <c r="C431" i="86" s="1"/>
  <c r="C432" i="86" s="1"/>
  <c r="C433" i="86" s="1"/>
  <c r="C434" i="86" s="1"/>
  <c r="C435" i="86" s="1"/>
  <c r="C436" i="86" s="1"/>
  <c r="C437" i="86" s="1"/>
  <c r="C438" i="86" s="1"/>
  <c r="C439" i="86" s="1"/>
  <c r="C440" i="86" s="1"/>
  <c r="C441" i="86" s="1"/>
  <c r="C442" i="86" s="1"/>
  <c r="C443" i="86" s="1"/>
  <c r="C444" i="86" s="1"/>
  <c r="C445" i="86" s="1"/>
  <c r="C446" i="86" s="1"/>
  <c r="C447" i="86" s="1"/>
  <c r="C448" i="86" s="1"/>
  <c r="C449" i="86" s="1"/>
  <c r="C450" i="86" s="1"/>
  <c r="C451" i="86" s="1"/>
  <c r="C452" i="86" s="1"/>
  <c r="C453" i="86" s="1"/>
  <c r="C454" i="86" s="1"/>
  <c r="C455" i="86" s="1"/>
  <c r="C456" i="86" s="1"/>
  <c r="C457" i="86" s="1"/>
  <c r="C458" i="86" s="1"/>
  <c r="C459" i="86" s="1"/>
  <c r="C460" i="86" s="1"/>
  <c r="C461" i="86" s="1"/>
  <c r="C462" i="86" s="1"/>
  <c r="C463" i="86" s="1"/>
  <c r="C464" i="86" s="1"/>
  <c r="C465" i="86" s="1"/>
  <c r="C466" i="86" s="1"/>
  <c r="C467" i="86" s="1"/>
  <c r="C468" i="86" s="1"/>
  <c r="C469" i="86" s="1"/>
  <c r="C470" i="86" s="1"/>
  <c r="C471" i="86" s="1"/>
  <c r="C472" i="86" s="1"/>
  <c r="C473" i="86" s="1"/>
  <c r="C474" i="86" s="1"/>
  <c r="C475" i="86" s="1"/>
  <c r="C476" i="86" s="1"/>
  <c r="C477" i="86" s="1"/>
  <c r="C478" i="86" s="1"/>
  <c r="C479" i="86" s="1"/>
  <c r="C480" i="86" s="1"/>
  <c r="C481" i="86" s="1"/>
  <c r="C482" i="86" s="1"/>
  <c r="C483" i="86" s="1"/>
  <c r="C484" i="86" s="1"/>
  <c r="C485" i="86" s="1"/>
  <c r="C486" i="86" s="1"/>
  <c r="C487" i="86" s="1"/>
  <c r="C488" i="86" s="1"/>
  <c r="C489" i="86" s="1"/>
  <c r="C490" i="86" s="1"/>
  <c r="C491" i="86" s="1"/>
  <c r="C492" i="86" s="1"/>
  <c r="C493" i="86" s="1"/>
  <c r="C494" i="86" s="1"/>
  <c r="C495" i="86" s="1"/>
  <c r="C496" i="86" s="1"/>
  <c r="C497" i="86" s="1"/>
  <c r="C498" i="86" s="1"/>
  <c r="C499" i="86" s="1"/>
  <c r="C500" i="86" s="1"/>
  <c r="C501" i="86" s="1"/>
  <c r="C502" i="86" s="1"/>
  <c r="C503" i="86" s="1"/>
  <c r="C504" i="86" s="1"/>
  <c r="C505" i="86" s="1"/>
  <c r="C506" i="86" s="1"/>
  <c r="C507" i="86" s="1"/>
  <c r="E352" i="150"/>
  <c r="D352" i="150"/>
  <c r="K339" i="150"/>
  <c r="J339" i="150"/>
  <c r="G339" i="150"/>
  <c r="H339" i="150" s="1"/>
  <c r="G337" i="150"/>
  <c r="H337" i="150" s="1"/>
  <c r="G336" i="150"/>
  <c r="H336" i="150" s="1"/>
  <c r="G335" i="150"/>
  <c r="H335" i="150" s="1"/>
  <c r="H340" i="150" s="1"/>
  <c r="B24" i="150"/>
  <c r="B40" i="150"/>
  <c r="B65" i="150" s="1"/>
  <c r="B86" i="150" s="1"/>
  <c r="B121" i="150" s="1"/>
  <c r="B164" i="150" s="1"/>
  <c r="B193" i="150" s="1"/>
  <c r="B211" i="150" s="1"/>
  <c r="B230" i="150" s="1"/>
  <c r="B308" i="150" s="1"/>
  <c r="G248" i="150"/>
  <c r="H248" i="150"/>
  <c r="G222" i="150"/>
  <c r="H222" i="150"/>
  <c r="H223" i="150" s="1"/>
  <c r="G221" i="150"/>
  <c r="H221" i="150"/>
  <c r="F8" i="150"/>
  <c r="E219" i="150"/>
  <c r="H205" i="150"/>
  <c r="H204" i="150"/>
  <c r="E202" i="150"/>
  <c r="F6" i="150"/>
  <c r="K186" i="150"/>
  <c r="K185" i="150"/>
  <c r="F185" i="150"/>
  <c r="G182" i="150"/>
  <c r="H182" i="150"/>
  <c r="G157" i="150"/>
  <c r="G188" i="150"/>
  <c r="K153" i="150"/>
  <c r="F152" i="150"/>
  <c r="G138" i="150"/>
  <c r="H138" i="150"/>
  <c r="H99" i="150"/>
  <c r="G96" i="150"/>
  <c r="H96" i="150" s="1"/>
  <c r="G94" i="150"/>
  <c r="H94" i="150"/>
  <c r="G81" i="150"/>
  <c r="H81" i="150"/>
  <c r="G80" i="150"/>
  <c r="H80" i="150"/>
  <c r="E78" i="150"/>
  <c r="G56" i="150"/>
  <c r="G76" i="150" s="1"/>
  <c r="H76" i="150" s="1"/>
  <c r="H73" i="150"/>
  <c r="F71" i="150"/>
  <c r="F70" i="150"/>
  <c r="G60" i="150"/>
  <c r="H60" i="150" s="1"/>
  <c r="G57" i="150"/>
  <c r="H57" i="150" s="1"/>
  <c r="G55" i="150"/>
  <c r="G75" i="150" s="1"/>
  <c r="F50" i="150"/>
  <c r="F49" i="150"/>
  <c r="H35" i="150"/>
  <c r="G33" i="150"/>
  <c r="H33" i="150"/>
  <c r="G32" i="150"/>
  <c r="H32" i="150"/>
  <c r="E19" i="150"/>
  <c r="G18" i="150"/>
  <c r="H18" i="150" s="1"/>
  <c r="G17" i="150"/>
  <c r="H17" i="150" s="1"/>
  <c r="G14" i="150"/>
  <c r="H14" i="150"/>
  <c r="E275" i="150"/>
  <c r="B8" i="150"/>
  <c r="D300" i="150"/>
  <c r="F7" i="150"/>
  <c r="E344" i="150" s="1"/>
  <c r="A2" i="150"/>
  <c r="F36" i="170"/>
  <c r="B30" i="170"/>
  <c r="I27" i="170"/>
  <c r="I28" i="170"/>
  <c r="B26" i="170"/>
  <c r="E21" i="170"/>
  <c r="I21" i="170" s="1"/>
  <c r="F15" i="170"/>
  <c r="F21" i="170"/>
  <c r="F22" i="170" s="1"/>
  <c r="F23" i="170" s="1"/>
  <c r="E22" i="170"/>
  <c r="I22" i="170" s="1"/>
  <c r="E23" i="170"/>
  <c r="B19" i="170"/>
  <c r="I15" i="170"/>
  <c r="I16" i="170" s="1"/>
  <c r="B13" i="170"/>
  <c r="I9" i="170"/>
  <c r="I10" i="170" s="1"/>
  <c r="E104" i="190" s="1"/>
  <c r="G104" i="190" s="1"/>
  <c r="B6" i="170"/>
  <c r="C2" i="170"/>
  <c r="I47" i="165"/>
  <c r="B46" i="165"/>
  <c r="I33" i="165"/>
  <c r="B32" i="165"/>
  <c r="F12" i="165"/>
  <c r="F17" i="165" s="1"/>
  <c r="I29" i="165"/>
  <c r="B26" i="165"/>
  <c r="B21" i="165"/>
  <c r="I17" i="165"/>
  <c r="I19" i="165" s="1"/>
  <c r="I18" i="165"/>
  <c r="B16" i="165"/>
  <c r="I12" i="165"/>
  <c r="I14" i="165" s="1"/>
  <c r="I13" i="165"/>
  <c r="B11" i="165"/>
  <c r="I7" i="165"/>
  <c r="I9" i="165" s="1"/>
  <c r="I8" i="165"/>
  <c r="B6" i="165"/>
  <c r="F2" i="165"/>
  <c r="B105" i="186"/>
  <c r="B102" i="186"/>
  <c r="B98" i="186"/>
  <c r="I92" i="186"/>
  <c r="I93" i="186"/>
  <c r="I94" i="186"/>
  <c r="I95" i="186"/>
  <c r="B91" i="186"/>
  <c r="I88" i="186"/>
  <c r="I89" i="186" s="1"/>
  <c r="B87" i="186"/>
  <c r="I84" i="186"/>
  <c r="I85" i="186" s="1"/>
  <c r="B83" i="186"/>
  <c r="I80" i="186"/>
  <c r="I81" i="186" s="1"/>
  <c r="B79" i="186"/>
  <c r="I76" i="186"/>
  <c r="I77" i="186"/>
  <c r="B75" i="186"/>
  <c r="F72" i="186"/>
  <c r="I72" i="186" s="1"/>
  <c r="I73" i="186" s="1"/>
  <c r="B71" i="186"/>
  <c r="I68" i="186"/>
  <c r="I69" i="186" s="1"/>
  <c r="B67" i="186"/>
  <c r="I63" i="186"/>
  <c r="I65" i="186" s="1"/>
  <c r="I64" i="186"/>
  <c r="B62" i="186"/>
  <c r="I59" i="186"/>
  <c r="I60" i="186" s="1"/>
  <c r="B58" i="186"/>
  <c r="I55" i="186"/>
  <c r="B53" i="186"/>
  <c r="I49" i="186"/>
  <c r="I50" i="186" s="1"/>
  <c r="B47" i="186"/>
  <c r="I41" i="186"/>
  <c r="I43" i="186"/>
  <c r="I44" i="186"/>
  <c r="I45" i="186"/>
  <c r="B40" i="186"/>
  <c r="E34" i="186"/>
  <c r="I34" i="186" s="1"/>
  <c r="I37" i="186" s="1"/>
  <c r="I35" i="186"/>
  <c r="I36" i="186"/>
  <c r="B33" i="186"/>
  <c r="I22" i="186"/>
  <c r="F23" i="186"/>
  <c r="I23" i="186" s="1"/>
  <c r="I26" i="186"/>
  <c r="I27" i="186"/>
  <c r="I28" i="186"/>
  <c r="I29" i="186"/>
  <c r="I30" i="186"/>
  <c r="B20" i="186"/>
  <c r="I16" i="186"/>
  <c r="I17" i="186"/>
  <c r="I18" i="186"/>
  <c r="B15" i="186"/>
  <c r="I12" i="186"/>
  <c r="I13" i="186" s="1"/>
  <c r="B11" i="186"/>
  <c r="I7" i="186"/>
  <c r="I9" i="186" s="1"/>
  <c r="E55" i="190" s="1"/>
  <c r="G55" i="190" s="1"/>
  <c r="I8" i="186"/>
  <c r="B6" i="186"/>
  <c r="F2" i="186"/>
  <c r="L44" i="182"/>
  <c r="A147" i="182" s="1"/>
  <c r="M70" i="182"/>
  <c r="G70" i="182" s="1"/>
  <c r="G71" i="182"/>
  <c r="G74" i="182"/>
  <c r="G75" i="182"/>
  <c r="G92" i="182" s="1"/>
  <c r="G94" i="182" s="1"/>
  <c r="G76" i="182"/>
  <c r="G77" i="182"/>
  <c r="G78" i="182"/>
  <c r="G79" i="182"/>
  <c r="G80" i="182"/>
  <c r="G81" i="182"/>
  <c r="G82" i="182"/>
  <c r="G83" i="182"/>
  <c r="G84" i="182"/>
  <c r="G85" i="182"/>
  <c r="G86" i="182"/>
  <c r="G87" i="182"/>
  <c r="G88" i="182"/>
  <c r="G89" i="182"/>
  <c r="G90" i="182"/>
  <c r="G91" i="182"/>
  <c r="C91" i="182"/>
  <c r="C90" i="182"/>
  <c r="C89" i="182"/>
  <c r="C88" i="182"/>
  <c r="C87" i="182"/>
  <c r="C86" i="182"/>
  <c r="C85" i="182"/>
  <c r="C84" i="182"/>
  <c r="C83" i="182"/>
  <c r="C82" i="182"/>
  <c r="C81" i="182"/>
  <c r="C80" i="182"/>
  <c r="C79" i="182"/>
  <c r="C78" i="182"/>
  <c r="C77" i="182"/>
  <c r="C76" i="182"/>
  <c r="C75" i="182"/>
  <c r="C74" i="182"/>
  <c r="L71" i="182"/>
  <c r="L61" i="182"/>
  <c r="P54" i="182"/>
  <c r="G51" i="182"/>
  <c r="E45" i="182"/>
  <c r="L43" i="182"/>
  <c r="B33" i="182"/>
  <c r="F32" i="182"/>
  <c r="L7" i="182"/>
  <c r="I31" i="182" s="1"/>
  <c r="F29" i="182"/>
  <c r="B26" i="182"/>
  <c r="M25" i="182"/>
  <c r="L8" i="182"/>
  <c r="C18" i="182" s="1"/>
  <c r="C114" i="182" s="1"/>
  <c r="L10" i="182"/>
  <c r="N9" i="182"/>
  <c r="L9" i="182"/>
  <c r="K9" i="182"/>
  <c r="N8" i="182"/>
  <c r="C17" i="182" s="1"/>
  <c r="C113" i="182" s="1"/>
  <c r="L6" i="182"/>
  <c r="L3" i="182"/>
  <c r="L4" i="182"/>
  <c r="P6" i="182"/>
  <c r="N6" i="182"/>
  <c r="M6" i="182"/>
  <c r="C16" i="182" s="1"/>
  <c r="C112" i="182" s="1"/>
  <c r="L5" i="182"/>
  <c r="N4" i="182"/>
  <c r="L2" i="182" s="1"/>
  <c r="G6" i="132"/>
  <c r="G23" i="132" s="1"/>
  <c r="G10" i="132"/>
  <c r="G14" i="132"/>
  <c r="G17" i="132"/>
  <c r="G20" i="132"/>
  <c r="F18" i="132"/>
  <c r="B97" i="167"/>
  <c r="B94" i="167"/>
  <c r="B90" i="167"/>
  <c r="I84" i="167"/>
  <c r="I87" i="167" s="1"/>
  <c r="B110" i="162" s="1"/>
  <c r="I85" i="167"/>
  <c r="I86" i="167"/>
  <c r="B83" i="167"/>
  <c r="I80" i="167"/>
  <c r="I81" i="167" s="1"/>
  <c r="B113" i="162" s="1"/>
  <c r="B79" i="167"/>
  <c r="I76" i="167"/>
  <c r="I77" i="167" s="1"/>
  <c r="B114" i="162" s="1"/>
  <c r="B75" i="167"/>
  <c r="I72" i="167"/>
  <c r="I73" i="167"/>
  <c r="B71" i="167"/>
  <c r="I68" i="167"/>
  <c r="I69" i="167" s="1"/>
  <c r="B107" i="162" s="1"/>
  <c r="B67" i="167"/>
  <c r="F64" i="167"/>
  <c r="I64" i="167"/>
  <c r="I65" i="167" s="1"/>
  <c r="B106" i="162" s="1"/>
  <c r="B63" i="167"/>
  <c r="I60" i="167"/>
  <c r="I61" i="167" s="1"/>
  <c r="B109" i="162" s="1"/>
  <c r="B59" i="167"/>
  <c r="I56" i="167"/>
  <c r="I57" i="167" s="1"/>
  <c r="B103" i="162" s="1"/>
  <c r="B55" i="167"/>
  <c r="I52" i="167"/>
  <c r="I53" i="167"/>
  <c r="B51" i="167"/>
  <c r="I48" i="167"/>
  <c r="I49" i="167" s="1"/>
  <c r="B102" i="162" s="1"/>
  <c r="B46" i="167"/>
  <c r="E32" i="167"/>
  <c r="E39" i="167"/>
  <c r="F39" i="167"/>
  <c r="I39" i="167"/>
  <c r="I40" i="167"/>
  <c r="I41" i="167"/>
  <c r="I42" i="167"/>
  <c r="I43" i="167"/>
  <c r="B38" i="167"/>
  <c r="I32" i="167"/>
  <c r="I33" i="167"/>
  <c r="I34" i="167"/>
  <c r="I35" i="167" s="1"/>
  <c r="B100" i="162" s="1"/>
  <c r="B31" i="167"/>
  <c r="I22" i="167"/>
  <c r="F23" i="167"/>
  <c r="I23" i="167" s="1"/>
  <c r="I26" i="167"/>
  <c r="I27" i="167"/>
  <c r="I28" i="167"/>
  <c r="B20" i="167"/>
  <c r="I16" i="167"/>
  <c r="I17" i="167"/>
  <c r="I18" i="167" s="1"/>
  <c r="B15" i="167"/>
  <c r="I12" i="167"/>
  <c r="I13" i="167"/>
  <c r="B11" i="167"/>
  <c r="I7" i="167"/>
  <c r="I8" i="167"/>
  <c r="I9" i="167"/>
  <c r="B6" i="167"/>
  <c r="F2" i="167"/>
  <c r="I67" i="168"/>
  <c r="F67" i="168"/>
  <c r="I60" i="168"/>
  <c r="I62" i="168" s="1"/>
  <c r="I61" i="168"/>
  <c r="B59" i="168"/>
  <c r="I54" i="168"/>
  <c r="I55" i="168"/>
  <c r="I56" i="168"/>
  <c r="I57" i="168"/>
  <c r="B53" i="168"/>
  <c r="I48" i="168"/>
  <c r="I49" i="168"/>
  <c r="I50" i="168"/>
  <c r="I51" i="168" s="1"/>
  <c r="B47" i="168"/>
  <c r="I44" i="168"/>
  <c r="I45" i="168"/>
  <c r="B43" i="168"/>
  <c r="I34" i="168"/>
  <c r="I35" i="168"/>
  <c r="I37" i="168"/>
  <c r="I38" i="168"/>
  <c r="I39" i="168"/>
  <c r="I40" i="168"/>
  <c r="I41" i="168"/>
  <c r="B32" i="168"/>
  <c r="I21" i="168"/>
  <c r="I22" i="168"/>
  <c r="I23" i="168"/>
  <c r="I29" i="168" s="1"/>
  <c r="I25" i="168"/>
  <c r="I26" i="168"/>
  <c r="I27" i="168"/>
  <c r="I28" i="168"/>
  <c r="B20" i="168"/>
  <c r="I14" i="168"/>
  <c r="I15" i="168"/>
  <c r="I17" i="168" s="1"/>
  <c r="I16" i="168"/>
  <c r="B13" i="168"/>
  <c r="I7" i="168"/>
  <c r="I10" i="168" s="1"/>
  <c r="E89" i="190" s="1"/>
  <c r="G89" i="190" s="1"/>
  <c r="I8" i="168"/>
  <c r="I9" i="168"/>
  <c r="B6" i="168"/>
  <c r="C2" i="168"/>
  <c r="I33" i="199"/>
  <c r="B32" i="199"/>
  <c r="F12" i="199"/>
  <c r="F22" i="199" s="1"/>
  <c r="I29" i="199"/>
  <c r="B26" i="199"/>
  <c r="B21" i="199"/>
  <c r="I18" i="199"/>
  <c r="B16" i="199"/>
  <c r="I13" i="199"/>
  <c r="B11" i="199"/>
  <c r="I7" i="199"/>
  <c r="I8" i="199"/>
  <c r="I9" i="199" s="1"/>
  <c r="B6" i="199"/>
  <c r="F2" i="199"/>
  <c r="A2" i="195"/>
  <c r="I67" i="7"/>
  <c r="G66" i="7"/>
  <c r="D66" i="7"/>
  <c r="D64" i="7"/>
  <c r="C63" i="7"/>
  <c r="D58" i="7"/>
  <c r="D57" i="7"/>
  <c r="D56" i="7"/>
  <c r="D55" i="7"/>
  <c r="D54" i="7"/>
  <c r="D53" i="7"/>
  <c r="D52" i="7"/>
  <c r="D51" i="7"/>
  <c r="C51" i="7"/>
  <c r="D50" i="7"/>
  <c r="E50" i="7"/>
  <c r="D49" i="7"/>
  <c r="E49" i="7" s="1"/>
  <c r="D48" i="7"/>
  <c r="E48" i="7"/>
  <c r="D47" i="7"/>
  <c r="E47" i="7"/>
  <c r="D46" i="7"/>
  <c r="E46" i="7" s="1"/>
  <c r="D45" i="7"/>
  <c r="E45" i="7"/>
  <c r="D44" i="7"/>
  <c r="E44" i="7"/>
  <c r="C43" i="7"/>
  <c r="C44" i="7" s="1"/>
  <c r="C45" i="7" s="1"/>
  <c r="D43" i="7"/>
  <c r="E43" i="7" s="1"/>
  <c r="F42" i="7"/>
  <c r="F41" i="7"/>
  <c r="D40" i="7"/>
  <c r="D41" i="7"/>
  <c r="D42" i="7" s="1"/>
  <c r="F40" i="7"/>
  <c r="E40" i="7"/>
  <c r="J40" i="7" s="1"/>
  <c r="E785" i="94" s="1"/>
  <c r="G785" i="94" s="1"/>
  <c r="C40" i="7"/>
  <c r="C41" i="7"/>
  <c r="C42" i="7" s="1"/>
  <c r="B40" i="7"/>
  <c r="F39" i="7"/>
  <c r="J39" i="7"/>
  <c r="J6" i="146" s="1"/>
  <c r="H27" i="107"/>
  <c r="B39" i="7" s="1"/>
  <c r="F38" i="7"/>
  <c r="J38" i="7" s="1"/>
  <c r="H464" i="119" s="1"/>
  <c r="J464" i="119" s="1"/>
  <c r="H26" i="107"/>
  <c r="B38" i="7" s="1"/>
  <c r="F37" i="7"/>
  <c r="J37" i="7" s="1"/>
  <c r="H25" i="107"/>
  <c r="B37" i="7" s="1"/>
  <c r="F36" i="7"/>
  <c r="J36" i="7" s="1"/>
  <c r="H24" i="107"/>
  <c r="B36" i="7" s="1"/>
  <c r="F35" i="7"/>
  <c r="D35" i="7"/>
  <c r="E35" i="7"/>
  <c r="J35" i="7" s="1"/>
  <c r="C35" i="7"/>
  <c r="F34" i="7"/>
  <c r="D34" i="7"/>
  <c r="E34" i="7"/>
  <c r="J34" i="7" s="1"/>
  <c r="H550" i="119" s="1"/>
  <c r="J550" i="119" s="1"/>
  <c r="C34" i="7"/>
  <c r="F33" i="7"/>
  <c r="E12" i="107"/>
  <c r="D33" i="7" s="1"/>
  <c r="D12" i="107"/>
  <c r="C33" i="7" s="1"/>
  <c r="F32" i="7"/>
  <c r="D32" i="7"/>
  <c r="E32" i="7" s="1"/>
  <c r="J32" i="7" s="1"/>
  <c r="E64" i="113" s="1"/>
  <c r="G64" i="113" s="1"/>
  <c r="G65" i="113" s="1"/>
  <c r="C32" i="7"/>
  <c r="F31" i="7"/>
  <c r="D30" i="7"/>
  <c r="D31" i="7" s="1"/>
  <c r="E31" i="7" s="1"/>
  <c r="J31" i="7" s="1"/>
  <c r="F30" i="7"/>
  <c r="C30" i="7"/>
  <c r="C31" i="7" s="1"/>
  <c r="F29" i="7"/>
  <c r="D29" i="7"/>
  <c r="D28" i="7"/>
  <c r="G26" i="7"/>
  <c r="G28" i="7"/>
  <c r="F27" i="7"/>
  <c r="D27" i="7"/>
  <c r="F26" i="7"/>
  <c r="F25" i="7"/>
  <c r="G24" i="7"/>
  <c r="F24" i="7"/>
  <c r="G23" i="7"/>
  <c r="F23" i="7"/>
  <c r="F22" i="7"/>
  <c r="H22" i="7" s="1"/>
  <c r="E21" i="107"/>
  <c r="D20" i="7" s="1"/>
  <c r="F21" i="7"/>
  <c r="H21" i="7" s="1"/>
  <c r="F20" i="7"/>
  <c r="D21" i="107"/>
  <c r="C20" i="7" s="1"/>
  <c r="F19" i="7"/>
  <c r="D19" i="7"/>
  <c r="F18" i="7"/>
  <c r="D18" i="7"/>
  <c r="F17" i="7"/>
  <c r="D17" i="7"/>
  <c r="F16" i="7"/>
  <c r="D16" i="7"/>
  <c r="F15" i="7"/>
  <c r="D15" i="7"/>
  <c r="F14" i="7"/>
  <c r="D14" i="7"/>
  <c r="J13" i="7"/>
  <c r="F12" i="7"/>
  <c r="H12" i="7" s="1"/>
  <c r="D12" i="7"/>
  <c r="F11" i="7"/>
  <c r="D11" i="7"/>
  <c r="G10" i="7"/>
  <c r="G11" i="7"/>
  <c r="F10" i="7"/>
  <c r="D10" i="7"/>
  <c r="F9" i="7"/>
  <c r="D9" i="7"/>
  <c r="F8" i="7"/>
  <c r="D8" i="7"/>
  <c r="F7" i="7"/>
  <c r="D7" i="7"/>
  <c r="F6" i="7"/>
  <c r="D6" i="7"/>
  <c r="F5" i="7"/>
  <c r="D5" i="7"/>
  <c r="I4" i="7"/>
  <c r="I22" i="7"/>
  <c r="G4" i="7"/>
  <c r="F4" i="7"/>
  <c r="H4" i="7" s="1"/>
  <c r="D4" i="7"/>
  <c r="C4" i="7"/>
  <c r="C5" i="7" s="1"/>
  <c r="C2" i="7"/>
  <c r="B10" i="163"/>
  <c r="N194" i="162"/>
  <c r="N193" i="162"/>
  <c r="N190" i="162"/>
  <c r="I20" i="203"/>
  <c r="I22" i="203" s="1"/>
  <c r="G189" i="162"/>
  <c r="D189" i="162"/>
  <c r="I25" i="203"/>
  <c r="I26" i="203" s="1"/>
  <c r="B188" i="162" s="1"/>
  <c r="G188" i="162"/>
  <c r="D188" i="162"/>
  <c r="I16" i="203"/>
  <c r="N17" i="203"/>
  <c r="F17" i="203" s="1"/>
  <c r="I17" i="203" s="1"/>
  <c r="G187" i="162"/>
  <c r="D187" i="162"/>
  <c r="I8" i="203"/>
  <c r="I10" i="203"/>
  <c r="I12" i="203" s="1"/>
  <c r="B186" i="162" s="1"/>
  <c r="G186" i="162"/>
  <c r="D186" i="162"/>
  <c r="N185" i="162"/>
  <c r="B184" i="162"/>
  <c r="B183" i="162"/>
  <c r="B182" i="162"/>
  <c r="B181" i="162"/>
  <c r="B180" i="162"/>
  <c r="N179" i="162"/>
  <c r="K179" i="162"/>
  <c r="N178" i="162"/>
  <c r="D177" i="162"/>
  <c r="D176" i="162"/>
  <c r="D175" i="162"/>
  <c r="E172" i="162"/>
  <c r="D174" i="162"/>
  <c r="B174" i="162"/>
  <c r="D173" i="162"/>
  <c r="N172" i="162"/>
  <c r="B176" i="162"/>
  <c r="D172" i="162"/>
  <c r="N166" i="162"/>
  <c r="E166" i="162"/>
  <c r="D166" i="162"/>
  <c r="N165" i="162"/>
  <c r="D164" i="162"/>
  <c r="D163" i="162"/>
  <c r="D162" i="162"/>
  <c r="D161" i="162"/>
  <c r="D160" i="162"/>
  <c r="D159" i="162"/>
  <c r="D158" i="162"/>
  <c r="D157" i="162"/>
  <c r="N156" i="162"/>
  <c r="E156" i="162"/>
  <c r="D156" i="162"/>
  <c r="K144" i="162"/>
  <c r="D143" i="162"/>
  <c r="H138" i="162"/>
  <c r="N138" i="162" s="1"/>
  <c r="N136" i="162"/>
  <c r="E136" i="162"/>
  <c r="B152" i="162" s="1"/>
  <c r="I80" i="187"/>
  <c r="I81" i="187" s="1"/>
  <c r="B147" i="162" s="1"/>
  <c r="E115" i="162"/>
  <c r="B133" i="162"/>
  <c r="D130" i="162"/>
  <c r="B130" i="162"/>
  <c r="H127" i="162"/>
  <c r="N127" i="162"/>
  <c r="K123" i="162"/>
  <c r="D122" i="162"/>
  <c r="H117" i="162"/>
  <c r="N117" i="162"/>
  <c r="N115" i="162"/>
  <c r="D114" i="162"/>
  <c r="D113" i="162"/>
  <c r="D112" i="162"/>
  <c r="B112" i="162"/>
  <c r="D111" i="162"/>
  <c r="B111" i="162"/>
  <c r="D110" i="162"/>
  <c r="D109" i="162"/>
  <c r="D108" i="162"/>
  <c r="B108" i="162"/>
  <c r="D107" i="162"/>
  <c r="D106" i="162"/>
  <c r="D105" i="162"/>
  <c r="B105" i="162"/>
  <c r="D104" i="162"/>
  <c r="B104" i="162"/>
  <c r="K103" i="162"/>
  <c r="D103" i="162"/>
  <c r="D102" i="162"/>
  <c r="D101" i="162"/>
  <c r="B101" i="162"/>
  <c r="D100" i="162"/>
  <c r="D99" i="162"/>
  <c r="D98" i="162"/>
  <c r="D97" i="162"/>
  <c r="B97" i="162"/>
  <c r="D96" i="162"/>
  <c r="B96" i="162"/>
  <c r="N95" i="162"/>
  <c r="D95" i="162"/>
  <c r="N94" i="162"/>
  <c r="D93" i="162"/>
  <c r="B93" i="162"/>
  <c r="D92" i="162"/>
  <c r="B92" i="162"/>
  <c r="D91" i="162"/>
  <c r="B91" i="162"/>
  <c r="D90" i="162"/>
  <c r="B90" i="162"/>
  <c r="D89" i="162"/>
  <c r="B89" i="162"/>
  <c r="D88" i="162"/>
  <c r="B88" i="162"/>
  <c r="D87" i="162"/>
  <c r="B87" i="162"/>
  <c r="D86" i="162"/>
  <c r="B86" i="162"/>
  <c r="D85" i="162"/>
  <c r="B85" i="162"/>
  <c r="K84" i="162"/>
  <c r="D84" i="162"/>
  <c r="B84" i="162"/>
  <c r="D83" i="162"/>
  <c r="B83" i="162"/>
  <c r="D82" i="162"/>
  <c r="B82" i="162"/>
  <c r="D81" i="162"/>
  <c r="B81" i="162"/>
  <c r="D80" i="162"/>
  <c r="B80" i="162"/>
  <c r="D79" i="162"/>
  <c r="B79" i="162"/>
  <c r="D78" i="162"/>
  <c r="B78" i="162"/>
  <c r="D77" i="162"/>
  <c r="B77" i="162"/>
  <c r="N76" i="162"/>
  <c r="D76" i="162"/>
  <c r="B75" i="162"/>
  <c r="H75" i="162" s="1"/>
  <c r="N75" i="162" s="1"/>
  <c r="D74" i="162"/>
  <c r="B74" i="162"/>
  <c r="D73" i="162"/>
  <c r="B73" i="162"/>
  <c r="D72" i="162"/>
  <c r="B72" i="162"/>
  <c r="D71" i="162"/>
  <c r="B71" i="162"/>
  <c r="D70" i="162"/>
  <c r="B70" i="162"/>
  <c r="D69" i="162"/>
  <c r="B69" i="162"/>
  <c r="D68" i="162"/>
  <c r="B68" i="162"/>
  <c r="D67" i="162"/>
  <c r="B67" i="162"/>
  <c r="D66" i="162"/>
  <c r="B66" i="162"/>
  <c r="N65" i="162"/>
  <c r="D65" i="162"/>
  <c r="D64" i="162"/>
  <c r="B64" i="162"/>
  <c r="D63" i="162"/>
  <c r="B63" i="162"/>
  <c r="D62" i="162"/>
  <c r="B62" i="162"/>
  <c r="D61" i="162"/>
  <c r="B61" i="162"/>
  <c r="D60" i="162"/>
  <c r="B60" i="162"/>
  <c r="D59" i="162"/>
  <c r="B59" i="162"/>
  <c r="D58" i="162"/>
  <c r="B58" i="162"/>
  <c r="N57" i="162"/>
  <c r="D57" i="162"/>
  <c r="D56" i="162"/>
  <c r="D55" i="162"/>
  <c r="D54" i="162"/>
  <c r="D53" i="162"/>
  <c r="D52" i="162"/>
  <c r="D51" i="162"/>
  <c r="D50" i="162"/>
  <c r="N49" i="162"/>
  <c r="E49" i="162"/>
  <c r="B56" i="162" s="1"/>
  <c r="I33" i="204"/>
  <c r="D49" i="162"/>
  <c r="D48" i="162"/>
  <c r="D47" i="162"/>
  <c r="D46" i="162"/>
  <c r="D44" i="162"/>
  <c r="D43" i="162"/>
  <c r="D42" i="162"/>
  <c r="N41" i="162"/>
  <c r="E41" i="162"/>
  <c r="B48" i="162" s="1"/>
  <c r="D40" i="162"/>
  <c r="D39" i="162"/>
  <c r="D38" i="162"/>
  <c r="D37" i="162"/>
  <c r="D36" i="162"/>
  <c r="D35" i="162"/>
  <c r="D34" i="162"/>
  <c r="N33" i="162"/>
  <c r="E33" i="162"/>
  <c r="B40" i="162" s="1"/>
  <c r="N32" i="162"/>
  <c r="I25" i="164"/>
  <c r="I26" i="164" s="1"/>
  <c r="C57" i="164"/>
  <c r="F33" i="164"/>
  <c r="F45" i="164" s="1"/>
  <c r="F49" i="164" s="1"/>
  <c r="I49" i="164" s="1"/>
  <c r="G57" i="164"/>
  <c r="I53" i="164"/>
  <c r="I54" i="164"/>
  <c r="B28" i="162" s="1"/>
  <c r="G49" i="164"/>
  <c r="I42" i="164"/>
  <c r="B25" i="162" s="1"/>
  <c r="I38" i="164"/>
  <c r="B24" i="162" s="1"/>
  <c r="N20" i="162"/>
  <c r="D20" i="162"/>
  <c r="N19" i="162"/>
  <c r="D19" i="162"/>
  <c r="N18" i="162"/>
  <c r="F61" i="164"/>
  <c r="I61" i="164" s="1"/>
  <c r="I62" i="164" s="1"/>
  <c r="N16" i="162"/>
  <c r="N15" i="162"/>
  <c r="F66" i="174"/>
  <c r="I17" i="164"/>
  <c r="I18" i="164" s="1"/>
  <c r="I13" i="164"/>
  <c r="I14" i="164"/>
  <c r="B13" i="162" s="1"/>
  <c r="I6" i="164"/>
  <c r="I8" i="164" s="1"/>
  <c r="N11" i="162"/>
  <c r="H4" i="162"/>
  <c r="B2" i="179" s="1"/>
  <c r="J6" i="107"/>
  <c r="F4" i="162" s="1"/>
  <c r="C4" i="162"/>
  <c r="C2" i="184" s="1"/>
  <c r="D3" i="162"/>
  <c r="A1" i="184" s="1"/>
  <c r="C120" i="190"/>
  <c r="B120" i="190"/>
  <c r="C115" i="190"/>
  <c r="F106" i="190"/>
  <c r="A105" i="190"/>
  <c r="A106" i="190"/>
  <c r="F105" i="190"/>
  <c r="D104" i="190"/>
  <c r="D105" i="190" s="1"/>
  <c r="F102" i="190"/>
  <c r="A100" i="190"/>
  <c r="A101" i="190"/>
  <c r="A102" i="190" s="1"/>
  <c r="F101" i="190"/>
  <c r="F100" i="190"/>
  <c r="I7" i="169"/>
  <c r="I8" i="169" s="1"/>
  <c r="E99" i="190" s="1"/>
  <c r="G99" i="190" s="1"/>
  <c r="D99" i="190"/>
  <c r="D100" i="190" s="1"/>
  <c r="F97" i="190"/>
  <c r="F96" i="190"/>
  <c r="A90" i="190"/>
  <c r="A91" i="190" s="1"/>
  <c r="A92" i="190" s="1"/>
  <c r="A93" i="190" s="1"/>
  <c r="A94" i="190" s="1"/>
  <c r="A95" i="190" s="1"/>
  <c r="A96" i="190" s="1"/>
  <c r="F95" i="190"/>
  <c r="F94" i="190"/>
  <c r="G94" i="190" s="1"/>
  <c r="F93" i="190"/>
  <c r="G93" i="190" s="1"/>
  <c r="F92" i="190"/>
  <c r="F91" i="190"/>
  <c r="F90" i="190"/>
  <c r="D89" i="190"/>
  <c r="D90" i="190"/>
  <c r="F87" i="190"/>
  <c r="F86" i="190"/>
  <c r="F85" i="190"/>
  <c r="A73" i="190"/>
  <c r="A74" i="190" s="1"/>
  <c r="A75" i="190" s="1"/>
  <c r="A76" i="190" s="1"/>
  <c r="A77" i="190" s="1"/>
  <c r="A78" i="190" s="1"/>
  <c r="A79" i="190" s="1"/>
  <c r="A80" i="190" s="1"/>
  <c r="A81" i="190" s="1"/>
  <c r="A82" i="190" s="1"/>
  <c r="A83" i="190" s="1"/>
  <c r="A84" i="190" s="1"/>
  <c r="A85" i="190" s="1"/>
  <c r="F84" i="190"/>
  <c r="F82" i="190"/>
  <c r="F81" i="190"/>
  <c r="G81" i="190"/>
  <c r="F80" i="190"/>
  <c r="F79" i="190"/>
  <c r="G79" i="190" s="1"/>
  <c r="F78" i="190"/>
  <c r="F77" i="190"/>
  <c r="F76" i="190"/>
  <c r="F75" i="190"/>
  <c r="F74" i="190"/>
  <c r="I17" i="187"/>
  <c r="I18" i="187"/>
  <c r="I19" i="187"/>
  <c r="I20" i="187"/>
  <c r="D72" i="190"/>
  <c r="D73" i="190" s="1"/>
  <c r="D74" i="190" s="1"/>
  <c r="F73" i="190"/>
  <c r="G73" i="190" s="1"/>
  <c r="I7" i="187"/>
  <c r="I10" i="187" s="1"/>
  <c r="I8" i="187"/>
  <c r="I9" i="187"/>
  <c r="F70" i="190"/>
  <c r="F69" i="190"/>
  <c r="F68" i="190"/>
  <c r="A56" i="190"/>
  <c r="A57" i="190"/>
  <c r="A58" i="190" s="1"/>
  <c r="A59" i="190" s="1"/>
  <c r="A60" i="190" s="1"/>
  <c r="A61" i="190" s="1"/>
  <c r="A62" i="190" s="1"/>
  <c r="A63" i="190" s="1"/>
  <c r="A64" i="190" s="1"/>
  <c r="A65" i="190" s="1"/>
  <c r="A66" i="190" s="1"/>
  <c r="A67" i="190" s="1"/>
  <c r="A68" i="190" s="1"/>
  <c r="F67" i="190"/>
  <c r="F65" i="190"/>
  <c r="F64" i="190"/>
  <c r="G64" i="190" s="1"/>
  <c r="F63" i="190"/>
  <c r="F62" i="190"/>
  <c r="G62" i="190"/>
  <c r="F61" i="190"/>
  <c r="F60" i="190"/>
  <c r="F59" i="190"/>
  <c r="F58" i="190"/>
  <c r="D55" i="190"/>
  <c r="D56" i="190"/>
  <c r="D57" i="190" s="1"/>
  <c r="F57" i="190"/>
  <c r="F56" i="190"/>
  <c r="G56" i="190" s="1"/>
  <c r="F53" i="190"/>
  <c r="F52" i="190"/>
  <c r="F51" i="190"/>
  <c r="A39" i="190"/>
  <c r="A40" i="190"/>
  <c r="A41" i="190" s="1"/>
  <c r="A42" i="190" s="1"/>
  <c r="A43" i="190" s="1"/>
  <c r="A44" i="190" s="1"/>
  <c r="A45" i="190" s="1"/>
  <c r="A46" i="190" s="1"/>
  <c r="A47" i="190" s="1"/>
  <c r="A48" i="190" s="1"/>
  <c r="A49" i="190" s="1"/>
  <c r="A50" i="190" s="1"/>
  <c r="A51" i="190" s="1"/>
  <c r="F50" i="190"/>
  <c r="F48" i="190"/>
  <c r="F47" i="190"/>
  <c r="G47" i="190" s="1"/>
  <c r="F46" i="190"/>
  <c r="F45" i="190"/>
  <c r="G45" i="190"/>
  <c r="F44" i="190"/>
  <c r="F43" i="190"/>
  <c r="F42" i="190"/>
  <c r="F41" i="190"/>
  <c r="D38" i="190"/>
  <c r="D39" i="190"/>
  <c r="D40" i="190" s="1"/>
  <c r="D41" i="190" s="1"/>
  <c r="F40" i="190"/>
  <c r="F39" i="190"/>
  <c r="G39" i="190" s="1"/>
  <c r="E38" i="190"/>
  <c r="G38" i="190" s="1"/>
  <c r="F36" i="190"/>
  <c r="A33" i="190"/>
  <c r="A34" i="190"/>
  <c r="A35" i="190" s="1"/>
  <c r="A36" i="190" s="1"/>
  <c r="F35" i="190"/>
  <c r="F34" i="190"/>
  <c r="F33" i="190"/>
  <c r="D32" i="190"/>
  <c r="D33" i="190" s="1"/>
  <c r="I7" i="204"/>
  <c r="I9" i="204" s="1"/>
  <c r="E32" i="190" s="1"/>
  <c r="G32" i="190" s="1"/>
  <c r="F8" i="204"/>
  <c r="I8" i="204"/>
  <c r="F30" i="190"/>
  <c r="A27" i="190"/>
  <c r="A28" i="190"/>
  <c r="A29" i="190" s="1"/>
  <c r="A30" i="190" s="1"/>
  <c r="F29" i="190"/>
  <c r="F28" i="190"/>
  <c r="F27" i="190"/>
  <c r="D26" i="190"/>
  <c r="D28" i="190" s="1"/>
  <c r="B25" i="190"/>
  <c r="F23" i="190"/>
  <c r="A20" i="190"/>
  <c r="A21" i="190" s="1"/>
  <c r="A22" i="190" s="1"/>
  <c r="A23" i="190" s="1"/>
  <c r="F22" i="190"/>
  <c r="F21" i="190"/>
  <c r="F20" i="190"/>
  <c r="D19" i="190"/>
  <c r="D21" i="190"/>
  <c r="B18" i="190"/>
  <c r="A10" i="190"/>
  <c r="A11" i="190" s="1"/>
  <c r="A13" i="190" s="1"/>
  <c r="A14" i="190" s="1"/>
  <c r="A15" i="190" s="1"/>
  <c r="A16" i="190" s="1"/>
  <c r="A17" i="190" s="1"/>
  <c r="H16" i="190"/>
  <c r="F16" i="190"/>
  <c r="F15" i="190"/>
  <c r="F14" i="190"/>
  <c r="E14" i="190"/>
  <c r="F13" i="190"/>
  <c r="G13" i="190"/>
  <c r="F12" i="190"/>
  <c r="A12" i="190"/>
  <c r="F11" i="190"/>
  <c r="F10" i="190"/>
  <c r="G10" i="190" s="1"/>
  <c r="G9" i="190"/>
  <c r="G8" i="190"/>
  <c r="A2" i="190"/>
  <c r="G681" i="119"/>
  <c r="F359" i="150" s="1"/>
  <c r="C681" i="119"/>
  <c r="D359" i="150"/>
  <c r="G677" i="119"/>
  <c r="B669" i="119"/>
  <c r="B667" i="119"/>
  <c r="B662" i="119"/>
  <c r="H657" i="119"/>
  <c r="J657" i="119" s="1"/>
  <c r="H656" i="119"/>
  <c r="J656" i="119"/>
  <c r="J658" i="119" s="1"/>
  <c r="B653" i="119"/>
  <c r="H650" i="119"/>
  <c r="J650" i="119"/>
  <c r="H651" i="119"/>
  <c r="J651" i="119" s="1"/>
  <c r="H652" i="119"/>
  <c r="J652" i="119"/>
  <c r="H633" i="119"/>
  <c r="B622" i="119"/>
  <c r="B621" i="119"/>
  <c r="H617" i="119"/>
  <c r="J617" i="119"/>
  <c r="H616" i="119"/>
  <c r="J616" i="119" s="1"/>
  <c r="I611" i="119"/>
  <c r="H610" i="119"/>
  <c r="J610" i="119" s="1"/>
  <c r="H609" i="119"/>
  <c r="J609" i="119" s="1"/>
  <c r="B598" i="119"/>
  <c r="B597" i="119"/>
  <c r="B594" i="119"/>
  <c r="B591" i="119"/>
  <c r="B588" i="119"/>
  <c r="B585" i="119"/>
  <c r="A208" i="119"/>
  <c r="A239" i="119"/>
  <c r="A269" i="119"/>
  <c r="A291" i="119" s="1"/>
  <c r="A313" i="119" s="1"/>
  <c r="A338" i="119" s="1"/>
  <c r="A369" i="119" s="1"/>
  <c r="A400" i="119" s="1"/>
  <c r="A431" i="119" s="1"/>
  <c r="A453" i="119" s="1"/>
  <c r="A476" i="119" s="1"/>
  <c r="A506" i="119" s="1"/>
  <c r="A538" i="119" s="1"/>
  <c r="A561" i="119" s="1"/>
  <c r="A580" i="119" s="1"/>
  <c r="B576" i="119"/>
  <c r="B575" i="119"/>
  <c r="B568" i="119"/>
  <c r="H567" i="119"/>
  <c r="J567" i="119" s="1"/>
  <c r="H566" i="119"/>
  <c r="J566" i="119"/>
  <c r="H565" i="119"/>
  <c r="J565" i="119" s="1"/>
  <c r="B554" i="119"/>
  <c r="B553" i="119"/>
  <c r="B545" i="119"/>
  <c r="H544" i="119"/>
  <c r="J544" i="119"/>
  <c r="H543" i="119"/>
  <c r="J543" i="119" s="1"/>
  <c r="H542" i="119"/>
  <c r="J542" i="119"/>
  <c r="B531" i="119"/>
  <c r="B530" i="119"/>
  <c r="H525" i="119"/>
  <c r="J525" i="119"/>
  <c r="H524" i="119"/>
  <c r="J524" i="119" s="1"/>
  <c r="J526" i="119" s="1"/>
  <c r="B520" i="119"/>
  <c r="B519" i="119"/>
  <c r="B513" i="119"/>
  <c r="H512" i="119"/>
  <c r="J512" i="119"/>
  <c r="H511" i="119"/>
  <c r="J511" i="119" s="1"/>
  <c r="H510" i="119"/>
  <c r="J510" i="119"/>
  <c r="B500" i="119"/>
  <c r="C499" i="119"/>
  <c r="B499" i="119"/>
  <c r="H494" i="119"/>
  <c r="J494" i="119" s="1"/>
  <c r="H493" i="119"/>
  <c r="J493" i="119" s="1"/>
  <c r="B489" i="119"/>
  <c r="B488" i="119"/>
  <c r="B483" i="119"/>
  <c r="H482" i="119"/>
  <c r="J482" i="119" s="1"/>
  <c r="H481" i="119"/>
  <c r="J481" i="119" s="1"/>
  <c r="H480" i="119"/>
  <c r="J480" i="119" s="1"/>
  <c r="D474" i="119"/>
  <c r="D475" i="119" s="1"/>
  <c r="D473" i="119"/>
  <c r="B472" i="119"/>
  <c r="B471" i="119"/>
  <c r="J467" i="119"/>
  <c r="H466" i="119"/>
  <c r="J466" i="119" s="1"/>
  <c r="B464" i="119"/>
  <c r="J465" i="119"/>
  <c r="B461" i="119"/>
  <c r="H460" i="119"/>
  <c r="J460" i="119" s="1"/>
  <c r="H459" i="119"/>
  <c r="J459" i="119" s="1"/>
  <c r="H458" i="119"/>
  <c r="J458" i="119" s="1"/>
  <c r="H457" i="119"/>
  <c r="J457" i="119" s="1"/>
  <c r="D450" i="119"/>
  <c r="D451" i="119" s="1"/>
  <c r="D449" i="119"/>
  <c r="B447" i="119"/>
  <c r="B446" i="119"/>
  <c r="H443" i="119"/>
  <c r="J443" i="119" s="1"/>
  <c r="B439" i="119"/>
  <c r="H438" i="119"/>
  <c r="J438" i="119"/>
  <c r="H437" i="119"/>
  <c r="J437" i="119" s="1"/>
  <c r="H436" i="119"/>
  <c r="J436" i="119"/>
  <c r="B424" i="119"/>
  <c r="C423" i="119"/>
  <c r="B423" i="119"/>
  <c r="H418" i="119"/>
  <c r="J418" i="119" s="1"/>
  <c r="H417" i="119"/>
  <c r="J417" i="119" s="1"/>
  <c r="J419" i="119" s="1"/>
  <c r="B413" i="119"/>
  <c r="B412" i="119"/>
  <c r="B407" i="119"/>
  <c r="H406" i="119"/>
  <c r="J406" i="119" s="1"/>
  <c r="H405" i="119"/>
  <c r="J405" i="119" s="1"/>
  <c r="H404" i="119"/>
  <c r="J404" i="119" s="1"/>
  <c r="B393" i="119"/>
  <c r="B392" i="119"/>
  <c r="H355" i="119"/>
  <c r="H386" i="119" s="1"/>
  <c r="J386" i="119" s="1"/>
  <c r="B382" i="119"/>
  <c r="B381" i="119"/>
  <c r="B376" i="119"/>
  <c r="H375" i="119"/>
  <c r="J375" i="119"/>
  <c r="H374" i="119"/>
  <c r="J374" i="119"/>
  <c r="H373" i="119"/>
  <c r="J373" i="119"/>
  <c r="B362" i="119"/>
  <c r="B361" i="119"/>
  <c r="H356" i="119"/>
  <c r="H387" i="119"/>
  <c r="J387" i="119" s="1"/>
  <c r="J355" i="119"/>
  <c r="B351" i="119"/>
  <c r="B350" i="119"/>
  <c r="B345" i="119"/>
  <c r="H344" i="119"/>
  <c r="J344" i="119" s="1"/>
  <c r="H343" i="119"/>
  <c r="J343" i="119" s="1"/>
  <c r="H342" i="119"/>
  <c r="J342" i="119" s="1"/>
  <c r="B331" i="119"/>
  <c r="B330" i="119"/>
  <c r="H327" i="119"/>
  <c r="J327" i="119" s="1"/>
  <c r="J328" i="119" s="1"/>
  <c r="B320" i="119"/>
  <c r="H319" i="119"/>
  <c r="J319" i="119" s="1"/>
  <c r="H318" i="119"/>
  <c r="J318" i="119" s="1"/>
  <c r="H317" i="119"/>
  <c r="J317" i="119" s="1"/>
  <c r="B308" i="119"/>
  <c r="C307" i="119"/>
  <c r="B307" i="119"/>
  <c r="J303" i="119"/>
  <c r="J302" i="119"/>
  <c r="H301" i="119"/>
  <c r="J301" i="119" s="1"/>
  <c r="B298" i="119"/>
  <c r="H295" i="119"/>
  <c r="J295" i="119" s="1"/>
  <c r="H296" i="119"/>
  <c r="J296" i="119" s="1"/>
  <c r="H297" i="119"/>
  <c r="J297" i="119" s="1"/>
  <c r="D289" i="119"/>
  <c r="D290" i="119" s="1"/>
  <c r="D288" i="119"/>
  <c r="B285" i="119"/>
  <c r="B284" i="119"/>
  <c r="H281" i="119"/>
  <c r="J281" i="119" s="1"/>
  <c r="B277" i="119"/>
  <c r="H276" i="119"/>
  <c r="J276" i="119"/>
  <c r="H275" i="119"/>
  <c r="J275" i="119" s="1"/>
  <c r="H274" i="119"/>
  <c r="J274" i="119"/>
  <c r="B263" i="119"/>
  <c r="B262" i="119"/>
  <c r="H257" i="119"/>
  <c r="J257" i="119"/>
  <c r="H256" i="119"/>
  <c r="J256" i="119" s="1"/>
  <c r="J258" i="119" s="1"/>
  <c r="B252" i="119"/>
  <c r="B251" i="119"/>
  <c r="B246" i="119"/>
  <c r="H245" i="119"/>
  <c r="J245" i="119"/>
  <c r="H244" i="119"/>
  <c r="J244" i="119" s="1"/>
  <c r="H243" i="119"/>
  <c r="J243" i="119"/>
  <c r="B233" i="119"/>
  <c r="B232" i="119"/>
  <c r="H227" i="119"/>
  <c r="J227" i="119"/>
  <c r="H226" i="119"/>
  <c r="J226" i="119" s="1"/>
  <c r="J228" i="119" s="1"/>
  <c r="B222" i="119"/>
  <c r="B221" i="119"/>
  <c r="B215" i="119"/>
  <c r="H214" i="119"/>
  <c r="J214" i="119"/>
  <c r="H213" i="119"/>
  <c r="J213" i="119" s="1"/>
  <c r="H212" i="119"/>
  <c r="J212" i="119"/>
  <c r="B202" i="119"/>
  <c r="B201" i="119"/>
  <c r="H196" i="119"/>
  <c r="J196" i="119"/>
  <c r="H195" i="119"/>
  <c r="J195" i="119" s="1"/>
  <c r="B191" i="119"/>
  <c r="B190" i="119"/>
  <c r="B184" i="119"/>
  <c r="H183" i="119"/>
  <c r="J183" i="119"/>
  <c r="H182" i="119"/>
  <c r="J182" i="119" s="1"/>
  <c r="H181" i="119"/>
  <c r="J181" i="119"/>
  <c r="D174" i="119"/>
  <c r="D175" i="119" s="1"/>
  <c r="D173" i="119"/>
  <c r="B171" i="119"/>
  <c r="B170" i="119"/>
  <c r="H167" i="119"/>
  <c r="J167" i="119" s="1"/>
  <c r="B163" i="119"/>
  <c r="H162" i="119"/>
  <c r="J162" i="119"/>
  <c r="H161" i="119"/>
  <c r="J161" i="119" s="1"/>
  <c r="H160" i="119"/>
  <c r="J160" i="119"/>
  <c r="B149" i="119"/>
  <c r="C148" i="119"/>
  <c r="B148" i="119"/>
  <c r="H143" i="119"/>
  <c r="J143" i="119" s="1"/>
  <c r="H142" i="119"/>
  <c r="J142" i="119" s="1"/>
  <c r="B138" i="119"/>
  <c r="B137" i="119"/>
  <c r="B132" i="119"/>
  <c r="H131" i="119"/>
  <c r="J131" i="119"/>
  <c r="H130" i="119"/>
  <c r="J130" i="119" s="1"/>
  <c r="H129" i="119"/>
  <c r="J129" i="119"/>
  <c r="B119" i="119"/>
  <c r="C118" i="119"/>
  <c r="B118" i="119"/>
  <c r="H113" i="119"/>
  <c r="J113" i="119" s="1"/>
  <c r="H112" i="119"/>
  <c r="J112" i="119" s="1"/>
  <c r="B108" i="119"/>
  <c r="B107" i="119"/>
  <c r="B102" i="119"/>
  <c r="H101" i="119"/>
  <c r="J101" i="119"/>
  <c r="H100" i="119"/>
  <c r="J100" i="119" s="1"/>
  <c r="H99" i="119"/>
  <c r="J99" i="119"/>
  <c r="B89" i="119"/>
  <c r="B88" i="119"/>
  <c r="H83" i="119"/>
  <c r="J83" i="119"/>
  <c r="H82" i="119"/>
  <c r="J82" i="119" s="1"/>
  <c r="J84" i="119" s="1"/>
  <c r="B78" i="119"/>
  <c r="B77" i="119"/>
  <c r="B71" i="119"/>
  <c r="H70" i="119"/>
  <c r="J70" i="119"/>
  <c r="H69" i="119"/>
  <c r="J69" i="119" s="1"/>
  <c r="H68" i="119"/>
  <c r="J68" i="119"/>
  <c r="B58" i="119"/>
  <c r="B57" i="119"/>
  <c r="H52" i="119"/>
  <c r="J52" i="119"/>
  <c r="H51" i="119"/>
  <c r="J51" i="119" s="1"/>
  <c r="J53" i="119" s="1"/>
  <c r="B47" i="119"/>
  <c r="B46" i="119"/>
  <c r="B40" i="119"/>
  <c r="H39" i="119"/>
  <c r="J39" i="119"/>
  <c r="H38" i="119"/>
  <c r="J38" i="119" s="1"/>
  <c r="H37" i="119"/>
  <c r="J37" i="119"/>
  <c r="A5" i="119"/>
  <c r="A33" i="119" s="1"/>
  <c r="A64" i="119" s="1"/>
  <c r="A95" i="119" s="1"/>
  <c r="A125" i="119" s="1"/>
  <c r="A155" i="119" s="1"/>
  <c r="B27" i="119"/>
  <c r="B26" i="119"/>
  <c r="H23" i="119"/>
  <c r="J23" i="119" s="1"/>
  <c r="H22" i="119"/>
  <c r="J22" i="119"/>
  <c r="H21" i="119"/>
  <c r="J21" i="119" s="1"/>
  <c r="J24" i="119" s="1"/>
  <c r="B16" i="119"/>
  <c r="B17" i="119"/>
  <c r="B12" i="119"/>
  <c r="H11" i="119"/>
  <c r="J11" i="119"/>
  <c r="H10" i="119"/>
  <c r="J10" i="119" s="1"/>
  <c r="H9" i="119"/>
  <c r="J9" i="119"/>
  <c r="D2" i="119"/>
  <c r="E989" i="94"/>
  <c r="D989" i="94"/>
  <c r="E985" i="94"/>
  <c r="E395" i="113" s="1"/>
  <c r="D985" i="94"/>
  <c r="D977" i="94"/>
  <c r="B977" i="94"/>
  <c r="B969" i="94"/>
  <c r="E968" i="94"/>
  <c r="G968" i="94"/>
  <c r="E967" i="94"/>
  <c r="G967" i="94" s="1"/>
  <c r="E966" i="94"/>
  <c r="G966" i="94"/>
  <c r="B960" i="94"/>
  <c r="B959" i="94"/>
  <c r="B955" i="94"/>
  <c r="E954" i="94"/>
  <c r="G954" i="94"/>
  <c r="E953" i="94"/>
  <c r="G953" i="94" s="1"/>
  <c r="B942" i="94"/>
  <c r="E939" i="94"/>
  <c r="G939" i="94" s="1"/>
  <c r="G940" i="94" s="1"/>
  <c r="B936" i="94"/>
  <c r="E935" i="94"/>
  <c r="G935" i="94" s="1"/>
  <c r="E934" i="94"/>
  <c r="G934" i="94"/>
  <c r="B924" i="94"/>
  <c r="E921" i="94"/>
  <c r="G921" i="94" s="1"/>
  <c r="E920" i="94"/>
  <c r="G920" i="94"/>
  <c r="G922" i="94" s="1"/>
  <c r="B917" i="94"/>
  <c r="E916" i="94"/>
  <c r="G916" i="94"/>
  <c r="E915" i="94"/>
  <c r="G915" i="94" s="1"/>
  <c r="B903" i="94"/>
  <c r="G897" i="94"/>
  <c r="G899" i="94" s="1"/>
  <c r="G898" i="94"/>
  <c r="B893" i="94"/>
  <c r="B892" i="94"/>
  <c r="B887" i="94"/>
  <c r="E886" i="94"/>
  <c r="G886" i="94" s="1"/>
  <c r="E885" i="94"/>
  <c r="G885" i="94"/>
  <c r="E884" i="94"/>
  <c r="G884" i="94" s="1"/>
  <c r="B872" i="94"/>
  <c r="E867" i="94"/>
  <c r="G867" i="94"/>
  <c r="E866" i="94"/>
  <c r="G866" i="94" s="1"/>
  <c r="G868" i="94" s="1"/>
  <c r="B862" i="94"/>
  <c r="B861" i="94"/>
  <c r="B855" i="94"/>
  <c r="E854" i="94"/>
  <c r="G854" i="94" s="1"/>
  <c r="E853" i="94"/>
  <c r="G853" i="94"/>
  <c r="E852" i="94"/>
  <c r="G852" i="94" s="1"/>
  <c r="D841" i="94"/>
  <c r="B841" i="94"/>
  <c r="E824" i="94"/>
  <c r="G824" i="94"/>
  <c r="E823" i="94"/>
  <c r="G823" i="94" s="1"/>
  <c r="E822" i="94"/>
  <c r="G822" i="94"/>
  <c r="E821" i="94"/>
  <c r="G821" i="94" s="1"/>
  <c r="E820" i="94"/>
  <c r="G820" i="94"/>
  <c r="E819" i="94"/>
  <c r="G819" i="94" s="1"/>
  <c r="E818" i="94"/>
  <c r="G818" i="94"/>
  <c r="B815" i="94"/>
  <c r="E814" i="94"/>
  <c r="G814" i="94" s="1"/>
  <c r="E813" i="94"/>
  <c r="G813" i="94"/>
  <c r="E812" i="94"/>
  <c r="G812" i="94" s="1"/>
  <c r="B802" i="94"/>
  <c r="D801" i="94"/>
  <c r="B801" i="94"/>
  <c r="E782" i="94"/>
  <c r="G782" i="94"/>
  <c r="E781" i="94"/>
  <c r="G781" i="94" s="1"/>
  <c r="E780" i="94"/>
  <c r="G780" i="94"/>
  <c r="E779" i="94"/>
  <c r="G779" i="94" s="1"/>
  <c r="E778" i="94"/>
  <c r="G778" i="94"/>
  <c r="E777" i="94"/>
  <c r="G777" i="94" s="1"/>
  <c r="G783" i="94" s="1"/>
  <c r="E776" i="94"/>
  <c r="G776" i="94"/>
  <c r="B773" i="94"/>
  <c r="E772" i="94"/>
  <c r="G772" i="94"/>
  <c r="E771" i="94"/>
  <c r="G771" i="94" s="1"/>
  <c r="E770" i="94"/>
  <c r="G770" i="94"/>
  <c r="D759" i="94"/>
  <c r="B759" i="94"/>
  <c r="I757" i="94"/>
  <c r="I755" i="94"/>
  <c r="J755" i="94"/>
  <c r="K752" i="94"/>
  <c r="E741" i="94"/>
  <c r="G741" i="94" s="1"/>
  <c r="E740" i="94"/>
  <c r="G740" i="94"/>
  <c r="E739" i="94"/>
  <c r="G739" i="94" s="1"/>
  <c r="E738" i="94"/>
  <c r="G738" i="94"/>
  <c r="E737" i="94"/>
  <c r="G737" i="94" s="1"/>
  <c r="E736" i="94"/>
  <c r="G736" i="94"/>
  <c r="E735" i="94"/>
  <c r="G735" i="94" s="1"/>
  <c r="E734" i="94"/>
  <c r="G734" i="94"/>
  <c r="E733" i="94"/>
  <c r="G733" i="94" s="1"/>
  <c r="G742" i="94" s="1"/>
  <c r="B730" i="94"/>
  <c r="E729" i="94"/>
  <c r="G729" i="94" s="1"/>
  <c r="E728" i="94"/>
  <c r="G728" i="94"/>
  <c r="E727" i="94"/>
  <c r="G727" i="94" s="1"/>
  <c r="D717" i="94"/>
  <c r="B717" i="94"/>
  <c r="B709" i="94"/>
  <c r="B711" i="94"/>
  <c r="B713" i="94"/>
  <c r="B714" i="94"/>
  <c r="H704" i="94"/>
  <c r="H705" i="94"/>
  <c r="H703" i="94"/>
  <c r="E698" i="94"/>
  <c r="G698" i="94"/>
  <c r="E697" i="94"/>
  <c r="G697" i="94" s="1"/>
  <c r="E696" i="94"/>
  <c r="G696" i="94"/>
  <c r="E695" i="94"/>
  <c r="G695" i="94" s="1"/>
  <c r="E694" i="94"/>
  <c r="G694" i="94"/>
  <c r="E693" i="94"/>
  <c r="G693" i="94" s="1"/>
  <c r="E692" i="94"/>
  <c r="G692" i="94"/>
  <c r="B689" i="94"/>
  <c r="E686" i="94"/>
  <c r="G686" i="94"/>
  <c r="E689" i="94" s="1"/>
  <c r="G689" i="94" s="1"/>
  <c r="E687" i="94"/>
  <c r="G687" i="94" s="1"/>
  <c r="E688" i="94"/>
  <c r="G688" i="94"/>
  <c r="C675" i="94"/>
  <c r="B675" i="94"/>
  <c r="E665" i="94"/>
  <c r="G665" i="94"/>
  <c r="E664" i="94"/>
  <c r="G664" i="94" s="1"/>
  <c r="E663" i="94"/>
  <c r="G663" i="94"/>
  <c r="E662" i="94"/>
  <c r="G662" i="94" s="1"/>
  <c r="E661" i="94"/>
  <c r="G661" i="94"/>
  <c r="E660" i="94"/>
  <c r="G660" i="94" s="1"/>
  <c r="E659" i="94"/>
  <c r="G659" i="94"/>
  <c r="B656" i="94"/>
  <c r="E655" i="94"/>
  <c r="G655" i="94"/>
  <c r="E654" i="94"/>
  <c r="G654" i="94" s="1"/>
  <c r="E653" i="94"/>
  <c r="G653" i="94"/>
  <c r="B642" i="94"/>
  <c r="D641" i="94"/>
  <c r="B641" i="94"/>
  <c r="E635" i="94"/>
  <c r="G635" i="94" s="1"/>
  <c r="E634" i="94"/>
  <c r="G634" i="94"/>
  <c r="E633" i="94"/>
  <c r="G633" i="94" s="1"/>
  <c r="G632" i="94"/>
  <c r="E631" i="94"/>
  <c r="G631" i="94" s="1"/>
  <c r="E630" i="94"/>
  <c r="G630" i="94"/>
  <c r="E629" i="94"/>
  <c r="G629" i="94" s="1"/>
  <c r="E627" i="94"/>
  <c r="G627" i="94" s="1"/>
  <c r="H626" i="94"/>
  <c r="E625" i="94"/>
  <c r="G625" i="94"/>
  <c r="H624" i="94"/>
  <c r="B623" i="94"/>
  <c r="B622" i="94"/>
  <c r="J617" i="94"/>
  <c r="G616" i="94"/>
  <c r="E615" i="94"/>
  <c r="G615" i="94"/>
  <c r="E614" i="94"/>
  <c r="G614" i="94" s="1"/>
  <c r="E613" i="94"/>
  <c r="G613" i="94"/>
  <c r="G612" i="94"/>
  <c r="G611" i="94"/>
  <c r="E610" i="94"/>
  <c r="G610" i="94"/>
  <c r="B607" i="94"/>
  <c r="E606" i="94"/>
  <c r="G606" i="94"/>
  <c r="E605" i="94"/>
  <c r="G605" i="94" s="1"/>
  <c r="E604" i="94"/>
  <c r="G604" i="94"/>
  <c r="E603" i="94"/>
  <c r="G603" i="94" s="1"/>
  <c r="E602" i="94"/>
  <c r="G602" i="94"/>
  <c r="E601" i="94"/>
  <c r="G601" i="94" s="1"/>
  <c r="E600" i="94"/>
  <c r="G600" i="94"/>
  <c r="D589" i="94"/>
  <c r="B589" i="94"/>
  <c r="E585" i="94"/>
  <c r="G585" i="94" s="1"/>
  <c r="E582" i="94"/>
  <c r="G582" i="94"/>
  <c r="E581" i="94"/>
  <c r="G581" i="94" s="1"/>
  <c r="G580" i="94"/>
  <c r="E578" i="94"/>
  <c r="G578" i="94" s="1"/>
  <c r="E577" i="94"/>
  <c r="G577" i="94" s="1"/>
  <c r="E576" i="94"/>
  <c r="G576" i="94"/>
  <c r="B573" i="94"/>
  <c r="E572" i="94"/>
  <c r="G572" i="94"/>
  <c r="E571" i="94"/>
  <c r="G571" i="94" s="1"/>
  <c r="A433" i="94"/>
  <c r="A457" i="94"/>
  <c r="A481" i="94" s="1"/>
  <c r="A507" i="94" s="1"/>
  <c r="A566" i="94" s="1"/>
  <c r="D560" i="94"/>
  <c r="B560" i="94"/>
  <c r="H557" i="94"/>
  <c r="E553" i="94"/>
  <c r="G553" i="94" s="1"/>
  <c r="E552" i="94"/>
  <c r="G552" i="94"/>
  <c r="E551" i="94"/>
  <c r="G551" i="94"/>
  <c r="E550" i="94"/>
  <c r="G550" i="94"/>
  <c r="E549" i="94"/>
  <c r="G549" i="94"/>
  <c r="B546" i="94"/>
  <c r="E545" i="94"/>
  <c r="G545" i="94" s="1"/>
  <c r="E544" i="94"/>
  <c r="G544" i="94"/>
  <c r="D532" i="94"/>
  <c r="B532" i="94"/>
  <c r="E525" i="94"/>
  <c r="G525" i="94"/>
  <c r="E524" i="94"/>
  <c r="G524" i="94"/>
  <c r="E521" i="94"/>
  <c r="G521" i="94"/>
  <c r="E520" i="94"/>
  <c r="G520" i="94"/>
  <c r="E519" i="94"/>
  <c r="G519" i="94"/>
  <c r="B516" i="94"/>
  <c r="E515" i="94"/>
  <c r="G515" i="94" s="1"/>
  <c r="E514" i="94"/>
  <c r="G514" i="94"/>
  <c r="E513" i="94"/>
  <c r="G513" i="94" s="1"/>
  <c r="B501" i="94"/>
  <c r="D500" i="94"/>
  <c r="B500" i="94"/>
  <c r="E497" i="94"/>
  <c r="G497" i="94" s="1"/>
  <c r="H496" i="94"/>
  <c r="E493" i="94"/>
  <c r="G493" i="94"/>
  <c r="E492" i="94"/>
  <c r="G492" i="94"/>
  <c r="E491" i="94"/>
  <c r="G491" i="94"/>
  <c r="E490" i="94"/>
  <c r="G490" i="94"/>
  <c r="G494" i="94" s="1"/>
  <c r="B487" i="94"/>
  <c r="E486" i="94"/>
  <c r="G486" i="94"/>
  <c r="E485" i="94"/>
  <c r="G485" i="94"/>
  <c r="C475" i="94"/>
  <c r="B475" i="94"/>
  <c r="H471" i="94"/>
  <c r="E468" i="94"/>
  <c r="G468" i="94" s="1"/>
  <c r="E467" i="94"/>
  <c r="G467" i="94" s="1"/>
  <c r="E466" i="94"/>
  <c r="G466" i="94" s="1"/>
  <c r="G469" i="94" s="1"/>
  <c r="B463" i="94"/>
  <c r="E462" i="94"/>
  <c r="G462" i="94"/>
  <c r="E461" i="94"/>
  <c r="G461" i="94"/>
  <c r="B451" i="94"/>
  <c r="C450" i="94"/>
  <c r="B450" i="94"/>
  <c r="H447" i="94"/>
  <c r="E444" i="94"/>
  <c r="G444" i="94"/>
  <c r="E443" i="94"/>
  <c r="G443" i="94"/>
  <c r="E442" i="94"/>
  <c r="G442" i="94"/>
  <c r="B439" i="94"/>
  <c r="E438" i="94"/>
  <c r="G438" i="94" s="1"/>
  <c r="E437" i="94"/>
  <c r="G437" i="94" s="1"/>
  <c r="B427" i="94"/>
  <c r="D426" i="94"/>
  <c r="B426" i="94"/>
  <c r="E423" i="94"/>
  <c r="G423" i="94" s="1"/>
  <c r="E415" i="94"/>
  <c r="G415" i="94" s="1"/>
  <c r="E414" i="94"/>
  <c r="G414" i="94" s="1"/>
  <c r="E413" i="94"/>
  <c r="G413" i="94" s="1"/>
  <c r="E412" i="94"/>
  <c r="G412" i="94" s="1"/>
  <c r="E411" i="94"/>
  <c r="G411" i="94" s="1"/>
  <c r="E410" i="94"/>
  <c r="G410" i="94" s="1"/>
  <c r="B407" i="94"/>
  <c r="E406" i="94"/>
  <c r="G406" i="94" s="1"/>
  <c r="E405" i="94"/>
  <c r="G405" i="94" s="1"/>
  <c r="G407" i="94" s="1"/>
  <c r="E404" i="94"/>
  <c r="G404" i="94" s="1"/>
  <c r="D394" i="94"/>
  <c r="B394" i="94"/>
  <c r="E391" i="94"/>
  <c r="G391" i="94"/>
  <c r="E390" i="94"/>
  <c r="G390" i="94"/>
  <c r="E379" i="94"/>
  <c r="G379" i="94"/>
  <c r="E378" i="94"/>
  <c r="G378" i="94"/>
  <c r="E377" i="94"/>
  <c r="G377" i="94"/>
  <c r="B374" i="94"/>
  <c r="E373" i="94"/>
  <c r="G373" i="94" s="1"/>
  <c r="E372" i="94"/>
  <c r="G372" i="94" s="1"/>
  <c r="G374" i="94" s="1"/>
  <c r="E371" i="94"/>
  <c r="G371" i="94" s="1"/>
  <c r="A326" i="94"/>
  <c r="A365" i="94" s="1"/>
  <c r="D358" i="94"/>
  <c r="B358" i="94"/>
  <c r="B355" i="94"/>
  <c r="E354" i="94"/>
  <c r="G354" i="94"/>
  <c r="E353" i="94"/>
  <c r="G353" i="94"/>
  <c r="E340" i="94"/>
  <c r="G340" i="94"/>
  <c r="E339" i="94"/>
  <c r="G339" i="94"/>
  <c r="E338" i="94"/>
  <c r="G338" i="94"/>
  <c r="G341" i="94" s="1"/>
  <c r="B335" i="94"/>
  <c r="E334" i="94"/>
  <c r="G334" i="94"/>
  <c r="E333" i="94"/>
  <c r="G333" i="94"/>
  <c r="G335" i="94" s="1"/>
  <c r="E332" i="94"/>
  <c r="G332" i="94"/>
  <c r="B320" i="94"/>
  <c r="D319" i="94"/>
  <c r="B319" i="94"/>
  <c r="B316" i="94"/>
  <c r="E315" i="94"/>
  <c r="G315" i="94" s="1"/>
  <c r="E308" i="94"/>
  <c r="G308" i="94" s="1"/>
  <c r="E307" i="94"/>
  <c r="G307" i="94" s="1"/>
  <c r="E306" i="94"/>
  <c r="G306" i="94" s="1"/>
  <c r="E305" i="94"/>
  <c r="G305" i="94" s="1"/>
  <c r="B302" i="94"/>
  <c r="E301" i="94"/>
  <c r="G301" i="94" s="1"/>
  <c r="E300" i="94"/>
  <c r="G300" i="94" s="1"/>
  <c r="E299" i="94"/>
  <c r="G299" i="94" s="1"/>
  <c r="B287" i="94"/>
  <c r="D286" i="94"/>
  <c r="B286" i="94"/>
  <c r="E283" i="94"/>
  <c r="G283" i="94" s="1"/>
  <c r="E282" i="94"/>
  <c r="G282" i="94" s="1"/>
  <c r="E281" i="94"/>
  <c r="G281" i="94" s="1"/>
  <c r="G284" i="94" s="1"/>
  <c r="B278" i="94"/>
  <c r="E277" i="94"/>
  <c r="G277" i="94" s="1"/>
  <c r="E276" i="94"/>
  <c r="G276" i="94" s="1"/>
  <c r="D267" i="94"/>
  <c r="B267" i="94"/>
  <c r="E264" i="94"/>
  <c r="G264" i="94" s="1"/>
  <c r="G265" i="94" s="1"/>
  <c r="B261" i="94"/>
  <c r="E260" i="94"/>
  <c r="G260" i="94" s="1"/>
  <c r="E259" i="94"/>
  <c r="G259" i="94" s="1"/>
  <c r="B249" i="94"/>
  <c r="C248" i="94"/>
  <c r="B248" i="94"/>
  <c r="E246" i="94"/>
  <c r="G246" i="94" s="1"/>
  <c r="E243" i="94"/>
  <c r="G243" i="94" s="1"/>
  <c r="E242" i="94"/>
  <c r="G242" i="94" s="1"/>
  <c r="E241" i="94"/>
  <c r="G241" i="94" s="1"/>
  <c r="E240" i="94"/>
  <c r="G240" i="94" s="1"/>
  <c r="E238" i="94"/>
  <c r="D238" i="94"/>
  <c r="B238" i="94"/>
  <c r="E237" i="94"/>
  <c r="G237" i="94"/>
  <c r="B234" i="94"/>
  <c r="E233" i="94"/>
  <c r="G233" i="94" s="1"/>
  <c r="E232" i="94"/>
  <c r="G232" i="94" s="1"/>
  <c r="G234" i="94" s="1"/>
  <c r="D221" i="94"/>
  <c r="B221" i="94"/>
  <c r="E218" i="94"/>
  <c r="G218" i="94"/>
  <c r="E217" i="94"/>
  <c r="G217" i="94"/>
  <c r="I216" i="94"/>
  <c r="E216" i="94"/>
  <c r="G216" i="94" s="1"/>
  <c r="E215" i="94"/>
  <c r="G215" i="94" s="1"/>
  <c r="B212" i="94"/>
  <c r="E211" i="94"/>
  <c r="G211" i="94" s="1"/>
  <c r="E210" i="94"/>
  <c r="G210" i="94" s="1"/>
  <c r="E203" i="94"/>
  <c r="G203" i="94" s="1"/>
  <c r="E202" i="94"/>
  <c r="G202" i="94" s="1"/>
  <c r="B184" i="94"/>
  <c r="C183" i="94"/>
  <c r="B183" i="94"/>
  <c r="G180" i="94"/>
  <c r="E179" i="94"/>
  <c r="G179" i="94"/>
  <c r="G181" i="94" s="1"/>
  <c r="E176" i="94"/>
  <c r="G176" i="94" s="1"/>
  <c r="E175" i="94"/>
  <c r="G175" i="94" s="1"/>
  <c r="E174" i="94"/>
  <c r="G174" i="94" s="1"/>
  <c r="E173" i="94"/>
  <c r="G173" i="94" s="1"/>
  <c r="E171" i="94"/>
  <c r="D171" i="94"/>
  <c r="B171" i="94"/>
  <c r="E170" i="94"/>
  <c r="G170" i="94"/>
  <c r="B167" i="94"/>
  <c r="E166" i="94"/>
  <c r="G166" i="94" s="1"/>
  <c r="E165" i="94"/>
  <c r="G165" i="94" s="1"/>
  <c r="G167" i="94" s="1"/>
  <c r="B155" i="94"/>
  <c r="C154" i="94"/>
  <c r="B154" i="94"/>
  <c r="E152" i="94"/>
  <c r="G152" i="94" s="1"/>
  <c r="E149" i="94"/>
  <c r="G149" i="94" s="1"/>
  <c r="E148" i="94"/>
  <c r="G148" i="94" s="1"/>
  <c r="E147" i="94"/>
  <c r="G147" i="94" s="1"/>
  <c r="E146" i="94"/>
  <c r="G146" i="94" s="1"/>
  <c r="B143" i="94"/>
  <c r="E142" i="94"/>
  <c r="G142" i="94"/>
  <c r="E141" i="94"/>
  <c r="G141" i="94"/>
  <c r="B130" i="94"/>
  <c r="C129" i="94"/>
  <c r="B129" i="94"/>
  <c r="E126" i="94"/>
  <c r="G126" i="94" s="1"/>
  <c r="G127" i="94" s="1"/>
  <c r="B123" i="94"/>
  <c r="E101" i="94"/>
  <c r="E121" i="94" s="1"/>
  <c r="G121" i="94" s="1"/>
  <c r="C109" i="94"/>
  <c r="B109" i="94"/>
  <c r="E107" i="94"/>
  <c r="G107" i="94"/>
  <c r="B103" i="94"/>
  <c r="E102" i="94"/>
  <c r="G102" i="94" s="1"/>
  <c r="E122" i="94"/>
  <c r="G122" i="94" s="1"/>
  <c r="G101" i="94"/>
  <c r="C92" i="94"/>
  <c r="B92" i="94"/>
  <c r="E89" i="94"/>
  <c r="G89" i="94"/>
  <c r="B86" i="94"/>
  <c r="E85" i="94"/>
  <c r="G85" i="94" s="1"/>
  <c r="E86" i="94" s="1"/>
  <c r="G86" i="94" s="1"/>
  <c r="G87" i="94" s="1"/>
  <c r="E84" i="94"/>
  <c r="G84" i="94" s="1"/>
  <c r="C75" i="94"/>
  <c r="B75" i="94"/>
  <c r="E72" i="94"/>
  <c r="G72" i="94" s="1"/>
  <c r="B69" i="94"/>
  <c r="E68" i="94"/>
  <c r="G68" i="94"/>
  <c r="E67" i="94"/>
  <c r="G67" i="94"/>
  <c r="C59" i="94"/>
  <c r="B59" i="94"/>
  <c r="E56" i="94"/>
  <c r="G56" i="94"/>
  <c r="B53" i="94"/>
  <c r="E52" i="94"/>
  <c r="G52" i="94" s="1"/>
  <c r="E51" i="94"/>
  <c r="G51" i="94" s="1"/>
  <c r="D43" i="94"/>
  <c r="D44" i="94" s="1"/>
  <c r="D42" i="94"/>
  <c r="D40" i="94"/>
  <c r="B40" i="94"/>
  <c r="E36" i="94"/>
  <c r="G36" i="94"/>
  <c r="E35" i="94"/>
  <c r="G35" i="94"/>
  <c r="B32" i="94"/>
  <c r="E31" i="94"/>
  <c r="G31" i="94" s="1"/>
  <c r="E30" i="94"/>
  <c r="G30" i="94" s="1"/>
  <c r="B19" i="94"/>
  <c r="B18" i="94"/>
  <c r="E15" i="94"/>
  <c r="G15" i="94" s="1"/>
  <c r="E14" i="94"/>
  <c r="G14" i="94" s="1"/>
  <c r="B11" i="94"/>
  <c r="E10" i="94"/>
  <c r="G10" i="94"/>
  <c r="E9" i="94"/>
  <c r="G9" i="94"/>
  <c r="D2" i="94"/>
  <c r="C33" i="203"/>
  <c r="B33" i="203"/>
  <c r="L12" i="203"/>
  <c r="L26" i="203"/>
  <c r="E29" i="171"/>
  <c r="H38" i="203"/>
  <c r="B29" i="171"/>
  <c r="H33" i="203"/>
  <c r="D25" i="171"/>
  <c r="E356" i="150"/>
  <c r="B25" i="171"/>
  <c r="D356" i="150"/>
  <c r="E15" i="171"/>
  <c r="E16" i="171"/>
  <c r="G16" i="171" s="1"/>
  <c r="B11" i="171"/>
  <c r="D184" i="162" s="1"/>
  <c r="B9" i="171"/>
  <c r="D183" i="162" s="1"/>
  <c r="B7" i="171"/>
  <c r="D182" i="162" s="1"/>
  <c r="B4" i="171"/>
  <c r="A2" i="171"/>
  <c r="A2" i="203" s="1"/>
  <c r="F32" i="169"/>
  <c r="F12" i="169"/>
  <c r="F17" i="169"/>
  <c r="F22" i="169" s="1"/>
  <c r="B25" i="169"/>
  <c r="D171" i="162"/>
  <c r="B21" i="169"/>
  <c r="D170" i="162"/>
  <c r="B16" i="169"/>
  <c r="D169" i="162"/>
  <c r="I13" i="169"/>
  <c r="B11" i="169"/>
  <c r="D168" i="162" s="1"/>
  <c r="B6" i="169"/>
  <c r="D167" i="162" s="1"/>
  <c r="C2" i="169"/>
  <c r="A21" i="204"/>
  <c r="A26" i="204"/>
  <c r="A32" i="204" s="1"/>
  <c r="F12" i="204"/>
  <c r="F22" i="204" s="1"/>
  <c r="I29" i="204"/>
  <c r="F17" i="204"/>
  <c r="I17" i="204" s="1"/>
  <c r="F13" i="204"/>
  <c r="I13" i="204" s="1"/>
  <c r="I14" i="204" s="1"/>
  <c r="G13" i="204"/>
  <c r="G18" i="204" s="1"/>
  <c r="I12" i="204"/>
  <c r="I118" i="187"/>
  <c r="I37" i="169"/>
  <c r="I41" i="170" s="1"/>
  <c r="F112" i="187"/>
  <c r="B105" i="187"/>
  <c r="B102" i="187"/>
  <c r="B98" i="187"/>
  <c r="I92" i="187"/>
  <c r="I95" i="187" s="1"/>
  <c r="I93" i="187"/>
  <c r="I94" i="187"/>
  <c r="B91" i="187"/>
  <c r="D150" i="162" s="1"/>
  <c r="I88" i="187"/>
  <c r="I89" i="187" s="1"/>
  <c r="B87" i="187"/>
  <c r="I84" i="187"/>
  <c r="I85" i="187"/>
  <c r="B83" i="187"/>
  <c r="B79" i="187"/>
  <c r="I76" i="187"/>
  <c r="I77" i="187"/>
  <c r="B75" i="187"/>
  <c r="F72" i="187"/>
  <c r="I72" i="187" s="1"/>
  <c r="I73" i="187" s="1"/>
  <c r="B71" i="187"/>
  <c r="I68" i="187"/>
  <c r="I69" i="187" s="1"/>
  <c r="B67" i="187"/>
  <c r="I64" i="187"/>
  <c r="I65" i="187"/>
  <c r="B63" i="187"/>
  <c r="I60" i="187"/>
  <c r="I61" i="187" s="1"/>
  <c r="B59" i="187"/>
  <c r="I56" i="187"/>
  <c r="I57" i="187"/>
  <c r="B54" i="187"/>
  <c r="E37" i="187"/>
  <c r="E46" i="187" s="1"/>
  <c r="I46" i="187" s="1"/>
  <c r="F46" i="187"/>
  <c r="E47" i="187"/>
  <c r="E48" i="187" s="1"/>
  <c r="I48" i="187" s="1"/>
  <c r="I49" i="187"/>
  <c r="I50" i="187"/>
  <c r="B45" i="187"/>
  <c r="I37" i="187"/>
  <c r="I38" i="187"/>
  <c r="E39" i="187"/>
  <c r="I39" i="187" s="1"/>
  <c r="I40" i="187"/>
  <c r="I41" i="187"/>
  <c r="B36" i="187"/>
  <c r="I24" i="187"/>
  <c r="F25" i="187"/>
  <c r="I25" i="187"/>
  <c r="F26" i="187"/>
  <c r="F27" i="187" s="1"/>
  <c r="I27" i="187" s="1"/>
  <c r="I26" i="187"/>
  <c r="I28" i="187"/>
  <c r="F29" i="187"/>
  <c r="F30" i="187" s="1"/>
  <c r="I30" i="187" s="1"/>
  <c r="I31" i="187"/>
  <c r="I32" i="187"/>
  <c r="I33" i="187"/>
  <c r="B22" i="187"/>
  <c r="B16" i="187"/>
  <c r="I13" i="187"/>
  <c r="I14" i="187" s="1"/>
  <c r="B12" i="187"/>
  <c r="B6" i="187"/>
  <c r="F2" i="187"/>
  <c r="E123" i="141"/>
  <c r="D123" i="141"/>
  <c r="E118" i="141"/>
  <c r="D118" i="141"/>
  <c r="B110" i="141"/>
  <c r="D109" i="141"/>
  <c r="B109" i="141"/>
  <c r="E95" i="141"/>
  <c r="G95" i="141" s="1"/>
  <c r="E92" i="141"/>
  <c r="G92" i="141" s="1"/>
  <c r="E91" i="141"/>
  <c r="G91" i="141" s="1"/>
  <c r="E90" i="141"/>
  <c r="G90" i="141" s="1"/>
  <c r="E89" i="141"/>
  <c r="G89" i="141" s="1"/>
  <c r="G93" i="141" s="1"/>
  <c r="E86" i="141"/>
  <c r="G86" i="141"/>
  <c r="E85" i="141"/>
  <c r="G85" i="141"/>
  <c r="E84" i="141"/>
  <c r="G84" i="141"/>
  <c r="G87" i="141" s="1"/>
  <c r="B75" i="141"/>
  <c r="D74" i="141"/>
  <c r="B74" i="141"/>
  <c r="E69" i="141"/>
  <c r="G69" i="141" s="1"/>
  <c r="E64" i="141"/>
  <c r="G64" i="141"/>
  <c r="E63" i="141"/>
  <c r="G63" i="141"/>
  <c r="E62" i="141"/>
  <c r="G62" i="141"/>
  <c r="E61" i="141"/>
  <c r="G61" i="141"/>
  <c r="G65" i="141" s="1"/>
  <c r="E58" i="141"/>
  <c r="G58" i="141" s="1"/>
  <c r="E57" i="141"/>
  <c r="G57" i="141" s="1"/>
  <c r="E56" i="141"/>
  <c r="G56" i="141" s="1"/>
  <c r="B47" i="141"/>
  <c r="D46" i="141"/>
  <c r="B46" i="141"/>
  <c r="E42" i="141"/>
  <c r="G42" i="141"/>
  <c r="B40" i="141"/>
  <c r="E40" i="141"/>
  <c r="G40" i="141" s="1"/>
  <c r="E41" i="141" s="1"/>
  <c r="G41" i="141" s="1"/>
  <c r="E39" i="141"/>
  <c r="G39" i="141" s="1"/>
  <c r="E35" i="141"/>
  <c r="G35" i="141"/>
  <c r="G37" i="141" s="1"/>
  <c r="E36" i="141"/>
  <c r="G36" i="141"/>
  <c r="B23" i="141"/>
  <c r="D22" i="141"/>
  <c r="B22" i="141"/>
  <c r="E18" i="141"/>
  <c r="G18" i="141" s="1"/>
  <c r="B16" i="141"/>
  <c r="G16" i="141" s="1"/>
  <c r="E17" i="141" s="1"/>
  <c r="G17" i="141" s="1"/>
  <c r="E16" i="141"/>
  <c r="E15" i="141"/>
  <c r="G15" i="141"/>
  <c r="E12" i="141"/>
  <c r="G12" i="141" s="1"/>
  <c r="E11" i="141"/>
  <c r="G11" i="141" s="1"/>
  <c r="G13" i="141" s="1"/>
  <c r="A5" i="141"/>
  <c r="A27" i="141"/>
  <c r="A50" i="141" s="1"/>
  <c r="A78" i="141" s="1"/>
  <c r="A2" i="141"/>
  <c r="C77" i="140"/>
  <c r="I77" i="140" s="1"/>
  <c r="L77" i="140" s="1"/>
  <c r="C78" i="140"/>
  <c r="I78" i="140" s="1"/>
  <c r="L78" i="140" s="1"/>
  <c r="I69" i="140"/>
  <c r="L69" i="140" s="1"/>
  <c r="L75" i="140" s="1"/>
  <c r="I64" i="140"/>
  <c r="S4" i="140"/>
  <c r="S5" i="140"/>
  <c r="S7" i="140" s="1"/>
  <c r="I7" i="140" s="1"/>
  <c r="C64" i="140" s="1"/>
  <c r="S6" i="140"/>
  <c r="I65" i="140"/>
  <c r="S9" i="140"/>
  <c r="S10" i="140"/>
  <c r="S11" i="140"/>
  <c r="S12" i="140"/>
  <c r="S13" i="140" s="1"/>
  <c r="I8" i="140" s="1"/>
  <c r="C65" i="140" s="1"/>
  <c r="H65" i="140" s="1"/>
  <c r="C66" i="140"/>
  <c r="I66" i="140"/>
  <c r="L66" i="140" s="1"/>
  <c r="I61" i="140"/>
  <c r="L61" i="140"/>
  <c r="N61" i="140" s="1"/>
  <c r="O61" i="140"/>
  <c r="Q61" i="140"/>
  <c r="I59" i="140"/>
  <c r="L59" i="140" s="1"/>
  <c r="I58" i="140"/>
  <c r="H58" i="140"/>
  <c r="L58" i="140" s="1"/>
  <c r="D27" i="140"/>
  <c r="D57" i="140"/>
  <c r="F57" i="140"/>
  <c r="I57" i="140"/>
  <c r="H57" i="140"/>
  <c r="C55" i="140"/>
  <c r="L55" i="140" s="1"/>
  <c r="F55" i="140"/>
  <c r="C53" i="140"/>
  <c r="L53" i="140" s="1"/>
  <c r="C51" i="140"/>
  <c r="K51" i="140"/>
  <c r="L51" i="140" s="1"/>
  <c r="L52" i="140" s="1"/>
  <c r="C49" i="140"/>
  <c r="K49" i="140"/>
  <c r="L49" i="140" s="1"/>
  <c r="C46" i="140"/>
  <c r="D35" i="140"/>
  <c r="D36" i="140" s="1"/>
  <c r="C45" i="140"/>
  <c r="C44" i="140"/>
  <c r="C43" i="140"/>
  <c r="C42" i="140"/>
  <c r="C39" i="140"/>
  <c r="C38" i="140"/>
  <c r="C37" i="140"/>
  <c r="C36" i="140"/>
  <c r="C35" i="140"/>
  <c r="I35" i="140"/>
  <c r="C31" i="140"/>
  <c r="D31" i="140"/>
  <c r="I31" i="140" s="1"/>
  <c r="C30" i="140"/>
  <c r="I30" i="140" s="1"/>
  <c r="D30" i="140"/>
  <c r="C29" i="140"/>
  <c r="I29" i="140" s="1"/>
  <c r="D29" i="140"/>
  <c r="C28" i="140"/>
  <c r="D28" i="140"/>
  <c r="I28" i="140"/>
  <c r="C27" i="140"/>
  <c r="I27" i="140"/>
  <c r="C24" i="140"/>
  <c r="D16" i="140"/>
  <c r="D20" i="140" s="1"/>
  <c r="I20" i="140" s="1"/>
  <c r="C23" i="140"/>
  <c r="I23" i="140" s="1"/>
  <c r="D23" i="140"/>
  <c r="C22" i="140"/>
  <c r="C20" i="140"/>
  <c r="C19" i="140"/>
  <c r="C18" i="140"/>
  <c r="I18" i="140" s="1"/>
  <c r="D18" i="140"/>
  <c r="C17" i="140"/>
  <c r="C16" i="140"/>
  <c r="C8" i="140"/>
  <c r="O2" i="140"/>
  <c r="A2" i="140"/>
  <c r="E3" i="139"/>
  <c r="E4" i="139" s="1"/>
  <c r="A2" i="139"/>
  <c r="C28" i="189"/>
  <c r="B28" i="189"/>
  <c r="C23" i="189"/>
  <c r="B23" i="189"/>
  <c r="C14" i="189"/>
  <c r="A10" i="189"/>
  <c r="A12" i="189"/>
  <c r="A8" i="189"/>
  <c r="B6" i="189"/>
  <c r="D41" i="162"/>
  <c r="B5" i="189"/>
  <c r="D33" i="162"/>
  <c r="M86" i="174" s="1"/>
  <c r="B86" i="174" s="1"/>
  <c r="A2" i="189"/>
  <c r="H30" i="128"/>
  <c r="H29" i="128"/>
  <c r="H28" i="128"/>
  <c r="H27" i="128"/>
  <c r="H26" i="128"/>
  <c r="L22" i="128"/>
  <c r="M21" i="128"/>
  <c r="C16" i="128"/>
  <c r="E36" i="197"/>
  <c r="G36" i="197"/>
  <c r="H20" i="197"/>
  <c r="G20" i="197"/>
  <c r="F20" i="197"/>
  <c r="E20" i="197"/>
  <c r="D20" i="197"/>
  <c r="C20" i="197"/>
  <c r="M7" i="197"/>
  <c r="G7" i="197"/>
  <c r="M6" i="197"/>
  <c r="G6" i="197"/>
  <c r="B4" i="197"/>
  <c r="E68" i="164"/>
  <c r="B61" i="164"/>
  <c r="B60" i="164"/>
  <c r="D17" i="162" s="1"/>
  <c r="B33" i="164"/>
  <c r="B57" i="164" s="1"/>
  <c r="B56" i="164"/>
  <c r="D29" i="162" s="1"/>
  <c r="B52" i="164"/>
  <c r="D28" i="162" s="1"/>
  <c r="B48" i="164"/>
  <c r="D27" i="162" s="1"/>
  <c r="B44" i="164"/>
  <c r="D26" i="162" s="1"/>
  <c r="G37" i="164"/>
  <c r="G41" i="164" s="1"/>
  <c r="F37" i="164"/>
  <c r="F41" i="164" s="1"/>
  <c r="B37" i="164"/>
  <c r="B41" i="164"/>
  <c r="B40" i="164"/>
  <c r="D25" i="162" s="1"/>
  <c r="B36" i="164"/>
  <c r="D24" i="162"/>
  <c r="B32" i="164"/>
  <c r="D23" i="162" s="1"/>
  <c r="B21" i="164"/>
  <c r="B29" i="164" s="1"/>
  <c r="B28" i="164"/>
  <c r="D22" i="162" s="1"/>
  <c r="B13" i="164"/>
  <c r="B17" i="164" s="1"/>
  <c r="B24" i="164"/>
  <c r="D21" i="162" s="1"/>
  <c r="B20" i="164"/>
  <c r="D31" i="162" s="1"/>
  <c r="B16" i="164"/>
  <c r="D14" i="162" s="1"/>
  <c r="B12" i="164"/>
  <c r="D13" i="162" s="1"/>
  <c r="B5" i="164"/>
  <c r="D12" i="162" s="1"/>
  <c r="C2" i="164"/>
  <c r="D4" i="201"/>
  <c r="L86" i="185"/>
  <c r="B86" i="185"/>
  <c r="O45" i="185"/>
  <c r="F45" i="185"/>
  <c r="Q34" i="185"/>
  <c r="R34" i="185"/>
  <c r="K10" i="175"/>
  <c r="K11" i="175" s="1"/>
  <c r="J10" i="175"/>
  <c r="J11" i="175" s="1"/>
  <c r="I10" i="175"/>
  <c r="I11" i="175" s="1"/>
  <c r="J28" i="185" s="1"/>
  <c r="H10" i="175"/>
  <c r="H11" i="175" s="1"/>
  <c r="G10" i="175"/>
  <c r="G11" i="175" s="1"/>
  <c r="F10" i="175"/>
  <c r="F11" i="175" s="1"/>
  <c r="E10" i="175"/>
  <c r="E11" i="175" s="1"/>
  <c r="F28" i="185" s="1"/>
  <c r="D10" i="175"/>
  <c r="D11" i="175" s="1"/>
  <c r="C10" i="175"/>
  <c r="C11" i="175" s="1"/>
  <c r="B10" i="175"/>
  <c r="B11" i="175" s="1"/>
  <c r="K20" i="185"/>
  <c r="W18" i="185"/>
  <c r="F18" i="185"/>
  <c r="B34" i="185" s="1"/>
  <c r="J12" i="185"/>
  <c r="O12" i="185"/>
  <c r="O3" i="185"/>
  <c r="D3" i="185"/>
  <c r="C3" i="185"/>
  <c r="E2" i="185"/>
  <c r="Q30" i="175"/>
  <c r="R30" i="175"/>
  <c r="R31" i="175"/>
  <c r="R35" i="175" s="1"/>
  <c r="R36" i="175" s="1"/>
  <c r="L10" i="175"/>
  <c r="L11" i="175" s="1"/>
  <c r="D20" i="191" s="1"/>
  <c r="L4" i="197" s="1"/>
  <c r="C22" i="175"/>
  <c r="B22" i="175"/>
  <c r="M9" i="175"/>
  <c r="M8" i="175"/>
  <c r="M7" i="175"/>
  <c r="A3" i="175"/>
  <c r="M29" i="191"/>
  <c r="K29" i="191"/>
  <c r="C3" i="191"/>
  <c r="C2" i="191"/>
  <c r="F1" i="191"/>
  <c r="C38" i="133"/>
  <c r="I73" i="164" s="1"/>
  <c r="C29" i="189" s="1"/>
  <c r="B38" i="133"/>
  <c r="L87" i="185" s="1"/>
  <c r="C35" i="133"/>
  <c r="B24" i="189"/>
  <c r="A30" i="133"/>
  <c r="K18" i="133"/>
  <c r="A14" i="133"/>
  <c r="A15" i="133" s="1"/>
  <c r="A16" i="133" s="1"/>
  <c r="A17" i="133" s="1"/>
  <c r="I9" i="133"/>
  <c r="I8" i="133"/>
  <c r="C7" i="133"/>
  <c r="C3" i="133"/>
  <c r="B2" i="133"/>
  <c r="C176" i="174"/>
  <c r="N166" i="174"/>
  <c r="B156" i="174"/>
  <c r="B157" i="174" s="1"/>
  <c r="B158" i="174" s="1"/>
  <c r="B159" i="174" s="1"/>
  <c r="B160" i="174" s="1"/>
  <c r="B151" i="174"/>
  <c r="B152" i="174" s="1"/>
  <c r="B153" i="174" s="1"/>
  <c r="C147" i="174"/>
  <c r="I125" i="174"/>
  <c r="M123" i="174"/>
  <c r="M122" i="174"/>
  <c r="N121" i="174"/>
  <c r="I124" i="174" s="1"/>
  <c r="M121" i="174"/>
  <c r="N120" i="174"/>
  <c r="H123" i="174" s="1"/>
  <c r="M120" i="174"/>
  <c r="I123" i="174" s="1"/>
  <c r="N119" i="174"/>
  <c r="H119" i="174" s="1"/>
  <c r="M119" i="174"/>
  <c r="I119" i="174" s="1"/>
  <c r="L119" i="174"/>
  <c r="B119" i="174" s="1"/>
  <c r="N117" i="174"/>
  <c r="H113" i="174" s="1"/>
  <c r="H114" i="174" s="1"/>
  <c r="H115" i="174" s="1"/>
  <c r="M115" i="174"/>
  <c r="I116" i="174" s="1"/>
  <c r="E115" i="174"/>
  <c r="E114" i="174"/>
  <c r="N113" i="174"/>
  <c r="H120" i="174" s="1"/>
  <c r="M113" i="174"/>
  <c r="I120" i="174" s="1"/>
  <c r="I113" i="174"/>
  <c r="E113" i="174"/>
  <c r="B113" i="174"/>
  <c r="N112" i="174"/>
  <c r="H118" i="174" s="1"/>
  <c r="M112" i="174"/>
  <c r="I118" i="174" s="1"/>
  <c r="I112" i="174"/>
  <c r="E112" i="174"/>
  <c r="N111" i="174"/>
  <c r="H122" i="174" s="1"/>
  <c r="M111" i="174"/>
  <c r="I122" i="174" s="1"/>
  <c r="I111" i="174"/>
  <c r="E111" i="174"/>
  <c r="N110" i="174"/>
  <c r="H121" i="174" s="1"/>
  <c r="M110" i="174"/>
  <c r="I121" i="174" s="1"/>
  <c r="H104" i="174"/>
  <c r="H103" i="174"/>
  <c r="E103" i="174"/>
  <c r="P101" i="174"/>
  <c r="O101" i="174"/>
  <c r="S100" i="174"/>
  <c r="S99" i="174"/>
  <c r="B98" i="174"/>
  <c r="S97" i="174"/>
  <c r="A93" i="174"/>
  <c r="A94" i="174" s="1"/>
  <c r="A95" i="174" s="1"/>
  <c r="A96" i="174" s="1"/>
  <c r="A97" i="174" s="1"/>
  <c r="A98" i="174" s="1"/>
  <c r="A99" i="174" s="1"/>
  <c r="A100" i="174" s="1"/>
  <c r="E89" i="174"/>
  <c r="N88" i="174"/>
  <c r="M88" i="174"/>
  <c r="B88" i="174"/>
  <c r="M87" i="174"/>
  <c r="F87" i="174"/>
  <c r="B87" i="174"/>
  <c r="F86" i="174"/>
  <c r="E81" i="174"/>
  <c r="E80" i="174"/>
  <c r="G71" i="174"/>
  <c r="F71" i="174"/>
  <c r="M71" i="174" s="1"/>
  <c r="G70" i="174"/>
  <c r="F70" i="174"/>
  <c r="G69" i="174"/>
  <c r="F69" i="174"/>
  <c r="M69" i="174" s="1"/>
  <c r="G68" i="174"/>
  <c r="G66" i="174"/>
  <c r="K56" i="174"/>
  <c r="U36" i="174"/>
  <c r="L35" i="174"/>
  <c r="H35" i="174"/>
  <c r="E35" i="174"/>
  <c r="B35" i="174"/>
  <c r="I35" i="174" s="1"/>
  <c r="H34" i="174"/>
  <c r="B34" i="174"/>
  <c r="I34" i="174" s="1"/>
  <c r="N32" i="174"/>
  <c r="M32" i="174"/>
  <c r="A32" i="174"/>
  <c r="A31" i="174"/>
  <c r="A30" i="174"/>
  <c r="A29" i="174"/>
  <c r="A28" i="174"/>
  <c r="A27" i="174"/>
  <c r="J22" i="174"/>
  <c r="I22" i="174"/>
  <c r="H22" i="174"/>
  <c r="F22" i="174"/>
  <c r="C22" i="174"/>
  <c r="J21" i="174"/>
  <c r="I21" i="174"/>
  <c r="H21" i="174"/>
  <c r="F21" i="174"/>
  <c r="C21" i="174"/>
  <c r="F17" i="174"/>
  <c r="K17" i="174" s="1"/>
  <c r="N14" i="174"/>
  <c r="N16" i="174" s="1"/>
  <c r="N15" i="174"/>
  <c r="O15" i="174"/>
  <c r="O14" i="174"/>
  <c r="F15" i="174"/>
  <c r="F14" i="174"/>
  <c r="L11" i="174"/>
  <c r="F10" i="174"/>
  <c r="L8" i="174"/>
  <c r="F11" i="174" s="1"/>
  <c r="K5" i="107"/>
  <c r="L23" i="198" s="1"/>
  <c r="L7" i="174"/>
  <c r="L3" i="174"/>
  <c r="F13" i="174" s="1"/>
  <c r="L4" i="174"/>
  <c r="F16" i="174" s="1"/>
  <c r="N5" i="174"/>
  <c r="L5" i="174"/>
  <c r="F12" i="174" s="1"/>
  <c r="Q4" i="174"/>
  <c r="N4" i="174"/>
  <c r="L2" i="174" s="1"/>
  <c r="B172" i="174" s="1"/>
  <c r="C4" i="174"/>
  <c r="C174" i="174" s="1"/>
  <c r="L1" i="174"/>
  <c r="B187" i="174" s="1"/>
  <c r="F21" i="200"/>
  <c r="E13" i="200"/>
  <c r="E12" i="200"/>
  <c r="G11" i="200"/>
  <c r="E10" i="200"/>
  <c r="H29" i="198"/>
  <c r="H28" i="198"/>
  <c r="H27" i="198"/>
  <c r="H26" i="198"/>
  <c r="H25" i="198"/>
  <c r="K4" i="107"/>
  <c r="M22" i="198" s="1"/>
  <c r="C17" i="198"/>
  <c r="J14" i="198"/>
  <c r="H15" i="107"/>
  <c r="H16" i="107"/>
  <c r="H20" i="179"/>
  <c r="F7" i="179"/>
  <c r="E7" i="179"/>
  <c r="D2" i="179"/>
  <c r="C1476" i="127"/>
  <c r="B1476" i="127"/>
  <c r="H1471" i="127"/>
  <c r="J1471" i="127"/>
  <c r="H1470" i="127"/>
  <c r="J1470" i="127" s="1"/>
  <c r="J1472" i="127" s="1"/>
  <c r="H1467" i="127"/>
  <c r="J1467" i="127"/>
  <c r="B1460" i="127"/>
  <c r="H1459" i="127"/>
  <c r="J1459" i="127"/>
  <c r="H1458" i="127"/>
  <c r="J1458" i="127" s="1"/>
  <c r="H1457" i="127"/>
  <c r="J1457" i="127"/>
  <c r="C1445" i="127"/>
  <c r="B1445" i="127"/>
  <c r="B1436" i="127"/>
  <c r="H1435" i="127"/>
  <c r="J1435" i="127"/>
  <c r="H1434" i="127"/>
  <c r="J1434" i="127"/>
  <c r="H1433" i="127"/>
  <c r="J1433" i="127"/>
  <c r="D1427" i="127"/>
  <c r="D1428" i="127"/>
  <c r="D1426" i="127"/>
  <c r="H1419" i="127"/>
  <c r="J1419" i="127" s="1"/>
  <c r="H1418" i="127"/>
  <c r="J1418" i="127"/>
  <c r="B1415" i="127"/>
  <c r="H1414" i="127"/>
  <c r="J1414" i="127"/>
  <c r="H1415" i="127"/>
  <c r="J1415" i="127"/>
  <c r="H1413" i="127"/>
  <c r="J1413" i="127"/>
  <c r="H1412" i="127"/>
  <c r="J1412" i="127"/>
  <c r="C1400" i="127"/>
  <c r="H1395" i="127"/>
  <c r="J1395" i="127"/>
  <c r="J1394" i="127"/>
  <c r="H1393" i="127"/>
  <c r="J1393" i="127" s="1"/>
  <c r="H1392" i="127"/>
  <c r="J1392" i="127"/>
  <c r="H1391" i="127"/>
  <c r="J1391" i="127" s="1"/>
  <c r="H1390" i="127"/>
  <c r="J1390" i="127"/>
  <c r="H1387" i="127"/>
  <c r="J1387" i="127" s="1"/>
  <c r="B1381" i="127"/>
  <c r="H1380" i="127"/>
  <c r="J1380" i="127" s="1"/>
  <c r="H1381" i="127" s="1"/>
  <c r="J1381" i="127" s="1"/>
  <c r="J1379" i="127"/>
  <c r="H1378" i="127"/>
  <c r="J1378" i="127" s="1"/>
  <c r="C1367" i="127"/>
  <c r="B1367" i="127"/>
  <c r="J1364" i="127"/>
  <c r="J1365" i="127"/>
  <c r="B1361" i="127"/>
  <c r="H1360" i="127"/>
  <c r="J1360" i="127"/>
  <c r="H1359" i="127"/>
  <c r="J1359" i="127" s="1"/>
  <c r="H1358" i="127"/>
  <c r="J1358" i="127"/>
  <c r="C1346" i="127"/>
  <c r="B1346" i="127"/>
  <c r="H1341" i="127"/>
  <c r="J1341" i="127"/>
  <c r="H1339" i="127"/>
  <c r="J1339" i="127" s="1"/>
  <c r="H1338" i="127"/>
  <c r="J1338" i="127"/>
  <c r="H1337" i="127"/>
  <c r="J1337" i="127" s="1"/>
  <c r="H1336" i="127"/>
  <c r="J1336" i="127"/>
  <c r="J1342" i="127" s="1"/>
  <c r="H1333" i="127"/>
  <c r="J1333" i="127" s="1"/>
  <c r="B1327" i="127"/>
  <c r="H1326" i="127"/>
  <c r="J1326" i="127" s="1"/>
  <c r="H1325" i="127"/>
  <c r="J1325" i="127"/>
  <c r="H1324" i="127"/>
  <c r="J1324" i="127" s="1"/>
  <c r="C1312" i="127"/>
  <c r="B1312" i="127"/>
  <c r="H1307" i="127"/>
  <c r="J1307" i="127" s="1"/>
  <c r="H1305" i="127"/>
  <c r="J1305" i="127"/>
  <c r="H1304" i="127"/>
  <c r="J1304" i="127" s="1"/>
  <c r="H1303" i="127"/>
  <c r="J1303" i="127"/>
  <c r="H1302" i="127"/>
  <c r="J1302" i="127" s="1"/>
  <c r="H1299" i="127"/>
  <c r="J1299" i="127"/>
  <c r="B1293" i="127"/>
  <c r="H1292" i="127"/>
  <c r="J1292" i="127"/>
  <c r="H1291" i="127"/>
  <c r="J1291" i="127"/>
  <c r="H1293" i="127" s="1"/>
  <c r="H1290" i="127"/>
  <c r="J1290" i="127" s="1"/>
  <c r="C1278" i="127"/>
  <c r="B1278" i="127"/>
  <c r="H1273" i="127"/>
  <c r="J1273" i="127" s="1"/>
  <c r="H1271" i="127"/>
  <c r="J1271" i="127" s="1"/>
  <c r="H1270" i="127"/>
  <c r="J1270" i="127" s="1"/>
  <c r="H1269" i="127"/>
  <c r="J1269" i="127" s="1"/>
  <c r="H1268" i="127"/>
  <c r="J1268" i="127"/>
  <c r="H1265" i="127"/>
  <c r="J1265" i="127"/>
  <c r="B1259" i="127"/>
  <c r="H1258" i="127"/>
  <c r="J1258" i="127" s="1"/>
  <c r="H1257" i="127"/>
  <c r="J1257" i="127" s="1"/>
  <c r="H1256" i="127"/>
  <c r="J1256" i="127"/>
  <c r="C1241" i="127"/>
  <c r="B1241" i="127"/>
  <c r="J1237" i="127"/>
  <c r="B1234" i="127"/>
  <c r="H1233" i="127"/>
  <c r="J1233" i="127" s="1"/>
  <c r="H1232" i="127"/>
  <c r="J1232" i="127" s="1"/>
  <c r="C1219" i="127"/>
  <c r="B1219" i="127"/>
  <c r="H1216" i="127"/>
  <c r="J1216" i="127" s="1"/>
  <c r="H1215" i="127"/>
  <c r="J1215" i="127"/>
  <c r="J1217" i="127" s="1"/>
  <c r="H1212" i="127"/>
  <c r="J1212" i="127"/>
  <c r="J1213" i="127" s="1"/>
  <c r="B1208" i="127"/>
  <c r="H1207" i="127"/>
  <c r="J1207" i="127"/>
  <c r="H1206" i="127"/>
  <c r="J1206" i="127" s="1"/>
  <c r="H1205" i="127"/>
  <c r="J1205" i="127"/>
  <c r="C1192" i="127"/>
  <c r="B1192" i="127"/>
  <c r="H1187" i="127"/>
  <c r="J1187" i="127"/>
  <c r="H1186" i="127"/>
  <c r="J1186" i="127" s="1"/>
  <c r="H1183" i="127"/>
  <c r="J1183" i="127"/>
  <c r="B1177" i="127"/>
  <c r="H1176" i="127"/>
  <c r="J1176" i="127"/>
  <c r="H1175" i="127"/>
  <c r="J1175" i="127" s="1"/>
  <c r="H1174" i="127"/>
  <c r="J1174" i="127"/>
  <c r="H1177" i="127" s="1"/>
  <c r="J1177" i="127" s="1"/>
  <c r="J1178" i="127" s="1"/>
  <c r="B1161" i="127"/>
  <c r="H1156" i="127"/>
  <c r="J1156" i="127"/>
  <c r="H1155" i="127"/>
  <c r="J1155" i="127" s="1"/>
  <c r="H1152" i="127"/>
  <c r="J1152" i="127" s="1"/>
  <c r="B1146" i="127"/>
  <c r="H1145" i="127"/>
  <c r="J1145" i="127"/>
  <c r="H1144" i="127"/>
  <c r="J1144" i="127" s="1"/>
  <c r="H1143" i="127"/>
  <c r="J1143" i="127" s="1"/>
  <c r="C1129" i="127"/>
  <c r="B1129" i="127"/>
  <c r="J1126" i="127"/>
  <c r="J1127" i="127" s="1"/>
  <c r="B1123" i="127"/>
  <c r="H1122" i="127"/>
  <c r="J1122" i="127"/>
  <c r="H1121" i="127"/>
  <c r="J1121" i="127" s="1"/>
  <c r="H1120" i="127"/>
  <c r="J1120" i="127" s="1"/>
  <c r="C1108" i="127"/>
  <c r="B1108" i="127"/>
  <c r="H1105" i="127"/>
  <c r="J1105" i="127" s="1"/>
  <c r="J1106" i="127" s="1"/>
  <c r="H1104" i="127"/>
  <c r="J1104" i="127" s="1"/>
  <c r="H1103" i="127"/>
  <c r="J1103" i="127"/>
  <c r="H1100" i="127"/>
  <c r="J1100" i="127" s="1"/>
  <c r="B1095" i="127"/>
  <c r="H1094" i="127"/>
  <c r="J1094" i="127" s="1"/>
  <c r="H1093" i="127"/>
  <c r="J1093" i="127"/>
  <c r="H1092" i="127"/>
  <c r="J1092" i="127" s="1"/>
  <c r="C1077" i="127"/>
  <c r="B1077" i="127"/>
  <c r="H1072" i="127"/>
  <c r="J1072" i="127" s="1"/>
  <c r="J1071" i="127"/>
  <c r="H1070" i="127"/>
  <c r="J1070" i="127"/>
  <c r="H1069" i="127"/>
  <c r="J1069" i="127"/>
  <c r="H1068" i="127"/>
  <c r="J1068" i="127"/>
  <c r="H1067" i="127"/>
  <c r="J1067" i="127"/>
  <c r="J1073" i="127" s="1"/>
  <c r="H1064" i="127"/>
  <c r="J1064" i="127" s="1"/>
  <c r="B1058" i="127"/>
  <c r="H1057" i="127"/>
  <c r="J1057" i="127" s="1"/>
  <c r="H1058" i="127" s="1"/>
  <c r="J1058" i="127" s="1"/>
  <c r="J1056" i="127"/>
  <c r="H1055" i="127"/>
  <c r="J1055" i="127" s="1"/>
  <c r="J1059" i="127" s="1"/>
  <c r="D1027" i="127"/>
  <c r="B1027" i="127"/>
  <c r="B1021" i="127"/>
  <c r="H1020" i="127"/>
  <c r="J1020" i="127" s="1"/>
  <c r="H1019" i="127"/>
  <c r="J1019" i="127" s="1"/>
  <c r="H1018" i="127"/>
  <c r="J1018" i="127" s="1"/>
  <c r="D1007" i="127"/>
  <c r="D1008" i="127"/>
  <c r="D1006" i="127"/>
  <c r="J999" i="127"/>
  <c r="H998" i="127"/>
  <c r="J998" i="127"/>
  <c r="J1000" i="127" s="1"/>
  <c r="B995" i="127"/>
  <c r="J995" i="127" s="1"/>
  <c r="H994" i="127"/>
  <c r="J994" i="127" s="1"/>
  <c r="H993" i="127"/>
  <c r="J993" i="127" s="1"/>
  <c r="B982" i="127"/>
  <c r="H977" i="127"/>
  <c r="J977" i="127" s="1"/>
  <c r="J976" i="127"/>
  <c r="H975" i="127"/>
  <c r="J975" i="127" s="1"/>
  <c r="H974" i="127"/>
  <c r="J974" i="127" s="1"/>
  <c r="H973" i="127"/>
  <c r="J973" i="127" s="1"/>
  <c r="H972" i="127"/>
  <c r="J972" i="127" s="1"/>
  <c r="J968" i="127"/>
  <c r="H967" i="127"/>
  <c r="J967" i="127" s="1"/>
  <c r="B961" i="127"/>
  <c r="H960" i="127"/>
  <c r="J960" i="127"/>
  <c r="H959" i="127"/>
  <c r="J959" i="127" s="1"/>
  <c r="H958" i="127"/>
  <c r="J958" i="127"/>
  <c r="D944" i="127"/>
  <c r="D945" i="127" s="1"/>
  <c r="D943" i="127"/>
  <c r="B941" i="127"/>
  <c r="J941" i="127" s="1"/>
  <c r="D936" i="127"/>
  <c r="B936" i="127"/>
  <c r="B932" i="127"/>
  <c r="H930" i="127"/>
  <c r="J930" i="127" s="1"/>
  <c r="J929" i="127"/>
  <c r="H928" i="127"/>
  <c r="J928" i="127" s="1"/>
  <c r="J923" i="127"/>
  <c r="J922" i="127"/>
  <c r="J921" i="127"/>
  <c r="B915" i="127"/>
  <c r="H914" i="127"/>
  <c r="J914" i="127"/>
  <c r="H913" i="127"/>
  <c r="J913" i="127" s="1"/>
  <c r="K908" i="127"/>
  <c r="K907" i="127"/>
  <c r="H907" i="127"/>
  <c r="J907" i="127"/>
  <c r="D893" i="127"/>
  <c r="B893" i="127"/>
  <c r="H888" i="127"/>
  <c r="J888" i="127"/>
  <c r="H887" i="127"/>
  <c r="J887" i="127" s="1"/>
  <c r="J889" i="127" s="1"/>
  <c r="H884" i="127"/>
  <c r="J884" i="127"/>
  <c r="B877" i="127"/>
  <c r="H876" i="127"/>
  <c r="J876" i="127"/>
  <c r="H875" i="127"/>
  <c r="J875" i="127" s="1"/>
  <c r="H874" i="127"/>
  <c r="J874" i="127"/>
  <c r="D863" i="127"/>
  <c r="B863" i="127"/>
  <c r="H858" i="127"/>
  <c r="J858" i="127"/>
  <c r="H857" i="127"/>
  <c r="J857" i="127" s="1"/>
  <c r="J859" i="127" s="1"/>
  <c r="H854" i="127"/>
  <c r="J854" i="127"/>
  <c r="B847" i="127"/>
  <c r="H846" i="127"/>
  <c r="J846" i="127"/>
  <c r="H845" i="127"/>
  <c r="J845" i="127" s="1"/>
  <c r="H844" i="127"/>
  <c r="J844" i="127"/>
  <c r="D838" i="127"/>
  <c r="D839" i="127" s="1"/>
  <c r="D837" i="127"/>
  <c r="D833" i="127"/>
  <c r="B833" i="127"/>
  <c r="B826" i="127"/>
  <c r="J826" i="127"/>
  <c r="J827" i="127"/>
  <c r="J830" i="127" s="1"/>
  <c r="J828" i="127"/>
  <c r="J829" i="127"/>
  <c r="B823" i="127"/>
  <c r="H822" i="127"/>
  <c r="J822" i="127" s="1"/>
  <c r="H821" i="127"/>
  <c r="J821" i="127"/>
  <c r="H820" i="127"/>
  <c r="J820" i="127" s="1"/>
  <c r="H819" i="127"/>
  <c r="J819" i="127"/>
  <c r="H817" i="127"/>
  <c r="J817" i="127" s="1"/>
  <c r="H816" i="127"/>
  <c r="J816" i="127"/>
  <c r="H815" i="127"/>
  <c r="J815" i="127" s="1"/>
  <c r="H823" i="127" s="1"/>
  <c r="J823" i="127" s="1"/>
  <c r="H814" i="127"/>
  <c r="J814" i="127" s="1"/>
  <c r="C802" i="127"/>
  <c r="B802" i="127"/>
  <c r="H797" i="127"/>
  <c r="J797" i="127"/>
  <c r="H796" i="127"/>
  <c r="J796" i="127" s="1"/>
  <c r="J798" i="127" s="1"/>
  <c r="H795" i="127"/>
  <c r="J795" i="127"/>
  <c r="H792" i="127"/>
  <c r="J792" i="127" s="1"/>
  <c r="B788" i="127"/>
  <c r="H787" i="127"/>
  <c r="J787" i="127" s="1"/>
  <c r="H786" i="127"/>
  <c r="J786" i="127"/>
  <c r="H785" i="127"/>
  <c r="J785" i="127" s="1"/>
  <c r="C777" i="127"/>
  <c r="H772" i="127"/>
  <c r="J772" i="127"/>
  <c r="H771" i="127"/>
  <c r="J771" i="127"/>
  <c r="H770" i="127"/>
  <c r="J770" i="127"/>
  <c r="J773" i="127" s="1"/>
  <c r="H767" i="127"/>
  <c r="J767" i="127"/>
  <c r="B761" i="127"/>
  <c r="H760" i="127"/>
  <c r="J760" i="127"/>
  <c r="H759" i="127"/>
  <c r="J759" i="127"/>
  <c r="H758" i="127"/>
  <c r="J758" i="127"/>
  <c r="B746" i="127"/>
  <c r="H741" i="127"/>
  <c r="J741" i="127" s="1"/>
  <c r="J742" i="127" s="1"/>
  <c r="H740" i="127"/>
  <c r="J740" i="127"/>
  <c r="J737" i="127"/>
  <c r="H732" i="127"/>
  <c r="J732" i="127"/>
  <c r="H731" i="127"/>
  <c r="J731" i="127" s="1"/>
  <c r="H730" i="127"/>
  <c r="J730" i="127"/>
  <c r="C719" i="127"/>
  <c r="B719" i="127"/>
  <c r="H716" i="127"/>
  <c r="J716" i="127"/>
  <c r="H715" i="127"/>
  <c r="J715" i="127" s="1"/>
  <c r="H714" i="127"/>
  <c r="J714" i="127"/>
  <c r="H713" i="127"/>
  <c r="J713" i="127" s="1"/>
  <c r="J717" i="127" s="1"/>
  <c r="H711" i="127"/>
  <c r="J711" i="127"/>
  <c r="J712" i="127"/>
  <c r="J710" i="127"/>
  <c r="O708" i="127"/>
  <c r="B707" i="127"/>
  <c r="H706" i="127"/>
  <c r="J706" i="127" s="1"/>
  <c r="H705" i="127"/>
  <c r="J705" i="127"/>
  <c r="D695" i="127"/>
  <c r="D696" i="127" s="1"/>
  <c r="D694" i="127"/>
  <c r="B690" i="127"/>
  <c r="H687" i="127"/>
  <c r="J687" i="127" s="1"/>
  <c r="J688" i="127" s="1"/>
  <c r="J689" i="127" s="1"/>
  <c r="H686" i="127"/>
  <c r="J686" i="127"/>
  <c r="B683" i="127"/>
  <c r="H682" i="127"/>
  <c r="J682" i="127"/>
  <c r="H683" i="127"/>
  <c r="H681" i="127"/>
  <c r="J681" i="127"/>
  <c r="H680" i="127"/>
  <c r="J680" i="127"/>
  <c r="D673" i="127"/>
  <c r="D674" i="127" s="1"/>
  <c r="D672" i="127"/>
  <c r="B668" i="127"/>
  <c r="H665" i="127"/>
  <c r="J665" i="127" s="1"/>
  <c r="J666" i="127" s="1"/>
  <c r="H664" i="127"/>
  <c r="J664" i="127"/>
  <c r="B661" i="127"/>
  <c r="H660" i="127"/>
  <c r="J660" i="127"/>
  <c r="H661" i="127"/>
  <c r="J661" i="127" s="1"/>
  <c r="H659" i="127"/>
  <c r="J659" i="127"/>
  <c r="H658" i="127"/>
  <c r="J658" i="127" s="1"/>
  <c r="J662" i="127" s="1"/>
  <c r="D651" i="127"/>
  <c r="D652" i="127"/>
  <c r="D650" i="127"/>
  <c r="B646" i="127"/>
  <c r="H643" i="127"/>
  <c r="J643" i="127"/>
  <c r="H642" i="127"/>
  <c r="J642" i="127" s="1"/>
  <c r="J644" i="127" s="1"/>
  <c r="H638" i="127"/>
  <c r="J638" i="127"/>
  <c r="H639" i="127" s="1"/>
  <c r="J639" i="127" s="1"/>
  <c r="B639" i="127"/>
  <c r="H637" i="127"/>
  <c r="J637" i="127" s="1"/>
  <c r="J640" i="127" s="1"/>
  <c r="J645" i="127" s="1"/>
  <c r="H636" i="127"/>
  <c r="J636" i="127"/>
  <c r="C623" i="127"/>
  <c r="B623" i="127"/>
  <c r="H618" i="127"/>
  <c r="J618" i="127" s="1"/>
  <c r="J619" i="127" s="1"/>
  <c r="J617" i="127"/>
  <c r="H616" i="127"/>
  <c r="J616" i="127"/>
  <c r="H615" i="127"/>
  <c r="J615" i="127"/>
  <c r="H614" i="127"/>
  <c r="J614" i="127"/>
  <c r="H613" i="127"/>
  <c r="J613" i="127"/>
  <c r="H610" i="127"/>
  <c r="J610" i="127"/>
  <c r="B604" i="127"/>
  <c r="H603" i="127"/>
  <c r="J603" i="127"/>
  <c r="H602" i="127"/>
  <c r="J602" i="127" s="1"/>
  <c r="H601" i="127"/>
  <c r="J601" i="127"/>
  <c r="C590" i="127"/>
  <c r="B590" i="127"/>
  <c r="H585" i="127"/>
  <c r="J585" i="127"/>
  <c r="J584" i="127"/>
  <c r="H583" i="127"/>
  <c r="J583" i="127"/>
  <c r="H582" i="127"/>
  <c r="J582" i="127" s="1"/>
  <c r="H581" i="127"/>
  <c r="J581" i="127"/>
  <c r="H580" i="127"/>
  <c r="J580" i="127" s="1"/>
  <c r="J586" i="127" s="1"/>
  <c r="H577" i="127"/>
  <c r="J577" i="127"/>
  <c r="B571" i="127"/>
  <c r="H570" i="127"/>
  <c r="J570" i="127"/>
  <c r="H569" i="127"/>
  <c r="J569" i="127" s="1"/>
  <c r="H568" i="127"/>
  <c r="J568" i="127"/>
  <c r="C557" i="127"/>
  <c r="B557" i="127"/>
  <c r="H552" i="127"/>
  <c r="J552" i="127"/>
  <c r="J551" i="127"/>
  <c r="H550" i="127"/>
  <c r="J550" i="127"/>
  <c r="H549" i="127"/>
  <c r="J549" i="127" s="1"/>
  <c r="H548" i="127"/>
  <c r="J548" i="127"/>
  <c r="H547" i="127"/>
  <c r="J547" i="127" s="1"/>
  <c r="H544" i="127"/>
  <c r="J544" i="127"/>
  <c r="B538" i="127"/>
  <c r="H537" i="127"/>
  <c r="J537" i="127" s="1"/>
  <c r="H536" i="127"/>
  <c r="J536" i="127"/>
  <c r="H535" i="127"/>
  <c r="J535" i="127"/>
  <c r="C520" i="127"/>
  <c r="H514" i="127"/>
  <c r="C503" i="127"/>
  <c r="H498" i="127"/>
  <c r="J498" i="127"/>
  <c r="H497" i="127"/>
  <c r="J497" i="127" s="1"/>
  <c r="J499" i="127" s="1"/>
  <c r="H494" i="127"/>
  <c r="J494" i="127" s="1"/>
  <c r="B488" i="127"/>
  <c r="H486" i="127"/>
  <c r="H517" i="127" s="1"/>
  <c r="J517" i="127" s="1"/>
  <c r="J486" i="127"/>
  <c r="H485" i="127"/>
  <c r="J485" i="127"/>
  <c r="H488" i="127" s="1"/>
  <c r="J488" i="127" s="1"/>
  <c r="J489" i="127" s="1"/>
  <c r="H484" i="127"/>
  <c r="J484" i="127"/>
  <c r="C473" i="127"/>
  <c r="B473" i="127"/>
  <c r="H468" i="127"/>
  <c r="J468" i="127"/>
  <c r="H467" i="127"/>
  <c r="J467" i="127" s="1"/>
  <c r="J469" i="127" s="1"/>
  <c r="H464" i="127"/>
  <c r="J464" i="127"/>
  <c r="B458" i="127"/>
  <c r="H457" i="127"/>
  <c r="J457" i="127"/>
  <c r="H456" i="127"/>
  <c r="J456" i="127" s="1"/>
  <c r="H455" i="127"/>
  <c r="J455" i="127"/>
  <c r="D444" i="127"/>
  <c r="B444" i="127"/>
  <c r="H439" i="127"/>
  <c r="J439" i="127"/>
  <c r="H438" i="127"/>
  <c r="J438" i="127" s="1"/>
  <c r="J440" i="127" s="1"/>
  <c r="H435" i="127"/>
  <c r="J435" i="127"/>
  <c r="B428" i="127"/>
  <c r="H427" i="127"/>
  <c r="J427" i="127"/>
  <c r="H426" i="127"/>
  <c r="J426" i="127" s="1"/>
  <c r="H425" i="127"/>
  <c r="J425" i="127"/>
  <c r="D414" i="127"/>
  <c r="B414" i="127"/>
  <c r="H409" i="127"/>
  <c r="J409" i="127"/>
  <c r="H408" i="127"/>
  <c r="J408" i="127" s="1"/>
  <c r="J410" i="127" s="1"/>
  <c r="H405" i="127"/>
  <c r="J405" i="127"/>
  <c r="B398" i="127"/>
  <c r="H397" i="127"/>
  <c r="J397" i="127"/>
  <c r="H396" i="127"/>
  <c r="J396" i="127" s="1"/>
  <c r="H395" i="127"/>
  <c r="J395" i="127"/>
  <c r="C384" i="127"/>
  <c r="B384" i="127"/>
  <c r="H379" i="127"/>
  <c r="J379" i="127"/>
  <c r="H378" i="127"/>
  <c r="J378" i="127" s="1"/>
  <c r="J380" i="127" s="1"/>
  <c r="H375" i="127"/>
  <c r="J375" i="127"/>
  <c r="B368" i="127"/>
  <c r="H367" i="127"/>
  <c r="J367" i="127"/>
  <c r="H366" i="127"/>
  <c r="J366" i="127" s="1"/>
  <c r="H365" i="127"/>
  <c r="J365" i="127"/>
  <c r="C354" i="127"/>
  <c r="B354" i="127"/>
  <c r="H349" i="127"/>
  <c r="J349" i="127"/>
  <c r="H348" i="127"/>
  <c r="J348" i="127" s="1"/>
  <c r="J350" i="127" s="1"/>
  <c r="H345" i="127"/>
  <c r="J345" i="127"/>
  <c r="B338" i="127"/>
  <c r="H337" i="127"/>
  <c r="J337" i="127" s="1"/>
  <c r="H338" i="127" s="1"/>
  <c r="J338" i="127" s="1"/>
  <c r="H336" i="127"/>
  <c r="J336" i="127"/>
  <c r="H335" i="127"/>
  <c r="J335" i="127" s="1"/>
  <c r="J339" i="127" s="1"/>
  <c r="C323" i="127"/>
  <c r="B323" i="127"/>
  <c r="H320" i="127"/>
  <c r="J320" i="127" s="1"/>
  <c r="J321" i="127" s="1"/>
  <c r="B313" i="127"/>
  <c r="H312" i="127"/>
  <c r="J312" i="127" s="1"/>
  <c r="H311" i="127"/>
  <c r="J311" i="127"/>
  <c r="H310" i="127"/>
  <c r="J310" i="127" s="1"/>
  <c r="C298" i="127"/>
  <c r="B298" i="127"/>
  <c r="H295" i="127"/>
  <c r="J295" i="127" s="1"/>
  <c r="J296" i="127" s="1"/>
  <c r="H294" i="127"/>
  <c r="J294" i="127"/>
  <c r="H291" i="127"/>
  <c r="J291" i="127"/>
  <c r="J292" i="127"/>
  <c r="B287" i="127"/>
  <c r="H286" i="127"/>
  <c r="J286" i="127"/>
  <c r="H285" i="127"/>
  <c r="J285" i="127"/>
  <c r="C272" i="127"/>
  <c r="B272" i="127"/>
  <c r="J269" i="127"/>
  <c r="J270" i="127"/>
  <c r="B265" i="127"/>
  <c r="H264" i="127"/>
  <c r="J264" i="127"/>
  <c r="H263" i="127"/>
  <c r="J263" i="127" s="1"/>
  <c r="H262" i="127"/>
  <c r="J262" i="127"/>
  <c r="B258" i="127"/>
  <c r="C250" i="127"/>
  <c r="B250" i="127"/>
  <c r="B243" i="127"/>
  <c r="H242" i="127"/>
  <c r="J242" i="127" s="1"/>
  <c r="H241" i="127"/>
  <c r="J241" i="127"/>
  <c r="H243" i="127" s="1"/>
  <c r="J243" i="127" s="1"/>
  <c r="H240" i="127"/>
  <c r="J240" i="127"/>
  <c r="C230" i="127"/>
  <c r="B230" i="127"/>
  <c r="B222" i="127"/>
  <c r="H221" i="127"/>
  <c r="J221" i="127" s="1"/>
  <c r="H220" i="127"/>
  <c r="J220" i="127"/>
  <c r="H219" i="127"/>
  <c r="J219" i="127" s="1"/>
  <c r="C207" i="127"/>
  <c r="B207" i="127"/>
  <c r="H204" i="127"/>
  <c r="J204" i="127" s="1"/>
  <c r="J205" i="127" s="1"/>
  <c r="B200" i="127"/>
  <c r="H199" i="127"/>
  <c r="J199" i="127" s="1"/>
  <c r="H198" i="127"/>
  <c r="J198" i="127"/>
  <c r="H197" i="127"/>
  <c r="J197" i="127" s="1"/>
  <c r="D185" i="127"/>
  <c r="B185" i="127"/>
  <c r="B179" i="127"/>
  <c r="H176" i="127"/>
  <c r="J176" i="127"/>
  <c r="H177" i="127"/>
  <c r="J177" i="127"/>
  <c r="H179" i="127" s="1"/>
  <c r="J179" i="127" s="1"/>
  <c r="J180" i="127" s="1"/>
  <c r="H178" i="127"/>
  <c r="J178" i="127"/>
  <c r="B162" i="127"/>
  <c r="H157" i="127"/>
  <c r="J157" i="127"/>
  <c r="H156" i="127"/>
  <c r="J156" i="127" s="1"/>
  <c r="J158" i="127" s="1"/>
  <c r="H155" i="127"/>
  <c r="J155" i="127"/>
  <c r="H152" i="127"/>
  <c r="J152" i="127"/>
  <c r="B147" i="127"/>
  <c r="H146" i="127"/>
  <c r="J146" i="127" s="1"/>
  <c r="H145" i="127"/>
  <c r="J145" i="127"/>
  <c r="H144" i="127"/>
  <c r="J144" i="127" s="1"/>
  <c r="D133" i="127"/>
  <c r="B133" i="127"/>
  <c r="H128" i="127"/>
  <c r="J128" i="127" s="1"/>
  <c r="H127" i="127"/>
  <c r="J127" i="127"/>
  <c r="J129" i="127" s="1"/>
  <c r="H124" i="127"/>
  <c r="J124" i="127"/>
  <c r="B117" i="127"/>
  <c r="H116" i="127"/>
  <c r="J116" i="127" s="1"/>
  <c r="H115" i="127"/>
  <c r="J115" i="127"/>
  <c r="H114" i="127"/>
  <c r="J114" i="127" s="1"/>
  <c r="C102" i="127"/>
  <c r="B102" i="127"/>
  <c r="H99" i="127"/>
  <c r="J99" i="127" s="1"/>
  <c r="J100" i="127" s="1"/>
  <c r="H98" i="127"/>
  <c r="J98" i="127"/>
  <c r="H95" i="127"/>
  <c r="J95" i="127" s="1"/>
  <c r="J96" i="127" s="1"/>
  <c r="B91" i="127"/>
  <c r="H89" i="127"/>
  <c r="J89" i="127" s="1"/>
  <c r="H90" i="127"/>
  <c r="J90" i="127"/>
  <c r="B77" i="127"/>
  <c r="H72" i="127"/>
  <c r="J72" i="127"/>
  <c r="H71" i="127"/>
  <c r="J71" i="127"/>
  <c r="H70" i="127"/>
  <c r="J70" i="127"/>
  <c r="J73" i="127" s="1"/>
  <c r="H67" i="127"/>
  <c r="J67" i="127"/>
  <c r="B60" i="127"/>
  <c r="H59" i="127"/>
  <c r="J59" i="127"/>
  <c r="H58" i="127"/>
  <c r="J58" i="127"/>
  <c r="H60" i="127" s="1"/>
  <c r="J60" i="127" s="1"/>
  <c r="J61" i="127" s="1"/>
  <c r="H57" i="127"/>
  <c r="J57" i="127"/>
  <c r="C43" i="127"/>
  <c r="B43" i="127"/>
  <c r="J40" i="127"/>
  <c r="H39" i="127"/>
  <c r="J39" i="127"/>
  <c r="B36" i="127"/>
  <c r="H35" i="127"/>
  <c r="J35" i="127"/>
  <c r="H34" i="127"/>
  <c r="J34" i="127" s="1"/>
  <c r="D28" i="127"/>
  <c r="D29" i="127" s="1"/>
  <c r="D27" i="127"/>
  <c r="D23" i="127"/>
  <c r="B23" i="127"/>
  <c r="H19" i="127"/>
  <c r="J19" i="127"/>
  <c r="H18" i="127"/>
  <c r="J18" i="127" s="1"/>
  <c r="J20" i="127" s="1"/>
  <c r="B14" i="127"/>
  <c r="H13" i="127"/>
  <c r="J13" i="127" s="1"/>
  <c r="H12" i="127"/>
  <c r="J12" i="127" s="1"/>
  <c r="H11" i="127"/>
  <c r="J11" i="127"/>
  <c r="D2" i="127"/>
  <c r="G143" i="94"/>
  <c r="G144" i="94" s="1"/>
  <c r="G278" i="94"/>
  <c r="G279" i="94"/>
  <c r="G463" i="94"/>
  <c r="G464" i="94" s="1"/>
  <c r="J1308" i="127"/>
  <c r="H1327" i="127"/>
  <c r="J1327" i="127" s="1"/>
  <c r="J1328" i="127" s="1"/>
  <c r="H1436" i="127"/>
  <c r="G59" i="141"/>
  <c r="G150" i="94"/>
  <c r="G445" i="94"/>
  <c r="H1208" i="127"/>
  <c r="E103" i="94"/>
  <c r="G103" i="94" s="1"/>
  <c r="G104" i="94" s="1"/>
  <c r="E109" i="94" s="1"/>
  <c r="G109" i="94" s="1"/>
  <c r="G212" i="94"/>
  <c r="G213" i="94" s="1"/>
  <c r="Q87" i="185"/>
  <c r="D18" i="139"/>
  <c r="E5" i="139"/>
  <c r="E11" i="94"/>
  <c r="G11" i="94"/>
  <c r="G12" i="94" s="1"/>
  <c r="G123" i="94"/>
  <c r="G124" i="94" s="1"/>
  <c r="E129" i="94" s="1"/>
  <c r="J683" i="127"/>
  <c r="J1208" i="127"/>
  <c r="J1209" i="127" s="1"/>
  <c r="J1396" i="127"/>
  <c r="J1416" i="127"/>
  <c r="J1420" i="127"/>
  <c r="J1421" i="127"/>
  <c r="J1436" i="127"/>
  <c r="J1437" i="127" s="1"/>
  <c r="E32" i="94"/>
  <c r="G32" i="94" s="1"/>
  <c r="G33" i="94" s="1"/>
  <c r="G38" i="94" s="1"/>
  <c r="E40" i="94" s="1"/>
  <c r="G40" i="94" s="1"/>
  <c r="G42" i="94" s="1"/>
  <c r="G43" i="94" s="1"/>
  <c r="G44" i="94" s="1"/>
  <c r="G37" i="94"/>
  <c r="E53" i="94"/>
  <c r="G53" i="94" s="1"/>
  <c r="G54" i="94" s="1"/>
  <c r="G336" i="94"/>
  <c r="G408" i="94"/>
  <c r="H761" i="127"/>
  <c r="J761" i="127" s="1"/>
  <c r="J762" i="127" s="1"/>
  <c r="H1460" i="127"/>
  <c r="J1460" i="127" s="1"/>
  <c r="J1461" i="127" s="1"/>
  <c r="J684" i="127"/>
  <c r="G380" i="94"/>
  <c r="D990" i="94"/>
  <c r="B45" i="165" s="1"/>
  <c r="E936" i="94"/>
  <c r="G936" i="94" s="1"/>
  <c r="G937" i="94" s="1"/>
  <c r="E942" i="94" s="1"/>
  <c r="G942" i="94" s="1"/>
  <c r="H184" i="119"/>
  <c r="J184" i="119"/>
  <c r="J185" i="119" s="1"/>
  <c r="H277" i="119"/>
  <c r="J277" i="119"/>
  <c r="J278" i="119"/>
  <c r="H376" i="119"/>
  <c r="J376" i="119"/>
  <c r="J377" i="119" s="1"/>
  <c r="H483" i="119"/>
  <c r="J483" i="119"/>
  <c r="J484" i="119"/>
  <c r="H545" i="119"/>
  <c r="J545" i="119" s="1"/>
  <c r="J546" i="119" s="1"/>
  <c r="B87" i="185"/>
  <c r="E69" i="164"/>
  <c r="P49" i="140"/>
  <c r="N51" i="140"/>
  <c r="R51" i="140"/>
  <c r="H132" i="119"/>
  <c r="J132" i="119"/>
  <c r="J133" i="119"/>
  <c r="H215" i="119"/>
  <c r="J215" i="119" s="1"/>
  <c r="J216" i="119" s="1"/>
  <c r="H320" i="119"/>
  <c r="J320" i="119" s="1"/>
  <c r="J321" i="119" s="1"/>
  <c r="I68" i="168"/>
  <c r="H40" i="199"/>
  <c r="E298" i="202"/>
  <c r="D67" i="7"/>
  <c r="J105" i="167"/>
  <c r="F113" i="186" s="1"/>
  <c r="I113" i="187" s="1"/>
  <c r="I33" i="169" s="1"/>
  <c r="I37" i="170" s="1"/>
  <c r="E274" i="113" s="1"/>
  <c r="H40" i="165"/>
  <c r="E986" i="94"/>
  <c r="E516" i="94"/>
  <c r="G516" i="94" s="1"/>
  <c r="G517" i="94" s="1"/>
  <c r="E773" i="94"/>
  <c r="G773" i="94" s="1"/>
  <c r="G774" i="94" s="1"/>
  <c r="H163" i="119"/>
  <c r="J163" i="119"/>
  <c r="J164" i="119"/>
  <c r="H439" i="119"/>
  <c r="J439" i="119"/>
  <c r="J440" i="119"/>
  <c r="D30" i="190"/>
  <c r="E30" i="190" s="1"/>
  <c r="G30" i="190" s="1"/>
  <c r="Q51" i="140"/>
  <c r="E69" i="94"/>
  <c r="G69" i="94" s="1"/>
  <c r="G70" i="94" s="1"/>
  <c r="G168" i="94"/>
  <c r="G235" i="94"/>
  <c r="G583" i="94"/>
  <c r="F68" i="168"/>
  <c r="F105" i="167"/>
  <c r="B113" i="186" s="1"/>
  <c r="F113" i="187" s="1"/>
  <c r="F33" i="169" s="1"/>
  <c r="D274" i="113" s="1"/>
  <c r="B67" i="7"/>
  <c r="D986" i="94"/>
  <c r="D396" i="113" s="1"/>
  <c r="E546" i="94"/>
  <c r="G546" i="94" s="1"/>
  <c r="G547" i="94" s="1"/>
  <c r="E815" i="94"/>
  <c r="G815" i="94"/>
  <c r="G816" i="94"/>
  <c r="E887" i="94"/>
  <c r="G887" i="94" s="1"/>
  <c r="G888" i="94" s="1"/>
  <c r="E917" i="94"/>
  <c r="G917" i="94" s="1"/>
  <c r="G918" i="94" s="1"/>
  <c r="E924" i="94" s="1"/>
  <c r="G924" i="94" s="1"/>
  <c r="G925" i="94" s="1"/>
  <c r="G926" i="94" s="1"/>
  <c r="G927" i="94" s="1"/>
  <c r="G928" i="94" s="1"/>
  <c r="G969" i="94"/>
  <c r="G970" i="94" s="1"/>
  <c r="H246" i="119"/>
  <c r="J246" i="119"/>
  <c r="J247" i="119" s="1"/>
  <c r="H611" i="119"/>
  <c r="J611" i="119"/>
  <c r="J612" i="119"/>
  <c r="N49" i="140"/>
  <c r="R49" i="140"/>
  <c r="P51" i="140"/>
  <c r="H12" i="119"/>
  <c r="J12" i="119"/>
  <c r="J13" i="119"/>
  <c r="J114" i="119"/>
  <c r="J144" i="119"/>
  <c r="J197" i="119"/>
  <c r="H568" i="119"/>
  <c r="J568" i="119"/>
  <c r="J569" i="119"/>
  <c r="J110" i="167"/>
  <c r="H45" i="165"/>
  <c r="E400" i="113"/>
  <c r="I73" i="168"/>
  <c r="H45" i="199"/>
  <c r="C121" i="190"/>
  <c r="E990" i="94"/>
  <c r="E124" i="141" s="1"/>
  <c r="E855" i="94"/>
  <c r="G855" i="94"/>
  <c r="G856" i="94"/>
  <c r="H40" i="119"/>
  <c r="H102" i="119"/>
  <c r="J102" i="119"/>
  <c r="J103" i="119"/>
  <c r="H345" i="119"/>
  <c r="J345" i="119" s="1"/>
  <c r="J346" i="119" s="1"/>
  <c r="H461" i="119"/>
  <c r="J461" i="119" s="1"/>
  <c r="J462" i="119" s="1"/>
  <c r="F87" i="185"/>
  <c r="I69" i="164"/>
  <c r="C24" i="189" s="1"/>
  <c r="O51" i="140"/>
  <c r="G487" i="94"/>
  <c r="G488" i="94" s="1"/>
  <c r="G825" i="94"/>
  <c r="J388" i="119"/>
  <c r="H513" i="119"/>
  <c r="J513" i="119" s="1"/>
  <c r="J514" i="119" s="1"/>
  <c r="D395" i="113"/>
  <c r="D252" i="113"/>
  <c r="D34" i="190"/>
  <c r="E33" i="190"/>
  <c r="G33" i="190" s="1"/>
  <c r="D91" i="190"/>
  <c r="E90" i="190"/>
  <c r="G90" i="190"/>
  <c r="D20" i="190"/>
  <c r="D27" i="190"/>
  <c r="D42" i="190"/>
  <c r="D101" i="190"/>
  <c r="D106" i="190"/>
  <c r="E105" i="190"/>
  <c r="G105" i="190" s="1"/>
  <c r="C6" i="7"/>
  <c r="C7" i="7" s="1"/>
  <c r="C8" i="7" s="1"/>
  <c r="C9" i="7" s="1"/>
  <c r="C10" i="7" s="1"/>
  <c r="C11" i="7" s="1"/>
  <c r="C12" i="7" s="1"/>
  <c r="C15" i="7"/>
  <c r="C17" i="7" s="1"/>
  <c r="C19" i="7" s="1"/>
  <c r="C21" i="7" s="1"/>
  <c r="C22" i="7" s="1"/>
  <c r="E955" i="94"/>
  <c r="G955" i="94" s="1"/>
  <c r="G956" i="94" s="1"/>
  <c r="D22" i="190"/>
  <c r="J356" i="119"/>
  <c r="J357" i="119" s="1"/>
  <c r="E19" i="190"/>
  <c r="G19" i="190"/>
  <c r="E26" i="190"/>
  <c r="G26" i="190" s="1"/>
  <c r="B124" i="162"/>
  <c r="B135" i="162"/>
  <c r="I7" i="7"/>
  <c r="I9" i="7"/>
  <c r="I15" i="7"/>
  <c r="I19" i="7"/>
  <c r="E144" i="113"/>
  <c r="G144" i="113"/>
  <c r="E89" i="113"/>
  <c r="G89" i="113" s="1"/>
  <c r="H6" i="146"/>
  <c r="E216" i="113"/>
  <c r="G216" i="113" s="1"/>
  <c r="E118" i="113"/>
  <c r="G118" i="113"/>
  <c r="G48" i="150"/>
  <c r="E41" i="202"/>
  <c r="G41" i="202" s="1"/>
  <c r="E207" i="202"/>
  <c r="G207" i="202" s="1"/>
  <c r="B123" i="162"/>
  <c r="B154" i="162"/>
  <c r="B173" i="162"/>
  <c r="B177" i="162"/>
  <c r="I6" i="7"/>
  <c r="I11" i="7"/>
  <c r="C14" i="7"/>
  <c r="C16" i="7" s="1"/>
  <c r="C18" i="7" s="1"/>
  <c r="I14" i="7"/>
  <c r="I18" i="7"/>
  <c r="I24" i="7"/>
  <c r="B132" i="162"/>
  <c r="B125" i="162"/>
  <c r="B118" i="162"/>
  <c r="B116" i="162"/>
  <c r="B134" i="162"/>
  <c r="B129" i="162"/>
  <c r="B120" i="162"/>
  <c r="B168" i="162"/>
  <c r="B167" i="162"/>
  <c r="C54" i="7"/>
  <c r="C46" i="7"/>
  <c r="B39" i="162"/>
  <c r="B44" i="162"/>
  <c r="B50" i="162"/>
  <c r="B51" i="162"/>
  <c r="B55" i="162"/>
  <c r="B121" i="162"/>
  <c r="B122" i="162"/>
  <c r="B128" i="162"/>
  <c r="B131" i="162"/>
  <c r="B144" i="162"/>
  <c r="I5" i="7"/>
  <c r="I17" i="7"/>
  <c r="B151" i="162"/>
  <c r="B150" i="162"/>
  <c r="B137" i="162"/>
  <c r="B153" i="162"/>
  <c r="B164" i="162"/>
  <c r="B163" i="162"/>
  <c r="B162" i="162"/>
  <c r="B161" i="162"/>
  <c r="B160" i="162"/>
  <c r="B159" i="162"/>
  <c r="B158" i="162"/>
  <c r="B157" i="162"/>
  <c r="I23" i="7"/>
  <c r="I12" i="7"/>
  <c r="I33" i="7"/>
  <c r="I21" i="7"/>
  <c r="I10" i="7"/>
  <c r="E142" i="113"/>
  <c r="G142" i="113" s="1"/>
  <c r="E87" i="113"/>
  <c r="G87" i="113"/>
  <c r="E214" i="113"/>
  <c r="G214" i="113" s="1"/>
  <c r="E116" i="113"/>
  <c r="G116" i="113" s="1"/>
  <c r="G70" i="150"/>
  <c r="H70" i="150" s="1"/>
  <c r="G49" i="150"/>
  <c r="H49" i="150"/>
  <c r="B47" i="162"/>
  <c r="I8" i="7"/>
  <c r="I16" i="7"/>
  <c r="I20" i="7"/>
  <c r="E41" i="7"/>
  <c r="H19" i="150"/>
  <c r="H20" i="150" s="1"/>
  <c r="G241" i="113"/>
  <c r="G245" i="113" s="1"/>
  <c r="L8" i="147"/>
  <c r="J7" i="146"/>
  <c r="L6" i="146"/>
  <c r="B110" i="182"/>
  <c r="B14" i="182"/>
  <c r="E261" i="113"/>
  <c r="G261" i="113"/>
  <c r="G262" i="113"/>
  <c r="G267" i="113" s="1"/>
  <c r="G266" i="113"/>
  <c r="C53" i="7"/>
  <c r="G351" i="113"/>
  <c r="E27" i="113"/>
  <c r="G27" i="113"/>
  <c r="G28" i="113" s="1"/>
  <c r="E81" i="113"/>
  <c r="E162" i="113"/>
  <c r="G162" i="113"/>
  <c r="G163" i="113" s="1"/>
  <c r="I10" i="146"/>
  <c r="I11" i="146"/>
  <c r="I12" i="146"/>
  <c r="I13" i="146"/>
  <c r="I12" i="147"/>
  <c r="I13" i="147"/>
  <c r="I14" i="147"/>
  <c r="I15" i="147"/>
  <c r="G93" i="150"/>
  <c r="H93" i="150"/>
  <c r="H75" i="150"/>
  <c r="G252" i="150"/>
  <c r="H188" i="150"/>
  <c r="E61" i="113"/>
  <c r="G61" i="113" s="1"/>
  <c r="G62" i="113" s="1"/>
  <c r="E67" i="113" s="1"/>
  <c r="E139" i="113"/>
  <c r="G139" i="113" s="1"/>
  <c r="G140" i="113" s="1"/>
  <c r="K12" i="147"/>
  <c r="K13" i="147"/>
  <c r="K14" i="147" s="1"/>
  <c r="K15" i="147" s="1"/>
  <c r="G81" i="113"/>
  <c r="G82" i="113" s="1"/>
  <c r="D78" i="150"/>
  <c r="D250" i="150"/>
  <c r="G273" i="150"/>
  <c r="D275" i="150"/>
  <c r="E304" i="150"/>
  <c r="E333" i="150"/>
  <c r="E41" i="113"/>
  <c r="G41" i="113"/>
  <c r="E208" i="113"/>
  <c r="G208" i="113" s="1"/>
  <c r="G209" i="113" s="1"/>
  <c r="G307" i="113"/>
  <c r="G320" i="113"/>
  <c r="G334" i="113"/>
  <c r="G352" i="113"/>
  <c r="E120" i="202"/>
  <c r="G120" i="202" s="1"/>
  <c r="F160" i="202"/>
  <c r="G160" i="202"/>
  <c r="I30" i="182"/>
  <c r="B47" i="182"/>
  <c r="B138" i="182"/>
  <c r="D19" i="150"/>
  <c r="G134" i="150"/>
  <c r="H134" i="150"/>
  <c r="E158" i="150"/>
  <c r="G199" i="150"/>
  <c r="H199" i="150" s="1"/>
  <c r="D202" i="150"/>
  <c r="D219" i="150"/>
  <c r="E254" i="150"/>
  <c r="E279" i="150"/>
  <c r="D333" i="150"/>
  <c r="E343" i="150"/>
  <c r="G90" i="202"/>
  <c r="E282" i="202"/>
  <c r="G282" i="202" s="1"/>
  <c r="G283" i="202" s="1"/>
  <c r="G287" i="202" s="1"/>
  <c r="E289" i="202" s="1"/>
  <c r="E34" i="150"/>
  <c r="H34" i="150"/>
  <c r="H36" i="150" s="1"/>
  <c r="H37" i="150" s="1"/>
  <c r="E58" i="150"/>
  <c r="E97" i="150"/>
  <c r="H97" i="150" s="1"/>
  <c r="H100" i="150" s="1"/>
  <c r="H101" i="150" s="1"/>
  <c r="H102" i="150" s="1"/>
  <c r="E135" i="150"/>
  <c r="H135" i="150" s="1"/>
  <c r="G139" i="150"/>
  <c r="H157" i="150"/>
  <c r="E179" i="150"/>
  <c r="G183" i="150"/>
  <c r="E190" i="150"/>
  <c r="E300" i="150"/>
  <c r="E303" i="150"/>
  <c r="E42" i="113"/>
  <c r="G42" i="113" s="1"/>
  <c r="E117" i="202"/>
  <c r="G117" i="202"/>
  <c r="D34" i="150"/>
  <c r="D58" i="150"/>
  <c r="D97" i="150"/>
  <c r="D135" i="150"/>
  <c r="E159" i="150"/>
  <c r="D179" i="150"/>
  <c r="E250" i="150"/>
  <c r="E253" i="150"/>
  <c r="G30" i="202"/>
  <c r="G91" i="202"/>
  <c r="G264" i="202"/>
  <c r="E202" i="202"/>
  <c r="G202" i="202"/>
  <c r="G205" i="202"/>
  <c r="E89" i="202"/>
  <c r="G35" i="202"/>
  <c r="F161" i="202"/>
  <c r="G161" i="202"/>
  <c r="F162" i="202"/>
  <c r="G162" i="202" s="1"/>
  <c r="E63" i="202"/>
  <c r="G63" i="202" s="1"/>
  <c r="C9" i="86"/>
  <c r="C11" i="86"/>
  <c r="G199" i="202"/>
  <c r="E83" i="202"/>
  <c r="G58" i="202"/>
  <c r="D10" i="86"/>
  <c r="E233" i="202"/>
  <c r="G233" i="202" s="1"/>
  <c r="G234" i="202" s="1"/>
  <c r="E258" i="202"/>
  <c r="G258" i="202" s="1"/>
  <c r="G259" i="202" s="1"/>
  <c r="C10" i="86"/>
  <c r="G34" i="202"/>
  <c r="G38" i="202" s="1"/>
  <c r="E286" i="94"/>
  <c r="E336" i="113"/>
  <c r="G336" i="113"/>
  <c r="G338" i="113"/>
  <c r="G339" i="113" s="1"/>
  <c r="G340" i="113" s="1"/>
  <c r="D23" i="190"/>
  <c r="E23" i="190"/>
  <c r="G23" i="190" s="1"/>
  <c r="B115" i="190"/>
  <c r="C677" i="119"/>
  <c r="H71" i="119"/>
  <c r="J71" i="119" s="1"/>
  <c r="J72" i="119" s="1"/>
  <c r="J40" i="119"/>
  <c r="J41" i="119"/>
  <c r="E304" i="202"/>
  <c r="I48" i="165"/>
  <c r="E30" i="171"/>
  <c r="H39" i="203"/>
  <c r="E396" i="113"/>
  <c r="E119" i="141"/>
  <c r="H1422" i="127"/>
  <c r="J1422" i="127" s="1"/>
  <c r="J1426" i="127" s="1"/>
  <c r="J1427" i="127" s="1"/>
  <c r="J1428" i="127" s="1"/>
  <c r="H1441" i="127" s="1"/>
  <c r="J1441" i="127" s="1"/>
  <c r="J1442" i="127" s="1"/>
  <c r="H1424" i="127"/>
  <c r="J1424" i="127"/>
  <c r="G110" i="94"/>
  <c r="G111" i="94" s="1"/>
  <c r="G112" i="94" s="1"/>
  <c r="G113" i="94" s="1"/>
  <c r="G114" i="94" s="1"/>
  <c r="G185" i="150"/>
  <c r="H185" i="150"/>
  <c r="H186" i="150" s="1"/>
  <c r="H183" i="150"/>
  <c r="G217" i="150"/>
  <c r="H217" i="150" s="1"/>
  <c r="H48" i="150"/>
  <c r="J48" i="150" s="1"/>
  <c r="G69" i="150"/>
  <c r="H69" i="150" s="1"/>
  <c r="D43" i="190"/>
  <c r="E42" i="190"/>
  <c r="G42" i="190" s="1"/>
  <c r="E27" i="190"/>
  <c r="G27" i="190" s="1"/>
  <c r="D29" i="190"/>
  <c r="D92" i="190"/>
  <c r="E91" i="190"/>
  <c r="G91" i="190" s="1"/>
  <c r="D35" i="190"/>
  <c r="B40" i="199"/>
  <c r="D298" i="202" s="1"/>
  <c r="B40" i="165"/>
  <c r="D119" i="141"/>
  <c r="J667" i="127"/>
  <c r="G152" i="150"/>
  <c r="H152" i="150" s="1"/>
  <c r="H139" i="150"/>
  <c r="H140" i="150" s="1"/>
  <c r="E309" i="113"/>
  <c r="G309" i="113" s="1"/>
  <c r="G311" i="113" s="1"/>
  <c r="G312" i="113" s="1"/>
  <c r="G313" i="113" s="1"/>
  <c r="L9" i="147"/>
  <c r="N8" i="147"/>
  <c r="E42" i="7"/>
  <c r="J42" i="7"/>
  <c r="E96" i="141" s="1"/>
  <c r="G96" i="141" s="1"/>
  <c r="J41" i="7"/>
  <c r="F165" i="202" s="1"/>
  <c r="G165" i="202" s="1"/>
  <c r="C55" i="7"/>
  <c r="C47" i="7"/>
  <c r="C48" i="7" s="1"/>
  <c r="H7" i="146"/>
  <c r="K6" i="146"/>
  <c r="M6" i="146" s="1"/>
  <c r="G31" i="146" s="1"/>
  <c r="L31" i="146" s="1"/>
  <c r="F50" i="7" s="1"/>
  <c r="J50" i="7" s="1"/>
  <c r="J8" i="147"/>
  <c r="G682" i="119"/>
  <c r="D26" i="171"/>
  <c r="E357" i="150"/>
  <c r="H690" i="127"/>
  <c r="J690" i="127" s="1"/>
  <c r="C22" i="139"/>
  <c r="G943" i="94"/>
  <c r="G944" i="94" s="1"/>
  <c r="G945" i="94" s="1"/>
  <c r="E154" i="94"/>
  <c r="G31" i="202"/>
  <c r="G32" i="202"/>
  <c r="E322" i="113"/>
  <c r="G322" i="113" s="1"/>
  <c r="G324" i="113" s="1"/>
  <c r="G325" i="113" s="1"/>
  <c r="G326" i="113" s="1"/>
  <c r="G298" i="150"/>
  <c r="H298" i="150" s="1"/>
  <c r="H273" i="150"/>
  <c r="G277" i="150"/>
  <c r="H252" i="150"/>
  <c r="L7" i="146"/>
  <c r="J8" i="146"/>
  <c r="D102" i="190"/>
  <c r="S52" i="140"/>
  <c r="G83" i="202"/>
  <c r="E82" i="202"/>
  <c r="G59" i="202"/>
  <c r="E118" i="202"/>
  <c r="G118" i="202"/>
  <c r="G121" i="202"/>
  <c r="G89" i="202"/>
  <c r="G92" i="202" s="1"/>
  <c r="G289" i="202"/>
  <c r="G302" i="150"/>
  <c r="H277" i="150"/>
  <c r="H8" i="146"/>
  <c r="K7" i="146"/>
  <c r="N9" i="147"/>
  <c r="L10" i="147"/>
  <c r="D93" i="190"/>
  <c r="D94" i="190"/>
  <c r="D95" i="190"/>
  <c r="E92" i="190"/>
  <c r="G92" i="190" s="1"/>
  <c r="D44" i="190"/>
  <c r="E43" i="190"/>
  <c r="G43" i="190" s="1"/>
  <c r="M7" i="146"/>
  <c r="G29" i="146" s="1"/>
  <c r="L29" i="146" s="1"/>
  <c r="F49" i="7" s="1"/>
  <c r="J9" i="146"/>
  <c r="L8" i="146"/>
  <c r="F360" i="150"/>
  <c r="K34" i="175"/>
  <c r="K36" i="191"/>
  <c r="J9" i="147"/>
  <c r="M8" i="147"/>
  <c r="O8" i="147"/>
  <c r="G32" i="146"/>
  <c r="L32" i="146" s="1"/>
  <c r="F58" i="7" s="1"/>
  <c r="J58" i="7" s="1"/>
  <c r="E40" i="202"/>
  <c r="E67" i="202" s="1"/>
  <c r="F168" i="202"/>
  <c r="G168" i="202" s="1"/>
  <c r="E471" i="94"/>
  <c r="G471" i="94" s="1"/>
  <c r="G473" i="94" s="1"/>
  <c r="H668" i="127"/>
  <c r="J668" i="127"/>
  <c r="H670" i="127"/>
  <c r="J670" i="127" s="1"/>
  <c r="J672" i="127" s="1"/>
  <c r="J673" i="127" s="1"/>
  <c r="J674" i="127" s="1"/>
  <c r="H736" i="127" s="1"/>
  <c r="J736" i="127" s="1"/>
  <c r="J738" i="127" s="1"/>
  <c r="D36" i="190"/>
  <c r="E36" i="190"/>
  <c r="G36" i="190"/>
  <c r="G286" i="94"/>
  <c r="E287" i="94"/>
  <c r="G287" i="94" s="1"/>
  <c r="G288" i="94" s="1"/>
  <c r="G289" i="94" s="1"/>
  <c r="G290" i="94" s="1"/>
  <c r="J22" i="164" s="1"/>
  <c r="G31" i="162" s="1"/>
  <c r="G82" i="174" s="1"/>
  <c r="E290" i="202"/>
  <c r="G290" i="202"/>
  <c r="G291" i="202"/>
  <c r="G292" i="202" s="1"/>
  <c r="E111" i="202"/>
  <c r="G82" i="202"/>
  <c r="J10" i="147"/>
  <c r="M9" i="147"/>
  <c r="O9" i="147" s="1"/>
  <c r="G30" i="146" s="1"/>
  <c r="L30" i="146" s="1"/>
  <c r="F57" i="7" s="1"/>
  <c r="J57" i="7" s="1"/>
  <c r="H9" i="146"/>
  <c r="K8" i="146"/>
  <c r="J10" i="146"/>
  <c r="L10" i="146" s="1"/>
  <c r="L9" i="146"/>
  <c r="J11" i="146"/>
  <c r="L11" i="147"/>
  <c r="N10" i="147"/>
  <c r="D97" i="190"/>
  <c r="E97" i="190" s="1"/>
  <c r="G97" i="190" s="1"/>
  <c r="D96" i="190"/>
  <c r="E96" i="190" s="1"/>
  <c r="G96" i="190" s="1"/>
  <c r="E95" i="190"/>
  <c r="G95" i="190"/>
  <c r="M8" i="146"/>
  <c r="G27" i="146"/>
  <c r="L27" i="146"/>
  <c r="F48" i="7" s="1"/>
  <c r="J48" i="7" s="1"/>
  <c r="D45" i="190"/>
  <c r="D46" i="190"/>
  <c r="E44" i="190"/>
  <c r="G44" i="190" s="1"/>
  <c r="G342" i="150"/>
  <c r="H342" i="150" s="1"/>
  <c r="H302" i="150"/>
  <c r="E85" i="202"/>
  <c r="G85" i="202" s="1"/>
  <c r="G86" i="202" s="1"/>
  <c r="G111" i="202"/>
  <c r="E112" i="202"/>
  <c r="K9" i="146"/>
  <c r="H11" i="146"/>
  <c r="H10" i="146"/>
  <c r="M9" i="146"/>
  <c r="G25" i="146" s="1"/>
  <c r="L25" i="146" s="1"/>
  <c r="F47" i="7" s="1"/>
  <c r="J47" i="7" s="1"/>
  <c r="J12" i="146"/>
  <c r="L11" i="146"/>
  <c r="L12" i="147"/>
  <c r="N12" i="147" s="1"/>
  <c r="L13" i="147"/>
  <c r="N11" i="147"/>
  <c r="M10" i="147"/>
  <c r="O10" i="147" s="1"/>
  <c r="G28" i="146" s="1"/>
  <c r="L28" i="146" s="1"/>
  <c r="F56" i="7" s="1"/>
  <c r="J56" i="7" s="1"/>
  <c r="J11" i="147"/>
  <c r="D47" i="190"/>
  <c r="D48" i="190" s="1"/>
  <c r="E46" i="190"/>
  <c r="G46" i="190"/>
  <c r="G112" i="202"/>
  <c r="F155" i="202"/>
  <c r="G155" i="202" s="1"/>
  <c r="J13" i="147"/>
  <c r="M11" i="147"/>
  <c r="O11" i="147" s="1"/>
  <c r="G26" i="146" s="1"/>
  <c r="L26" i="146" s="1"/>
  <c r="F55" i="7" s="1"/>
  <c r="J55" i="7" s="1"/>
  <c r="J12" i="147"/>
  <c r="M12" i="147" s="1"/>
  <c r="N13" i="147"/>
  <c r="L14" i="147"/>
  <c r="L15" i="147" s="1"/>
  <c r="N15" i="147" s="1"/>
  <c r="O15" i="147" s="1"/>
  <c r="G18" i="146" s="1"/>
  <c r="L18" i="146" s="1"/>
  <c r="F51" i="7" s="1"/>
  <c r="J51" i="7" s="1"/>
  <c r="H12" i="146"/>
  <c r="J13" i="146"/>
  <c r="L13" i="146"/>
  <c r="L12" i="146"/>
  <c r="N14" i="147"/>
  <c r="J14" i="147"/>
  <c r="M14" i="147" s="1"/>
  <c r="O14" i="147" s="1"/>
  <c r="G20" i="146" s="1"/>
  <c r="L20" i="146" s="1"/>
  <c r="F52" i="7" s="1"/>
  <c r="J52" i="7" s="1"/>
  <c r="E120" i="113" s="1"/>
  <c r="G120" i="113" s="1"/>
  <c r="M13" i="147"/>
  <c r="O13" i="147" s="1"/>
  <c r="G22" i="146" s="1"/>
  <c r="L22" i="146" s="1"/>
  <c r="F53" i="7" s="1"/>
  <c r="J53" i="7" s="1"/>
  <c r="E146" i="113" s="1"/>
  <c r="G146" i="113" s="1"/>
  <c r="G81" i="174"/>
  <c r="J15" i="147"/>
  <c r="M15" i="147" s="1"/>
  <c r="D9" i="191" l="1"/>
  <c r="A4" i="197" s="1"/>
  <c r="C28" i="185"/>
  <c r="E28" i="185"/>
  <c r="D14" i="191"/>
  <c r="F4" i="197" s="1"/>
  <c r="L28" i="185"/>
  <c r="D19" i="191"/>
  <c r="K4" i="197" s="1"/>
  <c r="M28" i="197" s="1"/>
  <c r="N115" i="174"/>
  <c r="C15" i="182"/>
  <c r="F57" i="164"/>
  <c r="I57" i="164" s="1"/>
  <c r="I58" i="164" s="1"/>
  <c r="E15" i="190" s="1"/>
  <c r="G15" i="190" s="1"/>
  <c r="I9" i="164"/>
  <c r="I10" i="164" s="1"/>
  <c r="B12" i="162" s="1"/>
  <c r="I33" i="164"/>
  <c r="I34" i="164" s="1"/>
  <c r="B23" i="162" s="1"/>
  <c r="F74" i="174" s="1"/>
  <c r="K48" i="150"/>
  <c r="L48" i="150"/>
  <c r="M48" i="150" s="1"/>
  <c r="N48" i="150" s="1"/>
  <c r="G294" i="150"/>
  <c r="H294" i="150" s="1"/>
  <c r="G269" i="150"/>
  <c r="H269" i="150" s="1"/>
  <c r="G244" i="150"/>
  <c r="H244" i="150" s="1"/>
  <c r="G329" i="150"/>
  <c r="H329" i="150" s="1"/>
  <c r="E573" i="94"/>
  <c r="G573" i="94" s="1"/>
  <c r="G574" i="94" s="1"/>
  <c r="G699" i="94"/>
  <c r="G617" i="94"/>
  <c r="G526" i="94"/>
  <c r="E607" i="94"/>
  <c r="G607" i="94" s="1"/>
  <c r="G608" i="94" s="1"/>
  <c r="E238" i="202"/>
  <c r="G238" i="202" s="1"/>
  <c r="G240" i="202"/>
  <c r="G129" i="94"/>
  <c r="E130" i="94"/>
  <c r="G130" i="94" s="1"/>
  <c r="G131" i="94" s="1"/>
  <c r="G132" i="94" s="1"/>
  <c r="G133" i="94" s="1"/>
  <c r="G134" i="94" s="1"/>
  <c r="J18" i="164" s="1"/>
  <c r="G14" i="162" s="1"/>
  <c r="G65" i="174" s="1"/>
  <c r="G154" i="94"/>
  <c r="G171" i="94"/>
  <c r="G172" i="94" s="1"/>
  <c r="G19" i="141"/>
  <c r="G20" i="141" s="1"/>
  <c r="E262" i="202"/>
  <c r="G262" i="202" s="1"/>
  <c r="G241" i="202"/>
  <c r="G238" i="94"/>
  <c r="I18" i="203"/>
  <c r="J49" i="7"/>
  <c r="E30" i="7"/>
  <c r="J30" i="7" s="1"/>
  <c r="G14" i="190"/>
  <c r="H105" i="174"/>
  <c r="S101" i="174"/>
  <c r="O16" i="174"/>
  <c r="C5" i="174"/>
  <c r="C175" i="174" s="1"/>
  <c r="A24" i="174"/>
  <c r="B127" i="174"/>
  <c r="B193" i="174"/>
  <c r="H70" i="174"/>
  <c r="H36" i="174"/>
  <c r="B2" i="174"/>
  <c r="E83" i="174"/>
  <c r="K100" i="174"/>
  <c r="E167" i="174"/>
  <c r="G148" i="174"/>
  <c r="B189" i="162"/>
  <c r="L22" i="203"/>
  <c r="G97" i="141"/>
  <c r="G67" i="202"/>
  <c r="E96" i="202"/>
  <c r="G96" i="202" s="1"/>
  <c r="E66" i="202"/>
  <c r="E42" i="202"/>
  <c r="G42" i="202" s="1"/>
  <c r="G40" i="202"/>
  <c r="E496" i="94"/>
  <c r="G496" i="94" s="1"/>
  <c r="G498" i="94" s="1"/>
  <c r="E500" i="94" s="1"/>
  <c r="E124" i="202"/>
  <c r="G124" i="202" s="1"/>
  <c r="E447" i="94"/>
  <c r="G447" i="94" s="1"/>
  <c r="G448" i="94" s="1"/>
  <c r="E70" i="141"/>
  <c r="G70" i="141" s="1"/>
  <c r="E208" i="202"/>
  <c r="G208" i="202" s="1"/>
  <c r="G209" i="202" s="1"/>
  <c r="C57" i="7"/>
  <c r="C49" i="7"/>
  <c r="C56" i="7"/>
  <c r="C52" i="7"/>
  <c r="C678" i="119"/>
  <c r="B34" i="175" s="1"/>
  <c r="B36" i="191" s="1"/>
  <c r="B116" i="190"/>
  <c r="B22" i="171"/>
  <c r="C116" i="190"/>
  <c r="D22" i="171"/>
  <c r="G678" i="119"/>
  <c r="E34" i="175" s="1"/>
  <c r="D36" i="191" s="1"/>
  <c r="F110" i="167"/>
  <c r="J113" i="186" s="1"/>
  <c r="F118" i="187" s="1"/>
  <c r="F37" i="169" s="1"/>
  <c r="F41" i="170" s="1"/>
  <c r="D400" i="113" s="1"/>
  <c r="G67" i="7"/>
  <c r="E73" i="164"/>
  <c r="B29" i="189" s="1"/>
  <c r="F73" i="168"/>
  <c r="D124" i="141"/>
  <c r="B45" i="199"/>
  <c r="C111" i="182"/>
  <c r="H69" i="174"/>
  <c r="J69" i="174" s="1"/>
  <c r="H71" i="174"/>
  <c r="B149" i="162"/>
  <c r="B139" i="162"/>
  <c r="B155" i="162"/>
  <c r="B43" i="162"/>
  <c r="B145" i="162"/>
  <c r="N86" i="174"/>
  <c r="E86" i="174" s="1"/>
  <c r="N87" i="174"/>
  <c r="B34" i="162"/>
  <c r="H189" i="162"/>
  <c r="N189" i="162" s="1"/>
  <c r="B143" i="162"/>
  <c r="B148" i="162"/>
  <c r="B146" i="162"/>
  <c r="B42" i="162"/>
  <c r="M70" i="174"/>
  <c r="B126" i="162"/>
  <c r="H186" i="162"/>
  <c r="N186" i="162" s="1"/>
  <c r="H188" i="162"/>
  <c r="N188" i="162" s="1"/>
  <c r="G156" i="202"/>
  <c r="G157" i="202"/>
  <c r="D49" i="190"/>
  <c r="E48" i="190"/>
  <c r="G48" i="190" s="1"/>
  <c r="O12" i="147"/>
  <c r="G24" i="146" s="1"/>
  <c r="L24" i="146" s="1"/>
  <c r="F54" i="7" s="1"/>
  <c r="J54" i="7" s="1"/>
  <c r="E475" i="94"/>
  <c r="G475" i="94" s="1"/>
  <c r="G476" i="94" s="1"/>
  <c r="G477" i="94" s="1"/>
  <c r="G478" i="94" s="1"/>
  <c r="G479" i="94" s="1"/>
  <c r="J50" i="164" s="1"/>
  <c r="H13" i="146"/>
  <c r="E114" i="202"/>
  <c r="G114" i="202" s="1"/>
  <c r="G115" i="202" s="1"/>
  <c r="E269" i="113"/>
  <c r="G269" i="113" s="1"/>
  <c r="G271" i="113"/>
  <c r="G272" i="113" s="1"/>
  <c r="G273" i="113" s="1"/>
  <c r="E247" i="113"/>
  <c r="G247" i="113" s="1"/>
  <c r="G249" i="113" s="1"/>
  <c r="G250" i="113" s="1"/>
  <c r="G251" i="113" s="1"/>
  <c r="C24" i="7"/>
  <c r="C26" i="7" s="1"/>
  <c r="C28" i="7" s="1"/>
  <c r="C23" i="7"/>
  <c r="C25" i="7" s="1"/>
  <c r="C27" i="7" s="1"/>
  <c r="C29" i="7" s="1"/>
  <c r="E75" i="94"/>
  <c r="G75" i="94" s="1"/>
  <c r="G76" i="94"/>
  <c r="G77" i="94" s="1"/>
  <c r="G78" i="94" s="1"/>
  <c r="G16" i="94"/>
  <c r="E18" i="94"/>
  <c r="H36" i="127"/>
  <c r="J91" i="127"/>
  <c r="J244" i="127"/>
  <c r="H313" i="127"/>
  <c r="J313" i="127" s="1"/>
  <c r="J314" i="127"/>
  <c r="H428" i="127"/>
  <c r="J428" i="127" s="1"/>
  <c r="J429" i="127" s="1"/>
  <c r="H538" i="127"/>
  <c r="J538" i="127" s="1"/>
  <c r="H692" i="127"/>
  <c r="J692" i="127" s="1"/>
  <c r="J694" i="127" s="1"/>
  <c r="J695" i="127" s="1"/>
  <c r="J696" i="127" s="1"/>
  <c r="J824" i="127"/>
  <c r="J831" i="127" s="1"/>
  <c r="H877" i="127"/>
  <c r="J877" i="127" s="1"/>
  <c r="J878" i="127"/>
  <c r="H915" i="127"/>
  <c r="J915" i="127" s="1"/>
  <c r="J917" i="127" s="1"/>
  <c r="J978" i="127"/>
  <c r="H1219" i="127"/>
  <c r="J1219" i="127" s="1"/>
  <c r="J1220" i="127" s="1"/>
  <c r="G67" i="113"/>
  <c r="G68" i="113"/>
  <c r="G69" i="113" s="1"/>
  <c r="G70" i="113" s="1"/>
  <c r="G71" i="113" s="1"/>
  <c r="G72" i="113" s="1"/>
  <c r="E92" i="94"/>
  <c r="G92" i="94" s="1"/>
  <c r="G93" i="94" s="1"/>
  <c r="G94" i="94" s="1"/>
  <c r="G95" i="94" s="1"/>
  <c r="H200" i="127"/>
  <c r="J200" i="127"/>
  <c r="J201" i="127" s="1"/>
  <c r="H222" i="127"/>
  <c r="J222" i="127" s="1"/>
  <c r="J223" i="127" s="1"/>
  <c r="H458" i="127"/>
  <c r="J458" i="127" s="1"/>
  <c r="J459" i="127"/>
  <c r="H1021" i="127"/>
  <c r="J1021" i="127" s="1"/>
  <c r="J1022" i="127"/>
  <c r="G171" i="150"/>
  <c r="H171" i="150" s="1"/>
  <c r="G265" i="150"/>
  <c r="H265" i="150" s="1"/>
  <c r="G290" i="150"/>
  <c r="H290" i="150" s="1"/>
  <c r="G313" i="150"/>
  <c r="H313" i="150" s="1"/>
  <c r="G127" i="150"/>
  <c r="H127" i="150" s="1"/>
  <c r="G240" i="150"/>
  <c r="H240" i="150" s="1"/>
  <c r="E59" i="94"/>
  <c r="G59" i="94" s="1"/>
  <c r="G60" i="94" s="1"/>
  <c r="G61" i="94" s="1"/>
  <c r="G62" i="94" s="1"/>
  <c r="H14" i="127"/>
  <c r="J14" i="127" s="1"/>
  <c r="J15" i="127" s="1"/>
  <c r="J21" i="127" s="1"/>
  <c r="J369" i="127"/>
  <c r="H368" i="127"/>
  <c r="J368" i="127" s="1"/>
  <c r="J539" i="127"/>
  <c r="J553" i="127"/>
  <c r="H604" i="127"/>
  <c r="J604" i="127" s="1"/>
  <c r="J605" i="127" s="1"/>
  <c r="H646" i="127"/>
  <c r="J646" i="127" s="1"/>
  <c r="J707" i="127"/>
  <c r="J708" i="127" s="1"/>
  <c r="H961" i="127"/>
  <c r="J961" i="127" s="1"/>
  <c r="J962" i="127" s="1"/>
  <c r="G164" i="202"/>
  <c r="E43" i="113"/>
  <c r="G43" i="113" s="1"/>
  <c r="G44" i="113" s="1"/>
  <c r="E32" i="113"/>
  <c r="G32" i="113" s="1"/>
  <c r="G33" i="113"/>
  <c r="G34" i="113" s="1"/>
  <c r="G35" i="113" s="1"/>
  <c r="G36" i="113" s="1"/>
  <c r="J36" i="127"/>
  <c r="J37" i="127" s="1"/>
  <c r="J92" i="127"/>
  <c r="H91" i="127"/>
  <c r="H117" i="127"/>
  <c r="J117" i="127" s="1"/>
  <c r="J118" i="127"/>
  <c r="H147" i="127"/>
  <c r="J147" i="127" s="1"/>
  <c r="J148" i="127" s="1"/>
  <c r="H265" i="127"/>
  <c r="J265" i="127" s="1"/>
  <c r="J266" i="127"/>
  <c r="H398" i="127"/>
  <c r="J398" i="127" s="1"/>
  <c r="J399" i="127" s="1"/>
  <c r="H571" i="127"/>
  <c r="J571" i="127" s="1"/>
  <c r="J572" i="127"/>
  <c r="H733" i="127"/>
  <c r="J733" i="127" s="1"/>
  <c r="J734" i="127" s="1"/>
  <c r="H788" i="127"/>
  <c r="J788" i="127" s="1"/>
  <c r="J789" i="127" s="1"/>
  <c r="J848" i="127"/>
  <c r="H847" i="127"/>
  <c r="J847" i="127" s="1"/>
  <c r="H932" i="127"/>
  <c r="J932" i="127" s="1"/>
  <c r="J933" i="127"/>
  <c r="J996" i="127"/>
  <c r="H1234" i="127"/>
  <c r="H1259" i="127"/>
  <c r="H1361" i="127"/>
  <c r="J1361" i="127" s="1"/>
  <c r="J1362" i="127"/>
  <c r="H1095" i="127"/>
  <c r="J1095" i="127" s="1"/>
  <c r="J1096" i="127" s="1"/>
  <c r="J1188" i="127"/>
  <c r="K28" i="185"/>
  <c r="D18" i="191"/>
  <c r="J4" i="197" s="1"/>
  <c r="D37" i="140"/>
  <c r="I36" i="140"/>
  <c r="P55" i="140"/>
  <c r="L56" i="140"/>
  <c r="Q55" i="140"/>
  <c r="N55" i="140"/>
  <c r="R55" i="140"/>
  <c r="O55" i="140"/>
  <c r="P59" i="140"/>
  <c r="O59" i="140"/>
  <c r="R59" i="140"/>
  <c r="N59" i="140"/>
  <c r="Q59" i="140"/>
  <c r="O74" i="140"/>
  <c r="Q74" i="140"/>
  <c r="G43" i="141"/>
  <c r="G44" i="141" s="1"/>
  <c r="G219" i="94"/>
  <c r="G309" i="94"/>
  <c r="G439" i="94"/>
  <c r="G440" i="94" s="1"/>
  <c r="H1146" i="127"/>
  <c r="J1146" i="127" s="1"/>
  <c r="J1147" i="127" s="1"/>
  <c r="N66" i="140"/>
  <c r="R66" i="140"/>
  <c r="O66" i="140"/>
  <c r="P66" i="140"/>
  <c r="Q66" i="140"/>
  <c r="C67" i="140"/>
  <c r="I67" i="140" s="1"/>
  <c r="L67" i="140" s="1"/>
  <c r="H64" i="140"/>
  <c r="L64" i="140" s="1"/>
  <c r="O78" i="140"/>
  <c r="P78" i="140"/>
  <c r="Q78" i="140"/>
  <c r="N78" i="140"/>
  <c r="R78" i="140"/>
  <c r="I34" i="187"/>
  <c r="G261" i="94"/>
  <c r="G262" i="94" s="1"/>
  <c r="G302" i="94"/>
  <c r="G303" i="94" s="1"/>
  <c r="J1234" i="127"/>
  <c r="J1235" i="127" s="1"/>
  <c r="J1274" i="127"/>
  <c r="J1293" i="127"/>
  <c r="J1294" i="127" s="1"/>
  <c r="J1382" i="127"/>
  <c r="Q49" i="140"/>
  <c r="L50" i="140"/>
  <c r="O49" i="140"/>
  <c r="S50" i="140" s="1"/>
  <c r="N53" i="140"/>
  <c r="R53" i="140"/>
  <c r="O53" i="140"/>
  <c r="P53" i="140"/>
  <c r="L54" i="140"/>
  <c r="Q53" i="140"/>
  <c r="P58" i="140"/>
  <c r="O58" i="140"/>
  <c r="R58" i="140"/>
  <c r="N58" i="140"/>
  <c r="Q58" i="140"/>
  <c r="O77" i="140"/>
  <c r="P77" i="140"/>
  <c r="L79" i="140"/>
  <c r="Q77" i="140"/>
  <c r="N77" i="140"/>
  <c r="R77" i="140"/>
  <c r="F23" i="204"/>
  <c r="I22" i="204"/>
  <c r="F27" i="204"/>
  <c r="I27" i="204" s="1"/>
  <c r="G375" i="94"/>
  <c r="G416" i="94"/>
  <c r="H1123" i="127"/>
  <c r="J1123" i="127" s="1"/>
  <c r="J1124" i="127" s="1"/>
  <c r="J1157" i="127"/>
  <c r="J1259" i="127"/>
  <c r="J1260" i="127" s="1"/>
  <c r="G28" i="185"/>
  <c r="D16" i="191"/>
  <c r="H4" i="197" s="1"/>
  <c r="L65" i="140"/>
  <c r="I42" i="187"/>
  <c r="F26" i="169"/>
  <c r="I26" i="169" s="1"/>
  <c r="I27" i="169" s="1"/>
  <c r="I22" i="169"/>
  <c r="I23" i="169" s="1"/>
  <c r="G204" i="94"/>
  <c r="M116" i="174"/>
  <c r="I117" i="174" s="1"/>
  <c r="D13" i="191"/>
  <c r="E4" i="197" s="1"/>
  <c r="D15" i="191"/>
  <c r="G4" i="197" s="1"/>
  <c r="D19" i="140"/>
  <c r="I19" i="140" s="1"/>
  <c r="D24" i="140"/>
  <c r="I24" i="140" s="1"/>
  <c r="L62" i="140"/>
  <c r="P61" i="140"/>
  <c r="S62" i="140" s="1"/>
  <c r="I29" i="187"/>
  <c r="I47" i="187"/>
  <c r="I51" i="187" s="1"/>
  <c r="F18" i="204"/>
  <c r="I18" i="204" s="1"/>
  <c r="I19" i="204" s="1"/>
  <c r="I17" i="169"/>
  <c r="I18" i="169" s="1"/>
  <c r="G656" i="94"/>
  <c r="G657" i="94" s="1"/>
  <c r="G666" i="94"/>
  <c r="E701" i="94"/>
  <c r="G701" i="94" s="1"/>
  <c r="J488" i="119"/>
  <c r="J591" i="119"/>
  <c r="H653" i="119"/>
  <c r="J653" i="119" s="1"/>
  <c r="E57" i="190"/>
  <c r="D58" i="190"/>
  <c r="D59" i="190" s="1"/>
  <c r="E15" i="7"/>
  <c r="J15" i="7" s="1"/>
  <c r="E166" i="113"/>
  <c r="G166" i="113" s="1"/>
  <c r="G167" i="113" s="1"/>
  <c r="E173" i="113" s="1"/>
  <c r="G173" i="113" s="1"/>
  <c r="H614" i="119"/>
  <c r="J614" i="119" s="1"/>
  <c r="J618" i="119" s="1"/>
  <c r="J619" i="119" s="1"/>
  <c r="H621" i="119" s="1"/>
  <c r="H490" i="119"/>
  <c r="J490" i="119" s="1"/>
  <c r="H414" i="119"/>
  <c r="J414" i="119" s="1"/>
  <c r="H643" i="119"/>
  <c r="J643" i="119" s="1"/>
  <c r="E624" i="94"/>
  <c r="G624" i="94" s="1"/>
  <c r="H352" i="119"/>
  <c r="J352" i="119" s="1"/>
  <c r="H192" i="119"/>
  <c r="J192" i="119" s="1"/>
  <c r="H521" i="119"/>
  <c r="J521" i="119" s="1"/>
  <c r="H383" i="119"/>
  <c r="J383" i="119" s="1"/>
  <c r="H253" i="119"/>
  <c r="J253" i="119" s="1"/>
  <c r="H223" i="119"/>
  <c r="J223" i="119" s="1"/>
  <c r="H139" i="119"/>
  <c r="J139" i="119" s="1"/>
  <c r="H109" i="119"/>
  <c r="J109" i="119" s="1"/>
  <c r="H79" i="119"/>
  <c r="J79" i="119" s="1"/>
  <c r="H48" i="119"/>
  <c r="J48" i="119" s="1"/>
  <c r="H18" i="119"/>
  <c r="J18" i="119" s="1"/>
  <c r="E958" i="94"/>
  <c r="G958" i="94" s="1"/>
  <c r="E863" i="94"/>
  <c r="J468" i="119"/>
  <c r="J469" i="119" s="1"/>
  <c r="F23" i="199"/>
  <c r="F27" i="199"/>
  <c r="I27" i="199" s="1"/>
  <c r="I22" i="199"/>
  <c r="B95" i="182"/>
  <c r="G95" i="182"/>
  <c r="G554" i="94"/>
  <c r="G690" i="94"/>
  <c r="H407" i="119"/>
  <c r="J407" i="119" s="1"/>
  <c r="J408" i="119" s="1"/>
  <c r="E6" i="7"/>
  <c r="J6" i="7" s="1"/>
  <c r="E8" i="7"/>
  <c r="J8" i="7" s="1"/>
  <c r="D17" i="140"/>
  <c r="I17" i="140" s="1"/>
  <c r="D22" i="140"/>
  <c r="I22" i="140" s="1"/>
  <c r="R61" i="140"/>
  <c r="I706" i="94"/>
  <c r="I707" i="94" s="1"/>
  <c r="E730" i="94"/>
  <c r="G730" i="94" s="1"/>
  <c r="G731" i="94" s="1"/>
  <c r="J495" i="119"/>
  <c r="D21" i="7"/>
  <c r="E892" i="94"/>
  <c r="G892" i="94" s="1"/>
  <c r="E861" i="94"/>
  <c r="H190" i="119"/>
  <c r="J190" i="119" s="1"/>
  <c r="E622" i="94"/>
  <c r="G622" i="94" s="1"/>
  <c r="H519" i="119"/>
  <c r="J519" i="119" s="1"/>
  <c r="H381" i="119"/>
  <c r="J381" i="119" s="1"/>
  <c r="H350" i="119"/>
  <c r="J350" i="119" s="1"/>
  <c r="H251" i="119"/>
  <c r="J251" i="119" s="1"/>
  <c r="H221" i="119"/>
  <c r="J221" i="119" s="1"/>
  <c r="H137" i="119"/>
  <c r="J137" i="119" s="1"/>
  <c r="H107" i="119"/>
  <c r="J107" i="119" s="1"/>
  <c r="H77" i="119"/>
  <c r="J77" i="119" s="1"/>
  <c r="H46" i="119"/>
  <c r="J46" i="119" s="1"/>
  <c r="H644" i="119"/>
  <c r="J644" i="119" s="1"/>
  <c r="H488" i="119"/>
  <c r="H412" i="119"/>
  <c r="J412" i="119" s="1"/>
  <c r="H16" i="119"/>
  <c r="J16" i="119" s="1"/>
  <c r="H591" i="119"/>
  <c r="G13" i="150"/>
  <c r="H13" i="150" s="1"/>
  <c r="H21" i="150" s="1"/>
  <c r="H442" i="119"/>
  <c r="J442" i="119" s="1"/>
  <c r="J444" i="119" s="1"/>
  <c r="J445" i="119" s="1"/>
  <c r="H166" i="119"/>
  <c r="J166" i="119" s="1"/>
  <c r="J168" i="119" s="1"/>
  <c r="J169" i="119" s="1"/>
  <c r="H280" i="119"/>
  <c r="J280" i="119" s="1"/>
  <c r="J282" i="119" s="1"/>
  <c r="J283" i="119" s="1"/>
  <c r="B98" i="162"/>
  <c r="E40" i="190"/>
  <c r="G40" i="190" s="1"/>
  <c r="I16" i="140"/>
  <c r="J619" i="94"/>
  <c r="J618" i="94"/>
  <c r="L618" i="94" s="1"/>
  <c r="G861" i="94"/>
  <c r="H298" i="119"/>
  <c r="J298" i="119" s="1"/>
  <c r="J299" i="119"/>
  <c r="G57" i="190"/>
  <c r="E29" i="7"/>
  <c r="J29" i="7" s="1"/>
  <c r="E973" i="94" s="1"/>
  <c r="G973" i="94" s="1"/>
  <c r="E668" i="94"/>
  <c r="G668" i="94" s="1"/>
  <c r="E744" i="94"/>
  <c r="G744" i="94" s="1"/>
  <c r="E628" i="94"/>
  <c r="G628" i="94" s="1"/>
  <c r="E556" i="94"/>
  <c r="G556" i="94" s="1"/>
  <c r="E528" i="94"/>
  <c r="G528" i="94" s="1"/>
  <c r="E828" i="94"/>
  <c r="G828" i="94" s="1"/>
  <c r="I12" i="199"/>
  <c r="I14" i="199" s="1"/>
  <c r="B49" i="182"/>
  <c r="F24" i="186"/>
  <c r="F22" i="165"/>
  <c r="H56" i="150"/>
  <c r="J654" i="119"/>
  <c r="F17" i="199"/>
  <c r="I17" i="199" s="1"/>
  <c r="I19" i="199" s="1"/>
  <c r="F24" i="167"/>
  <c r="G77" i="150"/>
  <c r="H77" i="150" s="1"/>
  <c r="H78" i="150" s="1"/>
  <c r="G178" i="150"/>
  <c r="I714" i="94"/>
  <c r="H55" i="150"/>
  <c r="I23" i="170"/>
  <c r="I24" i="170" s="1"/>
  <c r="E278" i="150"/>
  <c r="E189" i="150"/>
  <c r="D12" i="86"/>
  <c r="D13" i="86" s="1"/>
  <c r="D14" i="86" s="1"/>
  <c r="D15" i="86" s="1"/>
  <c r="D16" i="86" s="1"/>
  <c r="D17" i="86" s="1"/>
  <c r="D18" i="86" s="1"/>
  <c r="D19" i="86" s="1"/>
  <c r="D20" i="86" s="1"/>
  <c r="D21" i="86" s="1"/>
  <c r="D22" i="86" s="1"/>
  <c r="D23" i="86" s="1"/>
  <c r="D24" i="86" s="1"/>
  <c r="D25" i="86" s="1"/>
  <c r="D26" i="86" s="1"/>
  <c r="D27" i="86" s="1"/>
  <c r="D28" i="86" s="1"/>
  <c r="D29" i="86" s="1"/>
  <c r="D30" i="86" s="1"/>
  <c r="D31" i="86" s="1"/>
  <c r="D32" i="86" s="1"/>
  <c r="D33" i="86" s="1"/>
  <c r="D34" i="86" s="1"/>
  <c r="D35" i="86" s="1"/>
  <c r="D36" i="86" s="1"/>
  <c r="D37" i="86" s="1"/>
  <c r="D38" i="86" s="1"/>
  <c r="D39" i="86" s="1"/>
  <c r="D40" i="86" s="1"/>
  <c r="D41" i="86" s="1"/>
  <c r="D42" i="86" s="1"/>
  <c r="E113" i="113"/>
  <c r="G113" i="113" s="1"/>
  <c r="G114" i="113" s="1"/>
  <c r="E187" i="113"/>
  <c r="G187" i="113" s="1"/>
  <c r="G188" i="113" s="1"/>
  <c r="G356" i="113"/>
  <c r="G357" i="113" s="1"/>
  <c r="E11" i="113"/>
  <c r="G11" i="113" s="1"/>
  <c r="G12" i="113" s="1"/>
  <c r="E284" i="113"/>
  <c r="G284" i="113" s="1"/>
  <c r="G285" i="113" s="1"/>
  <c r="G289" i="113" s="1"/>
  <c r="G372" i="113"/>
  <c r="G373" i="113" s="1"/>
  <c r="G11" i="146"/>
  <c r="G10" i="146"/>
  <c r="K10" i="146" s="1"/>
  <c r="M10" i="146" s="1"/>
  <c r="G23" i="146" s="1"/>
  <c r="L23" i="146" s="1"/>
  <c r="F46" i="7" s="1"/>
  <c r="J46" i="7" s="1"/>
  <c r="I9" i="202"/>
  <c r="G10" i="202"/>
  <c r="G11" i="202" s="1"/>
  <c r="G12" i="202" s="1"/>
  <c r="S34" i="185"/>
  <c r="F34" i="185" s="1"/>
  <c r="R12" i="185"/>
  <c r="D12" i="191"/>
  <c r="D4" i="197" s="1"/>
  <c r="I28" i="185"/>
  <c r="K10" i="191"/>
  <c r="H28" i="185"/>
  <c r="D11" i="191"/>
  <c r="C4" i="197" s="1"/>
  <c r="N11" i="175"/>
  <c r="L32" i="174" s="1"/>
  <c r="M10" i="175"/>
  <c r="M11" i="175"/>
  <c r="D17" i="191"/>
  <c r="I4" i="197" s="1"/>
  <c r="D28" i="185"/>
  <c r="E34" i="174"/>
  <c r="D75" i="190"/>
  <c r="E74" i="190"/>
  <c r="G74" i="190" s="1"/>
  <c r="E72" i="190"/>
  <c r="G72" i="190" s="1"/>
  <c r="M66" i="174"/>
  <c r="H66" i="174"/>
  <c r="J66" i="174" s="1"/>
  <c r="B45" i="164"/>
  <c r="C16" i="200" s="1"/>
  <c r="A25" i="174" s="1"/>
  <c r="I29" i="164"/>
  <c r="I30" i="164" s="1"/>
  <c r="B22" i="162" s="1"/>
  <c r="F75" i="174"/>
  <c r="F79" i="174"/>
  <c r="F68" i="174"/>
  <c r="F76" i="174"/>
  <c r="B21" i="162"/>
  <c r="F72" i="174" s="1"/>
  <c r="E11" i="190"/>
  <c r="G11" i="190" s="1"/>
  <c r="B14" i="162"/>
  <c r="L18" i="164"/>
  <c r="F81" i="174"/>
  <c r="G16" i="190"/>
  <c r="I46" i="164"/>
  <c r="I21" i="164"/>
  <c r="B17" i="162"/>
  <c r="E17" i="190"/>
  <c r="G17" i="190" s="1"/>
  <c r="B27" i="162"/>
  <c r="B29" i="162"/>
  <c r="B25" i="164"/>
  <c r="C17" i="200" s="1"/>
  <c r="A26" i="174" s="1"/>
  <c r="N7" i="174"/>
  <c r="L128" i="174" s="1"/>
  <c r="A4" i="163"/>
  <c r="C3" i="174"/>
  <c r="B167" i="174"/>
  <c r="C173" i="174"/>
  <c r="B118" i="182"/>
  <c r="A1" i="179"/>
  <c r="N116" i="174" l="1"/>
  <c r="H117" i="174" s="1"/>
  <c r="H116" i="174"/>
  <c r="E243" i="202"/>
  <c r="E263" i="202"/>
  <c r="G263" i="202" s="1"/>
  <c r="G265" i="202"/>
  <c r="G266" i="202" s="1"/>
  <c r="E22" i="141"/>
  <c r="G239" i="94"/>
  <c r="G244" i="94"/>
  <c r="E248" i="94" s="1"/>
  <c r="E155" i="94"/>
  <c r="G155" i="94" s="1"/>
  <c r="G156" i="94" s="1"/>
  <c r="G157" i="94" s="1"/>
  <c r="G158" i="94" s="1"/>
  <c r="G159" i="94" s="1"/>
  <c r="G177" i="94"/>
  <c r="E183" i="94" s="1"/>
  <c r="B187" i="162"/>
  <c r="H187" i="162" s="1"/>
  <c r="N187" i="162" s="1"/>
  <c r="L18" i="203"/>
  <c r="L28" i="203" s="1"/>
  <c r="E10" i="133" s="1"/>
  <c r="E959" i="94"/>
  <c r="G959" i="94" s="1"/>
  <c r="H908" i="127"/>
  <c r="J908" i="127" s="1"/>
  <c r="G500" i="94"/>
  <c r="E501" i="94" s="1"/>
  <c r="G501" i="94" s="1"/>
  <c r="G502" i="94" s="1"/>
  <c r="G503" i="94" s="1"/>
  <c r="G504" i="94" s="1"/>
  <c r="G505" i="94" s="1"/>
  <c r="J30" i="164" s="1"/>
  <c r="E68" i="202"/>
  <c r="G68" i="202" s="1"/>
  <c r="E97" i="202"/>
  <c r="G97" i="202" s="1"/>
  <c r="E123" i="202"/>
  <c r="G66" i="202"/>
  <c r="E450" i="94"/>
  <c r="C58" i="7"/>
  <c r="C50" i="7"/>
  <c r="D353" i="150"/>
  <c r="B34" i="203"/>
  <c r="C34" i="203"/>
  <c r="E353" i="150"/>
  <c r="B30" i="171"/>
  <c r="H34" i="203" s="1"/>
  <c r="D304" i="202"/>
  <c r="B47" i="165"/>
  <c r="B121" i="190"/>
  <c r="C682" i="119"/>
  <c r="B26" i="171"/>
  <c r="D357" i="150" s="1"/>
  <c r="F73" i="174"/>
  <c r="M73" i="174" s="1"/>
  <c r="H170" i="119"/>
  <c r="J170" i="119" s="1"/>
  <c r="H171" i="119" s="1"/>
  <c r="J171" i="119" s="1"/>
  <c r="H1129" i="127"/>
  <c r="J1129" i="127" s="1"/>
  <c r="J1130" i="127" s="1"/>
  <c r="H43" i="127"/>
  <c r="J43" i="127" s="1"/>
  <c r="J44" i="127" s="1"/>
  <c r="H719" i="127"/>
  <c r="J719" i="127" s="1"/>
  <c r="J720" i="127" s="1"/>
  <c r="G27" i="162"/>
  <c r="G78" i="174" s="1"/>
  <c r="L50" i="164"/>
  <c r="H446" i="119"/>
  <c r="J446" i="119" s="1"/>
  <c r="H447" i="119" s="1"/>
  <c r="J447" i="119" s="1"/>
  <c r="H665" i="119"/>
  <c r="J665" i="119" s="1"/>
  <c r="B52" i="162"/>
  <c r="H744" i="127"/>
  <c r="J744" i="127" s="1"/>
  <c r="H746" i="127" s="1"/>
  <c r="J746" i="127" s="1"/>
  <c r="J208" i="127"/>
  <c r="H207" i="127"/>
  <c r="J207" i="127" s="1"/>
  <c r="B142" i="162"/>
  <c r="B175" i="162"/>
  <c r="E106" i="190"/>
  <c r="G106" i="190" s="1"/>
  <c r="H284" i="119"/>
  <c r="J284" i="119" s="1"/>
  <c r="H285" i="119" s="1"/>
  <c r="J285" i="119" s="1"/>
  <c r="H470" i="119"/>
  <c r="J470" i="119" s="1"/>
  <c r="H471" i="119" s="1"/>
  <c r="J471" i="119" s="1"/>
  <c r="H1241" i="127"/>
  <c r="J1241" i="127" s="1"/>
  <c r="J1242" i="127"/>
  <c r="E48" i="113"/>
  <c r="G48" i="113" s="1"/>
  <c r="G49" i="113" s="1"/>
  <c r="G50" i="113" s="1"/>
  <c r="G51" i="113" s="1"/>
  <c r="G52" i="113" s="1"/>
  <c r="G53" i="113" s="1"/>
  <c r="H23" i="127"/>
  <c r="J1221" i="127"/>
  <c r="J1222" i="127"/>
  <c r="J1223" i="127" s="1"/>
  <c r="J1224" i="127" s="1"/>
  <c r="G12" i="146"/>
  <c r="K11" i="146"/>
  <c r="M11" i="146" s="1"/>
  <c r="G21" i="146" s="1"/>
  <c r="L21" i="146" s="1"/>
  <c r="F45" i="7" s="1"/>
  <c r="J45" i="7" s="1"/>
  <c r="E145" i="113" s="1"/>
  <c r="G145" i="113" s="1"/>
  <c r="H178" i="150"/>
  <c r="H179" i="150" s="1"/>
  <c r="G201" i="150"/>
  <c r="B35" i="162"/>
  <c r="E20" i="190"/>
  <c r="G20" i="190" s="1"/>
  <c r="I10" i="202"/>
  <c r="I11" i="202" s="1"/>
  <c r="I12" i="202" s="1"/>
  <c r="E291" i="113"/>
  <c r="G291" i="113" s="1"/>
  <c r="G293" i="113"/>
  <c r="G294" i="113" s="1"/>
  <c r="G295" i="113" s="1"/>
  <c r="D43" i="86"/>
  <c r="D44" i="86" s="1"/>
  <c r="D45" i="86" s="1"/>
  <c r="D46" i="86" s="1"/>
  <c r="D47" i="86" s="1"/>
  <c r="D48" i="86" s="1"/>
  <c r="D49" i="86" s="1"/>
  <c r="D50" i="86" s="1"/>
  <c r="D51" i="86" s="1"/>
  <c r="D52" i="86" s="1"/>
  <c r="D53" i="86" s="1"/>
  <c r="D54" i="86" s="1"/>
  <c r="D55" i="86" s="1"/>
  <c r="D56" i="86" s="1"/>
  <c r="D57" i="86" s="1"/>
  <c r="D58" i="86" s="1"/>
  <c r="D59" i="86" s="1"/>
  <c r="D60" i="86" s="1"/>
  <c r="D61" i="86" s="1"/>
  <c r="D62" i="86" s="1"/>
  <c r="D63" i="86" s="1"/>
  <c r="D64" i="86" s="1"/>
  <c r="D65" i="86" s="1"/>
  <c r="D66" i="86" s="1"/>
  <c r="D67" i="86" s="1"/>
  <c r="D68" i="86" s="1"/>
  <c r="D69" i="86" s="1"/>
  <c r="D70" i="86" s="1"/>
  <c r="D71" i="86" s="1"/>
  <c r="D72" i="86" s="1"/>
  <c r="D73" i="86" s="1"/>
  <c r="D74" i="86" s="1"/>
  <c r="D75" i="86" s="1"/>
  <c r="D76" i="86" s="1"/>
  <c r="D77" i="86" s="1"/>
  <c r="D78" i="86" s="1"/>
  <c r="D79" i="86" s="1"/>
  <c r="D80" i="86" s="1"/>
  <c r="D81" i="86" s="1"/>
  <c r="D82" i="86" s="1"/>
  <c r="D83" i="86" s="1"/>
  <c r="D84" i="86" s="1"/>
  <c r="D85" i="86" s="1"/>
  <c r="D86" i="86" s="1"/>
  <c r="D87" i="86" s="1"/>
  <c r="D88" i="86" s="1"/>
  <c r="D89" i="86" s="1"/>
  <c r="D90" i="86" s="1"/>
  <c r="D91" i="86" s="1"/>
  <c r="D92" i="86" s="1"/>
  <c r="D93" i="86" s="1"/>
  <c r="D94" i="86" s="1"/>
  <c r="D95" i="86" s="1"/>
  <c r="D96" i="86" s="1"/>
  <c r="D97" i="86" s="1"/>
  <c r="D98" i="86" s="1"/>
  <c r="D99" i="86" s="1"/>
  <c r="D100" i="86" s="1"/>
  <c r="D101" i="86" s="1"/>
  <c r="D102" i="86" s="1"/>
  <c r="D103" i="86" s="1"/>
  <c r="D104" i="86" s="1"/>
  <c r="D105" i="86" s="1"/>
  <c r="D106" i="86" s="1"/>
  <c r="D107" i="86" s="1"/>
  <c r="D108" i="86" s="1"/>
  <c r="D109" i="86" s="1"/>
  <c r="D110" i="86" s="1"/>
  <c r="D111" i="86" s="1"/>
  <c r="D112" i="86" s="1"/>
  <c r="D113" i="86" s="1"/>
  <c r="D114" i="86" s="1"/>
  <c r="D115" i="86" s="1"/>
  <c r="D116" i="86" s="1"/>
  <c r="D117" i="86" s="1"/>
  <c r="D118" i="86" s="1"/>
  <c r="D119" i="86" s="1"/>
  <c r="D120" i="86" s="1"/>
  <c r="D121" i="86" s="1"/>
  <c r="D122" i="86" s="1"/>
  <c r="D123" i="86" s="1"/>
  <c r="D124" i="86" s="1"/>
  <c r="D125" i="86" s="1"/>
  <c r="D126" i="86" s="1"/>
  <c r="D127" i="86" s="1"/>
  <c r="D128" i="86" s="1"/>
  <c r="D129" i="86" s="1"/>
  <c r="D130" i="86" s="1"/>
  <c r="D131" i="86" s="1"/>
  <c r="D132" i="86" s="1"/>
  <c r="D133" i="86" s="1"/>
  <c r="D134" i="86" s="1"/>
  <c r="D135" i="86" s="1"/>
  <c r="D136" i="86" s="1"/>
  <c r="D137" i="86" s="1"/>
  <c r="D138" i="86" s="1"/>
  <c r="D139" i="86" s="1"/>
  <c r="D140" i="86" s="1"/>
  <c r="D141" i="86" s="1"/>
  <c r="D142" i="86" s="1"/>
  <c r="D143" i="86" s="1"/>
  <c r="D144" i="86" s="1"/>
  <c r="D145" i="86" s="1"/>
  <c r="D146" i="86" s="1"/>
  <c r="D147" i="86" s="1"/>
  <c r="D148" i="86" s="1"/>
  <c r="D149" i="86" s="1"/>
  <c r="D150" i="86" s="1"/>
  <c r="D151" i="86" s="1"/>
  <c r="D152" i="86" s="1"/>
  <c r="D153" i="86" s="1"/>
  <c r="D154" i="86" s="1"/>
  <c r="D155" i="86" s="1"/>
  <c r="D156" i="86" s="1"/>
  <c r="D157" i="86" s="1"/>
  <c r="D158" i="86" s="1"/>
  <c r="D159" i="86" s="1"/>
  <c r="D160" i="86" s="1"/>
  <c r="D161" i="86" s="1"/>
  <c r="D162" i="86" s="1"/>
  <c r="D163" i="86" s="1"/>
  <c r="D164" i="86" s="1"/>
  <c r="D165" i="86" s="1"/>
  <c r="D166" i="86" s="1"/>
  <c r="D167" i="86" s="1"/>
  <c r="D168" i="86" s="1"/>
  <c r="D169" i="86" s="1"/>
  <c r="D170" i="86" s="1"/>
  <c r="D171" i="86" s="1"/>
  <c r="D172" i="86" s="1"/>
  <c r="D173" i="86" s="1"/>
  <c r="D174" i="86" s="1"/>
  <c r="D175" i="86" s="1"/>
  <c r="D176" i="86" s="1"/>
  <c r="D177" i="86" s="1"/>
  <c r="D178" i="86" s="1"/>
  <c r="D179" i="86" s="1"/>
  <c r="D180" i="86" s="1"/>
  <c r="D181" i="86" s="1"/>
  <c r="D182" i="86" s="1"/>
  <c r="D183" i="86" s="1"/>
  <c r="D184" i="86" s="1"/>
  <c r="D185" i="86" s="1"/>
  <c r="D186" i="86" s="1"/>
  <c r="D187" i="86" s="1"/>
  <c r="D188" i="86" s="1"/>
  <c r="D189" i="86" s="1"/>
  <c r="D190" i="86" s="1"/>
  <c r="D191" i="86" s="1"/>
  <c r="D192" i="86" s="1"/>
  <c r="D193" i="86" s="1"/>
  <c r="D194" i="86" s="1"/>
  <c r="D195" i="86" s="1"/>
  <c r="D196" i="86" s="1"/>
  <c r="D197" i="86" s="1"/>
  <c r="D198" i="86" s="1"/>
  <c r="D199" i="86" s="1"/>
  <c r="D200" i="86" s="1"/>
  <c r="D201" i="86" s="1"/>
  <c r="D202" i="86" s="1"/>
  <c r="D203" i="86" s="1"/>
  <c r="D204" i="86" s="1"/>
  <c r="D205" i="86" s="1"/>
  <c r="D206" i="86" s="1"/>
  <c r="D207" i="86" s="1"/>
  <c r="D208" i="86" s="1"/>
  <c r="D209" i="86" s="1"/>
  <c r="D210" i="86" s="1"/>
  <c r="D211" i="86" s="1"/>
  <c r="D212" i="86" s="1"/>
  <c r="D213" i="86" s="1"/>
  <c r="D214" i="86" s="1"/>
  <c r="D215" i="86" s="1"/>
  <c r="D216" i="86" s="1"/>
  <c r="D217" i="86" s="1"/>
  <c r="D218" i="86" s="1"/>
  <c r="D219" i="86" s="1"/>
  <c r="D220" i="86" s="1"/>
  <c r="D221" i="86" s="1"/>
  <c r="D222" i="86" s="1"/>
  <c r="D223" i="86" s="1"/>
  <c r="D224" i="86" s="1"/>
  <c r="D225" i="86" s="1"/>
  <c r="D226" i="86" s="1"/>
  <c r="D227" i="86" s="1"/>
  <c r="D228" i="86" s="1"/>
  <c r="D229" i="86" s="1"/>
  <c r="D230" i="86" s="1"/>
  <c r="D231" i="86" s="1"/>
  <c r="D232" i="86" s="1"/>
  <c r="D233" i="86" s="1"/>
  <c r="D234" i="86" s="1"/>
  <c r="D235" i="86" s="1"/>
  <c r="D236" i="86" s="1"/>
  <c r="D237" i="86" s="1"/>
  <c r="D238" i="86" s="1"/>
  <c r="D239" i="86" s="1"/>
  <c r="D240" i="86" s="1"/>
  <c r="D241" i="86" s="1"/>
  <c r="D242" i="86" s="1"/>
  <c r="D243" i="86" s="1"/>
  <c r="D244" i="86" s="1"/>
  <c r="D245" i="86" s="1"/>
  <c r="D246" i="86" s="1"/>
  <c r="D247" i="86" s="1"/>
  <c r="D248" i="86" s="1"/>
  <c r="D249" i="86" s="1"/>
  <c r="D250" i="86" s="1"/>
  <c r="D251" i="86" s="1"/>
  <c r="D252" i="86" s="1"/>
  <c r="D253" i="86" s="1"/>
  <c r="D254" i="86" s="1"/>
  <c r="D255" i="86" s="1"/>
  <c r="D256" i="86" s="1"/>
  <c r="D257" i="86" s="1"/>
  <c r="D258" i="86" s="1"/>
  <c r="D259" i="86" s="1"/>
  <c r="D260" i="86" s="1"/>
  <c r="D261" i="86" s="1"/>
  <c r="D262" i="86" s="1"/>
  <c r="D263" i="86" s="1"/>
  <c r="D264" i="86" s="1"/>
  <c r="D265" i="86" s="1"/>
  <c r="D266" i="86" s="1"/>
  <c r="D267" i="86" s="1"/>
  <c r="D268" i="86" s="1"/>
  <c r="D269" i="86" s="1"/>
  <c r="D270" i="86" s="1"/>
  <c r="D271" i="86" s="1"/>
  <c r="D272" i="86" s="1"/>
  <c r="D273" i="86" s="1"/>
  <c r="D274" i="86" s="1"/>
  <c r="D275" i="86" s="1"/>
  <c r="D276" i="86" s="1"/>
  <c r="D277" i="86" s="1"/>
  <c r="D278" i="86" s="1"/>
  <c r="D279" i="86" s="1"/>
  <c r="D280" i="86" s="1"/>
  <c r="D281" i="86" s="1"/>
  <c r="D282" i="86" s="1"/>
  <c r="D283" i="86" s="1"/>
  <c r="D284" i="86" s="1"/>
  <c r="D285" i="86" s="1"/>
  <c r="D286" i="86" s="1"/>
  <c r="D287" i="86" s="1"/>
  <c r="D288" i="86" s="1"/>
  <c r="D289" i="86" s="1"/>
  <c r="D290" i="86" s="1"/>
  <c r="D291" i="86" s="1"/>
  <c r="D292" i="86" s="1"/>
  <c r="D293" i="86" s="1"/>
  <c r="D294" i="86" s="1"/>
  <c r="D295" i="86" s="1"/>
  <c r="D296" i="86" s="1"/>
  <c r="D297" i="86" s="1"/>
  <c r="D298" i="86" s="1"/>
  <c r="D299" i="86" s="1"/>
  <c r="D300" i="86" s="1"/>
  <c r="D301" i="86" s="1"/>
  <c r="D302" i="86" s="1"/>
  <c r="D303" i="86" s="1"/>
  <c r="D304" i="86" s="1"/>
  <c r="D305" i="86" s="1"/>
  <c r="D306" i="86" s="1"/>
  <c r="D307" i="86" s="1"/>
  <c r="D308" i="86" s="1"/>
  <c r="D309" i="86" s="1"/>
  <c r="D310" i="86" s="1"/>
  <c r="D311" i="86" s="1"/>
  <c r="D312" i="86" s="1"/>
  <c r="D313" i="86" s="1"/>
  <c r="D314" i="86" s="1"/>
  <c r="D315" i="86" s="1"/>
  <c r="D316" i="86" s="1"/>
  <c r="D317" i="86" s="1"/>
  <c r="D318" i="86" s="1"/>
  <c r="D319" i="86" s="1"/>
  <c r="D320" i="86" s="1"/>
  <c r="D321" i="86" s="1"/>
  <c r="D322" i="86" s="1"/>
  <c r="D323" i="86" s="1"/>
  <c r="D324" i="86" s="1"/>
  <c r="D325" i="86" s="1"/>
  <c r="D326" i="86" s="1"/>
  <c r="D327" i="86" s="1"/>
  <c r="D328" i="86" s="1"/>
  <c r="D329" i="86" s="1"/>
  <c r="D330" i="86" s="1"/>
  <c r="D331" i="86" s="1"/>
  <c r="D332" i="86" s="1"/>
  <c r="D333" i="86" s="1"/>
  <c r="D334" i="86" s="1"/>
  <c r="D335" i="86" s="1"/>
  <c r="D336" i="86" s="1"/>
  <c r="D337" i="86" s="1"/>
  <c r="D338" i="86" s="1"/>
  <c r="D339" i="86" s="1"/>
  <c r="D340" i="86" s="1"/>
  <c r="D341" i="86" s="1"/>
  <c r="D342" i="86" s="1"/>
  <c r="D343" i="86" s="1"/>
  <c r="D344" i="86" s="1"/>
  <c r="D345" i="86" s="1"/>
  <c r="D346" i="86" s="1"/>
  <c r="D347" i="86" s="1"/>
  <c r="D348" i="86" s="1"/>
  <c r="D349" i="86" s="1"/>
  <c r="D350" i="86" s="1"/>
  <c r="D351" i="86" s="1"/>
  <c r="D352" i="86" s="1"/>
  <c r="D353" i="86" s="1"/>
  <c r="D354" i="86" s="1"/>
  <c r="D355" i="86" s="1"/>
  <c r="D356" i="86" s="1"/>
  <c r="D357" i="86" s="1"/>
  <c r="D358" i="86" s="1"/>
  <c r="D359" i="86" s="1"/>
  <c r="D360" i="86" s="1"/>
  <c r="D361" i="86" s="1"/>
  <c r="D362" i="86" s="1"/>
  <c r="D363" i="86" s="1"/>
  <c r="D364" i="86" s="1"/>
  <c r="D365" i="86" s="1"/>
  <c r="D366" i="86" s="1"/>
  <c r="D367" i="86" s="1"/>
  <c r="D368" i="86" s="1"/>
  <c r="D369" i="86" s="1"/>
  <c r="D370" i="86" s="1"/>
  <c r="D371" i="86" s="1"/>
  <c r="D372" i="86" s="1"/>
  <c r="D373" i="86" s="1"/>
  <c r="D374" i="86" s="1"/>
  <c r="D375" i="86" s="1"/>
  <c r="D376" i="86" s="1"/>
  <c r="D377" i="86" s="1"/>
  <c r="D378" i="86" s="1"/>
  <c r="D379" i="86" s="1"/>
  <c r="D380" i="86" s="1"/>
  <c r="D381" i="86" s="1"/>
  <c r="D382" i="86" s="1"/>
  <c r="D383" i="86" s="1"/>
  <c r="D384" i="86" s="1"/>
  <c r="D385" i="86" s="1"/>
  <c r="D386" i="86" s="1"/>
  <c r="D387" i="86" s="1"/>
  <c r="D388" i="86" s="1"/>
  <c r="D389" i="86" s="1"/>
  <c r="D390" i="86" s="1"/>
  <c r="D391" i="86" s="1"/>
  <c r="D392" i="86" s="1"/>
  <c r="D393" i="86" s="1"/>
  <c r="D394" i="86" s="1"/>
  <c r="D395" i="86" s="1"/>
  <c r="D396" i="86" s="1"/>
  <c r="D397" i="86" s="1"/>
  <c r="D398" i="86" s="1"/>
  <c r="D399" i="86" s="1"/>
  <c r="D400" i="86" s="1"/>
  <c r="D401" i="86" s="1"/>
  <c r="D402" i="86" s="1"/>
  <c r="D403" i="86" s="1"/>
  <c r="D404" i="86" s="1"/>
  <c r="D405" i="86" s="1"/>
  <c r="D406" i="86" s="1"/>
  <c r="D407" i="86" s="1"/>
  <c r="D408" i="86" s="1"/>
  <c r="D409" i="86" s="1"/>
  <c r="D410" i="86" s="1"/>
  <c r="D411" i="86" s="1"/>
  <c r="D412" i="86" s="1"/>
  <c r="D413" i="86" s="1"/>
  <c r="D414" i="86" s="1"/>
  <c r="D415" i="86" s="1"/>
  <c r="D416" i="86" s="1"/>
  <c r="D417" i="86" s="1"/>
  <c r="D418" i="86" s="1"/>
  <c r="D419" i="86" s="1"/>
  <c r="D420" i="86" s="1"/>
  <c r="D421" i="86" s="1"/>
  <c r="D422" i="86" s="1"/>
  <c r="D423" i="86" s="1"/>
  <c r="D424" i="86" s="1"/>
  <c r="D425" i="86" s="1"/>
  <c r="D426" i="86" s="1"/>
  <c r="D427" i="86" s="1"/>
  <c r="D428" i="86" s="1"/>
  <c r="D429" i="86" s="1"/>
  <c r="D430" i="86" s="1"/>
  <c r="D431" i="86" s="1"/>
  <c r="D432" i="86" s="1"/>
  <c r="D433" i="86" s="1"/>
  <c r="D434" i="86" s="1"/>
  <c r="D435" i="86" s="1"/>
  <c r="D436" i="86" s="1"/>
  <c r="D437" i="86" s="1"/>
  <c r="D438" i="86" s="1"/>
  <c r="D439" i="86" s="1"/>
  <c r="D440" i="86" s="1"/>
  <c r="D441" i="86" s="1"/>
  <c r="D442" i="86" s="1"/>
  <c r="D443" i="86" s="1"/>
  <c r="D444" i="86" s="1"/>
  <c r="D445" i="86" s="1"/>
  <c r="D446" i="86" s="1"/>
  <c r="D447" i="86" s="1"/>
  <c r="D448" i="86" s="1"/>
  <c r="D449" i="86" s="1"/>
  <c r="D450" i="86" s="1"/>
  <c r="D451" i="86" s="1"/>
  <c r="D452" i="86" s="1"/>
  <c r="D453" i="86" s="1"/>
  <c r="D454" i="86" s="1"/>
  <c r="D455" i="86" s="1"/>
  <c r="D456" i="86" s="1"/>
  <c r="D457" i="86" s="1"/>
  <c r="D458" i="86" s="1"/>
  <c r="D459" i="86" s="1"/>
  <c r="D460" i="86" s="1"/>
  <c r="D461" i="86" s="1"/>
  <c r="D462" i="86" s="1"/>
  <c r="D463" i="86" s="1"/>
  <c r="D464" i="86" s="1"/>
  <c r="D465" i="86" s="1"/>
  <c r="D466" i="86" s="1"/>
  <c r="D467" i="86" s="1"/>
  <c r="D468" i="86" s="1"/>
  <c r="D469" i="86" s="1"/>
  <c r="D470" i="86" s="1"/>
  <c r="D471" i="86" s="1"/>
  <c r="D472" i="86" s="1"/>
  <c r="D473" i="86" s="1"/>
  <c r="D474" i="86" s="1"/>
  <c r="D475" i="86" s="1"/>
  <c r="D476" i="86" s="1"/>
  <c r="D477" i="86" s="1"/>
  <c r="D478" i="86" s="1"/>
  <c r="D479" i="86" s="1"/>
  <c r="D480" i="86" s="1"/>
  <c r="D481" i="86" s="1"/>
  <c r="D482" i="86" s="1"/>
  <c r="D483" i="86" s="1"/>
  <c r="D484" i="86" s="1"/>
  <c r="D485" i="86" s="1"/>
  <c r="D486" i="86" s="1"/>
  <c r="D487" i="86" s="1"/>
  <c r="D488" i="86" s="1"/>
  <c r="D489" i="86" s="1"/>
  <c r="D490" i="86" s="1"/>
  <c r="D491" i="86" s="1"/>
  <c r="D492" i="86" s="1"/>
  <c r="D493" i="86" s="1"/>
  <c r="D494" i="86" s="1"/>
  <c r="D495" i="86" s="1"/>
  <c r="D496" i="86" s="1"/>
  <c r="D497" i="86" s="1"/>
  <c r="D498" i="86" s="1"/>
  <c r="D499" i="86" s="1"/>
  <c r="D500" i="86" s="1"/>
  <c r="D501" i="86" s="1"/>
  <c r="D502" i="86" s="1"/>
  <c r="D503" i="86" s="1"/>
  <c r="D504" i="86" s="1"/>
  <c r="D505" i="86" s="1"/>
  <c r="D506" i="86" s="1"/>
  <c r="D507" i="86" s="1"/>
  <c r="E28" i="7"/>
  <c r="J28" i="7" s="1"/>
  <c r="E972" i="94" s="1"/>
  <c r="G972" i="94" s="1"/>
  <c r="E18" i="7"/>
  <c r="J18" i="7" s="1"/>
  <c r="E14" i="7"/>
  <c r="J14" i="7" s="1"/>
  <c r="E11" i="7"/>
  <c r="J11" i="7" s="1"/>
  <c r="E9" i="7"/>
  <c r="J9" i="7" s="1"/>
  <c r="E709" i="94" s="1"/>
  <c r="G709" i="94" s="1"/>
  <c r="E5" i="7"/>
  <c r="J5" i="7" s="1"/>
  <c r="E27" i="7"/>
  <c r="J27" i="7" s="1"/>
  <c r="E798" i="94" s="1"/>
  <c r="G798" i="94" s="1"/>
  <c r="E16" i="7"/>
  <c r="J16" i="7" s="1"/>
  <c r="E7" i="7"/>
  <c r="J7" i="7" s="1"/>
  <c r="H58" i="150"/>
  <c r="F25" i="167"/>
  <c r="I25" i="167" s="1"/>
  <c r="I24" i="167"/>
  <c r="I29" i="167" s="1"/>
  <c r="F27" i="165"/>
  <c r="I27" i="165" s="1"/>
  <c r="I22" i="165"/>
  <c r="F23" i="165"/>
  <c r="E12" i="7"/>
  <c r="J12" i="7" s="1"/>
  <c r="K619" i="94"/>
  <c r="G263" i="150"/>
  <c r="H263" i="150" s="1"/>
  <c r="G288" i="150"/>
  <c r="H288" i="150" s="1"/>
  <c r="G238" i="150"/>
  <c r="H238" i="150" s="1"/>
  <c r="E20" i="7"/>
  <c r="J20" i="7" s="1"/>
  <c r="E33" i="7"/>
  <c r="J33" i="7" s="1"/>
  <c r="E19" i="7"/>
  <c r="J19" i="7" s="1"/>
  <c r="N65" i="140"/>
  <c r="R65" i="140"/>
  <c r="O65" i="140"/>
  <c r="P65" i="140"/>
  <c r="Q65" i="140"/>
  <c r="S54" i="140"/>
  <c r="D38" i="140"/>
  <c r="I37" i="140"/>
  <c r="G174" i="113"/>
  <c r="G175" i="113" s="1"/>
  <c r="G176" i="113" s="1"/>
  <c r="G177" i="113" s="1"/>
  <c r="E359" i="113"/>
  <c r="G359" i="113" s="1"/>
  <c r="G361" i="113"/>
  <c r="G362" i="113" s="1"/>
  <c r="G363" i="113" s="1"/>
  <c r="E15" i="113"/>
  <c r="B36" i="162"/>
  <c r="I24" i="186"/>
  <c r="F25" i="186"/>
  <c r="I25" i="186" s="1"/>
  <c r="E4" i="7"/>
  <c r="J4" i="7" s="1"/>
  <c r="E10" i="7"/>
  <c r="J10" i="7" s="1"/>
  <c r="E894" i="94"/>
  <c r="G894" i="94" s="1"/>
  <c r="G863" i="94"/>
  <c r="E17" i="7"/>
  <c r="J17" i="7" s="1"/>
  <c r="H646" i="119" s="1"/>
  <c r="J646" i="119" s="1"/>
  <c r="B169" i="162"/>
  <c r="E100" i="190"/>
  <c r="G100" i="190" s="1"/>
  <c r="B170" i="162"/>
  <c r="E101" i="190"/>
  <c r="G101" i="190" s="1"/>
  <c r="S79" i="140"/>
  <c r="E267" i="94"/>
  <c r="G267" i="94" s="1"/>
  <c r="G268" i="94" s="1"/>
  <c r="G269" i="94" s="1"/>
  <c r="G270" i="94" s="1"/>
  <c r="J14" i="164" s="1"/>
  <c r="Q64" i="140"/>
  <c r="N64" i="140"/>
  <c r="R64" i="140"/>
  <c r="O64" i="140"/>
  <c r="L68" i="140"/>
  <c r="P64" i="140"/>
  <c r="E46" i="141"/>
  <c r="H833" i="127"/>
  <c r="J833" i="127" s="1"/>
  <c r="H835" i="127"/>
  <c r="J835" i="127" s="1"/>
  <c r="H832" i="127"/>
  <c r="J832" i="127" s="1"/>
  <c r="J837" i="127" s="1"/>
  <c r="J838" i="127" s="1"/>
  <c r="J839" i="127" s="1"/>
  <c r="G18" i="94"/>
  <c r="E19" i="94"/>
  <c r="G19" i="94" s="1"/>
  <c r="E94" i="202"/>
  <c r="G94" i="202" s="1"/>
  <c r="E67" i="141"/>
  <c r="G67" i="141" s="1"/>
  <c r="J621" i="119"/>
  <c r="H622" i="119"/>
  <c r="J622" i="119" s="1"/>
  <c r="B171" i="162"/>
  <c r="E102" i="190"/>
  <c r="G102" i="190" s="1"/>
  <c r="N67" i="140"/>
  <c r="R67" i="140"/>
  <c r="O67" i="140"/>
  <c r="P67" i="140"/>
  <c r="Q67" i="140"/>
  <c r="H1367" i="127"/>
  <c r="J1367" i="127" s="1"/>
  <c r="J1368" i="127"/>
  <c r="J103" i="127"/>
  <c r="H102" i="127"/>
  <c r="J102" i="127" s="1"/>
  <c r="G20" i="94"/>
  <c r="G22" i="94" s="1"/>
  <c r="G385" i="113"/>
  <c r="E387" i="113" s="1"/>
  <c r="G387" i="113" s="1"/>
  <c r="G388" i="113" s="1"/>
  <c r="G389" i="113" s="1"/>
  <c r="G390" i="113" s="1"/>
  <c r="G391" i="113" s="1"/>
  <c r="E21" i="7"/>
  <c r="J21" i="7" s="1"/>
  <c r="E347" i="94" s="1"/>
  <c r="G347" i="94" s="1"/>
  <c r="D22" i="7"/>
  <c r="F28" i="199"/>
  <c r="I28" i="199" s="1"/>
  <c r="I30" i="199" s="1"/>
  <c r="I23" i="199"/>
  <c r="I24" i="199" s="1"/>
  <c r="D60" i="190"/>
  <c r="E59" i="190"/>
  <c r="G59" i="190" s="1"/>
  <c r="B141" i="162"/>
  <c r="F28" i="204"/>
  <c r="I28" i="204" s="1"/>
  <c r="I30" i="204" s="1"/>
  <c r="I23" i="204"/>
  <c r="I24" i="204" s="1"/>
  <c r="B140" i="162"/>
  <c r="E221" i="94"/>
  <c r="G221" i="94" s="1"/>
  <c r="G222" i="94"/>
  <c r="G223" i="94" s="1"/>
  <c r="G224" i="94" s="1"/>
  <c r="G225" i="94" s="1"/>
  <c r="S75" i="140"/>
  <c r="S56" i="140"/>
  <c r="H272" i="127"/>
  <c r="J272" i="127" s="1"/>
  <c r="J273" i="127"/>
  <c r="H648" i="127"/>
  <c r="J648" i="127" s="1"/>
  <c r="J650" i="127" s="1"/>
  <c r="J651" i="127" s="1"/>
  <c r="J652" i="127" s="1"/>
  <c r="J16" i="170"/>
  <c r="J13" i="186"/>
  <c r="J17" i="168"/>
  <c r="J13" i="167"/>
  <c r="J14" i="204"/>
  <c r="L14" i="204" s="1"/>
  <c r="J13" i="169"/>
  <c r="J14" i="199"/>
  <c r="L14" i="199" s="1"/>
  <c r="J14" i="165"/>
  <c r="G78" i="162"/>
  <c r="H78" i="162" s="1"/>
  <c r="N78" i="162" s="1"/>
  <c r="G97" i="162"/>
  <c r="H97" i="162" s="1"/>
  <c r="N97" i="162" s="1"/>
  <c r="J14" i="187"/>
  <c r="L14" i="187" s="1"/>
  <c r="D50" i="190"/>
  <c r="E49" i="190"/>
  <c r="G49" i="190" s="1"/>
  <c r="Q28" i="185"/>
  <c r="O28" i="185"/>
  <c r="G12" i="175"/>
  <c r="M4" i="197"/>
  <c r="M8" i="197" s="1"/>
  <c r="M9" i="197" s="1"/>
  <c r="M10" i="197" s="1"/>
  <c r="M11" i="197" s="1"/>
  <c r="D76" i="190"/>
  <c r="E75" i="190"/>
  <c r="G75" i="190" s="1"/>
  <c r="B53" i="164"/>
  <c r="B49" i="164"/>
  <c r="H68" i="174"/>
  <c r="M68" i="174"/>
  <c r="B26" i="162"/>
  <c r="F77" i="174" s="1"/>
  <c r="M79" i="174"/>
  <c r="E12" i="190"/>
  <c r="G12" i="190" s="1"/>
  <c r="M81" i="174"/>
  <c r="H81" i="174"/>
  <c r="M76" i="174"/>
  <c r="I22" i="164"/>
  <c r="Q21" i="164"/>
  <c r="F65" i="174"/>
  <c r="H14" i="162"/>
  <c r="N14" i="162" s="1"/>
  <c r="M75" i="174"/>
  <c r="M74" i="174"/>
  <c r="F78" i="174"/>
  <c r="F64" i="174"/>
  <c r="F80" i="174"/>
  <c r="F67" i="174"/>
  <c r="M72" i="174"/>
  <c r="E43" i="202" l="1"/>
  <c r="E133" i="202"/>
  <c r="G133" i="202" s="1"/>
  <c r="G22" i="141"/>
  <c r="E23" i="141"/>
  <c r="G23" i="141" s="1"/>
  <c r="G183" i="94"/>
  <c r="E184" i="94"/>
  <c r="G184" i="94" s="1"/>
  <c r="G185" i="94" s="1"/>
  <c r="G186" i="94" s="1"/>
  <c r="G187" i="94" s="1"/>
  <c r="G188" i="94" s="1"/>
  <c r="E268" i="202"/>
  <c r="G268" i="202" s="1"/>
  <c r="E269" i="202" s="1"/>
  <c r="G269" i="202" s="1"/>
  <c r="G270" i="202"/>
  <c r="G271" i="202" s="1"/>
  <c r="G248" i="94"/>
  <c r="E249" i="94"/>
  <c r="G249" i="94" s="1"/>
  <c r="G250" i="94" s="1"/>
  <c r="G251" i="94" s="1"/>
  <c r="G252" i="94" s="1"/>
  <c r="G253" i="94" s="1"/>
  <c r="J62" i="164" s="1"/>
  <c r="G243" i="202"/>
  <c r="E244" i="202" s="1"/>
  <c r="G244" i="202" s="1"/>
  <c r="H91" i="174"/>
  <c r="F153" i="174"/>
  <c r="J911" i="127"/>
  <c r="J910" i="127"/>
  <c r="J918" i="127" s="1"/>
  <c r="H924" i="127" s="1"/>
  <c r="J924" i="127" s="1"/>
  <c r="E312" i="94"/>
  <c r="G312" i="94" s="1"/>
  <c r="E793" i="94"/>
  <c r="G793" i="94" s="1"/>
  <c r="F178" i="202"/>
  <c r="G178" i="202" s="1"/>
  <c r="E752" i="94"/>
  <c r="G752" i="94" s="1"/>
  <c r="G22" i="162"/>
  <c r="L30" i="164"/>
  <c r="F170" i="202"/>
  <c r="G170" i="202" s="1"/>
  <c r="G123" i="202"/>
  <c r="G450" i="94"/>
  <c r="D360" i="150"/>
  <c r="H34" i="175"/>
  <c r="H36" i="191" s="1"/>
  <c r="H27" i="162"/>
  <c r="N27" i="162" s="1"/>
  <c r="E22" i="190"/>
  <c r="G22" i="190" s="1"/>
  <c r="B38" i="162"/>
  <c r="G13" i="162"/>
  <c r="H13" i="162" s="1"/>
  <c r="N13" i="162" s="1"/>
  <c r="L14" i="164"/>
  <c r="H472" i="119"/>
  <c r="J472" i="119" s="1"/>
  <c r="J473" i="119" s="1"/>
  <c r="J474" i="119" s="1"/>
  <c r="J475" i="119" s="1"/>
  <c r="J721" i="127"/>
  <c r="J722" i="127" s="1"/>
  <c r="J723" i="127" s="1"/>
  <c r="J724" i="127" s="1"/>
  <c r="J1131" i="127"/>
  <c r="J1132" i="127" s="1"/>
  <c r="J1133" i="127" s="1"/>
  <c r="J1134" i="127" s="1"/>
  <c r="E69" i="202"/>
  <c r="G69" i="202" s="1"/>
  <c r="G43" i="202"/>
  <c r="B53" i="162"/>
  <c r="E34" i="190"/>
  <c r="G34" i="190" s="1"/>
  <c r="B54" i="162"/>
  <c r="E35" i="190"/>
  <c r="G35" i="190" s="1"/>
  <c r="E21" i="190"/>
  <c r="G21" i="190" s="1"/>
  <c r="B37" i="162"/>
  <c r="J46" i="127"/>
  <c r="J47" i="127" s="1"/>
  <c r="J49" i="127" s="1"/>
  <c r="J50" i="127" s="1"/>
  <c r="J45" i="127"/>
  <c r="D52" i="190"/>
  <c r="E52" i="190" s="1"/>
  <c r="G52" i="190" s="1"/>
  <c r="E50" i="190"/>
  <c r="G50" i="190" s="1"/>
  <c r="D51" i="190"/>
  <c r="L17" i="168"/>
  <c r="G158" i="162"/>
  <c r="H158" i="162" s="1"/>
  <c r="N158" i="162" s="1"/>
  <c r="J1369" i="127"/>
  <c r="J1370" i="127"/>
  <c r="J1371" i="127" s="1"/>
  <c r="J1372" i="127" s="1"/>
  <c r="E713" i="94"/>
  <c r="G713" i="94" s="1"/>
  <c r="F180" i="202"/>
  <c r="G180" i="202" s="1"/>
  <c r="E837" i="94"/>
  <c r="G837" i="94" s="1"/>
  <c r="E797" i="94"/>
  <c r="G797" i="94" s="1"/>
  <c r="E137" i="202"/>
  <c r="G137" i="202" s="1"/>
  <c r="E756" i="94"/>
  <c r="G756" i="94" s="1"/>
  <c r="L14" i="165"/>
  <c r="G43" i="162"/>
  <c r="H43" i="162" s="1"/>
  <c r="N43" i="162" s="1"/>
  <c r="G35" i="162"/>
  <c r="H35" i="162" s="1"/>
  <c r="N35" i="162" s="1"/>
  <c r="G51" i="162"/>
  <c r="H51" i="162" s="1"/>
  <c r="N51" i="162" s="1"/>
  <c r="G67" i="162"/>
  <c r="H67" i="162" s="1"/>
  <c r="N67" i="162" s="1"/>
  <c r="G59" i="162"/>
  <c r="H59" i="162" s="1"/>
  <c r="N59" i="162" s="1"/>
  <c r="L13" i="167"/>
  <c r="G46" i="141"/>
  <c r="E47" i="141"/>
  <c r="G47" i="141" s="1"/>
  <c r="H585" i="119"/>
  <c r="J585" i="119" s="1"/>
  <c r="G15" i="113"/>
  <c r="J51" i="168"/>
  <c r="G87" i="162"/>
  <c r="H87" i="162" s="1"/>
  <c r="N87" i="162" s="1"/>
  <c r="E670" i="94"/>
  <c r="G670" i="94" s="1"/>
  <c r="G671" i="94" s="1"/>
  <c r="G672" i="94" s="1"/>
  <c r="E386" i="94"/>
  <c r="G386" i="94" s="1"/>
  <c r="E420" i="94"/>
  <c r="G420" i="94" s="1"/>
  <c r="E212" i="202"/>
  <c r="G212" i="202" s="1"/>
  <c r="E100" i="141"/>
  <c r="G100" i="141" s="1"/>
  <c r="E349" i="94"/>
  <c r="G349" i="94" s="1"/>
  <c r="E135" i="202"/>
  <c r="G135" i="202" s="1"/>
  <c r="E213" i="202"/>
  <c r="G213" i="202" s="1"/>
  <c r="E586" i="94"/>
  <c r="G586" i="94" s="1"/>
  <c r="G587" i="94" s="1"/>
  <c r="E557" i="94"/>
  <c r="G557" i="94" s="1"/>
  <c r="G558" i="94" s="1"/>
  <c r="F179" i="202"/>
  <c r="G179" i="202" s="1"/>
  <c r="E351" i="94"/>
  <c r="G351" i="94" s="1"/>
  <c r="E754" i="94"/>
  <c r="G754" i="94" s="1"/>
  <c r="G757" i="94" s="1"/>
  <c r="E759" i="94" s="1"/>
  <c r="G759" i="94" s="1"/>
  <c r="G760" i="94" s="1"/>
  <c r="G761" i="94" s="1"/>
  <c r="G762" i="94" s="1"/>
  <c r="G763" i="94" s="1"/>
  <c r="E388" i="94"/>
  <c r="G388" i="94" s="1"/>
  <c r="E795" i="94"/>
  <c r="G795" i="94" s="1"/>
  <c r="E836" i="94"/>
  <c r="G836" i="94" s="1"/>
  <c r="E313" i="94"/>
  <c r="G313" i="94" s="1"/>
  <c r="E101" i="141"/>
  <c r="G101" i="141" s="1"/>
  <c r="E95" i="202"/>
  <c r="G95" i="202" s="1"/>
  <c r="E711" i="94"/>
  <c r="G711" i="94" s="1"/>
  <c r="E68" i="141"/>
  <c r="G68" i="141" s="1"/>
  <c r="J288" i="119"/>
  <c r="J289" i="119" s="1"/>
  <c r="J747" i="127"/>
  <c r="J748" i="127" s="1"/>
  <c r="G218" i="150"/>
  <c r="H201" i="150"/>
  <c r="G13" i="146"/>
  <c r="K13" i="146" s="1"/>
  <c r="M13" i="146" s="1"/>
  <c r="G17" i="146" s="1"/>
  <c r="L17" i="146" s="1"/>
  <c r="F43" i="7" s="1"/>
  <c r="J43" i="7" s="1"/>
  <c r="K12" i="146"/>
  <c r="M12" i="146" s="1"/>
  <c r="G19" i="146" s="1"/>
  <c r="L19" i="146" s="1"/>
  <c r="F44" i="7" s="1"/>
  <c r="J44" i="7" s="1"/>
  <c r="J209" i="127"/>
  <c r="J210" i="127" s="1"/>
  <c r="J211" i="127" s="1"/>
  <c r="J212" i="127" s="1"/>
  <c r="J274" i="127"/>
  <c r="J275" i="127" s="1"/>
  <c r="J276" i="127" s="1"/>
  <c r="J277" i="127" s="1"/>
  <c r="J104" i="127"/>
  <c r="J105" i="127" s="1"/>
  <c r="E714" i="94"/>
  <c r="G714" i="94" s="1"/>
  <c r="H1182" i="127"/>
  <c r="J1182" i="127" s="1"/>
  <c r="H543" i="127"/>
  <c r="J543" i="127" s="1"/>
  <c r="H1264" i="127"/>
  <c r="J1264" i="127" s="1"/>
  <c r="H463" i="127"/>
  <c r="J463" i="127" s="1"/>
  <c r="H1298" i="127"/>
  <c r="J1298" i="127" s="1"/>
  <c r="H1099" i="127"/>
  <c r="J1099" i="127" s="1"/>
  <c r="H576" i="127"/>
  <c r="J576" i="127" s="1"/>
  <c r="E314" i="94"/>
  <c r="G314" i="94" s="1"/>
  <c r="H1332" i="127"/>
  <c r="J1332" i="127" s="1"/>
  <c r="H853" i="127"/>
  <c r="J853" i="127" s="1"/>
  <c r="H434" i="127"/>
  <c r="J434" i="127" s="1"/>
  <c r="H374" i="127"/>
  <c r="J374" i="127" s="1"/>
  <c r="H151" i="127"/>
  <c r="J151" i="127" s="1"/>
  <c r="H66" i="127"/>
  <c r="J66" i="127" s="1"/>
  <c r="E138" i="202"/>
  <c r="G138" i="202" s="1"/>
  <c r="E838" i="94"/>
  <c r="G838" i="94" s="1"/>
  <c r="H966" i="127"/>
  <c r="J966" i="127" s="1"/>
  <c r="E422" i="94"/>
  <c r="G422" i="94" s="1"/>
  <c r="H404" i="127"/>
  <c r="J404" i="127" s="1"/>
  <c r="H493" i="127"/>
  <c r="J493" i="127" s="1"/>
  <c r="H1063" i="127"/>
  <c r="J1063" i="127" s="1"/>
  <c r="H766" i="127"/>
  <c r="J766" i="127" s="1"/>
  <c r="E215" i="202"/>
  <c r="G215" i="202" s="1"/>
  <c r="H609" i="127"/>
  <c r="J609" i="127" s="1"/>
  <c r="H1151" i="127"/>
  <c r="J1151" i="127" s="1"/>
  <c r="H883" i="127"/>
  <c r="J883" i="127" s="1"/>
  <c r="H123" i="127"/>
  <c r="J123" i="127" s="1"/>
  <c r="E44" i="202"/>
  <c r="H1386" i="127"/>
  <c r="J1386" i="127" s="1"/>
  <c r="E103" i="141"/>
  <c r="G103" i="141" s="1"/>
  <c r="H1466" i="127"/>
  <c r="J1466" i="127" s="1"/>
  <c r="H344" i="127"/>
  <c r="J344" i="127" s="1"/>
  <c r="B99" i="162"/>
  <c r="E41" i="190"/>
  <c r="G41" i="190" s="1"/>
  <c r="L13" i="169"/>
  <c r="G168" i="162"/>
  <c r="H168" i="162" s="1"/>
  <c r="N168" i="162" s="1"/>
  <c r="D61" i="190"/>
  <c r="E60" i="190"/>
  <c r="G60" i="190" s="1"/>
  <c r="D23" i="7"/>
  <c r="E22" i="7"/>
  <c r="J22" i="7" s="1"/>
  <c r="E346" i="94" s="1"/>
  <c r="G346" i="94" s="1"/>
  <c r="K57" i="140"/>
  <c r="L57" i="140" s="1"/>
  <c r="J10" i="164"/>
  <c r="G71" i="141"/>
  <c r="G72" i="141" s="1"/>
  <c r="S68" i="140"/>
  <c r="E117" i="113"/>
  <c r="G117" i="113" s="1"/>
  <c r="G50" i="150"/>
  <c r="H50" i="150" s="1"/>
  <c r="E88" i="113"/>
  <c r="G88" i="113" s="1"/>
  <c r="E893" i="94"/>
  <c r="G893" i="94" s="1"/>
  <c r="H645" i="119"/>
  <c r="J645" i="119" s="1"/>
  <c r="H489" i="119"/>
  <c r="J489" i="119" s="1"/>
  <c r="H252" i="119"/>
  <c r="J252" i="119" s="1"/>
  <c r="H108" i="119"/>
  <c r="J108" i="119" s="1"/>
  <c r="H17" i="119"/>
  <c r="J17" i="119" s="1"/>
  <c r="H191" i="119"/>
  <c r="J191" i="119" s="1"/>
  <c r="H47" i="119"/>
  <c r="J47" i="119" s="1"/>
  <c r="E215" i="113"/>
  <c r="G215" i="113" s="1"/>
  <c r="G71" i="150"/>
  <c r="H71" i="150" s="1"/>
  <c r="E143" i="113"/>
  <c r="G143" i="113" s="1"/>
  <c r="G147" i="113" s="1"/>
  <c r="H351" i="119"/>
  <c r="J351" i="119" s="1"/>
  <c r="E862" i="94"/>
  <c r="G862" i="94" s="1"/>
  <c r="H520" i="119"/>
  <c r="J520" i="119" s="1"/>
  <c r="H382" i="119"/>
  <c r="J382" i="119" s="1"/>
  <c r="H222" i="119"/>
  <c r="J222" i="119" s="1"/>
  <c r="H78" i="119"/>
  <c r="J78" i="119" s="1"/>
  <c r="H413" i="119"/>
  <c r="J413" i="119" s="1"/>
  <c r="H138" i="119"/>
  <c r="J138" i="119" s="1"/>
  <c r="E960" i="94"/>
  <c r="G960" i="94" s="1"/>
  <c r="G961" i="94" s="1"/>
  <c r="G962" i="94" s="1"/>
  <c r="E623" i="94"/>
  <c r="G623" i="94" s="1"/>
  <c r="F28" i="165"/>
  <c r="I28" i="165" s="1"/>
  <c r="I30" i="165" s="1"/>
  <c r="I23" i="165"/>
  <c r="E84" i="113"/>
  <c r="G84" i="113" s="1"/>
  <c r="H516" i="119"/>
  <c r="J516" i="119" s="1"/>
  <c r="H74" i="119"/>
  <c r="J74" i="119" s="1"/>
  <c r="H1098" i="127"/>
  <c r="J1098" i="127" s="1"/>
  <c r="H880" i="127"/>
  <c r="J880" i="127" s="1"/>
  <c r="H371" i="127"/>
  <c r="J371" i="127" s="1"/>
  <c r="H15" i="119"/>
  <c r="J15" i="119" s="1"/>
  <c r="J19" i="119" s="1"/>
  <c r="H764" i="127"/>
  <c r="J764" i="127" s="1"/>
  <c r="H43" i="119"/>
  <c r="J43" i="119" s="1"/>
  <c r="E858" i="94"/>
  <c r="G858" i="94" s="1"/>
  <c r="H218" i="119"/>
  <c r="J218" i="119" s="1"/>
  <c r="H431" i="127"/>
  <c r="J431" i="127" s="1"/>
  <c r="H341" i="127"/>
  <c r="J341" i="127" s="1"/>
  <c r="H63" i="127"/>
  <c r="J63" i="127" s="1"/>
  <c r="G51" i="150"/>
  <c r="E211" i="113"/>
  <c r="G211" i="113" s="1"/>
  <c r="H187" i="119"/>
  <c r="J187" i="119" s="1"/>
  <c r="H1463" i="127"/>
  <c r="J1463" i="127" s="1"/>
  <c r="H850" i="127"/>
  <c r="J850" i="127" s="1"/>
  <c r="H401" i="127"/>
  <c r="J401" i="127" s="1"/>
  <c r="H150" i="127"/>
  <c r="J150" i="127" s="1"/>
  <c r="J153" i="127" s="1"/>
  <c r="H120" i="127"/>
  <c r="J120" i="127" s="1"/>
  <c r="J1243" i="127"/>
  <c r="J1244" i="127"/>
  <c r="J1245" i="127" s="1"/>
  <c r="J1247" i="127" s="1"/>
  <c r="J1248" i="127" s="1"/>
  <c r="J173" i="119"/>
  <c r="J174" i="119" s="1"/>
  <c r="J175" i="119" s="1"/>
  <c r="E529" i="94"/>
  <c r="G529" i="94" s="1"/>
  <c r="G530" i="94" s="1"/>
  <c r="E214" i="202"/>
  <c r="G214" i="202" s="1"/>
  <c r="E102" i="141"/>
  <c r="G102" i="141" s="1"/>
  <c r="G52" i="150"/>
  <c r="H52" i="150" s="1"/>
  <c r="H348" i="119"/>
  <c r="J348" i="119" s="1"/>
  <c r="H486" i="119"/>
  <c r="J486" i="119" s="1"/>
  <c r="H249" i="119"/>
  <c r="J249" i="119" s="1"/>
  <c r="H105" i="119"/>
  <c r="J105" i="119" s="1"/>
  <c r="H410" i="119"/>
  <c r="J410" i="119" s="1"/>
  <c r="H135" i="119"/>
  <c r="J135" i="119" s="1"/>
  <c r="E620" i="94"/>
  <c r="G620" i="94" s="1"/>
  <c r="H1180" i="127"/>
  <c r="J1180" i="127" s="1"/>
  <c r="H541" i="127"/>
  <c r="J541" i="127" s="1"/>
  <c r="H1262" i="127"/>
  <c r="J1262" i="127" s="1"/>
  <c r="H461" i="127"/>
  <c r="J461" i="127" s="1"/>
  <c r="H1149" i="127"/>
  <c r="J1149" i="127" s="1"/>
  <c r="H574" i="127"/>
  <c r="J574" i="127" s="1"/>
  <c r="H1330" i="127"/>
  <c r="J1330" i="127" s="1"/>
  <c r="H851" i="127"/>
  <c r="J851" i="127" s="1"/>
  <c r="H402" i="127"/>
  <c r="J402" i="127" s="1"/>
  <c r="H342" i="127"/>
  <c r="J342" i="127" s="1"/>
  <c r="H121" i="127"/>
  <c r="J121" i="127" s="1"/>
  <c r="E212" i="113"/>
  <c r="G212" i="113" s="1"/>
  <c r="E85" i="113"/>
  <c r="G85" i="113" s="1"/>
  <c r="E859" i="94"/>
  <c r="H517" i="119"/>
  <c r="J517" i="119" s="1"/>
  <c r="H379" i="119"/>
  <c r="J379" i="119" s="1"/>
  <c r="H219" i="119"/>
  <c r="J219" i="119" s="1"/>
  <c r="H75" i="119"/>
  <c r="J75" i="119" s="1"/>
  <c r="H188" i="119"/>
  <c r="J188" i="119" s="1"/>
  <c r="H44" i="119"/>
  <c r="J44" i="119" s="1"/>
  <c r="H1384" i="127"/>
  <c r="J1384" i="127" s="1"/>
  <c r="H607" i="127"/>
  <c r="J607" i="127" s="1"/>
  <c r="H491" i="127"/>
  <c r="J491" i="127" s="1"/>
  <c r="H964" i="127"/>
  <c r="J964" i="127" s="1"/>
  <c r="H1296" i="127"/>
  <c r="J1296" i="127" s="1"/>
  <c r="H1061" i="127"/>
  <c r="J1061" i="127" s="1"/>
  <c r="H1464" i="127"/>
  <c r="J1464" i="127" s="1"/>
  <c r="H881" i="127"/>
  <c r="J881" i="127" s="1"/>
  <c r="H432" i="127"/>
  <c r="J432" i="127" s="1"/>
  <c r="H64" i="127"/>
  <c r="J64" i="127" s="1"/>
  <c r="H372" i="127"/>
  <c r="J372" i="127" s="1"/>
  <c r="L16" i="170"/>
  <c r="G174" i="162"/>
  <c r="H174" i="162" s="1"/>
  <c r="N174" i="162" s="1"/>
  <c r="J925" i="127"/>
  <c r="J934" i="127" s="1"/>
  <c r="J926" i="127"/>
  <c r="J623" i="119"/>
  <c r="J624" i="119" s="1"/>
  <c r="J625" i="119" s="1"/>
  <c r="G98" i="202"/>
  <c r="I31" i="186"/>
  <c r="I38" i="140"/>
  <c r="D39" i="140"/>
  <c r="H324" i="119"/>
  <c r="J324" i="119" s="1"/>
  <c r="E348" i="94"/>
  <c r="G348" i="94" s="1"/>
  <c r="H317" i="127"/>
  <c r="J317" i="127" s="1"/>
  <c r="I24" i="165"/>
  <c r="F177" i="202"/>
  <c r="G177" i="202" s="1"/>
  <c r="G181" i="202" s="1"/>
  <c r="E418" i="94"/>
  <c r="G418" i="94" s="1"/>
  <c r="E385" i="94"/>
  <c r="G385" i="94" s="1"/>
  <c r="H487" i="119"/>
  <c r="J487" i="119" s="1"/>
  <c r="H250" i="119"/>
  <c r="J250" i="119" s="1"/>
  <c r="H106" i="119"/>
  <c r="J106" i="119" s="1"/>
  <c r="H1297" i="127"/>
  <c r="J1297" i="127" s="1"/>
  <c r="H1062" i="127"/>
  <c r="J1062" i="127" s="1"/>
  <c r="H1465" i="127"/>
  <c r="J1465" i="127" s="1"/>
  <c r="H882" i="127"/>
  <c r="J882" i="127" s="1"/>
  <c r="H765" i="127"/>
  <c r="J765" i="127" s="1"/>
  <c r="H403" i="127"/>
  <c r="J403" i="127" s="1"/>
  <c r="H1385" i="127"/>
  <c r="J1385" i="127" s="1"/>
  <c r="H608" i="127"/>
  <c r="J608" i="127" s="1"/>
  <c r="H492" i="127"/>
  <c r="J492" i="127" s="1"/>
  <c r="H965" i="127"/>
  <c r="J965" i="127" s="1"/>
  <c r="H122" i="127"/>
  <c r="J122" i="127" s="1"/>
  <c r="H65" i="127"/>
  <c r="J65" i="127" s="1"/>
  <c r="G53" i="150"/>
  <c r="H53" i="150" s="1"/>
  <c r="E213" i="113"/>
  <c r="G213" i="113" s="1"/>
  <c r="E621" i="94"/>
  <c r="G621" i="94" s="1"/>
  <c r="H189" i="119"/>
  <c r="J189" i="119" s="1"/>
  <c r="H45" i="119"/>
  <c r="J45" i="119" s="1"/>
  <c r="E860" i="94"/>
  <c r="H518" i="119"/>
  <c r="J518" i="119" s="1"/>
  <c r="E86" i="113"/>
  <c r="G86" i="113" s="1"/>
  <c r="H411" i="119"/>
  <c r="J411" i="119" s="1"/>
  <c r="H647" i="119"/>
  <c r="J647" i="119" s="1"/>
  <c r="H136" i="119"/>
  <c r="J136" i="119" s="1"/>
  <c r="H349" i="119"/>
  <c r="J349" i="119" s="1"/>
  <c r="H76" i="119"/>
  <c r="J76" i="119" s="1"/>
  <c r="H852" i="127"/>
  <c r="J852" i="127" s="1"/>
  <c r="H542" i="127"/>
  <c r="J542" i="127" s="1"/>
  <c r="H1150" i="127"/>
  <c r="J1150" i="127" s="1"/>
  <c r="H433" i="127"/>
  <c r="J433" i="127" s="1"/>
  <c r="H1263" i="127"/>
  <c r="J1263" i="127" s="1"/>
  <c r="H380" i="119"/>
  <c r="J380" i="119" s="1"/>
  <c r="H575" i="127"/>
  <c r="J575" i="127" s="1"/>
  <c r="H373" i="127"/>
  <c r="J373" i="127" s="1"/>
  <c r="H462" i="127"/>
  <c r="J462" i="127" s="1"/>
  <c r="H220" i="119"/>
  <c r="J220" i="119" s="1"/>
  <c r="H1331" i="127"/>
  <c r="J1331" i="127" s="1"/>
  <c r="H1181" i="127"/>
  <c r="J1181" i="127" s="1"/>
  <c r="H343" i="127"/>
  <c r="J343" i="127" s="1"/>
  <c r="J23" i="127"/>
  <c r="H25" i="127" s="1"/>
  <c r="J25" i="127" s="1"/>
  <c r="J449" i="119"/>
  <c r="J450" i="119" s="1"/>
  <c r="J451" i="119" s="1"/>
  <c r="J12" i="197"/>
  <c r="J16" i="197" s="1"/>
  <c r="C12" i="197"/>
  <c r="C16" i="197" s="1"/>
  <c r="C24" i="197" s="1"/>
  <c r="E12" i="197"/>
  <c r="E16" i="197" s="1"/>
  <c r="E24" i="197" s="1"/>
  <c r="D12" i="197"/>
  <c r="D16" i="197" s="1"/>
  <c r="D24" i="197" s="1"/>
  <c r="I12" i="197"/>
  <c r="I16" i="197" s="1"/>
  <c r="B12" i="197"/>
  <c r="B16" i="197" s="1"/>
  <c r="G12" i="197"/>
  <c r="G16" i="197" s="1"/>
  <c r="G24" i="197" s="1"/>
  <c r="A12" i="197"/>
  <c r="A16" i="197" s="1"/>
  <c r="F12" i="197"/>
  <c r="F16" i="197" s="1"/>
  <c r="F24" i="197" s="1"/>
  <c r="H12" i="197"/>
  <c r="H16" i="197" s="1"/>
  <c r="H24" i="197" s="1"/>
  <c r="L12" i="197"/>
  <c r="L16" i="197" s="1"/>
  <c r="K12" i="197"/>
  <c r="K16" i="197" s="1"/>
  <c r="G14" i="175"/>
  <c r="K8" i="191"/>
  <c r="G13" i="175"/>
  <c r="G16" i="175" s="1"/>
  <c r="D77" i="190"/>
  <c r="E76" i="190"/>
  <c r="G76" i="190" s="1"/>
  <c r="H65" i="174"/>
  <c r="M65" i="174"/>
  <c r="B31" i="162"/>
  <c r="L22" i="164"/>
  <c r="M67" i="174"/>
  <c r="M80" i="174"/>
  <c r="M77" i="174"/>
  <c r="M78" i="174"/>
  <c r="H78" i="174"/>
  <c r="M64" i="174"/>
  <c r="L64" i="174" s="1"/>
  <c r="J491" i="119" l="1"/>
  <c r="J465" i="127"/>
  <c r="G392" i="94"/>
  <c r="G424" i="94"/>
  <c r="E426" i="94" s="1"/>
  <c r="G799" i="94"/>
  <c r="G317" i="94"/>
  <c r="E319" i="94" s="1"/>
  <c r="G17" i="162"/>
  <c r="L62" i="164"/>
  <c r="J69" i="187"/>
  <c r="L69" i="187" s="1"/>
  <c r="G131" i="162"/>
  <c r="H131" i="162" s="1"/>
  <c r="N131" i="162" s="1"/>
  <c r="G109" i="162"/>
  <c r="H109" i="162" s="1"/>
  <c r="N109" i="162" s="1"/>
  <c r="G91" i="162"/>
  <c r="H91" i="162" s="1"/>
  <c r="N91" i="162" s="1"/>
  <c r="J69" i="186"/>
  <c r="L69" i="186" s="1"/>
  <c r="G151" i="162"/>
  <c r="H151" i="162" s="1"/>
  <c r="N151" i="162" s="1"/>
  <c r="J61" i="167"/>
  <c r="L61" i="167" s="1"/>
  <c r="G245" i="202"/>
  <c r="G246" i="202" s="1"/>
  <c r="G24" i="141"/>
  <c r="G25" i="141" s="1"/>
  <c r="K35" i="140" s="1"/>
  <c r="G139" i="202"/>
  <c r="G140" i="202" s="1"/>
  <c r="E142" i="202" s="1"/>
  <c r="G142" i="202" s="1"/>
  <c r="G144" i="202" s="1"/>
  <c r="G145" i="202" s="1"/>
  <c r="G146" i="202" s="1"/>
  <c r="G147" i="202" s="1"/>
  <c r="J1101" i="127"/>
  <c r="H1108" i="127" s="1"/>
  <c r="J1108" i="127" s="1"/>
  <c r="J1109" i="127" s="1"/>
  <c r="J1266" i="127"/>
  <c r="J1065" i="127"/>
  <c r="H1075" i="127" s="1"/>
  <c r="J1075" i="127" s="1"/>
  <c r="H1077" i="127" s="1"/>
  <c r="J1077" i="127" s="1"/>
  <c r="J406" i="127"/>
  <c r="J412" i="127" s="1"/>
  <c r="H414" i="127" s="1"/>
  <c r="J414" i="127" s="1"/>
  <c r="J415" i="127" s="1"/>
  <c r="J970" i="127"/>
  <c r="H980" i="127" s="1"/>
  <c r="J980" i="127" s="1"/>
  <c r="H982" i="127" s="1"/>
  <c r="G73" i="174"/>
  <c r="H73" i="174" s="1"/>
  <c r="J73" i="174" s="1"/>
  <c r="H22" i="162"/>
  <c r="N22" i="162" s="1"/>
  <c r="E451" i="94"/>
  <c r="G451" i="94" s="1"/>
  <c r="G452" i="94" s="1"/>
  <c r="G453" i="94" s="1"/>
  <c r="G454" i="94" s="1"/>
  <c r="G455" i="94" s="1"/>
  <c r="J34" i="164" s="1"/>
  <c r="B46" i="162"/>
  <c r="E29" i="190"/>
  <c r="G29" i="190" s="1"/>
  <c r="E801" i="94"/>
  <c r="J106" i="127"/>
  <c r="J107" i="127" s="1"/>
  <c r="E394" i="94"/>
  <c r="G394" i="94" s="1"/>
  <c r="G395" i="94" s="1"/>
  <c r="G396" i="94" s="1"/>
  <c r="G397" i="94" s="1"/>
  <c r="G398" i="94" s="1"/>
  <c r="E19" i="202" s="1"/>
  <c r="G19" i="202" s="1"/>
  <c r="G145" i="162"/>
  <c r="H145" i="162" s="1"/>
  <c r="N145" i="162" s="1"/>
  <c r="J53" i="167"/>
  <c r="J61" i="187"/>
  <c r="L61" i="187" s="1"/>
  <c r="J60" i="186"/>
  <c r="L60" i="186" s="1"/>
  <c r="G124" i="162"/>
  <c r="H124" i="162" s="1"/>
  <c r="N124" i="162" s="1"/>
  <c r="J384" i="119"/>
  <c r="H471" i="127"/>
  <c r="J471" i="127" s="1"/>
  <c r="H473" i="127" s="1"/>
  <c r="J473" i="127" s="1"/>
  <c r="G637" i="94"/>
  <c r="G638" i="94" s="1"/>
  <c r="J254" i="119"/>
  <c r="G146" i="162"/>
  <c r="H146" i="162" s="1"/>
  <c r="N146" i="162" s="1"/>
  <c r="J91" i="167"/>
  <c r="J99" i="187"/>
  <c r="L99" i="187" s="1"/>
  <c r="J99" i="186"/>
  <c r="L99" i="186" s="1"/>
  <c r="G125" i="162"/>
  <c r="H125" i="162" s="1"/>
  <c r="N125" i="162" s="1"/>
  <c r="J125" i="127"/>
  <c r="J68" i="127"/>
  <c r="J376" i="127"/>
  <c r="J522" i="119"/>
  <c r="G12" i="162"/>
  <c r="L10" i="164"/>
  <c r="E70" i="202"/>
  <c r="G70" i="202" s="1"/>
  <c r="E72" i="202" s="1"/>
  <c r="G44" i="202"/>
  <c r="G45" i="202" s="1"/>
  <c r="G46" i="202" s="1"/>
  <c r="G249" i="150"/>
  <c r="H218" i="150"/>
  <c r="E560" i="94"/>
  <c r="G560" i="94" s="1"/>
  <c r="G561" i="94" s="1"/>
  <c r="G562" i="94" s="1"/>
  <c r="G563" i="94" s="1"/>
  <c r="G564" i="94" s="1"/>
  <c r="L51" i="168"/>
  <c r="G162" i="162"/>
  <c r="H162" i="162" s="1"/>
  <c r="N162" i="162" s="1"/>
  <c r="E51" i="190"/>
  <c r="G51" i="190" s="1"/>
  <c r="D53" i="190"/>
  <c r="E53" i="190" s="1"/>
  <c r="G53" i="190" s="1"/>
  <c r="J27" i="127"/>
  <c r="J28" i="127" s="1"/>
  <c r="J29" i="127" s="1"/>
  <c r="E58" i="190"/>
  <c r="G58" i="190" s="1"/>
  <c r="B119" i="162"/>
  <c r="J1468" i="127"/>
  <c r="J495" i="127"/>
  <c r="J1334" i="127"/>
  <c r="H1276" i="127"/>
  <c r="J1276" i="127" s="1"/>
  <c r="H1278" i="127" s="1"/>
  <c r="J1278" i="127" s="1"/>
  <c r="J140" i="119"/>
  <c r="H497" i="119"/>
  <c r="J497" i="119" s="1"/>
  <c r="H499" i="119" s="1"/>
  <c r="J499" i="119" s="1"/>
  <c r="H500" i="119" s="1"/>
  <c r="J500" i="119" s="1"/>
  <c r="H162" i="127"/>
  <c r="J162" i="127" s="1"/>
  <c r="J163" i="127" s="1"/>
  <c r="H160" i="127"/>
  <c r="J193" i="119"/>
  <c r="J346" i="127"/>
  <c r="J49" i="119"/>
  <c r="J885" i="127"/>
  <c r="G90" i="113"/>
  <c r="E974" i="94"/>
  <c r="G974" i="94" s="1"/>
  <c r="G975" i="94" s="1"/>
  <c r="E977" i="94" s="1"/>
  <c r="G977" i="94" s="1"/>
  <c r="G978" i="94" s="1"/>
  <c r="G979" i="94" s="1"/>
  <c r="G980" i="94" s="1"/>
  <c r="G981" i="94" s="1"/>
  <c r="H304" i="119"/>
  <c r="J304" i="119" s="1"/>
  <c r="J305" i="119" s="1"/>
  <c r="O57" i="140"/>
  <c r="R57" i="140"/>
  <c r="P57" i="140"/>
  <c r="N57" i="140"/>
  <c r="Q57" i="140"/>
  <c r="L60" i="140"/>
  <c r="E61" i="190"/>
  <c r="G61" i="190" s="1"/>
  <c r="D62" i="190"/>
  <c r="D63" i="190" s="1"/>
  <c r="E119" i="113"/>
  <c r="G119" i="113" s="1"/>
  <c r="G121" i="113" s="1"/>
  <c r="H182" i="127"/>
  <c r="J182" i="127" s="1"/>
  <c r="J183" i="127" s="1"/>
  <c r="H1024" i="127"/>
  <c r="J1024" i="127" s="1"/>
  <c r="J1025" i="127" s="1"/>
  <c r="E589" i="94"/>
  <c r="G589" i="94" s="1"/>
  <c r="G590" i="94"/>
  <c r="G591" i="94" s="1"/>
  <c r="G592" i="94" s="1"/>
  <c r="G593" i="94" s="1"/>
  <c r="J42" i="164" s="1"/>
  <c r="E105" i="141"/>
  <c r="G105" i="141" s="1"/>
  <c r="G106" i="141" s="1"/>
  <c r="G107" i="141" s="1"/>
  <c r="E675" i="94"/>
  <c r="G675" i="94" s="1"/>
  <c r="G676" i="94"/>
  <c r="G677" i="94" s="1"/>
  <c r="G678" i="94" s="1"/>
  <c r="G679" i="94" s="1"/>
  <c r="G48" i="141"/>
  <c r="G49" i="141" s="1"/>
  <c r="K27" i="140" s="1"/>
  <c r="E183" i="202"/>
  <c r="J611" i="127"/>
  <c r="G859" i="94"/>
  <c r="E890" i="94"/>
  <c r="G890" i="94" s="1"/>
  <c r="J578" i="127"/>
  <c r="J545" i="127"/>
  <c r="J415" i="119"/>
  <c r="J353" i="119"/>
  <c r="E532" i="94"/>
  <c r="G532" i="94" s="1"/>
  <c r="G533" i="94" s="1"/>
  <c r="G534" i="94" s="1"/>
  <c r="G535" i="94" s="1"/>
  <c r="G536" i="94" s="1"/>
  <c r="J38" i="164" s="1"/>
  <c r="G217" i="113"/>
  <c r="J436" i="127"/>
  <c r="J768" i="127"/>
  <c r="E149" i="113"/>
  <c r="G149" i="113" s="1"/>
  <c r="G150" i="113" s="1"/>
  <c r="G151" i="113" s="1"/>
  <c r="G152" i="113" s="1"/>
  <c r="G153" i="113" s="1"/>
  <c r="G356" i="94"/>
  <c r="G715" i="94"/>
  <c r="E717" i="94" s="1"/>
  <c r="G717" i="94" s="1"/>
  <c r="G718" i="94" s="1"/>
  <c r="G719" i="94" s="1"/>
  <c r="G720" i="94" s="1"/>
  <c r="G721" i="94" s="1"/>
  <c r="J46" i="164" s="1"/>
  <c r="G839" i="94"/>
  <c r="E217" i="202"/>
  <c r="G217" i="202" s="1"/>
  <c r="G218" i="202" s="1"/>
  <c r="G219" i="202" s="1"/>
  <c r="H936" i="127"/>
  <c r="J936" i="127" s="1"/>
  <c r="J98" i="167"/>
  <c r="J31" i="170"/>
  <c r="G154" i="162"/>
  <c r="H154" i="162" s="1"/>
  <c r="N154" i="162" s="1"/>
  <c r="J106" i="187"/>
  <c r="L106" i="187" s="1"/>
  <c r="J106" i="186"/>
  <c r="L106" i="186" s="1"/>
  <c r="G86" i="162"/>
  <c r="H86" i="162" s="1"/>
  <c r="N86" i="162" s="1"/>
  <c r="G134" i="162"/>
  <c r="H134" i="162" s="1"/>
  <c r="N134" i="162" s="1"/>
  <c r="G860" i="94"/>
  <c r="E891" i="94"/>
  <c r="G891" i="94" s="1"/>
  <c r="E28" i="190"/>
  <c r="G28" i="190" s="1"/>
  <c r="B45" i="162"/>
  <c r="I39" i="140"/>
  <c r="D42" i="140"/>
  <c r="G99" i="202"/>
  <c r="E100" i="202"/>
  <c r="J1300" i="127"/>
  <c r="J1388" i="127"/>
  <c r="J1153" i="127"/>
  <c r="J1184" i="127"/>
  <c r="J110" i="119"/>
  <c r="J855" i="127"/>
  <c r="G72" i="150"/>
  <c r="H72" i="150" s="1"/>
  <c r="H82" i="150" s="1"/>
  <c r="H51" i="150"/>
  <c r="H61" i="150" s="1"/>
  <c r="J224" i="119"/>
  <c r="J26" i="119"/>
  <c r="H27" i="119" s="1"/>
  <c r="J27" i="119" s="1"/>
  <c r="J28" i="119" s="1"/>
  <c r="J29" i="119" s="1"/>
  <c r="J30" i="119" s="1"/>
  <c r="J31" i="119" s="1"/>
  <c r="J80" i="119"/>
  <c r="J648" i="119"/>
  <c r="J659" i="119" s="1"/>
  <c r="J660" i="119" s="1"/>
  <c r="H662" i="119" s="1"/>
  <c r="J662" i="119" s="1"/>
  <c r="E74" i="141"/>
  <c r="E23" i="7"/>
  <c r="J23" i="7" s="1"/>
  <c r="D24" i="7"/>
  <c r="H202" i="150"/>
  <c r="H209" i="150" s="1"/>
  <c r="H210" i="150" s="1"/>
  <c r="J290" i="119"/>
  <c r="G93" i="162"/>
  <c r="H93" i="162" s="1"/>
  <c r="N93" i="162" s="1"/>
  <c r="E16" i="113"/>
  <c r="G16" i="113" s="1"/>
  <c r="G17" i="113" s="1"/>
  <c r="G18" i="113" s="1"/>
  <c r="G19" i="113" s="1"/>
  <c r="G20" i="113" s="1"/>
  <c r="G18" i="175"/>
  <c r="L8" i="191"/>
  <c r="I24" i="197"/>
  <c r="M24" i="197" s="1"/>
  <c r="M26" i="197" s="1"/>
  <c r="M30" i="197" s="1"/>
  <c r="M32" i="197" s="1"/>
  <c r="D78" i="190"/>
  <c r="E77" i="190"/>
  <c r="G77" i="190" s="1"/>
  <c r="F82" i="174"/>
  <c r="H31" i="162"/>
  <c r="K64" i="174"/>
  <c r="A64" i="174" s="1"/>
  <c r="L65" i="174"/>
  <c r="L66" i="174" s="1"/>
  <c r="L67" i="174" s="1"/>
  <c r="J983" i="127" l="1"/>
  <c r="J985" i="127" s="1"/>
  <c r="J986" i="127" s="1"/>
  <c r="J987" i="127" s="1"/>
  <c r="H991" i="127" s="1"/>
  <c r="J991" i="127" s="1"/>
  <c r="J1001" i="127" s="1"/>
  <c r="L68" i="174"/>
  <c r="K67" i="174"/>
  <c r="A67" i="174" s="1"/>
  <c r="K43" i="140"/>
  <c r="K44" i="140"/>
  <c r="K39" i="140"/>
  <c r="K36" i="140"/>
  <c r="L36" i="140" s="1"/>
  <c r="O36" i="140" s="1"/>
  <c r="K45" i="140"/>
  <c r="L35" i="140"/>
  <c r="N35" i="140" s="1"/>
  <c r="K46" i="140"/>
  <c r="K37" i="140"/>
  <c r="L37" i="140" s="1"/>
  <c r="P37" i="140" s="1"/>
  <c r="K38" i="140"/>
  <c r="L38" i="140" s="1"/>
  <c r="Q38" i="140" s="1"/>
  <c r="K42" i="140"/>
  <c r="L39" i="140"/>
  <c r="R39" i="140" s="1"/>
  <c r="G67" i="174"/>
  <c r="H67" i="174" s="1"/>
  <c r="J67" i="174" s="1"/>
  <c r="H17" i="162"/>
  <c r="N17" i="162" s="1"/>
  <c r="G864" i="94"/>
  <c r="G23" i="162"/>
  <c r="L34" i="164"/>
  <c r="J9" i="165"/>
  <c r="J10" i="170"/>
  <c r="G96" i="162"/>
  <c r="H96" i="162" s="1"/>
  <c r="G77" i="162"/>
  <c r="H77" i="162" s="1"/>
  <c r="J8" i="169"/>
  <c r="J9" i="186"/>
  <c r="L9" i="186" s="1"/>
  <c r="J10" i="168"/>
  <c r="J9" i="204"/>
  <c r="L9" i="204" s="1"/>
  <c r="J9" i="199"/>
  <c r="L9" i="199" s="1"/>
  <c r="G137" i="162"/>
  <c r="H137" i="162" s="1"/>
  <c r="G116" i="162"/>
  <c r="H116" i="162" s="1"/>
  <c r="J9" i="167"/>
  <c r="J10" i="187"/>
  <c r="L10" i="187" s="1"/>
  <c r="H83" i="150"/>
  <c r="H84" i="150" s="1"/>
  <c r="J18" i="167"/>
  <c r="J19" i="199"/>
  <c r="J29" i="168"/>
  <c r="G98" i="162"/>
  <c r="H98" i="162" s="1"/>
  <c r="N98" i="162" s="1"/>
  <c r="G139" i="162"/>
  <c r="H139" i="162" s="1"/>
  <c r="N139" i="162" s="1"/>
  <c r="J19" i="204"/>
  <c r="J19" i="165"/>
  <c r="G118" i="162"/>
  <c r="H118" i="162" s="1"/>
  <c r="N118" i="162" s="1"/>
  <c r="J18" i="169"/>
  <c r="J18" i="186"/>
  <c r="L18" i="186" s="1"/>
  <c r="G79" i="162"/>
  <c r="H79" i="162" s="1"/>
  <c r="N79" i="162" s="1"/>
  <c r="J20" i="187"/>
  <c r="L20" i="187" s="1"/>
  <c r="G870" i="94"/>
  <c r="E872" i="94" s="1"/>
  <c r="G872" i="94" s="1"/>
  <c r="G873" i="94" s="1"/>
  <c r="G874" i="94" s="1"/>
  <c r="G875" i="94" s="1"/>
  <c r="G876" i="94" s="1"/>
  <c r="J164" i="127"/>
  <c r="J165" i="127" s="1"/>
  <c r="J166" i="127" s="1"/>
  <c r="J167" i="127" s="1"/>
  <c r="G292" i="150"/>
  <c r="H292" i="150" s="1"/>
  <c r="G242" i="150"/>
  <c r="H242" i="150" s="1"/>
  <c r="G267" i="150"/>
  <c r="H267" i="150" s="1"/>
  <c r="H594" i="119"/>
  <c r="J594" i="119" s="1"/>
  <c r="G24" i="162"/>
  <c r="L38" i="164"/>
  <c r="E109" i="141"/>
  <c r="G20" i="202"/>
  <c r="G21" i="202"/>
  <c r="G22" i="202" s="1"/>
  <c r="I19" i="202"/>
  <c r="H571" i="119"/>
  <c r="J571" i="119" s="1"/>
  <c r="H246" i="127"/>
  <c r="J246" i="127" s="1"/>
  <c r="H549" i="119"/>
  <c r="J549" i="119" s="1"/>
  <c r="J551" i="119" s="1"/>
  <c r="H226" i="127"/>
  <c r="J226" i="127" s="1"/>
  <c r="E191" i="113"/>
  <c r="G191" i="113" s="1"/>
  <c r="H1310" i="127"/>
  <c r="J1310" i="127" s="1"/>
  <c r="H1312" i="127" s="1"/>
  <c r="J1312" i="127" s="1"/>
  <c r="J1313" i="127" s="1"/>
  <c r="G112" i="162"/>
  <c r="H112" i="162" s="1"/>
  <c r="N112" i="162" s="1"/>
  <c r="G64" i="162"/>
  <c r="H64" i="162" s="1"/>
  <c r="N64" i="162" s="1"/>
  <c r="L98" i="167"/>
  <c r="G74" i="162"/>
  <c r="H74" i="162" s="1"/>
  <c r="N74" i="162" s="1"/>
  <c r="G26" i="162"/>
  <c r="L46" i="164"/>
  <c r="H775" i="127"/>
  <c r="J775" i="127" s="1"/>
  <c r="H777" i="127" s="1"/>
  <c r="J777" i="127" s="1"/>
  <c r="J416" i="127"/>
  <c r="J417" i="127" s="1"/>
  <c r="J418" i="127" s="1"/>
  <c r="J419" i="127" s="1"/>
  <c r="H421" i="119"/>
  <c r="J421" i="119" s="1"/>
  <c r="H423" i="119" s="1"/>
  <c r="J423" i="119" s="1"/>
  <c r="H424" i="119" s="1"/>
  <c r="J424" i="119" s="1"/>
  <c r="J425" i="119" s="1"/>
  <c r="J426" i="119" s="1"/>
  <c r="J427" i="119" s="1"/>
  <c r="J428" i="119" s="1"/>
  <c r="L27" i="140"/>
  <c r="K28" i="140"/>
  <c r="L28" i="140" s="1"/>
  <c r="O28" i="140" s="1"/>
  <c r="K29" i="140"/>
  <c r="L29" i="140" s="1"/>
  <c r="P29" i="140" s="1"/>
  <c r="K30" i="140"/>
  <c r="L30" i="140" s="1"/>
  <c r="Q30" i="140" s="1"/>
  <c r="K31" i="140"/>
  <c r="L31" i="140" s="1"/>
  <c r="R31" i="140" s="1"/>
  <c r="H1027" i="127"/>
  <c r="J1027" i="127" s="1"/>
  <c r="J1028" i="127" s="1"/>
  <c r="J352" i="127"/>
  <c r="H354" i="127" s="1"/>
  <c r="J354" i="127" s="1"/>
  <c r="J355" i="127" s="1"/>
  <c r="H1474" i="127"/>
  <c r="J1474" i="127" s="1"/>
  <c r="H1476" i="127" s="1"/>
  <c r="J1476" i="127" s="1"/>
  <c r="G72" i="202"/>
  <c r="E73" i="202"/>
  <c r="G274" i="150"/>
  <c r="H249" i="150"/>
  <c r="G64" i="174"/>
  <c r="H64" i="174" s="1"/>
  <c r="H12" i="162"/>
  <c r="N12" i="162" s="1"/>
  <c r="M12" i="162" s="1"/>
  <c r="J382" i="127"/>
  <c r="H384" i="127" s="1"/>
  <c r="J384" i="127" s="1"/>
  <c r="J385" i="127" s="1"/>
  <c r="G47" i="202"/>
  <c r="G49" i="202" s="1"/>
  <c r="G50" i="202" s="1"/>
  <c r="G51" i="202" s="1"/>
  <c r="H116" i="119"/>
  <c r="J116" i="119" s="1"/>
  <c r="H118" i="119" s="1"/>
  <c r="J861" i="127"/>
  <c r="H863" i="127" s="1"/>
  <c r="J863" i="127" s="1"/>
  <c r="J864" i="127" s="1"/>
  <c r="H1190" i="127"/>
  <c r="J1190" i="127" s="1"/>
  <c r="H1192" i="127" s="1"/>
  <c r="J1192" i="127" s="1"/>
  <c r="J1193" i="127"/>
  <c r="G100" i="202"/>
  <c r="E101" i="202" s="1"/>
  <c r="G101" i="202" s="1"/>
  <c r="J1078" i="127"/>
  <c r="H938" i="127"/>
  <c r="J938" i="127" s="1"/>
  <c r="J943" i="127" s="1"/>
  <c r="J944" i="127" s="1"/>
  <c r="J945" i="127" s="1"/>
  <c r="E358" i="94"/>
  <c r="G358" i="94" s="1"/>
  <c r="G359" i="94" s="1"/>
  <c r="G360" i="94" s="1"/>
  <c r="G361" i="94" s="1"/>
  <c r="G362" i="94" s="1"/>
  <c r="E14" i="202" s="1"/>
  <c r="G14" i="202" s="1"/>
  <c r="J442" i="127"/>
  <c r="H444" i="127" s="1"/>
  <c r="J444" i="127" s="1"/>
  <c r="J445" i="127" s="1"/>
  <c r="H555" i="127"/>
  <c r="J555" i="127" s="1"/>
  <c r="H557" i="127" s="1"/>
  <c r="J557" i="127" s="1"/>
  <c r="H621" i="127"/>
  <c r="J621" i="127" s="1"/>
  <c r="H623" i="127" s="1"/>
  <c r="J623" i="127" s="1"/>
  <c r="H185" i="127"/>
  <c r="J185" i="127" s="1"/>
  <c r="J186" i="127" s="1"/>
  <c r="G96" i="113"/>
  <c r="E98" i="113" s="1"/>
  <c r="H199" i="119"/>
  <c r="J199" i="119" s="1"/>
  <c r="J201" i="119" s="1"/>
  <c r="J501" i="119"/>
  <c r="J502" i="119" s="1"/>
  <c r="J503" i="119" s="1"/>
  <c r="J504" i="119" s="1"/>
  <c r="J1279" i="127"/>
  <c r="G426" i="94"/>
  <c r="E427" i="94"/>
  <c r="G427" i="94" s="1"/>
  <c r="H260" i="119"/>
  <c r="J260" i="119" s="1"/>
  <c r="J262" i="119" s="1"/>
  <c r="H263" i="119" s="1"/>
  <c r="J263" i="119" s="1"/>
  <c r="H390" i="119"/>
  <c r="J390" i="119" s="1"/>
  <c r="H392" i="119" s="1"/>
  <c r="J392" i="119" s="1"/>
  <c r="H393" i="119" s="1"/>
  <c r="J393" i="119" s="1"/>
  <c r="L40" i="140"/>
  <c r="G74" i="141"/>
  <c r="E75" i="141" s="1"/>
  <c r="G75" i="141" s="1"/>
  <c r="H86" i="119"/>
  <c r="J86" i="119" s="1"/>
  <c r="J88" i="119" s="1"/>
  <c r="H230" i="119"/>
  <c r="J230" i="119" s="1"/>
  <c r="J232" i="119" s="1"/>
  <c r="H233" i="119" s="1"/>
  <c r="H1159" i="127"/>
  <c r="J1159" i="127" s="1"/>
  <c r="H1161" i="127" s="1"/>
  <c r="J1161" i="127" s="1"/>
  <c r="E221" i="202"/>
  <c r="H62" i="150"/>
  <c r="J1110" i="127"/>
  <c r="J1111" i="127" s="1"/>
  <c r="J1112" i="127" s="1"/>
  <c r="J1113" i="127" s="1"/>
  <c r="E223" i="113"/>
  <c r="G223" i="113" s="1"/>
  <c r="G225" i="113" s="1"/>
  <c r="E226" i="113" s="1"/>
  <c r="G226" i="113" s="1"/>
  <c r="H588" i="127"/>
  <c r="J588" i="127" s="1"/>
  <c r="H590" i="127" s="1"/>
  <c r="J590" i="127" s="1"/>
  <c r="G25" i="162"/>
  <c r="L42" i="164"/>
  <c r="J891" i="127"/>
  <c r="H893" i="127" s="1"/>
  <c r="J893" i="127" s="1"/>
  <c r="J894" i="127" s="1"/>
  <c r="H1344" i="127"/>
  <c r="J1344" i="127" s="1"/>
  <c r="H1346" i="127" s="1"/>
  <c r="J1346" i="127" s="1"/>
  <c r="G319" i="94"/>
  <c r="E320" i="94" s="1"/>
  <c r="G320" i="94" s="1"/>
  <c r="H75" i="127"/>
  <c r="J75" i="127" s="1"/>
  <c r="H77" i="127" s="1"/>
  <c r="J77" i="127" s="1"/>
  <c r="G639" i="94"/>
  <c r="E641" i="94" s="1"/>
  <c r="H1002" i="127"/>
  <c r="J1002" i="127" s="1"/>
  <c r="H1004" i="127"/>
  <c r="J1004" i="127" s="1"/>
  <c r="S40" i="140"/>
  <c r="H663" i="119"/>
  <c r="J663" i="119" s="1"/>
  <c r="J664" i="119" s="1"/>
  <c r="J666" i="119" s="1"/>
  <c r="J95" i="167"/>
  <c r="G153" i="162"/>
  <c r="H153" i="162" s="1"/>
  <c r="N153" i="162" s="1"/>
  <c r="G133" i="162"/>
  <c r="H133" i="162" s="1"/>
  <c r="N133" i="162" s="1"/>
  <c r="J103" i="187"/>
  <c r="L103" i="187" s="1"/>
  <c r="J103" i="186"/>
  <c r="L103" i="186" s="1"/>
  <c r="E24" i="7"/>
  <c r="J24" i="7" s="1"/>
  <c r="D25" i="7"/>
  <c r="E123" i="113"/>
  <c r="H1398" i="127"/>
  <c r="J1398" i="127" s="1"/>
  <c r="H1400" i="127" s="1"/>
  <c r="J1400" i="127" s="1"/>
  <c r="J1401" i="127"/>
  <c r="D43" i="140"/>
  <c r="I42" i="140"/>
  <c r="L42" i="140" s="1"/>
  <c r="L31" i="170"/>
  <c r="G177" i="162"/>
  <c r="H177" i="162" s="1"/>
  <c r="N177" i="162" s="1"/>
  <c r="E841" i="94"/>
  <c r="G841" i="94" s="1"/>
  <c r="G842" i="94" s="1"/>
  <c r="G843" i="94" s="1"/>
  <c r="G844" i="94" s="1"/>
  <c r="G845" i="94" s="1"/>
  <c r="J54" i="164" s="1"/>
  <c r="H359" i="119"/>
  <c r="J359" i="119" s="1"/>
  <c r="H361" i="119" s="1"/>
  <c r="J361" i="119" s="1"/>
  <c r="H362" i="119" s="1"/>
  <c r="J362" i="119" s="1"/>
  <c r="G895" i="94"/>
  <c r="G183" i="202"/>
  <c r="E184" i="202" s="1"/>
  <c r="G184" i="202" s="1"/>
  <c r="E63" i="190"/>
  <c r="G63" i="190" s="1"/>
  <c r="D64" i="190"/>
  <c r="D65" i="190" s="1"/>
  <c r="S60" i="140"/>
  <c r="H307" i="119"/>
  <c r="J307" i="119" s="1"/>
  <c r="H308" i="119" s="1"/>
  <c r="J308" i="119" s="1"/>
  <c r="H55" i="119"/>
  <c r="J55" i="119" s="1"/>
  <c r="J57" i="119" s="1"/>
  <c r="H146" i="119"/>
  <c r="J146" i="119" s="1"/>
  <c r="H148" i="119" s="1"/>
  <c r="J148" i="119" s="1"/>
  <c r="H149" i="119" s="1"/>
  <c r="J149" i="119" s="1"/>
  <c r="H501" i="127"/>
  <c r="J501" i="127" s="1"/>
  <c r="H503" i="127" s="1"/>
  <c r="J503" i="127" s="1"/>
  <c r="H219" i="150"/>
  <c r="H225" i="150" s="1"/>
  <c r="J528" i="119"/>
  <c r="H530" i="119" s="1"/>
  <c r="J530" i="119" s="1"/>
  <c r="H531" i="119" s="1"/>
  <c r="J531" i="119" s="1"/>
  <c r="J131" i="127"/>
  <c r="H133" i="127" s="1"/>
  <c r="J133" i="127" s="1"/>
  <c r="J134" i="127" s="1"/>
  <c r="L91" i="167"/>
  <c r="G104" i="162"/>
  <c r="H104" i="162" s="1"/>
  <c r="N104" i="162" s="1"/>
  <c r="J474" i="127"/>
  <c r="G105" i="162"/>
  <c r="H105" i="162" s="1"/>
  <c r="N105" i="162" s="1"/>
  <c r="L53" i="167"/>
  <c r="G801" i="94"/>
  <c r="E802" i="94" s="1"/>
  <c r="G802" i="94" s="1"/>
  <c r="H43" i="197"/>
  <c r="H44" i="197"/>
  <c r="H42" i="197"/>
  <c r="K36" i="197"/>
  <c r="H41" i="197"/>
  <c r="H45" i="197"/>
  <c r="K25" i="191" s="1"/>
  <c r="K12" i="191"/>
  <c r="G23" i="175"/>
  <c r="G21" i="175"/>
  <c r="G24" i="175"/>
  <c r="G25" i="175"/>
  <c r="G22" i="175"/>
  <c r="G20" i="175"/>
  <c r="E78" i="190"/>
  <c r="G78" i="190" s="1"/>
  <c r="D79" i="190"/>
  <c r="D80" i="190" s="1"/>
  <c r="N31" i="162"/>
  <c r="M82" i="174"/>
  <c r="L82" i="174" s="1"/>
  <c r="H82" i="174"/>
  <c r="K68" i="174"/>
  <c r="A68" i="174" s="1"/>
  <c r="L69" i="174"/>
  <c r="K65" i="174"/>
  <c r="A65" i="174" s="1"/>
  <c r="K66" i="174"/>
  <c r="A66" i="174" s="1"/>
  <c r="G102" i="202" l="1"/>
  <c r="G104" i="202" s="1"/>
  <c r="J1006" i="127"/>
  <c r="J1007" i="127" s="1"/>
  <c r="J1008" i="127" s="1"/>
  <c r="J591" i="127"/>
  <c r="G227" i="113"/>
  <c r="G228" i="113" s="1"/>
  <c r="G229" i="113" s="1"/>
  <c r="G230" i="113" s="1"/>
  <c r="J624" i="127"/>
  <c r="J625" i="127" s="1"/>
  <c r="J626" i="127" s="1"/>
  <c r="J627" i="127" s="1"/>
  <c r="J628" i="127" s="1"/>
  <c r="J264" i="119"/>
  <c r="J265" i="119" s="1"/>
  <c r="J266" i="119" s="1"/>
  <c r="J267" i="119" s="1"/>
  <c r="J51" i="187" s="1"/>
  <c r="L51" i="187" s="1"/>
  <c r="H89" i="119"/>
  <c r="J89" i="119" s="1"/>
  <c r="J78" i="127"/>
  <c r="J79" i="127" s="1"/>
  <c r="E48" i="202"/>
  <c r="G48" i="202" s="1"/>
  <c r="H23" i="162"/>
  <c r="N23" i="162" s="1"/>
  <c r="G74" i="174"/>
  <c r="H74" i="174" s="1"/>
  <c r="J74" i="174" s="1"/>
  <c r="J135" i="127"/>
  <c r="J136" i="127" s="1"/>
  <c r="J137" i="127" s="1"/>
  <c r="J138" i="127" s="1"/>
  <c r="H226" i="150"/>
  <c r="G28" i="162"/>
  <c r="L54" i="164"/>
  <c r="J187" i="127"/>
  <c r="J188" i="127" s="1"/>
  <c r="J189" i="127" s="1"/>
  <c r="J190" i="127" s="1"/>
  <c r="L190" i="127" s="1"/>
  <c r="J1029" i="127"/>
  <c r="J1030" i="127" s="1"/>
  <c r="J1031" i="127" s="1"/>
  <c r="J1032" i="127" s="1"/>
  <c r="J895" i="127"/>
  <c r="J896" i="127" s="1"/>
  <c r="J897" i="127" s="1"/>
  <c r="J898" i="127" s="1"/>
  <c r="J30" i="165"/>
  <c r="J30" i="204"/>
  <c r="L30" i="204" s="1"/>
  <c r="J30" i="199"/>
  <c r="L30" i="199" s="1"/>
  <c r="H202" i="119"/>
  <c r="J202" i="119" s="1"/>
  <c r="J203" i="119" s="1"/>
  <c r="J204" i="119" s="1"/>
  <c r="J205" i="119" s="1"/>
  <c r="J206" i="119" s="1"/>
  <c r="G15" i="202"/>
  <c r="G16" i="202" s="1"/>
  <c r="G17" i="202" s="1"/>
  <c r="I14" i="202"/>
  <c r="J62" i="168"/>
  <c r="G144" i="162"/>
  <c r="H144" i="162" s="1"/>
  <c r="N144" i="162" s="1"/>
  <c r="J65" i="187"/>
  <c r="L65" i="187" s="1"/>
  <c r="J65" i="186"/>
  <c r="L65" i="186" s="1"/>
  <c r="G84" i="162"/>
  <c r="H84" i="162" s="1"/>
  <c r="N84" i="162" s="1"/>
  <c r="G103" i="162"/>
  <c r="H103" i="162" s="1"/>
  <c r="N103" i="162" s="1"/>
  <c r="G123" i="162"/>
  <c r="H123" i="162" s="1"/>
  <c r="N123" i="162" s="1"/>
  <c r="J57" i="167"/>
  <c r="J386" i="127"/>
  <c r="J387" i="127"/>
  <c r="J388" i="127" s="1"/>
  <c r="J389" i="127" s="1"/>
  <c r="J356" i="127"/>
  <c r="J357" i="127" s="1"/>
  <c r="J358" i="127" s="1"/>
  <c r="J359" i="127" s="1"/>
  <c r="J1314" i="127"/>
  <c r="J1315" i="127" s="1"/>
  <c r="J1316" i="127" s="1"/>
  <c r="J1317" i="127" s="1"/>
  <c r="G803" i="94"/>
  <c r="G804" i="94" s="1"/>
  <c r="G805" i="94" s="1"/>
  <c r="G806" i="94" s="1"/>
  <c r="J58" i="164" s="1"/>
  <c r="J504" i="127"/>
  <c r="J309" i="119"/>
  <c r="J310" i="119" s="1"/>
  <c r="J311" i="119" s="1"/>
  <c r="J312" i="119" s="1"/>
  <c r="J363" i="119"/>
  <c r="J364" i="119" s="1"/>
  <c r="J365" i="119" s="1"/>
  <c r="J366" i="119" s="1"/>
  <c r="D44" i="140"/>
  <c r="I43" i="140"/>
  <c r="L43" i="140" s="1"/>
  <c r="O43" i="140" s="1"/>
  <c r="G123" i="113"/>
  <c r="E124" i="113" s="1"/>
  <c r="G124" i="113" s="1"/>
  <c r="G641" i="94"/>
  <c r="E642" i="94" s="1"/>
  <c r="G642" i="94" s="1"/>
  <c r="G321" i="94"/>
  <c r="G322" i="94" s="1"/>
  <c r="G323" i="94" s="1"/>
  <c r="G324" i="94" s="1"/>
  <c r="J1162" i="127"/>
  <c r="J90" i="119"/>
  <c r="J91" i="119" s="1"/>
  <c r="J92" i="119" s="1"/>
  <c r="J93" i="119" s="1"/>
  <c r="J394" i="119"/>
  <c r="J395" i="119" s="1"/>
  <c r="J396" i="119" s="1"/>
  <c r="J397" i="119" s="1"/>
  <c r="J446" i="127"/>
  <c r="J447" i="127"/>
  <c r="J448" i="127" s="1"/>
  <c r="J449" i="127" s="1"/>
  <c r="J1194" i="127"/>
  <c r="J1195" i="127" s="1"/>
  <c r="J1196" i="127" s="1"/>
  <c r="J1197" i="127" s="1"/>
  <c r="L12" i="162"/>
  <c r="A12" i="162" s="1"/>
  <c r="M13" i="162"/>
  <c r="G73" i="202"/>
  <c r="G74" i="202" s="1"/>
  <c r="G75" i="202" s="1"/>
  <c r="L32" i="140"/>
  <c r="N27" i="140"/>
  <c r="S32" i="140" s="1"/>
  <c r="G77" i="174"/>
  <c r="H77" i="174" s="1"/>
  <c r="H26" i="162"/>
  <c r="N26" i="162" s="1"/>
  <c r="I20" i="202"/>
  <c r="I21" i="202" s="1"/>
  <c r="I22" i="202" s="1"/>
  <c r="G109" i="141"/>
  <c r="G169" i="162"/>
  <c r="H169" i="162" s="1"/>
  <c r="N169" i="162" s="1"/>
  <c r="L18" i="169"/>
  <c r="L18" i="167"/>
  <c r="G60" i="162"/>
  <c r="H60" i="162" s="1"/>
  <c r="N60" i="162" s="1"/>
  <c r="G68" i="162"/>
  <c r="H68" i="162" s="1"/>
  <c r="N68" i="162" s="1"/>
  <c r="G58" i="162"/>
  <c r="H58" i="162" s="1"/>
  <c r="L9" i="167"/>
  <c r="G66" i="162"/>
  <c r="H66" i="162" s="1"/>
  <c r="N77" i="162"/>
  <c r="J532" i="119"/>
  <c r="J533" i="119" s="1"/>
  <c r="J534" i="119" s="1"/>
  <c r="J535" i="119" s="1"/>
  <c r="J1402" i="127"/>
  <c r="J1403" i="127" s="1"/>
  <c r="J1404" i="127" s="1"/>
  <c r="J1405" i="127" s="1"/>
  <c r="H1439" i="127" s="1"/>
  <c r="J1439" i="127" s="1"/>
  <c r="D26" i="7"/>
  <c r="E26" i="7" s="1"/>
  <c r="J26" i="7" s="1"/>
  <c r="E25" i="7"/>
  <c r="J25" i="7" s="1"/>
  <c r="H667" i="119"/>
  <c r="J667" i="119" s="1"/>
  <c r="J668" i="119" s="1"/>
  <c r="J592" i="127"/>
  <c r="J593" i="127" s="1"/>
  <c r="J594" i="127" s="1"/>
  <c r="J595" i="127" s="1"/>
  <c r="G221" i="202"/>
  <c r="E222" i="202"/>
  <c r="G222" i="202" s="1"/>
  <c r="G76" i="141"/>
  <c r="G77" i="141" s="1"/>
  <c r="K16" i="140" s="1"/>
  <c r="G428" i="94"/>
  <c r="G429" i="94" s="1"/>
  <c r="G430" i="94" s="1"/>
  <c r="G431" i="94" s="1"/>
  <c r="J26" i="164" s="1"/>
  <c r="J1079" i="127"/>
  <c r="J1080" i="127"/>
  <c r="J1081" i="127" s="1"/>
  <c r="J1082" i="127" s="1"/>
  <c r="J64" i="174"/>
  <c r="J778" i="127"/>
  <c r="H553" i="119"/>
  <c r="J553" i="119" s="1"/>
  <c r="H554" i="119" s="1"/>
  <c r="J554" i="119" s="1"/>
  <c r="N116" i="162"/>
  <c r="G157" i="162"/>
  <c r="H157" i="162" s="1"/>
  <c r="L10" i="168"/>
  <c r="N96" i="162"/>
  <c r="H58" i="119"/>
  <c r="J58" i="119" s="1"/>
  <c r="J59" i="119" s="1"/>
  <c r="J60" i="119" s="1"/>
  <c r="J61" i="119" s="1"/>
  <c r="J62" i="119" s="1"/>
  <c r="J150" i="119"/>
  <c r="J151" i="119" s="1"/>
  <c r="J152" i="119" s="1"/>
  <c r="J153" i="119" s="1"/>
  <c r="G185" i="202"/>
  <c r="G186" i="202" s="1"/>
  <c r="G187" i="202" s="1"/>
  <c r="G188" i="202" s="1"/>
  <c r="J1347" i="127"/>
  <c r="J1280" i="127"/>
  <c r="J1281" i="127" s="1"/>
  <c r="J1282" i="127" s="1"/>
  <c r="J1283" i="127" s="1"/>
  <c r="J558" i="127"/>
  <c r="H588" i="119"/>
  <c r="J588" i="119" s="1"/>
  <c r="J118" i="119"/>
  <c r="H250" i="150"/>
  <c r="J1477" i="127"/>
  <c r="G75" i="174"/>
  <c r="H75" i="174" s="1"/>
  <c r="H24" i="162"/>
  <c r="N24" i="162" s="1"/>
  <c r="L19" i="165"/>
  <c r="G44" i="162"/>
  <c r="H44" i="162" s="1"/>
  <c r="N44" i="162" s="1"/>
  <c r="L29" i="168"/>
  <c r="G159" i="162"/>
  <c r="H159" i="162" s="1"/>
  <c r="N159" i="162" s="1"/>
  <c r="N137" i="162"/>
  <c r="L10" i="170"/>
  <c r="G173" i="162"/>
  <c r="H173" i="162" s="1"/>
  <c r="J475" i="127"/>
  <c r="J476" i="127" s="1"/>
  <c r="J477" i="127" s="1"/>
  <c r="J478" i="127" s="1"/>
  <c r="E65" i="190"/>
  <c r="G65" i="190" s="1"/>
  <c r="D66" i="190"/>
  <c r="G901" i="94"/>
  <c r="E903" i="94" s="1"/>
  <c r="G903" i="94" s="1"/>
  <c r="G904" i="94" s="1"/>
  <c r="G905" i="94" s="1"/>
  <c r="G906" i="94" s="1"/>
  <c r="G907" i="94" s="1"/>
  <c r="N42" i="140"/>
  <c r="L95" i="167"/>
  <c r="G111" i="162"/>
  <c r="H111" i="162" s="1"/>
  <c r="N111" i="162" s="1"/>
  <c r="G76" i="174"/>
  <c r="H76" i="174" s="1"/>
  <c r="H25" i="162"/>
  <c r="N25" i="162" s="1"/>
  <c r="H63" i="150"/>
  <c r="H64" i="150" s="1"/>
  <c r="J233" i="119"/>
  <c r="J234" i="119" s="1"/>
  <c r="J235" i="119" s="1"/>
  <c r="J236" i="119" s="1"/>
  <c r="J237" i="119" s="1"/>
  <c r="G71" i="162"/>
  <c r="H71" i="162" s="1"/>
  <c r="N71" i="162" s="1"/>
  <c r="J45" i="186"/>
  <c r="L45" i="186" s="1"/>
  <c r="G121" i="162"/>
  <c r="G82" i="162"/>
  <c r="J69" i="167"/>
  <c r="L69" i="167" s="1"/>
  <c r="G129" i="162"/>
  <c r="H129" i="162" s="1"/>
  <c r="N129" i="162" s="1"/>
  <c r="G107" i="162"/>
  <c r="H107" i="162" s="1"/>
  <c r="N107" i="162" s="1"/>
  <c r="J77" i="186"/>
  <c r="L77" i="186" s="1"/>
  <c r="G149" i="162"/>
  <c r="H149" i="162" s="1"/>
  <c r="N149" i="162" s="1"/>
  <c r="J77" i="187"/>
  <c r="L77" i="187" s="1"/>
  <c r="G90" i="162"/>
  <c r="H90" i="162" s="1"/>
  <c r="N90" i="162" s="1"/>
  <c r="G98" i="113"/>
  <c r="E99" i="113"/>
  <c r="G99" i="113" s="1"/>
  <c r="J865" i="127"/>
  <c r="J866" i="127" s="1"/>
  <c r="J867" i="127" s="1"/>
  <c r="J868" i="127" s="1"/>
  <c r="G299" i="150"/>
  <c r="H274" i="150"/>
  <c r="G52" i="162"/>
  <c r="H52" i="162" s="1"/>
  <c r="N52" i="162" s="1"/>
  <c r="L19" i="204"/>
  <c r="G36" i="162"/>
  <c r="H36" i="162" s="1"/>
  <c r="N36" i="162" s="1"/>
  <c r="L19" i="199"/>
  <c r="L8" i="169"/>
  <c r="G167" i="162"/>
  <c r="H167" i="162" s="1"/>
  <c r="G42" i="162"/>
  <c r="H42" i="162" s="1"/>
  <c r="L9" i="165"/>
  <c r="G34" i="162"/>
  <c r="H34" i="162" s="1"/>
  <c r="G50" i="162"/>
  <c r="H50" i="162" s="1"/>
  <c r="H47" i="197"/>
  <c r="F28" i="175"/>
  <c r="L10" i="191"/>
  <c r="G29" i="175"/>
  <c r="G30" i="175" s="1"/>
  <c r="D81" i="190"/>
  <c r="D82" i="190" s="1"/>
  <c r="E80" i="190"/>
  <c r="G80" i="190" s="1"/>
  <c r="K82" i="174"/>
  <c r="L83" i="174"/>
  <c r="K83" i="174" s="1"/>
  <c r="K69" i="174"/>
  <c r="A69" i="174" s="1"/>
  <c r="L70" i="174"/>
  <c r="G101" i="162" l="1"/>
  <c r="G142" i="162"/>
  <c r="J43" i="167"/>
  <c r="L43" i="167" s="1"/>
  <c r="J80" i="127"/>
  <c r="J81" i="127" s="1"/>
  <c r="J82" i="127" s="1"/>
  <c r="J37" i="186"/>
  <c r="L37" i="186" s="1"/>
  <c r="G81" i="162"/>
  <c r="H81" i="162" s="1"/>
  <c r="N81" i="162" s="1"/>
  <c r="G120" i="162"/>
  <c r="H120" i="162" s="1"/>
  <c r="N120" i="162" s="1"/>
  <c r="J27" i="169"/>
  <c r="J35" i="167"/>
  <c r="L35" i="167" s="1"/>
  <c r="G100" i="162"/>
  <c r="H100" i="162" s="1"/>
  <c r="N100" i="162" s="1"/>
  <c r="G141" i="162"/>
  <c r="H141" i="162" s="1"/>
  <c r="N141" i="162" s="1"/>
  <c r="J42" i="187"/>
  <c r="L42" i="187" s="1"/>
  <c r="G236" i="150"/>
  <c r="G173" i="150"/>
  <c r="H173" i="150" s="1"/>
  <c r="G129" i="150"/>
  <c r="H129" i="150" s="1"/>
  <c r="G140" i="162"/>
  <c r="H140" i="162" s="1"/>
  <c r="G85" i="162"/>
  <c r="H85" i="162" s="1"/>
  <c r="N85" i="162" s="1"/>
  <c r="J41" i="168"/>
  <c r="G99" i="162"/>
  <c r="H99" i="162" s="1"/>
  <c r="J29" i="167"/>
  <c r="L29" i="167" s="1"/>
  <c r="G80" i="162"/>
  <c r="H80" i="162" s="1"/>
  <c r="J34" i="187"/>
  <c r="L34" i="187" s="1"/>
  <c r="J24" i="170"/>
  <c r="J31" i="186"/>
  <c r="L31" i="186" s="1"/>
  <c r="J23" i="169"/>
  <c r="G119" i="162"/>
  <c r="H119" i="162" s="1"/>
  <c r="N34" i="162"/>
  <c r="G21" i="162"/>
  <c r="L26" i="164"/>
  <c r="H669" i="119"/>
  <c r="J669" i="119" s="1"/>
  <c r="J670" i="119" s="1"/>
  <c r="J671" i="119" s="1"/>
  <c r="J672" i="119" s="1"/>
  <c r="J673" i="119" s="1"/>
  <c r="J1440" i="127"/>
  <c r="J1443" i="127" s="1"/>
  <c r="N58" i="162"/>
  <c r="J85" i="186"/>
  <c r="L85" i="186" s="1"/>
  <c r="G135" i="162"/>
  <c r="H135" i="162" s="1"/>
  <c r="N135" i="162" s="1"/>
  <c r="J77" i="167"/>
  <c r="L77" i="167" s="1"/>
  <c r="G114" i="162"/>
  <c r="H114" i="162" s="1"/>
  <c r="N114" i="162" s="1"/>
  <c r="J85" i="187"/>
  <c r="L85" i="187" s="1"/>
  <c r="G155" i="162"/>
  <c r="H155" i="162" s="1"/>
  <c r="N155" i="162" s="1"/>
  <c r="H275" i="150"/>
  <c r="K142" i="162"/>
  <c r="H142" i="162"/>
  <c r="N142" i="162" s="1"/>
  <c r="H119" i="119"/>
  <c r="J119" i="119" s="1"/>
  <c r="J120" i="119" s="1"/>
  <c r="J121" i="119" s="1"/>
  <c r="J122" i="119" s="1"/>
  <c r="J123" i="119" s="1"/>
  <c r="J555" i="119"/>
  <c r="J557" i="119" s="1"/>
  <c r="J558" i="119" s="1"/>
  <c r="J559" i="119" s="1"/>
  <c r="K17" i="140"/>
  <c r="L17" i="140" s="1"/>
  <c r="O17" i="140" s="1"/>
  <c r="O80" i="140" s="1"/>
  <c r="G11" i="139" s="1"/>
  <c r="D11" i="139" s="1"/>
  <c r="K19" i="140"/>
  <c r="L19" i="140" s="1"/>
  <c r="Q19" i="140" s="1"/>
  <c r="K18" i="140"/>
  <c r="L18" i="140" s="1"/>
  <c r="P18" i="140" s="1"/>
  <c r="K20" i="140"/>
  <c r="L20" i="140" s="1"/>
  <c r="R20" i="140" s="1"/>
  <c r="L16" i="140"/>
  <c r="L13" i="162"/>
  <c r="A13" i="162" s="1"/>
  <c r="M14" i="162"/>
  <c r="J28" i="170"/>
  <c r="J56" i="186"/>
  <c r="L56" i="186" s="1"/>
  <c r="G83" i="162"/>
  <c r="H83" i="162" s="1"/>
  <c r="N83" i="162" s="1"/>
  <c r="G164" i="162"/>
  <c r="H164" i="162" s="1"/>
  <c r="N164" i="162" s="1"/>
  <c r="L62" i="168"/>
  <c r="G46" i="162"/>
  <c r="H46" i="162" s="1"/>
  <c r="N46" i="162" s="1"/>
  <c r="G54" i="162"/>
  <c r="H54" i="162" s="1"/>
  <c r="N54" i="162" s="1"/>
  <c r="G61" i="162"/>
  <c r="H61" i="162" s="1"/>
  <c r="N61" i="162" s="1"/>
  <c r="G70" i="162"/>
  <c r="H70" i="162" s="1"/>
  <c r="N70" i="162" s="1"/>
  <c r="G38" i="162"/>
  <c r="H38" i="162" s="1"/>
  <c r="N38" i="162" s="1"/>
  <c r="L30" i="165"/>
  <c r="G175" i="150"/>
  <c r="H175" i="150" s="1"/>
  <c r="G319" i="150"/>
  <c r="H319" i="150" s="1"/>
  <c r="G131" i="150"/>
  <c r="H131" i="150" s="1"/>
  <c r="N42" i="162"/>
  <c r="H299" i="150"/>
  <c r="H300" i="150" s="1"/>
  <c r="G332" i="150"/>
  <c r="H332" i="150" s="1"/>
  <c r="H333" i="150" s="1"/>
  <c r="G100" i="113"/>
  <c r="G101" i="113" s="1"/>
  <c r="G102" i="113" s="1"/>
  <c r="G103" i="113" s="1"/>
  <c r="H82" i="162"/>
  <c r="N82" i="162" s="1"/>
  <c r="K82" i="162"/>
  <c r="H101" i="162"/>
  <c r="N101" i="162" s="1"/>
  <c r="K101" i="162"/>
  <c r="D67" i="190"/>
  <c r="E66" i="190"/>
  <c r="G66" i="190" s="1"/>
  <c r="N173" i="162"/>
  <c r="J1478" i="127"/>
  <c r="J1479" i="127"/>
  <c r="J1480" i="127" s="1"/>
  <c r="J1481" i="127" s="1"/>
  <c r="J597" i="119"/>
  <c r="J595" i="119"/>
  <c r="N157" i="162"/>
  <c r="E192" i="113"/>
  <c r="G192" i="113" s="1"/>
  <c r="G193" i="113" s="1"/>
  <c r="H227" i="127"/>
  <c r="J227" i="127" s="1"/>
  <c r="J228" i="127" s="1"/>
  <c r="H247" i="127"/>
  <c r="J247" i="127" s="1"/>
  <c r="J248" i="127" s="1"/>
  <c r="H572" i="119"/>
  <c r="J572" i="119" s="1"/>
  <c r="J573" i="119" s="1"/>
  <c r="J73" i="186"/>
  <c r="L73" i="186" s="1"/>
  <c r="G128" i="162"/>
  <c r="H128" i="162" s="1"/>
  <c r="N128" i="162" s="1"/>
  <c r="G89" i="162"/>
  <c r="H89" i="162" s="1"/>
  <c r="N89" i="162" s="1"/>
  <c r="J65" i="167"/>
  <c r="L65" i="167" s="1"/>
  <c r="G148" i="162"/>
  <c r="H148" i="162" s="1"/>
  <c r="N148" i="162" s="1"/>
  <c r="G106" i="162"/>
  <c r="H106" i="162" s="1"/>
  <c r="N106" i="162" s="1"/>
  <c r="J73" i="187"/>
  <c r="L73" i="187" s="1"/>
  <c r="N66" i="162"/>
  <c r="G643" i="94"/>
  <c r="G644" i="94" s="1"/>
  <c r="G645" i="94" s="1"/>
  <c r="G646" i="94" s="1"/>
  <c r="I44" i="140"/>
  <c r="L44" i="140" s="1"/>
  <c r="D45" i="140"/>
  <c r="J505" i="127"/>
  <c r="J506" i="127" s="1"/>
  <c r="J507" i="127" s="1"/>
  <c r="J508" i="127" s="1"/>
  <c r="H513" i="127" s="1"/>
  <c r="J513" i="127" s="1"/>
  <c r="J515" i="127" s="1"/>
  <c r="L57" i="167"/>
  <c r="G73" i="162"/>
  <c r="H73" i="162" s="1"/>
  <c r="N73" i="162" s="1"/>
  <c r="G63" i="162"/>
  <c r="H63" i="162" s="1"/>
  <c r="N63" i="162" s="1"/>
  <c r="I15" i="202"/>
  <c r="I16" i="202" s="1"/>
  <c r="I17" i="202" s="1"/>
  <c r="G79" i="174"/>
  <c r="H79" i="174" s="1"/>
  <c r="H28" i="162"/>
  <c r="N28" i="162" s="1"/>
  <c r="N50" i="162"/>
  <c r="N167" i="162"/>
  <c r="H121" i="162"/>
  <c r="N121" i="162" s="1"/>
  <c r="K121" i="162"/>
  <c r="J559" i="127"/>
  <c r="J560" i="127" s="1"/>
  <c r="J561" i="127" s="1"/>
  <c r="J562" i="127" s="1"/>
  <c r="J1348" i="127"/>
  <c r="J1349" i="127" s="1"/>
  <c r="J1350" i="127" s="1"/>
  <c r="J1351" i="127" s="1"/>
  <c r="J779" i="127"/>
  <c r="J780" i="127" s="1"/>
  <c r="J781" i="127" s="1"/>
  <c r="G223" i="202"/>
  <c r="G224" i="202" s="1"/>
  <c r="H316" i="127"/>
  <c r="J316" i="127" s="1"/>
  <c r="J318" i="127" s="1"/>
  <c r="H323" i="119"/>
  <c r="J323" i="119" s="1"/>
  <c r="J325" i="119" s="1"/>
  <c r="E110" i="141"/>
  <c r="G110" i="141" s="1"/>
  <c r="G111" i="141" s="1"/>
  <c r="G112" i="141" s="1"/>
  <c r="K22" i="140" s="1"/>
  <c r="J1163" i="127"/>
  <c r="J1164" i="127"/>
  <c r="J1165" i="127" s="1"/>
  <c r="J1166" i="127" s="1"/>
  <c r="H749" i="127" s="1"/>
  <c r="J749" i="127" s="1"/>
  <c r="J750" i="127" s="1"/>
  <c r="J751" i="127" s="1"/>
  <c r="J752" i="127" s="1"/>
  <c r="G125" i="113"/>
  <c r="G126" i="113" s="1"/>
  <c r="G127" i="113" s="1"/>
  <c r="G128" i="113" s="1"/>
  <c r="J50" i="186"/>
  <c r="L50" i="186" s="1"/>
  <c r="G143" i="162"/>
  <c r="H143" i="162" s="1"/>
  <c r="N143" i="162" s="1"/>
  <c r="G102" i="162"/>
  <c r="H102" i="162" s="1"/>
  <c r="N102" i="162" s="1"/>
  <c r="J57" i="187"/>
  <c r="L57" i="187" s="1"/>
  <c r="J49" i="167"/>
  <c r="G122" i="162"/>
  <c r="H122" i="162" s="1"/>
  <c r="N122" i="162" s="1"/>
  <c r="G29" i="162"/>
  <c r="L58" i="164"/>
  <c r="O7" i="175"/>
  <c r="K14" i="191"/>
  <c r="E82" i="190"/>
  <c r="G82" i="190" s="1"/>
  <c r="D83" i="190"/>
  <c r="L71" i="174"/>
  <c r="K70" i="174"/>
  <c r="A70" i="174" s="1"/>
  <c r="J81" i="187" l="1"/>
  <c r="L81" i="187" s="1"/>
  <c r="J73" i="167"/>
  <c r="L73" i="167" s="1"/>
  <c r="G126" i="162"/>
  <c r="H126" i="162" s="1"/>
  <c r="N126" i="162" s="1"/>
  <c r="G147" i="162"/>
  <c r="H147" i="162" s="1"/>
  <c r="N147" i="162" s="1"/>
  <c r="J81" i="186"/>
  <c r="L81" i="186" s="1"/>
  <c r="G108" i="162"/>
  <c r="H108" i="162" s="1"/>
  <c r="N108" i="162" s="1"/>
  <c r="K23" i="140"/>
  <c r="L22" i="140"/>
  <c r="P22" i="140" s="1"/>
  <c r="I45" i="140"/>
  <c r="L45" i="140" s="1"/>
  <c r="Q45" i="140" s="1"/>
  <c r="D46" i="140"/>
  <c r="I46" i="140" s="1"/>
  <c r="L46" i="140" s="1"/>
  <c r="R46" i="140" s="1"/>
  <c r="E195" i="113"/>
  <c r="G195" i="113" s="1"/>
  <c r="G196" i="113" s="1"/>
  <c r="G197" i="113" s="1"/>
  <c r="G198" i="113" s="1"/>
  <c r="N16" i="140"/>
  <c r="F11" i="139"/>
  <c r="H1445" i="127"/>
  <c r="J1445" i="127" s="1"/>
  <c r="J1446" i="127" s="1"/>
  <c r="G72" i="174"/>
  <c r="H72" i="174" s="1"/>
  <c r="H21" i="162"/>
  <c r="N119" i="162"/>
  <c r="G160" i="162"/>
  <c r="H160" i="162" s="1"/>
  <c r="L41" i="168"/>
  <c r="H158" i="150"/>
  <c r="G48" i="162"/>
  <c r="H48" i="162" s="1"/>
  <c r="N48" i="162" s="1"/>
  <c r="J33" i="199"/>
  <c r="G56" i="162"/>
  <c r="H56" i="162" s="1"/>
  <c r="N56" i="162" s="1"/>
  <c r="J33" i="204"/>
  <c r="L33" i="204" s="1"/>
  <c r="J33" i="165"/>
  <c r="L33" i="165" s="1"/>
  <c r="J45" i="168"/>
  <c r="J782" i="127"/>
  <c r="H791" i="127"/>
  <c r="J791" i="127" s="1"/>
  <c r="J793" i="127" s="1"/>
  <c r="P44" i="140"/>
  <c r="H575" i="119"/>
  <c r="J575" i="119" s="1"/>
  <c r="H576" i="119" s="1"/>
  <c r="J576" i="119" s="1"/>
  <c r="J577" i="119" s="1"/>
  <c r="G176" i="162"/>
  <c r="H176" i="162" s="1"/>
  <c r="N176" i="162" s="1"/>
  <c r="L28" i="170"/>
  <c r="J95" i="186"/>
  <c r="G88" i="162"/>
  <c r="H88" i="162" s="1"/>
  <c r="N88" i="162" s="1"/>
  <c r="J95" i="187"/>
  <c r="L95" i="187" s="1"/>
  <c r="J87" i="167"/>
  <c r="G39" i="162"/>
  <c r="H39" i="162" s="1"/>
  <c r="N39" i="162" s="1"/>
  <c r="J57" i="168"/>
  <c r="G55" i="162"/>
  <c r="H55" i="162" s="1"/>
  <c r="N55" i="162" s="1"/>
  <c r="G150" i="162"/>
  <c r="H150" i="162" s="1"/>
  <c r="N150" i="162" s="1"/>
  <c r="G47" i="162"/>
  <c r="H47" i="162" s="1"/>
  <c r="N47" i="162" s="1"/>
  <c r="G170" i="162"/>
  <c r="H170" i="162" s="1"/>
  <c r="L23" i="169"/>
  <c r="N80" i="162"/>
  <c r="H189" i="150"/>
  <c r="H191" i="150" s="1"/>
  <c r="H192" i="150" s="1"/>
  <c r="E10" i="171" s="1"/>
  <c r="H330" i="119"/>
  <c r="J330" i="119" s="1"/>
  <c r="H331" i="119" s="1"/>
  <c r="J331" i="119" s="1"/>
  <c r="J332" i="119"/>
  <c r="J333" i="119" s="1"/>
  <c r="J334" i="119" s="1"/>
  <c r="J335" i="119" s="1"/>
  <c r="H520" i="127"/>
  <c r="J520" i="127" s="1"/>
  <c r="J521" i="127" s="1"/>
  <c r="H250" i="127"/>
  <c r="J250" i="127" s="1"/>
  <c r="J251" i="127"/>
  <c r="D68" i="190"/>
  <c r="D69" i="190"/>
  <c r="E69" i="190" s="1"/>
  <c r="G69" i="190" s="1"/>
  <c r="E67" i="190"/>
  <c r="G67" i="190" s="1"/>
  <c r="M15" i="162"/>
  <c r="L14" i="162"/>
  <c r="A14" i="162" s="1"/>
  <c r="P80" i="140"/>
  <c r="G12" i="139" s="1"/>
  <c r="D12" i="139" s="1"/>
  <c r="N140" i="162"/>
  <c r="G261" i="150"/>
  <c r="H236" i="150"/>
  <c r="L49" i="167"/>
  <c r="G62" i="162"/>
  <c r="H62" i="162" s="1"/>
  <c r="N62" i="162" s="1"/>
  <c r="G72" i="162"/>
  <c r="H72" i="162" s="1"/>
  <c r="N72" i="162" s="1"/>
  <c r="G80" i="174"/>
  <c r="H80" i="174" s="1"/>
  <c r="H29" i="162"/>
  <c r="N29" i="162" s="1"/>
  <c r="H323" i="127"/>
  <c r="J323" i="127" s="1"/>
  <c r="J324" i="127"/>
  <c r="H230" i="127"/>
  <c r="J230" i="127" s="1"/>
  <c r="J231" i="127"/>
  <c r="H598" i="119"/>
  <c r="J598" i="119" s="1"/>
  <c r="J599" i="119" s="1"/>
  <c r="J600" i="119" s="1"/>
  <c r="J601" i="119" s="1"/>
  <c r="G92" i="162" s="1"/>
  <c r="H92" i="162" s="1"/>
  <c r="J24" i="165"/>
  <c r="J24" i="199"/>
  <c r="L24" i="199" s="1"/>
  <c r="J24" i="204"/>
  <c r="L24" i="204" s="1"/>
  <c r="L64" i="164"/>
  <c r="G175" i="162"/>
  <c r="H175" i="162" s="1"/>
  <c r="L24" i="170"/>
  <c r="N99" i="162"/>
  <c r="G171" i="162"/>
  <c r="H171" i="162" s="1"/>
  <c r="N171" i="162" s="1"/>
  <c r="L27" i="169"/>
  <c r="E83" i="190"/>
  <c r="G83" i="190" s="1"/>
  <c r="D84" i="190"/>
  <c r="K71" i="174"/>
  <c r="A71" i="174" s="1"/>
  <c r="L72" i="174"/>
  <c r="J72" i="174" l="1"/>
  <c r="H83" i="174"/>
  <c r="L47" i="140"/>
  <c r="L48" i="140" s="1"/>
  <c r="S47" i="140"/>
  <c r="L35" i="204"/>
  <c r="D7" i="189" s="1"/>
  <c r="E7" i="189" s="1"/>
  <c r="L33" i="170"/>
  <c r="D13" i="189" s="1"/>
  <c r="E13" i="189" s="1"/>
  <c r="J178" i="162" s="1"/>
  <c r="H159" i="150"/>
  <c r="H160" i="150" s="1"/>
  <c r="G183" i="162"/>
  <c r="H183" i="162" s="1"/>
  <c r="N183" i="162" s="1"/>
  <c r="G10" i="171"/>
  <c r="N92" i="162"/>
  <c r="I93" i="162"/>
  <c r="K93" i="162" s="1"/>
  <c r="J579" i="119"/>
  <c r="J578" i="119"/>
  <c r="E68" i="190"/>
  <c r="G68" i="190" s="1"/>
  <c r="D70" i="190"/>
  <c r="E70" i="190" s="1"/>
  <c r="G70" i="190" s="1"/>
  <c r="N170" i="162"/>
  <c r="I172" i="162"/>
  <c r="L45" i="168"/>
  <c r="G161" i="162"/>
  <c r="H161" i="162" s="1"/>
  <c r="N161" i="162" s="1"/>
  <c r="G40" i="162"/>
  <c r="H40" i="162" s="1"/>
  <c r="N40" i="162" s="1"/>
  <c r="L33" i="199"/>
  <c r="L35" i="199" s="1"/>
  <c r="D5" i="189" s="1"/>
  <c r="L23" i="140"/>
  <c r="K24" i="140"/>
  <c r="L24" i="140" s="1"/>
  <c r="R24" i="140" s="1"/>
  <c r="R80" i="140" s="1"/>
  <c r="G14" i="139" s="1"/>
  <c r="D14" i="139" s="1"/>
  <c r="J232" i="127"/>
  <c r="J233" i="127" s="1"/>
  <c r="J234" i="127" s="1"/>
  <c r="M16" i="162"/>
  <c r="L15" i="162"/>
  <c r="J252" i="127"/>
  <c r="J253" i="127"/>
  <c r="J254" i="127" s="1"/>
  <c r="J255" i="127" s="1"/>
  <c r="G152" i="162"/>
  <c r="H152" i="162" s="1"/>
  <c r="J89" i="187"/>
  <c r="L89" i="187" s="1"/>
  <c r="L108" i="187" s="1"/>
  <c r="D10" i="189" s="1"/>
  <c r="E10" i="189" s="1"/>
  <c r="J155" i="162" s="1"/>
  <c r="G132" i="162"/>
  <c r="H132" i="162" s="1"/>
  <c r="N132" i="162" s="1"/>
  <c r="J89" i="186"/>
  <c r="L89" i="186" s="1"/>
  <c r="J81" i="167"/>
  <c r="I64" i="162"/>
  <c r="K64" i="162" s="1"/>
  <c r="G163" i="162"/>
  <c r="H163" i="162" s="1"/>
  <c r="N163" i="162" s="1"/>
  <c r="L57" i="168"/>
  <c r="J1447" i="127"/>
  <c r="J1448" i="127" s="1"/>
  <c r="J1449" i="127" s="1"/>
  <c r="J1450" i="127" s="1"/>
  <c r="N80" i="140"/>
  <c r="G10" i="139" s="1"/>
  <c r="N175" i="162"/>
  <c r="I178" i="162"/>
  <c r="H253" i="150"/>
  <c r="H254" i="150" s="1"/>
  <c r="G130" i="162"/>
  <c r="H130" i="162" s="1"/>
  <c r="L95" i="186"/>
  <c r="H800" i="127"/>
  <c r="J800" i="127" s="1"/>
  <c r="H802" i="127" s="1"/>
  <c r="J802" i="127" s="1"/>
  <c r="N160" i="162"/>
  <c r="N21" i="162"/>
  <c r="I32" i="162"/>
  <c r="J32" i="162"/>
  <c r="E7" i="133"/>
  <c r="G37" i="162"/>
  <c r="H37" i="162" s="1"/>
  <c r="G53" i="162"/>
  <c r="H53" i="162" s="1"/>
  <c r="G45" i="162"/>
  <c r="H45" i="162" s="1"/>
  <c r="G69" i="162"/>
  <c r="H69" i="162" s="1"/>
  <c r="L24" i="165"/>
  <c r="L35" i="165" s="1"/>
  <c r="D6" i="189" s="1"/>
  <c r="J325" i="127"/>
  <c r="J326" i="127" s="1"/>
  <c r="J327" i="127" s="1"/>
  <c r="J328" i="127" s="1"/>
  <c r="G286" i="150"/>
  <c r="H261" i="150"/>
  <c r="F12" i="139"/>
  <c r="L29" i="169"/>
  <c r="D12" i="189" s="1"/>
  <c r="E12" i="189" s="1"/>
  <c r="J172" i="162" s="1"/>
  <c r="G110" i="162"/>
  <c r="H110" i="162" s="1"/>
  <c r="L87" i="167"/>
  <c r="D85" i="190"/>
  <c r="D86" i="190"/>
  <c r="E86" i="190" s="1"/>
  <c r="G86" i="190" s="1"/>
  <c r="E84" i="190"/>
  <c r="G84" i="190" s="1"/>
  <c r="K72" i="174"/>
  <c r="A72" i="174" s="1"/>
  <c r="L73" i="174"/>
  <c r="K178" i="162" l="1"/>
  <c r="L64" i="168"/>
  <c r="D11" i="189" s="1"/>
  <c r="E11" i="189" s="1"/>
  <c r="H256" i="150"/>
  <c r="E12" i="171"/>
  <c r="H190" i="150"/>
  <c r="L108" i="186"/>
  <c r="D9" i="189" s="1"/>
  <c r="G88" i="174" s="1"/>
  <c r="H88" i="174" s="1"/>
  <c r="H287" i="127"/>
  <c r="J287" i="127" s="1"/>
  <c r="J288" i="127" s="1"/>
  <c r="H298" i="127" s="1"/>
  <c r="J298" i="127" s="1"/>
  <c r="J299" i="127" s="1"/>
  <c r="I165" i="162"/>
  <c r="K165" i="162" s="1"/>
  <c r="N45" i="162"/>
  <c r="I48" i="162"/>
  <c r="D10" i="139"/>
  <c r="L81" i="167"/>
  <c r="L100" i="167" s="1"/>
  <c r="D8" i="189" s="1"/>
  <c r="E8" i="189" s="1"/>
  <c r="J114" i="162" s="1"/>
  <c r="G113" i="162"/>
  <c r="H113" i="162" s="1"/>
  <c r="N113" i="162" s="1"/>
  <c r="N152" i="162"/>
  <c r="I155" i="162"/>
  <c r="K155" i="162" s="1"/>
  <c r="L16" i="162"/>
  <c r="M17" i="162"/>
  <c r="F14" i="139"/>
  <c r="K172" i="162"/>
  <c r="N130" i="162"/>
  <c r="I135" i="162"/>
  <c r="G86" i="174"/>
  <c r="H86" i="174" s="1"/>
  <c r="E5" i="189"/>
  <c r="E9" i="189"/>
  <c r="Q23" i="140"/>
  <c r="L25" i="140"/>
  <c r="L80" i="140" s="1"/>
  <c r="L5" i="140" s="1"/>
  <c r="L6" i="140" s="1"/>
  <c r="N110" i="162"/>
  <c r="H278" i="150"/>
  <c r="N37" i="162"/>
  <c r="I40" i="162"/>
  <c r="O86" i="174" s="1"/>
  <c r="K32" i="162"/>
  <c r="N53" i="162"/>
  <c r="I56" i="162"/>
  <c r="O88" i="174" s="1"/>
  <c r="G87" i="174"/>
  <c r="H87" i="174" s="1"/>
  <c r="E6" i="189"/>
  <c r="J48" i="162" s="1"/>
  <c r="G315" i="150"/>
  <c r="H315" i="150" s="1"/>
  <c r="H286" i="150"/>
  <c r="N69" i="162"/>
  <c r="I75" i="162"/>
  <c r="F150" i="174"/>
  <c r="J803" i="127"/>
  <c r="E85" i="190"/>
  <c r="G85" i="190" s="1"/>
  <c r="D87" i="190"/>
  <c r="E87" i="190" s="1"/>
  <c r="G87" i="190" s="1"/>
  <c r="K73" i="174"/>
  <c r="A73" i="174" s="1"/>
  <c r="L74" i="174"/>
  <c r="J135" i="162" l="1"/>
  <c r="I114" i="162"/>
  <c r="G184" i="162"/>
  <c r="H184" i="162" s="1"/>
  <c r="N184" i="162" s="1"/>
  <c r="G12" i="171"/>
  <c r="K114" i="162"/>
  <c r="J300" i="127"/>
  <c r="J301" i="127"/>
  <c r="J302" i="127" s="1"/>
  <c r="J303" i="127" s="1"/>
  <c r="H303" i="150"/>
  <c r="J40" i="162"/>
  <c r="E14" i="189"/>
  <c r="E8" i="133" s="1"/>
  <c r="H343" i="150"/>
  <c r="H89" i="174"/>
  <c r="F10" i="139"/>
  <c r="G107" i="190"/>
  <c r="E14" i="133" s="1"/>
  <c r="H279" i="150"/>
  <c r="H280" i="150" s="1"/>
  <c r="H281" i="150" s="1"/>
  <c r="Q80" i="140"/>
  <c r="G13" i="139" s="1"/>
  <c r="S25" i="140"/>
  <c r="S80" i="140" s="1"/>
  <c r="K135" i="162"/>
  <c r="L17" i="162"/>
  <c r="A17" i="162" s="1"/>
  <c r="M18" i="162"/>
  <c r="O87" i="174"/>
  <c r="K48" i="162"/>
  <c r="J804" i="127"/>
  <c r="J805" i="127" s="1"/>
  <c r="J806" i="127" s="1"/>
  <c r="J807" i="127" s="1"/>
  <c r="L75" i="174"/>
  <c r="K74" i="174"/>
  <c r="A74" i="174" s="1"/>
  <c r="H344" i="150" l="1"/>
  <c r="H345" i="150" s="1"/>
  <c r="E8" i="171" s="1"/>
  <c r="E5" i="171"/>
  <c r="H304" i="150"/>
  <c r="H305" i="150" s="1"/>
  <c r="H306" i="150" s="1"/>
  <c r="E6" i="171" s="1"/>
  <c r="L18" i="162"/>
  <c r="A18" i="162" s="1"/>
  <c r="M19" i="162"/>
  <c r="E17" i="133"/>
  <c r="H17" i="133"/>
  <c r="H95" i="174"/>
  <c r="E6" i="163"/>
  <c r="F157" i="174"/>
  <c r="E16" i="133"/>
  <c r="E15" i="133"/>
  <c r="F151" i="174"/>
  <c r="G8" i="133"/>
  <c r="D13" i="139"/>
  <c r="G15" i="139"/>
  <c r="K75" i="174"/>
  <c r="A75" i="174" s="1"/>
  <c r="L76" i="174"/>
  <c r="G8" i="171" l="1"/>
  <c r="G182" i="162"/>
  <c r="H182" i="162" s="1"/>
  <c r="N182" i="162" s="1"/>
  <c r="L19" i="162"/>
  <c r="M20" i="162"/>
  <c r="E7" i="163"/>
  <c r="F158" i="174"/>
  <c r="H96" i="174"/>
  <c r="H97" i="174"/>
  <c r="E8" i="163"/>
  <c r="F159" i="174"/>
  <c r="G181" i="162"/>
  <c r="H181" i="162" s="1"/>
  <c r="N181" i="162" s="1"/>
  <c r="G6" i="171"/>
  <c r="F13" i="139"/>
  <c r="D15" i="139"/>
  <c r="F160" i="174"/>
  <c r="H98" i="174"/>
  <c r="E10" i="163"/>
  <c r="G5" i="171"/>
  <c r="G180" i="162"/>
  <c r="H180" i="162" s="1"/>
  <c r="H191" i="162" s="1"/>
  <c r="K76" i="174"/>
  <c r="A76" i="174" s="1"/>
  <c r="L77" i="174"/>
  <c r="G18" i="171" l="1"/>
  <c r="J190" i="162" s="1"/>
  <c r="N191" i="162"/>
  <c r="H192" i="162"/>
  <c r="L10" i="174"/>
  <c r="N180" i="162"/>
  <c r="I190" i="162"/>
  <c r="I191" i="162" s="1"/>
  <c r="I184" i="162"/>
  <c r="D16" i="139"/>
  <c r="E25" i="133" s="1"/>
  <c r="E24" i="133"/>
  <c r="E7" i="139"/>
  <c r="D17" i="139"/>
  <c r="L20" i="162"/>
  <c r="M21" i="162"/>
  <c r="K77" i="174"/>
  <c r="A77" i="174" s="1"/>
  <c r="L78" i="174"/>
  <c r="E9" i="133" l="1"/>
  <c r="K190" i="162"/>
  <c r="L12" i="174"/>
  <c r="G167" i="174"/>
  <c r="I167" i="174"/>
  <c r="L11" i="182"/>
  <c r="L13" i="174"/>
  <c r="B3" i="184"/>
  <c r="N192" i="162"/>
  <c r="M192" i="162" s="1"/>
  <c r="B3" i="179"/>
  <c r="F152" i="174"/>
  <c r="F154" i="174" s="1"/>
  <c r="H90" i="174"/>
  <c r="H92" i="174" s="1"/>
  <c r="E11" i="133"/>
  <c r="E26" i="133"/>
  <c r="E27" i="133" s="1"/>
  <c r="L4" i="140"/>
  <c r="L21" i="162"/>
  <c r="A21" i="162" s="1"/>
  <c r="M22" i="162"/>
  <c r="F7" i="139"/>
  <c r="E11" i="139"/>
  <c r="E12" i="139"/>
  <c r="E14" i="139"/>
  <c r="E10" i="139"/>
  <c r="E13" i="139"/>
  <c r="K78" i="174"/>
  <c r="A78" i="174" s="1"/>
  <c r="L79" i="174"/>
  <c r="M12" i="174" l="1"/>
  <c r="C3" i="179"/>
  <c r="C4" i="179"/>
  <c r="B6" i="179"/>
  <c r="I95" i="182"/>
  <c r="B96" i="182" s="1"/>
  <c r="E35" i="182"/>
  <c r="M193" i="162"/>
  <c r="L192" i="162"/>
  <c r="C3" i="184"/>
  <c r="C4" i="184"/>
  <c r="L22" i="162"/>
  <c r="A22" i="162" s="1"/>
  <c r="M23" i="162"/>
  <c r="I192" i="162"/>
  <c r="J192" i="162" s="1"/>
  <c r="E12" i="133"/>
  <c r="J191" i="162"/>
  <c r="K191" i="162" s="1"/>
  <c r="E13" i="133"/>
  <c r="E18" i="133" s="1"/>
  <c r="E15" i="139"/>
  <c r="K79" i="174"/>
  <c r="A79" i="174" s="1"/>
  <c r="L80" i="174"/>
  <c r="E4" i="184" l="1"/>
  <c r="E21" i="184"/>
  <c r="C21" i="184"/>
  <c r="D5" i="184"/>
  <c r="C9" i="184"/>
  <c r="C17" i="184" s="1"/>
  <c r="C8" i="184"/>
  <c r="D4" i="184"/>
  <c r="F4" i="184" s="1"/>
  <c r="C7" i="184"/>
  <c r="C13" i="179"/>
  <c r="C15" i="179"/>
  <c r="C12" i="179"/>
  <c r="C14" i="179"/>
  <c r="C11" i="179"/>
  <c r="L193" i="162"/>
  <c r="M194" i="162"/>
  <c r="L194" i="162" s="1"/>
  <c r="B25" i="182"/>
  <c r="B105" i="182"/>
  <c r="B100" i="182"/>
  <c r="E36" i="182"/>
  <c r="E37" i="182" s="1"/>
  <c r="E38" i="182" s="1"/>
  <c r="E39" i="182" s="1"/>
  <c r="E40" i="182" s="1"/>
  <c r="E41" i="182" s="1"/>
  <c r="E42" i="182" s="1"/>
  <c r="E43" i="182" s="1"/>
  <c r="B98" i="182"/>
  <c r="E4" i="179"/>
  <c r="C8" i="179"/>
  <c r="E26" i="179"/>
  <c r="C9" i="179"/>
  <c r="C17" i="179" s="1"/>
  <c r="D5" i="179"/>
  <c r="D4" i="179"/>
  <c r="C21" i="179"/>
  <c r="C7" i="179"/>
  <c r="E21" i="179"/>
  <c r="H93" i="174"/>
  <c r="F155" i="174"/>
  <c r="F161" i="174"/>
  <c r="E19" i="133"/>
  <c r="G20" i="133" s="1"/>
  <c r="E20" i="133" s="1"/>
  <c r="E21" i="133" s="1"/>
  <c r="E5" i="163"/>
  <c r="H94" i="174"/>
  <c r="F156" i="174"/>
  <c r="M24" i="162"/>
  <c r="L23" i="162"/>
  <c r="A23" i="162" s="1"/>
  <c r="L81" i="174"/>
  <c r="K81" i="174" s="1"/>
  <c r="A81" i="174" s="1"/>
  <c r="K80" i="174"/>
  <c r="A80" i="174" s="1"/>
  <c r="K101" i="174" l="1"/>
  <c r="C25" i="179"/>
  <c r="D21" i="179"/>
  <c r="C22" i="179"/>
  <c r="F26" i="179"/>
  <c r="G26" i="179" s="1"/>
  <c r="E28" i="179"/>
  <c r="F28" i="179" s="1"/>
  <c r="E27" i="179"/>
  <c r="F27" i="179" s="1"/>
  <c r="D21" i="184"/>
  <c r="C25" i="184"/>
  <c r="C23" i="184"/>
  <c r="D23" i="184" s="1"/>
  <c r="C22" i="184"/>
  <c r="D22" i="184" s="1"/>
  <c r="E23" i="179"/>
  <c r="F23" i="179" s="1"/>
  <c r="F21" i="179"/>
  <c r="G21" i="179" s="1"/>
  <c r="E22" i="179"/>
  <c r="F22" i="179" s="1"/>
  <c r="C18" i="179"/>
  <c r="D18" i="179" s="1"/>
  <c r="D17" i="179"/>
  <c r="C19" i="179"/>
  <c r="D19" i="179" s="1"/>
  <c r="F4" i="179"/>
  <c r="E22" i="184"/>
  <c r="F22" i="184" s="1"/>
  <c r="F21" i="184"/>
  <c r="E23" i="184"/>
  <c r="F23" i="184" s="1"/>
  <c r="C18" i="184"/>
  <c r="C19" i="184"/>
  <c r="I20" i="133"/>
  <c r="E28" i="133"/>
  <c r="L9" i="174"/>
  <c r="F164" i="174"/>
  <c r="L164" i="174" s="1"/>
  <c r="M25" i="162"/>
  <c r="L24" i="162"/>
  <c r="A24" i="162" s="1"/>
  <c r="H20" i="133"/>
  <c r="H100" i="174"/>
  <c r="F163" i="174"/>
  <c r="H99" i="174"/>
  <c r="E9" i="163"/>
  <c r="E11" i="163" s="1"/>
  <c r="H167" i="174" s="1"/>
  <c r="F162" i="174"/>
  <c r="G21" i="133"/>
  <c r="H101" i="174" l="1"/>
  <c r="E104" i="174" s="1"/>
  <c r="E105" i="174" s="1"/>
  <c r="E19" i="179"/>
  <c r="H27" i="179"/>
  <c r="D22" i="179"/>
  <c r="G22" i="179"/>
  <c r="C23" i="179"/>
  <c r="G27" i="179"/>
  <c r="H26" i="179"/>
  <c r="E18" i="179"/>
  <c r="E17" i="179"/>
  <c r="D20" i="179"/>
  <c r="H25" i="179"/>
  <c r="H28" i="179" s="1"/>
  <c r="B142" i="174"/>
  <c r="B178" i="174"/>
  <c r="F167" i="174"/>
  <c r="L178" i="174"/>
  <c r="A32" i="133"/>
  <c r="L25" i="162"/>
  <c r="A25" i="162" s="1"/>
  <c r="M26" i="162"/>
  <c r="G23" i="179" l="1"/>
  <c r="G28" i="179"/>
  <c r="D23" i="179"/>
  <c r="L26" i="162"/>
  <c r="A26" i="162" s="1"/>
  <c r="M27" i="162"/>
  <c r="L27" i="162" l="1"/>
  <c r="A27" i="162" s="1"/>
  <c r="M28" i="162"/>
  <c r="L28" i="162" l="1"/>
  <c r="A28" i="162" s="1"/>
  <c r="M29" i="162"/>
  <c r="M30" i="162" s="1"/>
  <c r="M31" i="162" s="1"/>
  <c r="L29" i="162" l="1"/>
  <c r="A29" i="162" s="1"/>
  <c r="L30" i="162"/>
  <c r="L31" i="162"/>
  <c r="M32" i="162"/>
  <c r="L32" i="162" l="1"/>
  <c r="M33" i="162"/>
  <c r="L33" i="162" l="1"/>
  <c r="M34" i="162"/>
  <c r="L34" i="162" l="1"/>
  <c r="M35" i="162"/>
  <c r="M36" i="162" l="1"/>
  <c r="L35" i="162"/>
  <c r="M37" i="162" l="1"/>
  <c r="L36" i="162"/>
  <c r="L37" i="162" l="1"/>
  <c r="M38" i="162"/>
  <c r="L38" i="162" l="1"/>
  <c r="M39" i="162"/>
  <c r="M40" i="162" l="1"/>
  <c r="L39" i="162"/>
  <c r="M41" i="162" l="1"/>
  <c r="L40" i="162"/>
  <c r="L41" i="162" l="1"/>
  <c r="M42" i="162"/>
  <c r="L42" i="162" l="1"/>
  <c r="M43" i="162"/>
  <c r="M44" i="162" l="1"/>
  <c r="L43" i="162"/>
  <c r="M45" i="162" l="1"/>
  <c r="L44" i="162"/>
  <c r="L45" i="162" l="1"/>
  <c r="M46" i="162"/>
  <c r="L46" i="162" l="1"/>
  <c r="M47" i="162"/>
  <c r="M48" i="162" l="1"/>
  <c r="L47" i="162"/>
  <c r="L48" i="162" l="1"/>
  <c r="M49" i="162"/>
  <c r="L49" i="162" l="1"/>
  <c r="M50" i="162"/>
  <c r="L50" i="162" l="1"/>
  <c r="M51" i="162"/>
  <c r="M52" i="162" l="1"/>
  <c r="L51" i="162"/>
  <c r="M53" i="162" l="1"/>
  <c r="L52" i="162"/>
  <c r="L53" i="162" l="1"/>
  <c r="M54" i="162"/>
  <c r="L54" i="162" l="1"/>
  <c r="M55" i="162"/>
  <c r="M56" i="162" l="1"/>
  <c r="L55" i="162"/>
  <c r="M57" i="162" l="1"/>
  <c r="L56" i="162"/>
  <c r="L57" i="162" l="1"/>
  <c r="M58" i="162"/>
  <c r="L58" i="162" l="1"/>
  <c r="M59" i="162"/>
  <c r="M60" i="162" l="1"/>
  <c r="L59" i="162"/>
  <c r="M61" i="162" l="1"/>
  <c r="L60" i="162"/>
  <c r="L61" i="162" l="1"/>
  <c r="M62" i="162"/>
  <c r="L62" i="162" l="1"/>
  <c r="M63" i="162"/>
  <c r="M64" i="162" l="1"/>
  <c r="L63" i="162"/>
  <c r="M65" i="162" l="1"/>
  <c r="L64" i="162"/>
  <c r="L65" i="162" l="1"/>
  <c r="M66" i="162"/>
  <c r="L66" i="162" l="1"/>
  <c r="M67" i="162"/>
  <c r="M68" i="162" l="1"/>
  <c r="L67" i="162"/>
  <c r="M69" i="162" l="1"/>
  <c r="L68" i="162"/>
  <c r="L69" i="162" l="1"/>
  <c r="M70" i="162"/>
  <c r="L70" i="162" l="1"/>
  <c r="M71" i="162"/>
  <c r="M72" i="162" l="1"/>
  <c r="L71" i="162"/>
  <c r="M73" i="162" l="1"/>
  <c r="L72" i="162"/>
  <c r="L73" i="162" l="1"/>
  <c r="M74" i="162"/>
  <c r="L74" i="162" l="1"/>
  <c r="M75" i="162"/>
  <c r="M76" i="162" l="1"/>
  <c r="L75" i="162"/>
  <c r="M77" i="162" l="1"/>
  <c r="L76" i="162"/>
  <c r="L77" i="162" l="1"/>
  <c r="M78" i="162"/>
  <c r="L78" i="162" l="1"/>
  <c r="M79" i="162"/>
  <c r="M80" i="162" l="1"/>
  <c r="L79" i="162"/>
  <c r="M81" i="162" l="1"/>
  <c r="L80" i="162"/>
  <c r="L81" i="162" l="1"/>
  <c r="M82" i="162"/>
  <c r="L82" i="162" l="1"/>
  <c r="M83" i="162"/>
  <c r="M84" i="162" l="1"/>
  <c r="L83" i="162"/>
  <c r="M85" i="162" l="1"/>
  <c r="L84" i="162"/>
  <c r="L85" i="162" l="1"/>
  <c r="M86" i="162"/>
  <c r="L86" i="162" l="1"/>
  <c r="M87" i="162"/>
  <c r="M88" i="162" l="1"/>
  <c r="L87" i="162"/>
  <c r="M89" i="162" l="1"/>
  <c r="L88" i="162"/>
  <c r="L89" i="162" l="1"/>
  <c r="M90" i="162"/>
  <c r="L90" i="162" l="1"/>
  <c r="M91" i="162"/>
  <c r="M92" i="162" l="1"/>
  <c r="L91" i="162"/>
  <c r="M93" i="162" l="1"/>
  <c r="L92" i="162"/>
  <c r="M94" i="162" l="1"/>
  <c r="L93" i="162"/>
  <c r="M95" i="162" l="1"/>
  <c r="L94" i="162"/>
  <c r="M96" i="162" l="1"/>
  <c r="L95" i="162"/>
  <c r="M97" i="162" l="1"/>
  <c r="L96" i="162"/>
  <c r="L97" i="162" l="1"/>
  <c r="M98" i="162"/>
  <c r="L98" i="162" l="1"/>
  <c r="M99" i="162"/>
  <c r="M100" i="162" l="1"/>
  <c r="L99" i="162"/>
  <c r="M101" i="162" l="1"/>
  <c r="L100" i="162"/>
  <c r="L101" i="162" l="1"/>
  <c r="M102" i="162"/>
  <c r="L102" i="162" l="1"/>
  <c r="M103" i="162"/>
  <c r="M104" i="162" l="1"/>
  <c r="L103" i="162"/>
  <c r="M105" i="162" l="1"/>
  <c r="L104" i="162"/>
  <c r="L105" i="162" l="1"/>
  <c r="M106" i="162"/>
  <c r="L106" i="162" l="1"/>
  <c r="M107" i="162"/>
  <c r="L107" i="162" l="1"/>
  <c r="M108" i="162"/>
  <c r="M109" i="162" l="1"/>
  <c r="L108" i="162"/>
  <c r="M110" i="162" l="1"/>
  <c r="L109" i="162"/>
  <c r="L110" i="162" l="1"/>
  <c r="M111" i="162"/>
  <c r="L111" i="162" l="1"/>
  <c r="M112" i="162"/>
  <c r="M113" i="162" l="1"/>
  <c r="L112" i="162"/>
  <c r="M114" i="162" l="1"/>
  <c r="L113" i="162"/>
  <c r="M115" i="162" l="1"/>
  <c r="L114" i="162"/>
  <c r="L115" i="162" l="1"/>
  <c r="M116" i="162"/>
  <c r="M117" i="162" l="1"/>
  <c r="L116" i="162"/>
  <c r="M118" i="162" l="1"/>
  <c r="L117" i="162"/>
  <c r="L118" i="162" l="1"/>
  <c r="M119" i="162"/>
  <c r="L119" i="162" l="1"/>
  <c r="M120" i="162"/>
  <c r="M121" i="162" l="1"/>
  <c r="L120" i="162"/>
  <c r="M122" i="162" l="1"/>
  <c r="L121" i="162"/>
  <c r="L122" i="162" l="1"/>
  <c r="M123" i="162"/>
  <c r="L123" i="162" l="1"/>
  <c r="M124" i="162"/>
  <c r="M125" i="162" l="1"/>
  <c r="L124" i="162"/>
  <c r="M126" i="162" l="1"/>
  <c r="L125" i="162"/>
  <c r="L126" i="162" l="1"/>
  <c r="M127" i="162"/>
  <c r="L127" i="162" l="1"/>
  <c r="M128" i="162"/>
  <c r="M129" i="162" l="1"/>
  <c r="L128" i="162"/>
  <c r="M130" i="162" l="1"/>
  <c r="L129" i="162"/>
  <c r="L130" i="162" l="1"/>
  <c r="M131" i="162"/>
  <c r="L131" i="162" l="1"/>
  <c r="M132" i="162"/>
  <c r="M133" i="162" l="1"/>
  <c r="L132" i="162"/>
  <c r="M134" i="162" l="1"/>
  <c r="L133" i="162"/>
  <c r="L134" i="162" l="1"/>
  <c r="M135" i="162"/>
  <c r="M136" i="162" l="1"/>
  <c r="L135" i="162"/>
  <c r="M137" i="162" l="1"/>
  <c r="L136" i="162"/>
  <c r="M138" i="162" l="1"/>
  <c r="L137" i="162"/>
  <c r="L138" i="162" l="1"/>
  <c r="M139" i="162"/>
  <c r="L139" i="162" l="1"/>
  <c r="M140" i="162"/>
  <c r="M141" i="162" l="1"/>
  <c r="L140" i="162"/>
  <c r="M142" i="162" l="1"/>
  <c r="L141" i="162"/>
  <c r="L142" i="162" l="1"/>
  <c r="M143" i="162"/>
  <c r="L143" i="162" l="1"/>
  <c r="M144" i="162"/>
  <c r="M145" i="162" l="1"/>
  <c r="L144" i="162"/>
  <c r="M146" i="162" l="1"/>
  <c r="L145" i="162"/>
  <c r="L146" i="162" l="1"/>
  <c r="M147" i="162"/>
  <c r="L147" i="162" l="1"/>
  <c r="M148" i="162"/>
  <c r="M149" i="162" l="1"/>
  <c r="L148" i="162"/>
  <c r="M150" i="162" l="1"/>
  <c r="L149" i="162"/>
  <c r="L150" i="162" l="1"/>
  <c r="M151" i="162"/>
  <c r="L151" i="162" l="1"/>
  <c r="M152" i="162"/>
  <c r="M153" i="162" l="1"/>
  <c r="L152" i="162"/>
  <c r="M154" i="162" l="1"/>
  <c r="L153" i="162"/>
  <c r="L154" i="162" l="1"/>
  <c r="M155" i="162"/>
  <c r="L155" i="162" l="1"/>
  <c r="M156" i="162"/>
  <c r="M157" i="162" l="1"/>
  <c r="L156" i="162"/>
  <c r="M158" i="162" l="1"/>
  <c r="L157" i="162"/>
  <c r="L158" i="162" l="1"/>
  <c r="M159" i="162"/>
  <c r="L159" i="162" l="1"/>
  <c r="M160" i="162"/>
  <c r="M161" i="162" l="1"/>
  <c r="L160" i="162"/>
  <c r="M162" i="162" l="1"/>
  <c r="L161" i="162"/>
  <c r="L162" i="162" l="1"/>
  <c r="M163" i="162"/>
  <c r="L163" i="162" l="1"/>
  <c r="M164" i="162"/>
  <c r="M165" i="162" l="1"/>
  <c r="L164" i="162"/>
  <c r="M166" i="162" l="1"/>
  <c r="L165" i="162"/>
  <c r="M167" i="162" l="1"/>
  <c r="L166" i="162"/>
  <c r="L167" i="162" l="1"/>
  <c r="M168" i="162"/>
  <c r="M169" i="162" l="1"/>
  <c r="L168" i="162"/>
  <c r="M170" i="162" l="1"/>
  <c r="L169" i="162"/>
  <c r="L170" i="162" l="1"/>
  <c r="M171" i="162"/>
  <c r="M172" i="162" l="1"/>
  <c r="L171" i="162"/>
  <c r="M173" i="162" l="1"/>
  <c r="L172" i="162"/>
  <c r="L173" i="162" l="1"/>
  <c r="M174" i="162"/>
  <c r="M175" i="162" l="1"/>
  <c r="L174" i="162"/>
  <c r="M176" i="162" l="1"/>
  <c r="L175" i="162"/>
  <c r="M177" i="162" l="1"/>
  <c r="L176" i="162"/>
  <c r="M178" i="162" l="1"/>
  <c r="L177" i="162"/>
  <c r="M179" i="162" l="1"/>
  <c r="L178" i="162"/>
  <c r="M180" i="162" l="1"/>
  <c r="L179" i="162"/>
  <c r="L180" i="162" l="1"/>
  <c r="M181" i="162"/>
  <c r="L181" i="162" l="1"/>
  <c r="M182" i="162"/>
  <c r="L182" i="162" l="1"/>
  <c r="M183" i="162"/>
  <c r="L183" i="162" l="1"/>
  <c r="M184" i="162"/>
  <c r="L184" i="162" l="1"/>
  <c r="M185" i="162"/>
  <c r="L185" i="162" l="1"/>
  <c r="M186" i="162"/>
  <c r="M187" i="162" l="1"/>
  <c r="L186" i="162"/>
  <c r="L187" i="162" l="1"/>
  <c r="M188" i="162"/>
  <c r="L188" i="162" l="1"/>
  <c r="D192" i="162" s="1"/>
  <c r="M189" i="162"/>
  <c r="L189" i="162" l="1"/>
  <c r="A189" i="162" s="1"/>
  <c r="M190" i="162"/>
  <c r="L190" i="162" l="1"/>
  <c r="M191" i="162"/>
  <c r="L191" i="162" s="1"/>
</calcChain>
</file>

<file path=xl/sharedStrings.xml><?xml version="1.0" encoding="utf-8"?>
<sst xmlns="http://schemas.openxmlformats.org/spreadsheetml/2006/main" count="10597" uniqueCount="2819">
  <si>
    <t xml:space="preserve">DATA-CD STRUCTURES </t>
  </si>
  <si>
    <t>Name of Work  ::-</t>
  </si>
  <si>
    <t>S.No.</t>
  </si>
  <si>
    <t>Quantity</t>
  </si>
  <si>
    <t>Description of Item</t>
  </si>
  <si>
    <t>Rate</t>
  </si>
  <si>
    <t xml:space="preserve">per </t>
  </si>
  <si>
    <t>Amount (Rs.)</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</si>
  <si>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MoRT&amp;H 202 and as directed by the Engineer.(By Mechanical means in Cement Concrete grade M-15 &amp; M-20)</t>
  </si>
  <si>
    <t>Page 23,24,25  of MoRT&amp;H SDB</t>
  </si>
  <si>
    <t>Unit = cum</t>
  </si>
  <si>
    <t>Taking output = 1.25 cum</t>
  </si>
  <si>
    <t>(A) Labour</t>
  </si>
  <si>
    <t>no</t>
  </si>
  <si>
    <t>Mate</t>
  </si>
  <si>
    <t>Mazdoor skilled</t>
  </si>
  <si>
    <t>Mazdoor unskilled</t>
  </si>
  <si>
    <t>Agency area allowance</t>
  </si>
  <si>
    <t>TOTAL</t>
  </si>
  <si>
    <t>A =</t>
  </si>
  <si>
    <t>(B ) Machinery</t>
  </si>
  <si>
    <t xml:space="preserve">Air compressor 250 cfm with 2 leads of </t>
  </si>
  <si>
    <t xml:space="preserve">pneumatic breaker @ 1.5 cum per hour </t>
  </si>
  <si>
    <t>hour</t>
  </si>
  <si>
    <t>Tractor Trolley</t>
  </si>
  <si>
    <t>B =</t>
  </si>
  <si>
    <t>(A + B )</t>
  </si>
  <si>
    <t>(C)</t>
  </si>
  <si>
    <t>Over Head Charges on (A+B)</t>
  </si>
  <si>
    <t>%</t>
  </si>
  <si>
    <t>(D) Contractors Profit on (A+B+C)</t>
  </si>
  <si>
    <t>cum</t>
  </si>
  <si>
    <r>
      <rPr>
        <sz val="12"/>
        <rFont val="Tahoma"/>
        <charset val="134"/>
      </rPr>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
    </r>
    <r>
      <rPr>
        <vertAlign val="superscript"/>
        <sz val="12"/>
        <rFont val="Tahoma"/>
        <charset val="134"/>
      </rPr>
      <t>th</t>
    </r>
    <r>
      <rPr>
        <sz val="12"/>
        <rFont val="Tahoma"/>
        <charset val="134"/>
      </rPr>
      <t xml:space="preserve"> Revision)  and as directed by the Engineer-in-Charge. (Payment Based on Levels)</t>
    </r>
  </si>
  <si>
    <t>Unit : Cum</t>
  </si>
  <si>
    <t>Page 323 of MoRT&amp;H SDB</t>
  </si>
  <si>
    <t xml:space="preserve">Taking out put = 240 Cum </t>
  </si>
  <si>
    <t>(A)</t>
  </si>
  <si>
    <t>Labour</t>
  </si>
  <si>
    <t>day</t>
  </si>
  <si>
    <t>(B)</t>
  </si>
  <si>
    <t>Machinery</t>
  </si>
  <si>
    <t>hr</t>
  </si>
  <si>
    <t>Hydraualic Excavator 1 Cum bucket capacity @ 60 cum/hr</t>
  </si>
  <si>
    <t>Rate as per G.O. Ms No 10, Dt 26/7/2005</t>
  </si>
  <si>
    <t xml:space="preserve">Over head charges </t>
  </si>
  <si>
    <t>(D)</t>
  </si>
  <si>
    <t>Total of (A) + (B)+( C)</t>
  </si>
  <si>
    <t>(E)</t>
  </si>
  <si>
    <t>Add Contractors Profit at 10% on (D)</t>
  </si>
  <si>
    <t>Cost per 240 cum (D)+(E)</t>
  </si>
  <si>
    <t xml:space="preserve">Rate for 1 cum </t>
  </si>
  <si>
    <t>Add seignorage charges (1*22)</t>
  </si>
  <si>
    <t>Rate to be adopted</t>
  </si>
  <si>
    <t>1 Cum</t>
  </si>
  <si>
    <t>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t>
  </si>
  <si>
    <t>Page 335 of MoRT&amp;H SDB</t>
  </si>
  <si>
    <t>Taking output = 15 cum</t>
  </si>
  <si>
    <t>Day</t>
  </si>
  <si>
    <t>Mason</t>
  </si>
  <si>
    <t>Mazdoor</t>
  </si>
  <si>
    <t>Total</t>
  </si>
  <si>
    <t>Material</t>
  </si>
  <si>
    <t>Cost of 40mm SS-5 HBG M/C  metal</t>
  </si>
  <si>
    <t>Cost of 20mm SS-5 HBG M/C  metal</t>
  </si>
  <si>
    <t>Cost of 10mm SS-5 HBG M/C  metal</t>
  </si>
  <si>
    <t>Sand at site</t>
  </si>
  <si>
    <t>MT</t>
  </si>
  <si>
    <t>Cement at site</t>
  </si>
  <si>
    <t>Concrete mixer 0.4/0.28 cum</t>
  </si>
  <si>
    <t>Generator set 35 KVA</t>
  </si>
  <si>
    <t>Water tanker 6 KL capacity</t>
  </si>
  <si>
    <t>Form work</t>
  </si>
  <si>
    <t>Form work @ 10% on (A)+(B)+( C)</t>
  </si>
  <si>
    <t>Cum</t>
  </si>
  <si>
    <t xml:space="preserve">Over head charges @ 5% </t>
  </si>
  <si>
    <t>Add for Over head charges @ 5% on (A)+(B)+( C)</t>
  </si>
  <si>
    <t>(F)</t>
  </si>
  <si>
    <t>Total of (A) + (B)+( C)+(D)+(E)</t>
  </si>
  <si>
    <t>(G)</t>
  </si>
  <si>
    <t>Add Contractors Profit at 10% on (F)</t>
  </si>
  <si>
    <t>Cost per 15 cum (F)+(G)</t>
  </si>
  <si>
    <t>Rate for 1 cum</t>
  </si>
  <si>
    <t xml:space="preserve">Providing and filling  bedding of Granular material around the pipes of  Hume pipe culverts suitably compacted / rammed including cost, (excluding  seigniorage) and conveyance of materials to site etc.,  complete as per drawing and MoRT&amp;H Specification  2900 ( 5th Revision) and as directed by the Engineer-in-Charge. </t>
  </si>
  <si>
    <t>Page 462 of MoRT&amp;H SDB</t>
  </si>
  <si>
    <t>Taking output = 10 cum</t>
  </si>
  <si>
    <t xml:space="preserve"> </t>
  </si>
  <si>
    <t>Cost of Gravel</t>
  </si>
  <si>
    <t>©</t>
  </si>
  <si>
    <t>Plate compactor/Power rammer/road roller</t>
  </si>
  <si>
    <t>Total of (A) + (B)+( C)+(D)</t>
  </si>
  <si>
    <t>Add Contractors Profit at 10% on (E)</t>
  </si>
  <si>
    <t>Cost per 10 cum (E)+(F)</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</si>
  <si>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 &amp; Sub structure .</t>
  </si>
  <si>
    <t>Page 335,455 of MoRT&amp;H SDB</t>
  </si>
  <si>
    <t>(c )</t>
  </si>
  <si>
    <t xml:space="preserve">Form work charges @ 4% </t>
  </si>
  <si>
    <t>Add for Form work charges @ 4% on (A)+(B)+(C)</t>
  </si>
  <si>
    <t xml:space="preserve">Over head charges @ 3% </t>
  </si>
  <si>
    <t>Cost per 15 cum (E)+(F)</t>
  </si>
  <si>
    <t>Providing Vibrated Cement Concrete (1:3:6) mix using 40mm size HBG crushed stone aggregate and fine aggregate conforming to table 1000-2 of MoRT&amp;H including cost, (excluding  seigniorage)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foundations.</t>
  </si>
  <si>
    <t>Page 271 of MoRT&amp;H SDB</t>
  </si>
  <si>
    <r>
      <rPr>
        <sz val="12"/>
        <rFont val="Arial"/>
        <charset val="134"/>
      </rPr>
      <t>Providing, laying Reinforced cement concrete Hume pipes of 1000 mm Dia.,</t>
    </r>
    <r>
      <rPr>
        <b/>
        <sz val="12"/>
        <rFont val="Arial"/>
        <charset val="134"/>
      </rPr>
      <t xml:space="preserve"> NP-4</t>
    </r>
    <r>
      <rPr>
        <sz val="12"/>
        <rFont val="Arial"/>
        <charset val="134"/>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r>
      <rPr>
        <b/>
        <sz val="12"/>
        <rFont val="Arial"/>
        <charset val="134"/>
      </rPr>
      <t>(NP-4 Concrete Pipe on First Class Bedding in Single Row)</t>
    </r>
  </si>
  <si>
    <t>Unit = metre</t>
  </si>
  <si>
    <t>Page 272,273 of MoRT&amp;H SDB</t>
  </si>
  <si>
    <t>Taking output = 12.5 metre</t>
  </si>
  <si>
    <t>1000 mm Dia.,</t>
  </si>
  <si>
    <t>nos</t>
  </si>
  <si>
    <t>RM</t>
  </si>
  <si>
    <t>Cost of 1000mm Dia., pipes</t>
  </si>
  <si>
    <t>Over head charges @ 5%</t>
  </si>
  <si>
    <t>Cost per 12.5 metre (D)+(E)</t>
  </si>
  <si>
    <t>Rate for 1 RM</t>
  </si>
  <si>
    <t>1 RM</t>
  </si>
  <si>
    <t xml:space="preserve">Providing and laying filter material with Gravel underneath pitching in slopes including cost, (excluding  seigniorage) charges and conveyance of materials to site including labour charges  etc., complete for finished item of work as per MoRT&amp;H Specification 2504 (5th Revision) and as directed by the Engineer-in-Charge  </t>
  </si>
  <si>
    <t>Page 523 of MoRT&amp;H SDB</t>
  </si>
  <si>
    <t>Taking output = 1 cum</t>
  </si>
  <si>
    <t>Providing dry rough stone revetment 300 mm thick with HBG stone of not less than 300 mm size including cost, (excluding  seigniorage) charges and conveyance of materials to site and including labour charges for packing the stones for revetment etc., complete for finished item of work as per MoRT&amp;H specification 2504 ( 5th revision ) and as directed by the Engineer-in-Charge  for  Pitching of slopes</t>
  </si>
  <si>
    <t>Page 522 of MoRT&amp;H SDB</t>
  </si>
  <si>
    <t>Cost of Rough stone HBG  300mm thick</t>
  </si>
  <si>
    <t xml:space="preserve">Cost of stone spalls </t>
  </si>
  <si>
    <t>Cost per 1 cum (E)+(F)</t>
  </si>
  <si>
    <t>Providing and laying Boulder's apron on  River Bed for protection against scour with stone boulders weighing not less than 40 k.g each complete as per drawing and technical specification 300 mm thick with HBG stone of not less than 300 mm size including cost, (excluding  seigniorage) charges and conveyance of materials to site and including labour charges for packing the stones for apron etc., complete for finished item of work as per MoRT&amp;H specification 2503 ( 5th revision ) and as directed by the Engineer-in-Charge  for  Bed Protection.</t>
  </si>
  <si>
    <t>Taking out put = 1 Cum</t>
  </si>
  <si>
    <t>Page 520 of MoRT&amp;H SDB</t>
  </si>
  <si>
    <t>Mazdoor Unskilled</t>
  </si>
  <si>
    <t>Cost of stones spalls</t>
  </si>
  <si>
    <t>Cost  per 10 sqm  (D) + (E)</t>
  </si>
  <si>
    <t>Rate per sqm</t>
  </si>
  <si>
    <t xml:space="preserve">Rate per 1 sqm </t>
  </si>
  <si>
    <t>1 sqm</t>
  </si>
  <si>
    <t>Unit = Sqm</t>
  </si>
  <si>
    <t>Page 220 of MoRT&amp;H SDB</t>
  </si>
  <si>
    <t>Taking output = 40 Sqm</t>
  </si>
  <si>
    <t>Painter</t>
  </si>
  <si>
    <t>Paint (Page No 20, Sno 71)</t>
  </si>
  <si>
    <t>Cost per 40 Sqm (E)+(F)</t>
  </si>
  <si>
    <t>Rate for 1 Sqm</t>
  </si>
  <si>
    <t>1 Sqm</t>
  </si>
  <si>
    <t>Filling in between body walls  with gravel including cost,conveyance and  (excluding  seigniorage) of all materials to site etc., complete  as per   Clause 710.1.4 of IRC : 78 and as per  MoRT&amp;H Specification No. 2200 &amp; 2907 (5th Revision) and as per Drawing and technical specifications  for finished item of work</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</si>
  <si>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t>
  </si>
  <si>
    <t>Page 463 of MoRT&amp;H SDB</t>
  </si>
  <si>
    <t>skiled</t>
  </si>
  <si>
    <t>Cost of 150mm size IRC soling stone</t>
  </si>
  <si>
    <t>Cost of 40mm size IRC metal</t>
  </si>
  <si>
    <t>Over head charges</t>
  </si>
  <si>
    <t xml:space="preserve">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Curtainwalls </t>
  </si>
  <si>
    <t>Add for Over head charges @ 4% on (A)+(B)+(C)</t>
  </si>
  <si>
    <t>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Sub Structures.</t>
  </si>
  <si>
    <t>Page 335,500 of MoRT&amp;H SDB</t>
  </si>
  <si>
    <t xml:space="preserve">Form work charges @ 10% </t>
  </si>
  <si>
    <t>Vibrated  cement concrete M20 Grade Concrete using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1500,1600, 1700, 2200 (5th Revision)  for Bed Blocks &amp; Backing Walls</t>
  </si>
  <si>
    <t>Page 472, 457 of MoRT&amp;H SDB</t>
  </si>
  <si>
    <t xml:space="preserve">Form work charges @ 20% </t>
  </si>
  <si>
    <t>Vibrated  cement concrete M20 Grade Concrete using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1500,1600, 1700, 2200 (5th Revision)  for Deck Slabs</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</si>
  <si>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2704 as directed by the Engineer-in-Charge for Approach Slabs</t>
  </si>
  <si>
    <t>Page  340 SDB, Chapter-12</t>
  </si>
  <si>
    <t>mate</t>
  </si>
  <si>
    <t>Form work @ 3.75 on (A)+(B)+( C)</t>
  </si>
  <si>
    <t>Cost per 120 cum (F)+(G)</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</si>
  <si>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 over Deck Slab</t>
  </si>
  <si>
    <t>Page  477 SDB, Chapter-14</t>
  </si>
  <si>
    <t>Form work @ 20% on (A)+(B)+( C)</t>
  </si>
  <si>
    <t>Unit = 1 Cum</t>
  </si>
  <si>
    <t>Cement Concrete M 30 Grade</t>
  </si>
  <si>
    <t>HYSD Bar reinformcement</t>
  </si>
  <si>
    <t>Labour for cleaning deck slab concrete</t>
  </si>
  <si>
    <t>Providing 25.4 mm mastic pads for Longitudinal joints, Transversal expansion joints and Construction joints of approved quality including cost, conveyance and placing in position, etc., complete as directed by the Engineer-in-charge.</t>
  </si>
  <si>
    <t>Rate as per Building SSR Item No.197</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</si>
  <si>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t>
  </si>
  <si>
    <t>Page  341 SDB, Chapter-12</t>
  </si>
  <si>
    <t>Taking output = 120cum</t>
  </si>
  <si>
    <t>Batching Plant @ 20 cum/hour</t>
  </si>
  <si>
    <t>Generator 100 KVA</t>
  </si>
  <si>
    <t>Loader 1 cum capacity 1 cum</t>
  </si>
  <si>
    <t>Transit Mixer 4 cum capacity for lead upto 1 km.</t>
  </si>
  <si>
    <t>tkm</t>
  </si>
  <si>
    <t>Transit Mixer 4 cum capacity lead beyond 1 Km, L - lead in Kilometer</t>
  </si>
  <si>
    <t>Concrete Pump</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</si>
  <si>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Sub structure</t>
  </si>
  <si>
    <t>Page  455 SDB, Chapter-13</t>
  </si>
  <si>
    <t>L</t>
  </si>
  <si>
    <t>Form work @ 10 on (A)+(B)+( C)</t>
  </si>
  <si>
    <t xml:space="preserve">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superstructure </t>
  </si>
  <si>
    <t>Page 475 SDB, Chapter-14</t>
  </si>
  <si>
    <r>
      <rPr>
        <sz val="12"/>
        <rFont val="Tahoma"/>
        <charset val="134"/>
      </rPr>
      <t xml:space="preserve">Providing HYSD bars </t>
    </r>
    <r>
      <rPr>
        <b/>
        <sz val="12"/>
        <rFont val="Tahoma"/>
        <charset val="134"/>
      </rPr>
      <t>(Fe-500 From Primary Producers like TATA, SAIL, VSP,Jindal as approved by Ministry of Steel)</t>
    </r>
    <r>
      <rPr>
        <sz val="12"/>
        <rFont val="Tahoma"/>
        <charset val="134"/>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foundation RCC items.</t>
    </r>
  </si>
  <si>
    <t>Page 449 of MoRT&amp;H SDB</t>
  </si>
  <si>
    <t>Unit = MT</t>
  </si>
  <si>
    <t>Taking output = 1 MT</t>
  </si>
  <si>
    <t>Black smith</t>
  </si>
  <si>
    <t>(B) Material</t>
  </si>
  <si>
    <t>HYSD bars including overlaps</t>
  </si>
  <si>
    <t>Kg</t>
  </si>
  <si>
    <t>Binding wire ( I&amp;CAD SSR item no.3 )</t>
  </si>
  <si>
    <t>(C) Over Head Charges on (A+B)</t>
  </si>
  <si>
    <r>
      <rPr>
        <sz val="12"/>
        <rFont val="Tahoma"/>
        <charset val="134"/>
      </rPr>
      <t xml:space="preserve">Providing HYSD bars </t>
    </r>
    <r>
      <rPr>
        <b/>
        <sz val="12"/>
        <rFont val="Tahoma"/>
        <charset val="134"/>
      </rPr>
      <t>(Fe-500 From Primary Producers like TATA, SAIL, VSP,Jindal as approved by Ministry of Steel)</t>
    </r>
    <r>
      <rPr>
        <sz val="12"/>
        <rFont val="Tahoma"/>
        <charset val="134"/>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Sub structure of R.C.C items.</t>
    </r>
  </si>
  <si>
    <t>Page 459,460 of MoRT&amp;H SDB</t>
  </si>
  <si>
    <t>Binding wire ( Building SSR item no.757 )</t>
  </si>
  <si>
    <r>
      <rPr>
        <sz val="12"/>
        <rFont val="Tahoma"/>
        <charset val="134"/>
      </rPr>
      <t xml:space="preserve">Providing HYSD bars </t>
    </r>
    <r>
      <rPr>
        <b/>
        <sz val="12"/>
        <rFont val="Tahoma"/>
        <charset val="134"/>
      </rPr>
      <t>(Fe-500 From Primary Producers like TATA, SAIL, VSP,Jindal as approved by Ministry of Steel)</t>
    </r>
    <r>
      <rPr>
        <sz val="12"/>
        <rFont val="Tahoma"/>
        <charset val="134"/>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Super structure of R.C.C items.</t>
    </r>
  </si>
  <si>
    <t>Page 489,490 of MoRT&amp;H SDB</t>
  </si>
  <si>
    <t>HYSD bars including 5% overlaps and wastage</t>
  </si>
  <si>
    <t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t>
  </si>
  <si>
    <t>Page No. 461,  SSR 2016-17</t>
  </si>
  <si>
    <t>Rm</t>
  </si>
  <si>
    <t>Unit = RM</t>
  </si>
  <si>
    <t>Forming embankment with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 complete for finished item of work as per MoRT&amp;H specification 305 (5th revision). (Payment Based on Levels) for diversion road</t>
  </si>
  <si>
    <t xml:space="preserve">Taking out put = 100 Cum </t>
  </si>
  <si>
    <t>Page 70 of MoRT&amp;H SDB</t>
  </si>
  <si>
    <t>t.km</t>
  </si>
  <si>
    <t>Tipper (for 10Kms=160x5=800)</t>
  </si>
  <si>
    <t>Tipper (for 10Kms=160x10=1600)</t>
  </si>
  <si>
    <t>Add 10% of cost of carriage to cover cost of loading and unloading</t>
  </si>
  <si>
    <t>Dozer 80 HP for spreading @ 200 cum per hour</t>
  </si>
  <si>
    <t>Motor Grador for Grading @ 100 cum per hour</t>
  </si>
  <si>
    <t>Water tanker 6 KL</t>
  </si>
  <si>
    <t>Vibratory roller 8T</t>
  </si>
  <si>
    <t>Cost  per 100 cum  (D) + (E)</t>
  </si>
  <si>
    <t>Rate per Cum</t>
  </si>
  <si>
    <t xml:space="preserve">Rate per 1 cum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</si>
  <si>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</si>
  <si>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Unit = 1 Lm</t>
  </si>
  <si>
    <t>Page 472,497 of MoRT&amp;H SDB</t>
  </si>
  <si>
    <t>Taking output = 10 Lm</t>
  </si>
  <si>
    <t>HYSD Steel Reinforcement including Dowel Bars</t>
  </si>
  <si>
    <t>Pre moulded Asphalt filler Board</t>
  </si>
  <si>
    <t>Generator 35 KVA</t>
  </si>
  <si>
    <t>Rate for 1Lm</t>
  </si>
  <si>
    <t>1 Lm</t>
  </si>
  <si>
    <t>Providing Grouted Revetment with  rough stone (HBG/HBT) of not less than 300 mm size grouted with 0.20 cum of CC (1:4:8) including cost, seigniorage charges and conveyance of materials to site and including labour charges for packing the stones for revetment etc., complete for finished item of work as per MoRT&amp;H specification 2504 ( 4th revision ) and as directed by the Engineer-in-Charge  for  quadrennial revetment.</t>
  </si>
  <si>
    <t>Page 331, 522  SDB</t>
  </si>
  <si>
    <t>Cost of CC (1:4:8)</t>
  </si>
  <si>
    <t>Cost ofRough Stone HBG/HBT 300mm thick</t>
  </si>
  <si>
    <t>Drainage spouts complete as per drawing and technical specifications Clause 1209 MORD &amp; 2705 MORTH</t>
  </si>
  <si>
    <t>Pg no 499 of SDB</t>
  </si>
  <si>
    <t>Unit = 1 No</t>
  </si>
  <si>
    <t>taking output=1 no</t>
  </si>
  <si>
    <t>(A) for Fabrication</t>
  </si>
  <si>
    <t>Mason skilled</t>
  </si>
  <si>
    <t>(B) Fixing</t>
  </si>
  <si>
    <t>corrosion resistanct structural steel including 5% wastage (M087, Pg.36 of SSR 2015-16)</t>
  </si>
  <si>
    <t>GI bolt 10mm Dia (M110, Pg.37 of SSR 2015-16)</t>
  </si>
  <si>
    <t>G I Pipe 100 mm dia B Class (Sl.32, Pg.20 of SSR 2015-16)</t>
  </si>
  <si>
    <t>each</t>
  </si>
  <si>
    <t>Galvanised MS flat clamp(M101, Pg.37 of SSR 2015-16)</t>
  </si>
  <si>
    <t>Add @ 5 per cent of cost of material and labour (a+b) for electrodes, gas cutting, sealant, anti-corrosive bituminous paint, mild steel grating etc.</t>
  </si>
  <si>
    <t>NO</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</si>
  <si>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</si>
  <si>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Sub structure .</t>
  </si>
  <si>
    <t>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MoRT&amp;H specification 2706 &amp; 2200  (5th Revision)</t>
  </si>
  <si>
    <t>Page 461,333 of MoRT&amp;H SDB</t>
  </si>
  <si>
    <t>Taking output = 30 RM</t>
  </si>
  <si>
    <t>Cement Mortar (1:3) (Out put = 1Cum)</t>
  </si>
  <si>
    <t>(a) Material</t>
  </si>
  <si>
    <t>Cost of Cement</t>
  </si>
  <si>
    <t xml:space="preserve">Cost of Sand motor </t>
  </si>
  <si>
    <t>a =</t>
  </si>
  <si>
    <t>(b) Labour</t>
  </si>
  <si>
    <t>b =</t>
  </si>
  <si>
    <t>Cost per 1 Cum (a+b)</t>
  </si>
  <si>
    <t>(A) Material</t>
  </si>
  <si>
    <t>collars for AC pipe</t>
  </si>
  <si>
    <t>MS clamps</t>
  </si>
  <si>
    <t>Cement mortar (1:3)</t>
  </si>
  <si>
    <t>(B) Labour</t>
  </si>
  <si>
    <t>(E ) (excluding  seigniorage) charges</t>
  </si>
  <si>
    <t>Provision of an Reinforced cement concrete crash barrier at the edges of the road, approaches to bridge structures and medians, constructed with M-40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t>
  </si>
  <si>
    <t>Taking output = 10 RM</t>
  </si>
  <si>
    <t>M40 Grade concrete</t>
  </si>
  <si>
    <t>Page 237 &amp; 482 ( M40 Grade) SDB, Chapter-12</t>
  </si>
  <si>
    <t>Taking output = 120 cum</t>
  </si>
  <si>
    <t>Admixture@0.4%of cement</t>
  </si>
  <si>
    <t>KG</t>
  </si>
  <si>
    <t>Super Plasticizer item 643 building SOR 2016-17</t>
  </si>
  <si>
    <t xml:space="preserve">Over head charges @ </t>
  </si>
  <si>
    <t>Add for Over head charges @ 5% on (A)+(B)+( C)+(D)</t>
  </si>
  <si>
    <t>(A) M40 grade concrete</t>
  </si>
  <si>
    <t>M 40</t>
  </si>
  <si>
    <t>Pre-moulded asphalt filler board</t>
  </si>
  <si>
    <r>
      <rPr>
        <sz val="12"/>
        <rFont val="Arial"/>
        <charset val="134"/>
      </rPr>
      <t>Providing, laying Reinforced cement concrete Hume pipes of 1000 mm Dia.,</t>
    </r>
    <r>
      <rPr>
        <b/>
        <sz val="12"/>
        <rFont val="Arial"/>
        <charset val="134"/>
      </rPr>
      <t xml:space="preserve"> NP-4</t>
    </r>
    <r>
      <rPr>
        <sz val="12"/>
        <rFont val="Arial"/>
        <charset val="134"/>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r>
      <rPr>
        <b/>
        <sz val="12"/>
        <rFont val="Arial"/>
        <charset val="134"/>
      </rPr>
      <t>(NP-4 Concrete Pipe on First Class Bedding in Double Row)</t>
    </r>
  </si>
  <si>
    <t>6 RBR-FNDN-4</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</si>
  <si>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foundations</t>
  </si>
  <si>
    <t>Page  SDB, Chapter-12</t>
  </si>
  <si>
    <t>Form work @ 3.75% on (A)+(B)+( C)</t>
  </si>
  <si>
    <r>
      <rPr>
        <sz val="12"/>
        <rFont val="Tahoma"/>
        <charset val="134"/>
      </rPr>
      <t>Providing Vibrated Cement Concrete (1:4:8) mix using 40mm size HBG crushed stone aggregate and fine aggregate conforming to table 1000-2 of MoRT&amp;H including cost and conveyance of all materials to site and labour charges, centering, machine mixing, laying,  Vibrating, curing etc., including all other incidental and operational charges of all T&amp;P  etc., complete for finished item of work as per MoRT&amp;H specification 1500, 1700, 2100  (5</t>
    </r>
    <r>
      <rPr>
        <vertAlign val="superscript"/>
        <sz val="12"/>
        <rFont val="Tahoma"/>
        <charset val="134"/>
      </rPr>
      <t>th</t>
    </r>
    <r>
      <rPr>
        <sz val="12"/>
        <rFont val="Tahoma"/>
        <charset val="134"/>
      </rPr>
      <t xml:space="preserve">  Revision) and as directed by the Engineer-in-Charge base course below CC pavment</t>
    </r>
  </si>
  <si>
    <t>Page 331 of MoRT&amp;H SDB</t>
  </si>
  <si>
    <t xml:space="preserve">Providing and applying 2 coats of water based cement paint to unplastered concrete surface after cleaning the surface of dirt, dust, oil, grease, efflorescence and applying paint @ of 1 litre for 2 sqm as per Tech Specification 800 MORTH. </t>
  </si>
  <si>
    <t>Unit : Sqm</t>
  </si>
  <si>
    <t>Taking out put = 10 Sqm</t>
  </si>
  <si>
    <t>RBR-SPST-26 of  SDB</t>
  </si>
  <si>
    <t>painter</t>
  </si>
  <si>
    <t>ltr</t>
  </si>
  <si>
    <t>Water based paint of approved quality for cement concrete surface</t>
  </si>
  <si>
    <t>Vibrated reinforced cement concrete M 20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for  Bed blocks &amp; Backing walls</t>
  </si>
  <si>
    <t>Page 472,457 of MoRT&amp;H SDB</t>
  </si>
  <si>
    <t>Add for Over head charges @ 3% on (A)+(B)+( C)</t>
  </si>
  <si>
    <t>Vibrated reinforced cement concrete M.25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</si>
  <si>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Mazdoor SKILLED</t>
  </si>
  <si>
    <t>Earth work in excavation of foundation of structures as per drawing and technical specification, including setting out, construction of shoring and bracing, removal of stumps and other deleterious matter, dressing of sides and bottom and backfilling with approved material. Techinical Specification Clause 304 MoRTH 5th Revision-Hard Rock (Blasting Prohibited)</t>
  </si>
  <si>
    <t xml:space="preserve">Taking out put = 10 Cum </t>
  </si>
  <si>
    <t>Cost per 10 cum (D)+(E)</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</si>
  <si>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foundations</t>
  </si>
  <si>
    <t>Page  344 SDB, Chapter-12</t>
  </si>
  <si>
    <t>Mazdoor Skilled</t>
  </si>
  <si>
    <t>Form work @ 3.5% on (A)+(B)+( C)</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</si>
  <si>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Sub-Structures</t>
  </si>
  <si>
    <t>Page  458 SDB, Chapter-12</t>
  </si>
  <si>
    <t>Form work @ 13.1% on (A)+(B)+( C)</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</si>
  <si>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Super-Structures</t>
  </si>
  <si>
    <t>Page  478 SDB, Chapter-12</t>
  </si>
  <si>
    <t xml:space="preserve">Providing and fixing 2 mm thick corrugated copper plate in expansion joint complete as per drawing and Technical Specification </t>
  </si>
  <si>
    <t>Unit :RM</t>
  </si>
  <si>
    <t>Taking out put = 12 m</t>
  </si>
  <si>
    <t>Page 507 of SDB, Chapter 14</t>
  </si>
  <si>
    <t xml:space="preserve">Mazdoor </t>
  </si>
  <si>
    <t>Copper Plate; (Sno 866, Pg No: 302 of SoR 2016-17)</t>
  </si>
  <si>
    <t>Cost  per 12 m  (D) + (E)</t>
  </si>
  <si>
    <t>Rate per 1 m</t>
  </si>
  <si>
    <t>6.08C</t>
  </si>
  <si>
    <t>Providing HYSD bars ( Fe-415 )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Super structure of R.C.C items.</t>
  </si>
  <si>
    <t>Construction of precast RCC railing of M30 Grade, aggregate size not exceeding 12 mm, true to line and grade, tolerance of vertical RCC post not to exceed 1 in 500, centre to centre spacing between vertical post not to exceed 2000 mm, leaving adequate space between vertical post for expansion, complete as per approved drawings and technical specifications.</t>
  </si>
  <si>
    <t>Taking out put = 2x24=48 m</t>
  </si>
  <si>
    <t>Page 495 of SDB</t>
  </si>
  <si>
    <t>M 30 Grade Reinf Cement Concrete</t>
  </si>
  <si>
    <t>Add 5% cost for formwork for casting in casting yard</t>
  </si>
  <si>
    <t>HYSD bar Reinf</t>
  </si>
  <si>
    <t>Add 5% cost for handling and fixing of precast panels in position</t>
  </si>
  <si>
    <t>Cost  per 48 m  (D) + (E)</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</si>
  <si>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</si>
  <si>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Page  342, 501 of SDB, Chapter-12</t>
  </si>
  <si>
    <t>Estt.Cost.Rs.</t>
  </si>
  <si>
    <t>Lakhs</t>
  </si>
  <si>
    <t>ECV</t>
  </si>
  <si>
    <t>1%</t>
  </si>
  <si>
    <t>EMD</t>
  </si>
  <si>
    <t>1% ECV</t>
  </si>
  <si>
    <t>C1- TRANSATION FEE</t>
  </si>
  <si>
    <t>0.03% of ECV+12.36% service tax</t>
  </si>
  <si>
    <t>Plus 12.36% service tax with upper ceiling of 10000+1236=11236/- up to 50.00 Crore</t>
  </si>
  <si>
    <t>11236/-</t>
  </si>
  <si>
    <t>Period of contract in months</t>
  </si>
  <si>
    <t xml:space="preserve"> up to  2.00Cr  -&gt; 12 months
above 2.00 Cr -&gt;  15 months</t>
  </si>
  <si>
    <t>Solvency</t>
  </si>
  <si>
    <t xml:space="preserve">                 3 x ECV  /  
 Period of Contract in months</t>
  </si>
  <si>
    <t>MTC-&gt;</t>
  </si>
  <si>
    <t>Prime Contractor</t>
  </si>
  <si>
    <t>50% of ECV X 12 / Period of Contract</t>
  </si>
  <si>
    <t>Bid Capacity</t>
  </si>
  <si>
    <t>Quantities</t>
  </si>
  <si>
    <t>50 % of Est. Qty X 12/Period of contract</t>
  </si>
  <si>
    <t xml:space="preserve">Required Quantity </t>
  </si>
  <si>
    <t>Earth work</t>
  </si>
  <si>
    <t>Gravel/GSB</t>
  </si>
  <si>
    <t>WBM/WET MIX</t>
  </si>
  <si>
    <t>BT ALL TYPES Sqm</t>
  </si>
  <si>
    <t>Sqm</t>
  </si>
  <si>
    <t>CC or VCC  or  VRCC</t>
  </si>
  <si>
    <t>MILE STONES</t>
  </si>
  <si>
    <t>Mile stone -1 ( Fnancial )</t>
  </si>
  <si>
    <t>Mile stone -2 ( Fnancial )</t>
  </si>
  <si>
    <t>Mile stone -3 ( Fnancial )</t>
  </si>
  <si>
    <t>Rs.100/per Lakh per day</t>
  </si>
  <si>
    <t>OK</t>
  </si>
  <si>
    <t>LIQUIDITY DAMAGES</t>
  </si>
  <si>
    <t>For Mile stone -1</t>
  </si>
  <si>
    <t>For Mile stone -2</t>
  </si>
  <si>
    <t>For Mile stone -3</t>
  </si>
  <si>
    <t>TCV</t>
  </si>
  <si>
    <t>0.10% of TCV</t>
  </si>
  <si>
    <t>Mile stone 1</t>
  </si>
  <si>
    <t>Mile stone 2</t>
  </si>
  <si>
    <t>Mile stone 3</t>
  </si>
  <si>
    <t xml:space="preserve">Name of the Work:- </t>
  </si>
  <si>
    <t>Sanction Details</t>
  </si>
  <si>
    <t>Go.No</t>
  </si>
  <si>
    <t>Go. Date</t>
  </si>
  <si>
    <t>Sl.No.in Go</t>
  </si>
  <si>
    <t>(P.R) Circle</t>
  </si>
  <si>
    <t>Vikarabad</t>
  </si>
  <si>
    <t>Vkb</t>
  </si>
  <si>
    <t>Administrative sanction Ref.</t>
  </si>
  <si>
    <t>District</t>
  </si>
  <si>
    <t>Sanctioned Amount</t>
  </si>
  <si>
    <t>Rs. in Lakhs</t>
  </si>
  <si>
    <t>NIT.NO</t>
  </si>
  <si>
    <t>(P.R) Division</t>
  </si>
  <si>
    <t xml:space="preserve">Sanctioned Length </t>
  </si>
  <si>
    <t>In Km</t>
  </si>
  <si>
    <t>-</t>
  </si>
  <si>
    <t>(P.R) Sub-Division</t>
  </si>
  <si>
    <t>Grant</t>
  </si>
  <si>
    <t>SDF</t>
  </si>
  <si>
    <t>common List Sl.No</t>
  </si>
  <si>
    <t>Mandal</t>
  </si>
  <si>
    <t>2024-25</t>
  </si>
  <si>
    <t>Lead Distance</t>
  </si>
  <si>
    <t>Bitumen &amp; Emulsion</t>
  </si>
  <si>
    <t>S.No</t>
  </si>
  <si>
    <t>Item</t>
  </si>
  <si>
    <t>Sourse of Meterial</t>
  </si>
  <si>
    <t>Km</t>
  </si>
  <si>
    <t>Location</t>
  </si>
  <si>
    <t>Chennai IOCL</t>
  </si>
  <si>
    <t>IOCL Intial Rate excluding GST</t>
  </si>
  <si>
    <t>Metal Cushed</t>
  </si>
  <si>
    <t>Dated</t>
  </si>
  <si>
    <t>Manufactured Sand (Rock Sand)</t>
  </si>
  <si>
    <t>Sand concrete</t>
  </si>
  <si>
    <t>Sand for filling</t>
  </si>
  <si>
    <t>Local</t>
  </si>
  <si>
    <t>Bulk VG 30 Grade 60/70</t>
  </si>
  <si>
    <t>Gravel</t>
  </si>
  <si>
    <t>Emulsion SS-1 (Bulk)</t>
  </si>
  <si>
    <t xml:space="preserve">Pipes </t>
  </si>
  <si>
    <t>Rapid Setting -I Bulk</t>
  </si>
  <si>
    <t>concrete  mix</t>
  </si>
  <si>
    <t>Borrowed earth</t>
  </si>
  <si>
    <t>Selected earth for shoulder</t>
  </si>
  <si>
    <t xml:space="preserve">Rates as on </t>
  </si>
  <si>
    <t>NOV' 2024</t>
  </si>
  <si>
    <t>Till Nov same rates as sep phmed</t>
  </si>
  <si>
    <t>BT Lead in Kms (Round Trip)</t>
  </si>
  <si>
    <t>chennai</t>
  </si>
  <si>
    <t>Metal Hand Broken</t>
  </si>
  <si>
    <t>Allowance</t>
  </si>
  <si>
    <t>Cement &amp; Steel Rates</t>
  </si>
  <si>
    <t>MAA/AA</t>
  </si>
  <si>
    <t>Amount in Rs.</t>
  </si>
  <si>
    <t>OHC- Road Work</t>
  </si>
  <si>
    <t>OHC- Bridge Work</t>
  </si>
  <si>
    <t>Water cost Allowed Y/N</t>
  </si>
  <si>
    <t>N</t>
  </si>
  <si>
    <t>GOVERNMENT  OF  TELANGANA</t>
  </si>
  <si>
    <t xml:space="preserve">PANCHAYATRAJ ENGINEERING
 DEPARTMENT
</t>
  </si>
  <si>
    <t>DETAILED ESTIMATE</t>
  </si>
  <si>
    <t>Name of Grant</t>
  </si>
  <si>
    <t>:</t>
  </si>
  <si>
    <t>Name of Work:-</t>
  </si>
  <si>
    <t>Amount Sanctioned</t>
  </si>
  <si>
    <t>Rs.</t>
  </si>
  <si>
    <t>Proposed Length</t>
  </si>
  <si>
    <t>(P.R) Region</t>
  </si>
  <si>
    <t>::</t>
  </si>
  <si>
    <t>Inspection report of the Superintending Engineer, PR, Region, Vikarabad</t>
  </si>
  <si>
    <t>Present: Sri P.Srinivas Reddy, B.Tech.</t>
  </si>
  <si>
    <t xml:space="preserve">Date of Inspection </t>
  </si>
  <si>
    <t>Name of the Officers present</t>
  </si>
  <si>
    <t>Name of the Work</t>
  </si>
  <si>
    <t>Estimated Cost</t>
  </si>
  <si>
    <t xml:space="preserve">Rs. </t>
  </si>
  <si>
    <t>Administrative Sanction</t>
  </si>
  <si>
    <t>Existing Type of surface</t>
  </si>
  <si>
    <t>Reaches</t>
  </si>
  <si>
    <t>Total Length in mts</t>
  </si>
  <si>
    <t>Remarks</t>
  </si>
  <si>
    <t>Provide BM 50mm over BC 30mm over  WMM 150mm as the existing BT Surface is badly damaged along with WMM</t>
  </si>
  <si>
    <t xml:space="preserve">              The Executive Engineer, PR, Division, Tandur is requested to prepare the Detailed Estimate with above provisions</t>
  </si>
  <si>
    <t>Superintending Engineer</t>
  </si>
  <si>
    <t xml:space="preserve"> PR, Region, Vikarabad</t>
  </si>
  <si>
    <t>ESTIMATE NOTE FILE</t>
  </si>
  <si>
    <t>CIRCLE</t>
  </si>
  <si>
    <t>TS Date</t>
  </si>
  <si>
    <t xml:space="preserve">  Dt:     -12-2024</t>
  </si>
  <si>
    <t>Subject :-</t>
  </si>
  <si>
    <t>Name of the work</t>
  </si>
  <si>
    <t>Reference:-</t>
  </si>
  <si>
    <t>Estt.Cost</t>
  </si>
  <si>
    <t>CAT</t>
  </si>
  <si>
    <t>Length Sanctioned</t>
  </si>
  <si>
    <t>3)SE,PR,Warangal vide Lr.No.T4/Tenders/2021-22 Dt 03.08.2022</t>
  </si>
  <si>
    <t xml:space="preserve"> ***** </t>
  </si>
  <si>
    <t>Dist</t>
  </si>
  <si>
    <t>Length Proposed</t>
  </si>
  <si>
    <t xml:space="preserve"> vide Lr.No.T4/CRR/Wanaparthy/22 Dt: 06.09.2022</t>
  </si>
  <si>
    <t>Submitted, Sir,</t>
  </si>
  <si>
    <t>Division</t>
  </si>
  <si>
    <t xml:space="preserve">                    Kindly peruse the ref. 2nd  cited where in the SE (PR) Vikarabad has submitted detailed estimates of  above subject work Sanctioned vide reference 1st  cited under -CRR-2024-25  grant and requested for according   technical sanction the details are as follows.</t>
  </si>
  <si>
    <t>TS amount</t>
  </si>
  <si>
    <t>Name of the District</t>
  </si>
  <si>
    <t>Schedule-A Road</t>
  </si>
  <si>
    <t>Name of the Division</t>
  </si>
  <si>
    <t>Schedule-A MTc.</t>
  </si>
  <si>
    <t>Name of the Mandal</t>
  </si>
  <si>
    <t>Diff</t>
  </si>
  <si>
    <t>Administrative sanction Ref. No. &amp; date</t>
  </si>
  <si>
    <t>Category of Sanction</t>
  </si>
  <si>
    <t xml:space="preserve">Estimate Cost </t>
  </si>
  <si>
    <t>Habitations connected</t>
  </si>
  <si>
    <t>Sl.No</t>
  </si>
  <si>
    <t>Name of the village</t>
  </si>
  <si>
    <t>Popupation as per 2011 cencus</t>
  </si>
  <si>
    <t>Directly benefited</t>
  </si>
  <si>
    <t>SC</t>
  </si>
  <si>
    <t>ST</t>
  </si>
  <si>
    <t>Plain</t>
  </si>
  <si>
    <t>CVPD</t>
  </si>
  <si>
    <t>Curve</t>
  </si>
  <si>
    <t>CBR</t>
  </si>
  <si>
    <t>Existing Surface Details</t>
  </si>
  <si>
    <t>Length in mtrs</t>
  </si>
  <si>
    <t>Status</t>
  </si>
  <si>
    <t>Proposed</t>
  </si>
  <si>
    <t>CC</t>
  </si>
  <si>
    <t>BT</t>
  </si>
  <si>
    <t>0/0 - 2/810</t>
  </si>
  <si>
    <t>Traffic Count: 242 CVPD</t>
  </si>
  <si>
    <t>ESAL   =</t>
  </si>
  <si>
    <t>Adopting T9 curve with CBR 5% as per SPR72-2015</t>
  </si>
  <si>
    <t>The crust proposed by SE</t>
  </si>
  <si>
    <t>As per (IRC -SP-72-2015) the crust is to be provided</t>
  </si>
  <si>
    <t xml:space="preserve">Cumulative No. Of std. Axles </t>
  </si>
  <si>
    <t>N= msa</t>
  </si>
  <si>
    <t>CBR 3%</t>
  </si>
  <si>
    <t>May be provided as per existing crust</t>
  </si>
  <si>
    <t>The pavement layer proposed by SE  is as follows</t>
  </si>
  <si>
    <t>As per (IRC -SP-72-2015)</t>
  </si>
  <si>
    <t>BC</t>
  </si>
  <si>
    <t>30 mm</t>
  </si>
  <si>
    <t>OGPC</t>
  </si>
  <si>
    <t>20mm</t>
  </si>
  <si>
    <t>30mm</t>
  </si>
  <si>
    <t xml:space="preserve">As per SE IR dated: </t>
  </si>
  <si>
    <t>WMM</t>
  </si>
  <si>
    <t>225 mm</t>
  </si>
  <si>
    <t>75mm</t>
  </si>
  <si>
    <t>150 mm</t>
  </si>
  <si>
    <t>Gravel Base</t>
  </si>
  <si>
    <t>100 mm</t>
  </si>
  <si>
    <t>150mm</t>
  </si>
  <si>
    <t>175 mm</t>
  </si>
  <si>
    <t>Existing</t>
  </si>
  <si>
    <t>Granular Sub Base</t>
  </si>
  <si>
    <t>50 mm</t>
  </si>
  <si>
    <t>Sub Grade</t>
  </si>
  <si>
    <t>Total Pavement thickness</t>
  </si>
  <si>
    <t>525 mm</t>
  </si>
  <si>
    <t>Total Pavement thinckness</t>
  </si>
  <si>
    <t>525mm</t>
  </si>
  <si>
    <t>Crust Details  Existing and Proposed</t>
  </si>
  <si>
    <t>Slno</t>
  </si>
  <si>
    <t>Reach</t>
  </si>
  <si>
    <t>CBR in %</t>
  </si>
  <si>
    <t>Crust Thickness required asper design</t>
  </si>
  <si>
    <t>Existing &amp; Proposed Crust  provision</t>
  </si>
  <si>
    <t>Crust thickness Check +/-</t>
  </si>
  <si>
    <t>B.T.</t>
  </si>
  <si>
    <t>Rech</t>
  </si>
  <si>
    <t>Req. Crust thick asper -SP-72</t>
  </si>
  <si>
    <t>Existing Crust</t>
  </si>
  <si>
    <t>Proposed Crust</t>
  </si>
  <si>
    <t>GR-II</t>
  </si>
  <si>
    <t>GR-III</t>
  </si>
  <si>
    <t>GSB</t>
  </si>
  <si>
    <t>BT /CC</t>
  </si>
  <si>
    <t>Details of estimate provisions</t>
  </si>
  <si>
    <t>SNo</t>
  </si>
  <si>
    <t>Description</t>
  </si>
  <si>
    <t xml:space="preserve"> Estimate with 
SSR 2024-25</t>
  </si>
  <si>
    <t>Amount</t>
  </si>
  <si>
    <t xml:space="preserve">Clearing  and grubbing of road   </t>
  </si>
  <si>
    <t>Excavation for raod work</t>
  </si>
  <si>
    <t xml:space="preserve"> Carted earth</t>
  </si>
  <si>
    <t>Shoulders with Selected earth</t>
  </si>
  <si>
    <t>Scarifying ext bitumen surface</t>
  </si>
  <si>
    <t>Sub-Base with Grading -VI</t>
  </si>
  <si>
    <t>WBM GR-II</t>
  </si>
  <si>
    <t>WBM GR-III</t>
  </si>
  <si>
    <t xml:space="preserve">WMM </t>
  </si>
  <si>
    <t>Prime coat</t>
  </si>
  <si>
    <t>Tack coat on Granuular base</t>
  </si>
  <si>
    <t>OGPC 20mm thick</t>
  </si>
  <si>
    <t>Seal Coat Type-B</t>
  </si>
  <si>
    <t>BM 50mm thick</t>
  </si>
  <si>
    <t>Tack Coat On Bitumen surface</t>
  </si>
  <si>
    <t>SDBC</t>
  </si>
  <si>
    <t>BC 30mm thick</t>
  </si>
  <si>
    <t>CC Pavement</t>
  </si>
  <si>
    <t>Repair pot holes with 75mm BM</t>
  </si>
  <si>
    <t>Road Part  Total</t>
  </si>
  <si>
    <t>CD works</t>
  </si>
  <si>
    <t>Name of CD work</t>
  </si>
  <si>
    <t>Nos.</t>
  </si>
  <si>
    <t>No</t>
  </si>
  <si>
    <t>a</t>
  </si>
  <si>
    <t>i</t>
  </si>
  <si>
    <t>b</t>
  </si>
  <si>
    <t>ii</t>
  </si>
  <si>
    <t>c</t>
  </si>
  <si>
    <t>CD works Total</t>
  </si>
  <si>
    <t>Road Furniture</t>
  </si>
  <si>
    <t>Raod Safety</t>
  </si>
  <si>
    <t>Road + CD works + RF</t>
  </si>
  <si>
    <t xml:space="preserve"> Total</t>
  </si>
  <si>
    <t xml:space="preserve">Add GST @ 18% </t>
  </si>
  <si>
    <t>Unforeseen, price escalation, Seinarage,  rounding off</t>
  </si>
  <si>
    <t xml:space="preserve"> Total Rs.</t>
  </si>
  <si>
    <t>Sanctioned Estimate</t>
  </si>
  <si>
    <t>Excess</t>
  </si>
  <si>
    <t>Recast Estimate</t>
  </si>
  <si>
    <t>Less</t>
  </si>
  <si>
    <t>Difference</t>
  </si>
  <si>
    <t>The amount in the recast estimate is increased due to adaptation of SSR 2022-23 for which the length of the road is decreased.</t>
  </si>
  <si>
    <t>The Following are  the rates  adopted in the present  estimate .</t>
  </si>
  <si>
    <t>SSR used for preparation Estimate</t>
  </si>
  <si>
    <t>SSR  2024-25</t>
  </si>
  <si>
    <t>Initial Rates of Steel, Cement, BT  and Lead of materials proposed as follows</t>
  </si>
  <si>
    <t>Sl. 
No</t>
  </si>
  <si>
    <t>Items</t>
  </si>
  <si>
    <t>Rates</t>
  </si>
  <si>
    <t>Per</t>
  </si>
  <si>
    <t>Lead allowed</t>
  </si>
  <si>
    <t>Rate Ref.
/ Date</t>
  </si>
  <si>
    <t>Cement OPC  53 Gr.</t>
  </si>
  <si>
    <t>Selected earth</t>
  </si>
  <si>
    <t>Steel Fe-500/500D/550D Primary Producers Like TATA,SAIL,Jindal</t>
  </si>
  <si>
    <t>Sand for Concrete</t>
  </si>
  <si>
    <t>BT Emulsion SS 1    -- Do --</t>
  </si>
  <si>
    <t>- do-</t>
  </si>
  <si>
    <t>BT Emulsion RS 1  -- Do --</t>
  </si>
  <si>
    <t>Metal Quarry Hand broken</t>
  </si>
  <si>
    <t>Metal (Hand broken)</t>
  </si>
  <si>
    <t>--</t>
  </si>
  <si>
    <t>Metal Curshermetal</t>
  </si>
  <si>
    <t>Crushed Metal</t>
  </si>
  <si>
    <t xml:space="preserve">B.T &amp; Emulations </t>
  </si>
  <si>
    <t>Chennai</t>
  </si>
  <si>
    <t>Sand for Filling</t>
  </si>
  <si>
    <t>Hume Pipes</t>
  </si>
  <si>
    <t xml:space="preserve">Gravel </t>
  </si>
  <si>
    <t xml:space="preserve">Area allowances if any 
  MAA (municipal area allowance) / AA Agency area </t>
  </si>
  <si>
    <t>Rms</t>
  </si>
  <si>
    <t>Rain fall Codes for maintenance estt
High-1, Medium-2, Low-3</t>
  </si>
  <si>
    <t>Area allowance allowed</t>
  </si>
  <si>
    <t>Water cost allowed Y/N</t>
  </si>
  <si>
    <t>Maintenance length and Cost</t>
  </si>
  <si>
    <t>Earth work widening qty is proposed @2500cum/Km, the same was allowed in absence of  supporting calculations, the SE may be instructed to submit the earth work calculations&amp; connected LF Books before grounding of  the work.</t>
  </si>
  <si>
    <t>Kms</t>
  </si>
  <si>
    <t>The GST @ 18%, QC charges @0.50%, 0.10%NAC charges and Seignarage charges of materials are proposed  in the abstract estimate.</t>
  </si>
  <si>
    <t>As per the instructions of higher authorities based on circular memo.No.10002/DCE®/EE®/DEE1/AEE1/2021 dated 28.12.2021 of R&amp;B Department Routine maintenance is not included in Estimate.</t>
  </si>
  <si>
    <t>As per preamble no 15 C of SSR  2024-25 Over heads and Contractor profit put together 13.615% is provided for Road works,CD works and Road furniture works.</t>
  </si>
  <si>
    <t xml:space="preserve">As per the content of memo1280/AE/DEE(T)/NAC/2015 dt:04.05.2015 of the ENC, PR, Hyderabad 0.10% of the estimate value towards corpus fund of NAC in the estimate may be allowed to provide. </t>
  </si>
  <si>
    <t xml:space="preserve">As per the content of G.O.Ms.No.17 Dt: 13.05.2022 of I&amp;CAD (reforms) Dept 0.01% the contribution towards Telangana Green Fund (TGF) i.e., 0.01% from the works bills shall be deducted duly incorporating immediately such deduction clause in respective Tender Documents and indicating that it is not reimbursable. Accordingly, no provision shall be made in the estimates. </t>
  </si>
  <si>
    <t xml:space="preserve">As per the content of G.O Ms.No.21 dt:31.03.2022 of Industries &amp; Commerce(Mines.I) Dept, Add 0.8 times permit fee on Seignorage Charges in the estimate  may be allowed to provide. </t>
  </si>
  <si>
    <t>BC Gr-II (30mm thick) aproved with (filler stone dust @2%) with 5.4% 60/70 Grade binder. Mechanical paver is provided instead of Hydrostatic sensor paver finisher in BC GrII data.</t>
  </si>
  <si>
    <t xml:space="preserve">HMP 60 TPH and HMP 100 TPH rates are interpolated to arrive HMP 75 TPH rate and the same was allowed as an economical criteria as 75HMP rates are not available in SSR  2024-25. </t>
  </si>
  <si>
    <t>Tractor Grader rate is only allowed instead of Motar Grader where ever it is applicable as per the field conditions as informed by the field staff.</t>
  </si>
  <si>
    <t>As per the Instructions vide Preamble item no.3 of present SSR- 2024-25,  Manufactured sand item .The use of Manufactured sand 50% of total sand requirement is mandatory .Hence the Sand provision in the data is to be replaced with 50%  Crushed Rock Sand and 50% Natural sand. The provision of Manufactured sand is made accordingly.</t>
  </si>
  <si>
    <t>As per the content of Minutes of the BOCEs meeting dated 28.02.2018 vide Lr.No.ENC/IW/P&amp;M/EE/DEE.2/AEE.5 /BOCE/61108/2018 dated: 08.03.2018, ENC (IW), Hyderabad and , the Government have instructed all the Engineering Department to deduct towards State Mineral Exploration Trust (SMET) Fund @ 2% &amp; District Mineral Fund (DMF) @ 30% from the works bills on the Seigniorage Charges respectivley in the estimate may be allowed to provide. Revised Segniorage charges are adopted as per G.O.Ms.No.18 Industries and Commerce (Mines-I) Department dated 31.03.2022</t>
  </si>
  <si>
    <t>The crust design is provided for Flexible pavement as per IRC SP 72:2015 and for Rigid pavements as per  IRC SP 62:2014 based on the trafic calculations and CBR value submitted the SE PR Vikarabad. The necessary corrections in the crust design wll be made in case of eronous proposed from SE concerned.</t>
  </si>
  <si>
    <t>For the Roads safety Interventions, the rates for items Thermoplastic paint for lane and edge marking(2.5mm thick in 1 layer), RPM (twin Moulded Shanks) , Rumble strips and Crash barrier are considered from Circular memo No. RSI/DCE ( R)/ Con.Er.(RS)/DEE(RS)/AEE(RS)/2022, dated23.11.2022 of O/o ENC State Roads &amp; CRN, Hyderabad of R&amp;B Department. As this is a finished item of work at site a direct approved rates adopted as per ENC, R&amp;B State Roads &amp; CRN on 23-11-2022 with out adding OH &amp; CP and Lead to site.</t>
  </si>
  <si>
    <t xml:space="preserve">           If agreed the estimate will be  scrutinized as per the above provisions and will be put up for  Technical sanction along with schedules including will be put up for technical approval.
</t>
  </si>
  <si>
    <t>Submitted for kind perusal and further orders please,</t>
  </si>
  <si>
    <t>Submitted Sir,</t>
  </si>
  <si>
    <t xml:space="preserve">                    As per the pre page note orders, the detailed scrutiny  of  estimate is done and put up below for according Technical Sanction along with Schedule- Part-A  &amp; Part-B is prepared and  placed below for perusal and approval the details are as follows.</t>
  </si>
  <si>
    <t>Name of Work:</t>
  </si>
  <si>
    <t>Estt.Cost Rs.</t>
  </si>
  <si>
    <t xml:space="preserve">Sl. No. </t>
  </si>
  <si>
    <t>Particular</t>
  </si>
  <si>
    <t>Road work</t>
  </si>
  <si>
    <t>CD Works</t>
  </si>
  <si>
    <t>Road Safety</t>
  </si>
  <si>
    <t xml:space="preserve">Sub-Total  </t>
  </si>
  <si>
    <t>Q.C. Charges @ 0.50%</t>
  </si>
  <si>
    <t>NAC @ 0.10%</t>
  </si>
  <si>
    <t xml:space="preserve">Seignarage Charges </t>
  </si>
  <si>
    <t>Add DMF @ 30% on Seignarage amount</t>
  </si>
  <si>
    <t>Add SMET @2% on Seignarage amount</t>
  </si>
  <si>
    <t>Add 0.8% permit fee on Seign Charges</t>
  </si>
  <si>
    <t>Add GST @ 18%</t>
  </si>
  <si>
    <t>Ls for Unforeseen, price escalation etc</t>
  </si>
  <si>
    <t xml:space="preserve">Total  Amount </t>
  </si>
  <si>
    <t>T.S. Amount</t>
  </si>
  <si>
    <t>The datas for Road items and datas are scrutinised and put up for approval and the Schedule-A along with Estimate is put up for approval.</t>
  </si>
  <si>
    <t>OAS Amt Rs. In Lakhs</t>
  </si>
  <si>
    <t>TS  amount Rs. In Lakhs</t>
  </si>
  <si>
    <t>Schedule-A 
Const., amount 
in Rs.</t>
  </si>
  <si>
    <t>Schedule A -Part B  amount</t>
  </si>
  <si>
    <t>Total ECV amount 
(Const, )</t>
  </si>
  <si>
    <t xml:space="preserve">Subject to approval a draft memo to SE ,PR,Vikarabad for communication of Technical Sanction estimates along with the Schedules is placed below for perusal and approval please. On approval of the Schedules the same will be published on E-Procurement plotform </t>
  </si>
  <si>
    <t>GOVERNMENT OF TELANGANA</t>
  </si>
  <si>
    <t>OFFICE OF THE ENGINEER-IN-CHIEF,PANCHAYAT RAJ, HYDERABAD</t>
  </si>
  <si>
    <t>Subject:-</t>
  </si>
  <si>
    <t xml:space="preserve">Ref :- </t>
  </si>
  <si>
    <t>*****</t>
  </si>
  <si>
    <t>1).</t>
  </si>
  <si>
    <t>The Digital Photographs/video of entire road surface shall be taken   before, during execution and after completion of work and preserve the same for submitting to this office/inspecting authorities in future.</t>
  </si>
  <si>
    <t>2).</t>
  </si>
  <si>
    <t>The pre-levels of earthwork should be super checked by concerned Executive Engineer and to submit the LF books along with earthwork calculations before grounding the work.</t>
  </si>
  <si>
    <t>3).</t>
  </si>
  <si>
    <t>The existing crust details for every H.M. shall be recorded in MB and super checked by the Executive Engineer before commencement of the work.</t>
  </si>
  <si>
    <t>4).</t>
  </si>
  <si>
    <t>The work details shall be entered on www.pred.telangana.gov.in web site for online approval so as to fecilitate for online payment and monitoring of the work.</t>
  </si>
  <si>
    <t>5).</t>
  </si>
  <si>
    <t xml:space="preserve"> If any deviations are observed over the sanctioned estimate, the working estimate/ with the inspection report of the SE concerned shall be submitted to this office within 1 month from the date of agreement/ grounding to save time. The deviations should be taken up only after prior approval of the undersigned only. </t>
  </si>
  <si>
    <t>6).</t>
  </si>
  <si>
    <t>The designs of CD works of less than 8 m span are to be approved by the Superintending Engineers at their level as per site conditions before grounding the same and those of length more than 8 m the hydraulic particulars shall be submitted to this office for approval of designs by the design wing immediately and shall be grounded only after approval of designs.</t>
  </si>
  <si>
    <t>7).</t>
  </si>
  <si>
    <t>Earthwork quantity is allowed based on the provision made by the Superintending Engineer. In case of non-submission of earthwork calculation sheet at the time of sanctioning the estimate, the earthwork quantity is restricted. The Superintending Engineer is  requested to instruct the field staff concerned to take pre levels of EW cross sections and levels shall be verified by the EE/SE on LF Books for realistic assessment of Earth work quantity for widening before grounding of work.</t>
  </si>
  <si>
    <t>8).</t>
  </si>
  <si>
    <t>The bitumen content in data for the item Bituminous Concrete as submitted by the Superintending Engineer, PR Vikarabad is considered as 5.4% with respect to the MoRTH 4th revision. The SE, PR, Vikarabad is requested to issue necessary intructions to the field staff/ Engineer-in-Charge to conduct tests for Bituminous Concrete in the reputed laboratories with respect to the available gradations and Job Mix Formulae to be approved by the concerned Executive Engineer well before grounding the work.</t>
  </si>
  <si>
    <t>9)</t>
  </si>
  <si>
    <t>10)</t>
  </si>
  <si>
    <t>Test certificates of pipes as per circular memo CE/DEEI/AEE/VQC/2021 dated: 23-11-2020 of the CE VQC PR Hyderabad is to be obtained before using the same in CD works construction. The EE's concerned may be informed to insist the contractors to procure the pipes where testing equipment is available.</t>
  </si>
  <si>
    <t>Sd/-</t>
  </si>
  <si>
    <t>Engineer-In-Chief</t>
  </si>
  <si>
    <t>PRED Hyderabad</t>
  </si>
  <si>
    <t>To</t>
  </si>
  <si>
    <t>/// t.c.f.b.o. ///</t>
  </si>
  <si>
    <t>Dy. Executive Engineer O/o ENC PR, Hyd</t>
  </si>
  <si>
    <t xml:space="preserve">GENERAL ABSTRACT </t>
  </si>
  <si>
    <t>PART-(A)</t>
  </si>
  <si>
    <t>Road Works</t>
  </si>
  <si>
    <t>Nos</t>
  </si>
  <si>
    <t>Road Safety Interventions</t>
  </si>
  <si>
    <t>Add 0.8 times permit fee on Seign Charges</t>
  </si>
  <si>
    <t>Unforeseen, price escalation, Seinarage,  as per Govt. orders and rounding off</t>
  </si>
  <si>
    <t xml:space="preserve">Total  Amount (Part- A) </t>
  </si>
  <si>
    <t>PART- (B)</t>
  </si>
  <si>
    <t>Maintenance Estimate</t>
  </si>
  <si>
    <t>Routine Maintanance for 5 YEARS</t>
  </si>
  <si>
    <t>Add GST on Maintanence  @ 12.00%</t>
  </si>
  <si>
    <t>Add LS For U/F items</t>
  </si>
  <si>
    <t xml:space="preserve">Total  Part-B </t>
  </si>
  <si>
    <t xml:space="preserve">Total (Part- A+B) </t>
  </si>
  <si>
    <t>Assistant Engineer,</t>
  </si>
  <si>
    <t>Dy. Exe. Engineer</t>
  </si>
  <si>
    <t>LS below 10%</t>
  </si>
  <si>
    <t>District Panchayat Raj Engineer,</t>
  </si>
  <si>
    <t>Engineer-In-chief</t>
  </si>
  <si>
    <t>P.R, Hyderabad</t>
  </si>
  <si>
    <t>State-</t>
  </si>
  <si>
    <t>TELANGANA</t>
  </si>
  <si>
    <t>Name of the Road</t>
  </si>
  <si>
    <t>District-</t>
  </si>
  <si>
    <t>Block-</t>
  </si>
  <si>
    <t>INPUT</t>
  </si>
  <si>
    <t>RESULT</t>
  </si>
  <si>
    <t>ADT</t>
  </si>
  <si>
    <t>AADT</t>
  </si>
  <si>
    <t>Traffic count</t>
  </si>
  <si>
    <t>VDF Values</t>
  </si>
  <si>
    <t>Total motorised Vehicle per Day</t>
  </si>
  <si>
    <t>(cars/vans/jeeps/  three wheelers)</t>
  </si>
  <si>
    <t xml:space="preserve">LCV </t>
  </si>
  <si>
    <t>Commercial vehicles per Day</t>
  </si>
  <si>
    <t>HCV (Truck/Buses)</t>
  </si>
  <si>
    <t>Laden</t>
  </si>
  <si>
    <t>Unladen</t>
  </si>
  <si>
    <t>Before opening to traffic , AADT</t>
  </si>
  <si>
    <t>Over loaded</t>
  </si>
  <si>
    <t>MCV                               (Tractor/Trollies/  Mini-Buses)</t>
  </si>
  <si>
    <t>Final cumulative ESAL</t>
  </si>
  <si>
    <t>Traffic Category</t>
  </si>
  <si>
    <t>T</t>
  </si>
  <si>
    <t>Two wheelers</t>
  </si>
  <si>
    <t>Bicycles</t>
  </si>
  <si>
    <t xml:space="preserve">Bullock cart </t>
  </si>
  <si>
    <t>solid wheel</t>
  </si>
  <si>
    <t>Pnu. Tyres</t>
  </si>
  <si>
    <t>THICKNESS</t>
  </si>
  <si>
    <t>PLEASE ENTER MANUALLY ALL THE VALUES AS PER DESIGN CURVES SHEET</t>
  </si>
  <si>
    <t>DGBM</t>
  </si>
  <si>
    <t xml:space="preserve">Time after which road will be opened to Traffic (year) </t>
  </si>
  <si>
    <t>WBM/CRMB/ BASE OF GRAVEL</t>
  </si>
  <si>
    <t>Traffic count during harvesting (yes/no)</t>
  </si>
  <si>
    <t>GRANULAR SUBASE</t>
  </si>
  <si>
    <t>No of Harvesting season</t>
  </si>
  <si>
    <t>IMPROVED SUBGRADE</t>
  </si>
  <si>
    <t>mm</t>
  </si>
  <si>
    <t>No of days in each Harvesting season</t>
  </si>
  <si>
    <t xml:space="preserve"> Value of n assumed</t>
  </si>
  <si>
    <t>CBR VALUE</t>
  </si>
  <si>
    <t>TOTAL THICKNESS</t>
  </si>
  <si>
    <t>Add total thickness</t>
  </si>
  <si>
    <t>Enter manually CBR VALUE</t>
  </si>
  <si>
    <t>Dy.Executive Engineer</t>
  </si>
  <si>
    <t>FIELD DATA SHEET FOR TRAFFIC CENSUS (BOTH DIRECTIONS)  FOR 3 DAYS ( Lean Seasion )</t>
  </si>
  <si>
    <t xml:space="preserve">&amp; CUMALATIVE ESAL APPLICATION CALCULATIONS </t>
  </si>
  <si>
    <t>Vehicle Class</t>
  </si>
  <si>
    <t>Cars, Jeeps, Vans, Three-wheelers</t>
  </si>
  <si>
    <t>Motorised two- wheelers</t>
  </si>
  <si>
    <t>Agricultural Tractors/ Trailers 
(MCV)</t>
  </si>
  <si>
    <t>Trucks / Buses
 (HCV)</t>
  </si>
  <si>
    <t>Cycles</t>
  </si>
  <si>
    <t>Cycle Rickshaws</t>
  </si>
  <si>
    <t>Animal Drawn Vehicles</t>
  </si>
  <si>
    <t xml:space="preserve">Laden </t>
  </si>
  <si>
    <t>Over Laden</t>
  </si>
  <si>
    <t xml:space="preserve">Day 1 
 From 0.00 Hrs To 24.00 Hrs     </t>
  </si>
  <si>
    <t xml:space="preserve">Day 2 
 From 0.00 Hrs To 24.00 Hrs     </t>
  </si>
  <si>
    <t xml:space="preserve">Day 3  From 0.00 Hrs To 24.00 Hrs     </t>
  </si>
  <si>
    <t>Average Daily Traffic</t>
  </si>
  <si>
    <t>ADT in the year of Traffic Count</t>
  </si>
  <si>
    <t>ADT =</t>
  </si>
  <si>
    <t>1 for if Peak season traffic count</t>
  </si>
  <si>
    <t>ADT in  Lean</t>
  </si>
  <si>
    <t>T =</t>
  </si>
  <si>
    <t>0 for Lean season traffic count</t>
  </si>
  <si>
    <t>ADT in  Peak</t>
  </si>
  <si>
    <t>No of Harvesting Seasons</t>
  </si>
  <si>
    <t>n =</t>
  </si>
  <si>
    <t>Peak Seasons Days</t>
  </si>
  <si>
    <t xml:space="preserve">Base Year Traffic </t>
  </si>
  <si>
    <t>AADT (T)=</t>
  </si>
  <si>
    <t>Let us assuming an intial growth rate of 6% for 2years</t>
  </si>
  <si>
    <t>T= Lean Traffic</t>
  </si>
  <si>
    <t>Opening of the road after complition</t>
  </si>
  <si>
    <t>AADT =</t>
  </si>
  <si>
    <t>From the given traffic count data, proportions of</t>
  </si>
  <si>
    <t xml:space="preserve">As per IRC SO 72-2015: </t>
  </si>
  <si>
    <t>MCV =</t>
  </si>
  <si>
    <t>(Laden Medium Commercial Vehicle)</t>
  </si>
  <si>
    <t xml:space="preserve">CBR Value: </t>
  </si>
  <si>
    <t>(Un Laden Medium Commercial Vehicle)</t>
  </si>
  <si>
    <t>(Over Laden Medium Commercial Vehicle)</t>
  </si>
  <si>
    <t>HCV =</t>
  </si>
  <si>
    <t>(LadenHeavy Commercial Vehicle)</t>
  </si>
  <si>
    <t>(Unladen Heavy Commercial Vehicle)</t>
  </si>
  <si>
    <t>(Over Laden Heavy Commercial Vehicle)</t>
  </si>
  <si>
    <t>Cumulative ESAL applications for 10year with uniform growth rate @ 6%</t>
  </si>
  <si>
    <t>(VDF = Vehicle Damage Factor)</t>
  </si>
  <si>
    <t xml:space="preserve">Equivalent Standard Axle Load = </t>
  </si>
  <si>
    <t>ESAL = HCV x VDF+MCV x VDF</t>
  </si>
  <si>
    <t>Vehicle</t>
  </si>
  <si>
    <t>Ov.Laden</t>
  </si>
  <si>
    <t>ESAL =</t>
  </si>
  <si>
    <t>HCV</t>
  </si>
  <si>
    <t>Nos/day</t>
  </si>
  <si>
    <t>MCV</t>
  </si>
  <si>
    <t xml:space="preserve">Cumulative ESAL Applications = </t>
  </si>
  <si>
    <t>N =</t>
  </si>
  <si>
    <t xml:space="preserve">    ( N = ESAL x 4811 x L)</t>
  </si>
  <si>
    <t>Where L= Lane distribution Factor = 1 for single lane)</t>
  </si>
  <si>
    <t>Executive Engineer</t>
  </si>
  <si>
    <t>6.82 msa</t>
  </si>
  <si>
    <t>SPECIFICATION REPORT FOR   WORKING ESTIMATE</t>
  </si>
  <si>
    <t>Name of the Work :</t>
  </si>
  <si>
    <t>Est. Cost . Rs.</t>
  </si>
  <si>
    <t>1)</t>
  </si>
  <si>
    <t>Habitations Benifitted</t>
  </si>
  <si>
    <t>The following villages will be benifitted by providing this road.</t>
  </si>
  <si>
    <t>Sl.No.</t>
  </si>
  <si>
    <t>Name of the Village</t>
  </si>
  <si>
    <t>Popupation asper 2011cencus</t>
  </si>
  <si>
    <t>2)</t>
  </si>
  <si>
    <t>The existing surface details of the road for proposed length as follows.</t>
  </si>
  <si>
    <t>Damaged BT</t>
  </si>
  <si>
    <t>Earthen</t>
  </si>
  <si>
    <t>3)</t>
  </si>
  <si>
    <t xml:space="preserve">Traffic  intensity </t>
  </si>
  <si>
    <t>Base year traffic volume Count is as follows</t>
  </si>
  <si>
    <t>Dates of Traffic count 
(3 days)</t>
  </si>
  <si>
    <t>4)</t>
  </si>
  <si>
    <t>Reach wise CBR and proposed road Crust thickness w.r.t existing surface details are as follows</t>
  </si>
  <si>
    <t>Crust required asper design  of IRC-SP-72-2015</t>
  </si>
  <si>
    <t>Crust thick ness Check +/-</t>
  </si>
  <si>
    <t>DBM  50 and BC30</t>
  </si>
  <si>
    <t>GR-VI</t>
  </si>
  <si>
    <t>Ext</t>
  </si>
  <si>
    <t>Pr</t>
  </si>
  <si>
    <t>5)</t>
  </si>
  <si>
    <t>CD works Existing Proposed Details are as follows.</t>
  </si>
  <si>
    <t>Existing CD works with type</t>
  </si>
  <si>
    <t>Existing Reaches</t>
  </si>
  <si>
    <t>Proposed CD works with type</t>
  </si>
  <si>
    <t>Proposed Reaches</t>
  </si>
  <si>
    <t xml:space="preserve">Construction of HP Culvert 1V of 1000mm Dia. NP4 Pipes </t>
  </si>
  <si>
    <t xml:space="preserve">Construction of HP Culvert 2V of 1000mm Dia. NP4 Pipes </t>
  </si>
  <si>
    <t>Construction of 1vent 6.00 x 1.50m span slab culvert at 0/340 KM (1 No)</t>
  </si>
  <si>
    <t>2vent 6.00 x 2.00m span slab culvert at 1/600 Km</t>
  </si>
  <si>
    <t>Protection walls at 1/800, 2/400 &amp; 3/500 KM</t>
  </si>
  <si>
    <t xml:space="preserve">Construction of Village Side Drains </t>
  </si>
  <si>
    <t>Total Nos</t>
  </si>
  <si>
    <t>The following provisions are made in the   working estimate up to BT standards</t>
  </si>
  <si>
    <t>Clearing and grubbing road land including uprooting rank vegetation, grass, bushes, shrubs, saplings and trees girth up to 300 mm, removal of stumps of trees as per the Techinical Specification Clause 201 MoRTH 5th Revision</t>
  </si>
  <si>
    <t xml:space="preserve">Forming Embankment with material obtained from borrowed useful earth from outside road boundary by mechanical means upto SDR with all leads and lifts  as per MoRT&amp;H specification 305 (5th revision). (The soil CBR&gt;10%, PI&lt;18% &amp; MDD&gt;1.8 g/cc) from </t>
  </si>
  <si>
    <t>Construction of granular sub-base  by providing close graded material (Table 400.1) with Grading VI Material  CBR Value not less than 100 and  PI Value less than 6  spreading in uniform layers with  Vibratory Roller to achieve the  desired density, complete as directed by the Engineer-in-charge and as per Technical Specification Clause 401 MoRT&amp;H (5th Revision)</t>
  </si>
  <si>
    <t xml:space="preserve">Providing, laying, spreading and compacting graded stone aggregate to Wet mix macadam specification including premixing the  material with water at OMC in mechanical mixer (Pug Mill), as per Technical Specification Clause 406 MoRT&amp;H ( 5th revision ) </t>
  </si>
  <si>
    <t>Providing and applying primer coat with bitumen emulsion (SS-1) on prepared surface of granular base including cleaning of road surface as per Technical Specification Clause 502 MoRT&amp;H (5th Revision) from Km 0/0 to 0/800</t>
  </si>
  <si>
    <t xml:space="preserve">Providing and applying tack coat-1with Bitumen emulsion (RS-1)  using emulsion  distributor at the rate of 0.20 kg per sqm on as per Technical Specification Clause 503 MoRT&amp;H (5th Revision) </t>
  </si>
  <si>
    <t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</si>
  <si>
    <t>Providing and applying tack coat-2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t>
  </si>
  <si>
    <t>Providing and laying bituminous concrete with 100-120 TPH batch type hot mix plant producing an average output of 75 tonnes per hour using crushed aggregates of grading-II premixed with bituminous binder @ 5.0 to 5.4 percent of mix as per MORTH specification clause No. 509 complete in all respects from Km</t>
  </si>
  <si>
    <t>Construction of  un-reinforced, expansion and construction joint plain cement concrete pavement, thickness as per design, over a prepared sub base, with 43 grade cement or any other type as per Clause 1501.2.2 M30 (Grade), as per drawing  and Technical Specification Clause 1501 MORD from Km 0/800 to 1/00</t>
  </si>
  <si>
    <t>Construction of earthen shoulders with selective soils obtained from borrow pits with MDD of 18 KN/Cum , CBR ≥ 12%, PI &lt; 12% from approved sources, as per MoRT&amp;H specification 305 (5th  revision) from Km 0/0 to 1/00</t>
  </si>
  <si>
    <t>Construction of CD works.</t>
  </si>
  <si>
    <t>Construction of Side drain</t>
  </si>
  <si>
    <t>Provide Road furniture and Road safety interventions</t>
  </si>
  <si>
    <t>The estimate is prepared with the SSR for the year 2021-2022.</t>
  </si>
  <si>
    <t>Construction of 8V of 1000 mm dia NP4 RCC pipe Vented Road Dams at km 3/950 and 4/450</t>
  </si>
  <si>
    <t>Construction of 1 V of 3 m span slab culvert at Km. 3/650</t>
  </si>
  <si>
    <t>Construction of 1 V of 3 m span slab culvert at Km. 6/850</t>
  </si>
  <si>
    <t>C/o 30m Retaning wall to Open well at Km 1/050</t>
  </si>
  <si>
    <t>7)</t>
  </si>
  <si>
    <t>DESIGN CRITERIA:</t>
  </si>
  <si>
    <t>i)</t>
  </si>
  <si>
    <t>The road surface is designed to carry design speed of 50 KMPH.</t>
  </si>
  <si>
    <t>ii)</t>
  </si>
  <si>
    <t>The recommended land width as per SP-20/MORD guidelines is available.</t>
  </si>
  <si>
    <t>iii)</t>
  </si>
  <si>
    <t>The road way width of 7.50 mtrs and carriage way width of 3.75 meters was provided as per MORD  Guidelines.</t>
  </si>
  <si>
    <t>iv)</t>
  </si>
  <si>
    <t>Pavement camber of 1 in 50 is provided.</t>
  </si>
  <si>
    <t>v)</t>
  </si>
  <si>
    <t>Super elevation are provided as per site requirement</t>
  </si>
  <si>
    <t>vi)</t>
  </si>
  <si>
    <t>Road is designed for vertical alignment and gradient. : 
a) Vertical curves are not required as the road is having plain embankment all along the entire length.</t>
  </si>
  <si>
    <t>b) Maximum Height of embankment of 0.50 mts is to be provided at reaches where the formation to be done.</t>
  </si>
  <si>
    <t>vii)</t>
  </si>
  <si>
    <t>Pavement materials provided in the estimate satisfy the  MORD &amp; SP20  guidelines</t>
  </si>
  <si>
    <t xml:space="preserve">                       The  estmate is prepared with MORTH Data duly adopting Cement and Steel rates of  Nov 2024 and BT rates are adopted as on  16.12.2024</t>
  </si>
  <si>
    <t>Dy Executive Engineer</t>
  </si>
  <si>
    <t>KEY  MAP</t>
  </si>
  <si>
    <t>Name of the Work:</t>
  </si>
  <si>
    <t>Proposed BT Renewal road</t>
  </si>
  <si>
    <t>0/00 Km</t>
  </si>
  <si>
    <t>PR, Circle, Vikarabad</t>
  </si>
  <si>
    <t xml:space="preserve">  ROAD PART ESTIMATE WITH SSR  2024-25</t>
  </si>
  <si>
    <t>Sl. No.</t>
  </si>
  <si>
    <t>Description of work</t>
  </si>
  <si>
    <t>No.</t>
  </si>
  <si>
    <t>B</t>
  </si>
  <si>
    <t>D</t>
  </si>
  <si>
    <t>x</t>
  </si>
  <si>
    <t>Deduct voids @40%</t>
  </si>
  <si>
    <t>sqm</t>
  </si>
  <si>
    <t>Tack Coat-1</t>
  </si>
  <si>
    <t>Tack Coat-2</t>
  </si>
  <si>
    <t>Executive Engineer,</t>
  </si>
  <si>
    <t>(cars/vans/jeeps/  three wheelers</t>
  </si>
  <si>
    <t>MCV ( Tractor/Trollies/Mini-Buses)</t>
  </si>
  <si>
    <t>Bullock cart (solid wheeled)</t>
  </si>
  <si>
    <t xml:space="preserve">ADT                       </t>
  </si>
  <si>
    <t>Overloaded</t>
  </si>
  <si>
    <t>Number of harvesting season=</t>
  </si>
  <si>
    <t>Traffic count during harvesting</t>
  </si>
  <si>
    <t>value of n</t>
  </si>
  <si>
    <t>Duration of harvesting season</t>
  </si>
  <si>
    <t xml:space="preserve">Average Daily Traffic ( non- haresting/harvesting) </t>
  </si>
  <si>
    <t>AADT=</t>
  </si>
  <si>
    <t>Before opening to traffic , AADT=</t>
  </si>
  <si>
    <t xml:space="preserve">Proportion factor (AADT/ADT) = </t>
  </si>
  <si>
    <t>MCV ( Tractor/Trollies)</t>
  </si>
  <si>
    <t>VDF</t>
  </si>
  <si>
    <t>VDF values</t>
  </si>
  <si>
    <t>Calculated</t>
  </si>
  <si>
    <t>ESAL/per day</t>
  </si>
  <si>
    <t>Cumulative ESAL over 10 years</t>
  </si>
  <si>
    <t>Correction factor</t>
  </si>
  <si>
    <t>CASENO.</t>
  </si>
  <si>
    <t>PAVEMENT LAYERS</t>
  </si>
  <si>
    <t>correction factor interpolation</t>
  </si>
  <si>
    <t>BITUMINOUS SURFACE TREATED WBM/CRMB</t>
  </si>
  <si>
    <t>GRAVEL BASE</t>
  </si>
  <si>
    <t>Modified soil/improved subgrade</t>
  </si>
  <si>
    <t>Granular subbase</t>
  </si>
  <si>
    <t>WBM/CRMB</t>
  </si>
  <si>
    <t>Bituminous surface Treated WBM/CRMB</t>
  </si>
  <si>
    <t>CRR -2018-19</t>
  </si>
  <si>
    <t>Sanctioned Length</t>
  </si>
  <si>
    <t>CD WORKS ABSTRACT</t>
  </si>
  <si>
    <t>Item of work</t>
  </si>
  <si>
    <t>Rate/ each</t>
  </si>
  <si>
    <t xml:space="preserve">Construction of HP Culvert 3V of 1000mm Dia. NP4 Pipes </t>
  </si>
  <si>
    <t>1vent 5.00 x 2.00m span slab culvert at 2/100Km</t>
  </si>
  <si>
    <t>Construction of Road dam</t>
  </si>
  <si>
    <t>Construction of Retaining walls/Protection walls</t>
  </si>
  <si>
    <t xml:space="preserve">Total CD work No's </t>
  </si>
  <si>
    <t>ABSTRACT MAINTANANCE ESTIMATE</t>
  </si>
  <si>
    <t>Length of Road</t>
  </si>
  <si>
    <t>Total Estimate Cost Rs.</t>
  </si>
  <si>
    <t>Cost per Km</t>
  </si>
  <si>
    <t xml:space="preserve"> The routine meaintanance estimates is prepared for 5 years period, each 6 months period i.e. 6 months premonsoon and 6 months postmonsoon period. As per the estimates the following is the estimate cost for the years mentioned below.</t>
  </si>
  <si>
    <t>Cost of routine maintanance for 5 years  Rs</t>
  </si>
  <si>
    <t>Year</t>
  </si>
  <si>
    <t>Total Amount</t>
  </si>
  <si>
    <t>Generated %  Year wise</t>
  </si>
  <si>
    <t>Remarks 
per Km rate</t>
  </si>
  <si>
    <t>Actual Cost</t>
  </si>
  <si>
    <t>Total Cost of routine Maintenance cost Rs.</t>
  </si>
  <si>
    <t>Add 12% GST on Above amount</t>
  </si>
  <si>
    <t>LS Provision  for Emergency repairs due to floods , other natural calamities etc.,</t>
  </si>
  <si>
    <t>Total Maintenance Cost        Rs.</t>
  </si>
  <si>
    <t xml:space="preserve">Estimate for maintenance of BT work as per guidelines issued by NRRDA for 5 years </t>
  </si>
  <si>
    <t>Dia / Span of CD work</t>
  </si>
  <si>
    <t>Carriage way width</t>
  </si>
  <si>
    <t>Mtrs</t>
  </si>
  <si>
    <t>Rainfall</t>
  </si>
  <si>
    <t>Low-1</t>
  </si>
  <si>
    <t>Medium-2</t>
  </si>
  <si>
    <t>High-3</t>
  </si>
  <si>
    <t>Roadway Width</t>
  </si>
  <si>
    <t>Traffic CVPD</t>
  </si>
  <si>
    <t>Value of CPVD</t>
  </si>
  <si>
    <t>Sum of  vents of Pipe Culverts</t>
  </si>
  <si>
    <t>Shoulder width</t>
  </si>
  <si>
    <t>Total length</t>
  </si>
  <si>
    <t>Total Road dam/Cause way Lengths</t>
  </si>
  <si>
    <t>Per Km</t>
  </si>
  <si>
    <t>BT length</t>
  </si>
  <si>
    <t>Total No. of  Pipe Culverts</t>
  </si>
  <si>
    <t>No of equalent vents of 1000mm dia</t>
  </si>
  <si>
    <t>`Total equalent Pipe culvet Vents of 1000mm dia=</t>
  </si>
  <si>
    <t>CC length</t>
  </si>
  <si>
    <t>Total No. of  Slab  Culverts</t>
  </si>
  <si>
    <t>No of eqalent vents f 2.00m Span</t>
  </si>
  <si>
    <t>Sum of Total Spans</t>
  </si>
  <si>
    <t>Drain Length</t>
  </si>
  <si>
    <t>Guard stone Nos</t>
  </si>
  <si>
    <t>Total Nos Slab  Culvert Vents of 2m</t>
  </si>
  <si>
    <t>Total Nos Slab  Culvert Vents of 3m</t>
  </si>
  <si>
    <t>Details</t>
  </si>
  <si>
    <r>
      <rPr>
        <b/>
        <sz val="11"/>
        <color indexed="8"/>
        <rFont val="Calibri"/>
        <charset val="134"/>
      </rPr>
      <t xml:space="preserve">L </t>
    </r>
    <r>
      <rPr>
        <sz val="10"/>
        <rFont val="Times New Roman"/>
        <charset val="134"/>
      </rPr>
      <t>(m)</t>
    </r>
  </si>
  <si>
    <r>
      <rPr>
        <b/>
        <sz val="11"/>
        <color indexed="8"/>
        <rFont val="Calibri"/>
        <charset val="134"/>
      </rPr>
      <t>B</t>
    </r>
    <r>
      <rPr>
        <sz val="10"/>
        <rFont val="Times New Roman"/>
        <charset val="134"/>
      </rPr>
      <t>(m)</t>
    </r>
  </si>
  <si>
    <r>
      <rPr>
        <b/>
        <sz val="11"/>
        <color indexed="8"/>
        <rFont val="Calibri"/>
        <charset val="134"/>
      </rPr>
      <t>D</t>
    </r>
    <r>
      <rPr>
        <sz val="10"/>
        <rFont val="Times New Roman"/>
        <charset val="134"/>
      </rPr>
      <t>(m)</t>
    </r>
  </si>
  <si>
    <t>Percentage/Frequency</t>
  </si>
  <si>
    <t>Multiplying factor</t>
  </si>
  <si>
    <t xml:space="preserve">Quantity </t>
  </si>
  <si>
    <t>Unit</t>
  </si>
  <si>
    <t>As per SSR-Rates as per SSR 2016-17</t>
  </si>
  <si>
    <t>Total Nos Slab  Culvert Vents of 5m</t>
  </si>
  <si>
    <t xml:space="preserve">Rate </t>
  </si>
  <si>
    <t>`Total  Ventage in meters =</t>
  </si>
  <si>
    <t>`Total equalent 2.00m Vents  =</t>
  </si>
  <si>
    <t>Filling of Pot holes</t>
  </si>
  <si>
    <t>YEAR  WISE  BREAKUP FOR MTC. AMOUNT</t>
  </si>
  <si>
    <t xml:space="preserve">BT SURFACE </t>
  </si>
  <si>
    <t>year</t>
  </si>
  <si>
    <t>1 st year</t>
  </si>
  <si>
    <t>2nd year</t>
  </si>
  <si>
    <t>3 rd year</t>
  </si>
  <si>
    <t>4th year</t>
  </si>
  <si>
    <t>5th year</t>
  </si>
  <si>
    <t xml:space="preserve">1st year </t>
  </si>
  <si>
    <t xml:space="preserve">2nd year </t>
  </si>
  <si>
    <t xml:space="preserve">3rd year </t>
  </si>
  <si>
    <t xml:space="preserve">4th Year </t>
  </si>
  <si>
    <t xml:space="preserve">5th Year </t>
  </si>
  <si>
    <t>WBM TOP LAYER/WMM layer With B C</t>
  </si>
  <si>
    <t>Subtotal</t>
  </si>
  <si>
    <r>
      <rPr>
        <b/>
        <sz val="8"/>
        <color indexed="8"/>
        <rFont val="Calibri"/>
        <charset val="134"/>
      </rPr>
      <t>Making up of berms/shoulders</t>
    </r>
    <r>
      <rPr>
        <sz val="8"/>
        <rFont val="Times New Roman"/>
        <charset val="134"/>
      </rPr>
      <t xml:space="preserve"> stripping excesss soil from the shoulder surface to achieve the required level                                                      </t>
    </r>
  </si>
  <si>
    <t>Restoration of berms and raincuts in hard shoulders</t>
  </si>
  <si>
    <t>A- 50% by soil for embankment</t>
  </si>
  <si>
    <t>Subsub Total</t>
  </si>
  <si>
    <t>B-50% by hard shoulder</t>
  </si>
  <si>
    <t>SubTotal</t>
  </si>
  <si>
    <t>Labour for cleaning the shoulders one labour for 200m for one year</t>
  </si>
  <si>
    <t>exam. For 1 km length 5 labour hence for 5 year 5x5=25 man days</t>
  </si>
  <si>
    <t>man days</t>
  </si>
  <si>
    <t>Cleaning of CD opening and maintenance of CD pitchning etc 3 CD per KM two labour or one</t>
  </si>
  <si>
    <t>For 1 km length 6 labour hence for 5 year 5x6=30 man days</t>
  </si>
  <si>
    <r>
      <rPr>
        <b/>
        <u/>
        <sz val="9"/>
        <color indexed="8"/>
        <rFont val="Calibri"/>
        <charset val="134"/>
      </rPr>
      <t xml:space="preserve">Maintenance of 200 m stones and Km stones </t>
    </r>
    <r>
      <rPr>
        <b/>
        <sz val="9"/>
        <rFont val="Times New Roman"/>
        <charset val="134"/>
      </rPr>
      <t xml:space="preserve">  </t>
    </r>
    <r>
      <rPr>
        <sz val="9"/>
        <rFont val="Times New Roman"/>
        <charset val="134"/>
      </rPr>
      <t>by way of refiting , repairing with cement mortar , cleaning and lettering as per drawing and technical specification clause 1912 (Clause 2.3 of OM for Frequency)</t>
    </r>
  </si>
  <si>
    <t xml:space="preserve"> Once  in year . 5 times in 5 years</t>
  </si>
  <si>
    <t>km</t>
  </si>
  <si>
    <r>
      <rPr>
        <u/>
        <sz val="9"/>
        <color indexed="8"/>
        <rFont val="Calibri"/>
        <charset val="134"/>
      </rPr>
      <t xml:space="preserve">Maintenance of Drains   </t>
    </r>
    <r>
      <rPr>
        <sz val="9"/>
        <rFont val="Times New Roman"/>
        <charset val="134"/>
      </rPr>
      <t xml:space="preserve">                                                  include erosion, repair, clearing,reshaping, regarding ,deeping of side drains as well as catch water drains as per clause 1907 of the specification. ( 50 % length  of drains , for </t>
    </r>
  </si>
  <si>
    <t>Twice in a year.For 5 years 10 times</t>
  </si>
  <si>
    <t>Rmt</t>
  </si>
  <si>
    <r>
      <rPr>
        <sz val="10"/>
        <rFont val="Arial"/>
        <charset val="134"/>
      </rPr>
      <t>Clearing wild seasonal growth on berm/shoulders etc.</t>
    </r>
    <r>
      <rPr>
        <u/>
        <sz val="11"/>
        <color indexed="8"/>
        <rFont val="Calibri"/>
        <charset val="134"/>
      </rPr>
      <t xml:space="preserve"> </t>
    </r>
    <r>
      <rPr>
        <sz val="10"/>
        <rFont val="Times New Roman"/>
        <charset val="134"/>
      </rPr>
      <t xml:space="preserve">   ( 50 % area)</t>
    </r>
  </si>
  <si>
    <t>Once in a years 5 times in 5 year</t>
  </si>
  <si>
    <t>Cutting of Tree Branches ( assuming 10 trees in 1 km )</t>
  </si>
  <si>
    <t>White washing and Geo painting of Tree Trunks ( 0.5 sqm per tree)</t>
  </si>
  <si>
    <r>
      <rPr>
        <u/>
        <sz val="11"/>
        <color indexed="8"/>
        <rFont val="Calibri"/>
        <charset val="134"/>
      </rPr>
      <t>Maintanence of Guard rails and parapet rails as per 1911 clause</t>
    </r>
    <r>
      <rPr>
        <sz val="10"/>
        <rFont val="Times New Roman"/>
        <charset val="134"/>
      </rPr>
      <t xml:space="preserve">                 (considering 10 sqm area )</t>
    </r>
  </si>
  <si>
    <t>Once in a year 5 times in 5 year</t>
  </si>
  <si>
    <t>Maintenance of culverts and cause ways as per 1908 and 1909</t>
  </si>
  <si>
    <t>Pipe Culverts  / ASPER ACTUAL</t>
  </si>
  <si>
    <t>Twice in a year 10 times in 5 years</t>
  </si>
  <si>
    <t>per row of hume pipe</t>
  </si>
  <si>
    <t>Slab Culverts   ASPER ACTUAL</t>
  </si>
  <si>
    <t>Per Vent</t>
  </si>
  <si>
    <t>Cause way ( assuming 10 m causeway ) ASPER ACTUAL LENGTH</t>
  </si>
  <si>
    <t xml:space="preserve">RM </t>
  </si>
  <si>
    <t>White washing parapets of CD works</t>
  </si>
  <si>
    <t xml:space="preserve">                                                                                                                                                                                                                                                               </t>
  </si>
  <si>
    <t>Maintence of Road Furniture &amp; Signs</t>
  </si>
  <si>
    <t>Once in two years</t>
  </si>
  <si>
    <t>Maintence of Guard Stones</t>
  </si>
  <si>
    <t>Refixing of Guard Stones ( 20 % of total Numbers)</t>
  </si>
  <si>
    <t>White washing of Guard Stone</t>
  </si>
  <si>
    <t xml:space="preserve">Total </t>
  </si>
  <si>
    <t>DATA  FOR  MAINTENANCE OF ROADS SSR  2022-23</t>
  </si>
  <si>
    <t>Sl. No</t>
  </si>
  <si>
    <t>Sr. No</t>
  </si>
  <si>
    <t>Reference to MoRTH Specification</t>
  </si>
  <si>
    <t>Rate Rs.</t>
  </si>
  <si>
    <t>Restoration of Rain Cuts</t>
  </si>
  <si>
    <t>Restoration of rain cuts with soil, moorum, gravel or a mixture of these, clearing the loose soil, benching for 300 mm width, laying fresh material in layers not exceeding 250 mm and compacting with plate compactor or power rammers to restore the original alignment, levels and slopes</t>
  </si>
  <si>
    <t>Mechanical Means ( Page No 278 )</t>
  </si>
  <si>
    <t>(a) Labour</t>
  </si>
  <si>
    <t>(b)  Machinery</t>
  </si>
  <si>
    <t>Excavator1.0 cum bucket capacity @ 60 cum per hour</t>
  </si>
  <si>
    <t>tonne.km</t>
  </si>
  <si>
    <t>Tipper (12L -&gt; L is average lead in km for borrow earth =12x1=12 )</t>
  </si>
  <si>
    <t>Add 10 per cent  of cost of carriage towards loading and unloading charges.</t>
  </si>
  <si>
    <t>Plate compactor</t>
  </si>
  <si>
    <t>Over head charges &amp; CP</t>
  </si>
  <si>
    <t>Contractor profit</t>
  </si>
  <si>
    <t>Cost per 1.00 Cum</t>
  </si>
  <si>
    <t>Total Rs.</t>
  </si>
  <si>
    <r>
      <rPr>
        <b/>
        <sz val="10"/>
        <rFont val="Times New Roman"/>
        <charset val="134"/>
      </rPr>
      <t xml:space="preserve">Note : </t>
    </r>
    <r>
      <rPr>
        <sz val="10"/>
        <rFont val="Times New Roman"/>
        <charset val="134"/>
      </rPr>
      <t>Only 75% of fresh material has been provided as 25% can be retrieved from site from earth i.e. flown down the slop in the form of slurry and deposited at the foot of rain cuts.</t>
    </r>
  </si>
  <si>
    <t>Maintenance of Earthen shoulder (filling with fresh selected soil)</t>
  </si>
  <si>
    <t>Making up loss of material/ irregularities on shoulder to the design level by adding fresh approved soil and compacting it with appropriate equipment.</t>
  </si>
  <si>
    <t>Page No 279</t>
  </si>
  <si>
    <t>Unit = sqm</t>
  </si>
  <si>
    <t>Taking output = 100 sqm</t>
  </si>
  <si>
    <t>Assuming average thickness of filling to be 150 mm</t>
  </si>
  <si>
    <t>Quality of fresh material = 15 cum</t>
  </si>
  <si>
    <t>Tipper (24L -&gt; L is average lead in km for borrow earth =24x1=24 )</t>
  </si>
  <si>
    <t>Plate compactor @ 25 Sqm per hour</t>
  </si>
  <si>
    <t>Cost per 1.00 Sqm</t>
  </si>
  <si>
    <t>Filling Pot-holes and Patch Repairs with open-Graded Premix surfacing, 20mm.</t>
  </si>
  <si>
    <t>Removal of all failed material,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t>
  </si>
  <si>
    <t>Page No 281</t>
  </si>
  <si>
    <t>Unit =  Sqm</t>
  </si>
  <si>
    <t>Taking out put = 10250 sqm (205 cum)(405 tonne)</t>
  </si>
  <si>
    <t>a)     Labour</t>
  </si>
  <si>
    <t>b)      Machinery</t>
  </si>
  <si>
    <t>Air compressor 250 cfm</t>
  </si>
  <si>
    <t xml:space="preserve">HMP 100-110 TPH Capacity </t>
  </si>
  <si>
    <t>Tipper 10 tonnes capacity</t>
  </si>
  <si>
    <t>Smooth wheeled roller 8-10 tonnes</t>
  </si>
  <si>
    <t>c)      Material</t>
  </si>
  <si>
    <t>Crushed stone aggregates nominal size 13.2mm @ 0.18 Cum / 10 Sqm</t>
  </si>
  <si>
    <t>Crushed stone aggregates nominal size 11.2mm @ 0.09 Cum / 10 Sqm</t>
  </si>
  <si>
    <t>tonne</t>
  </si>
  <si>
    <t xml:space="preserve">Bitumen 60/70 @ 14.60 Cum / 10 Sqm </t>
  </si>
  <si>
    <t>Bitumen emulsion RS-1  for tack coat including vertical sides of pot hole.</t>
  </si>
  <si>
    <t>Filling Pot-holes and Patch Repairs with Bituminous concrete, 40mm.</t>
  </si>
  <si>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t>
  </si>
  <si>
    <t>Page No : 282</t>
  </si>
  <si>
    <t>Taking out put = 4900 sqm (196 cum)(450 Tonnes)</t>
  </si>
  <si>
    <t>I) Bitumen       60/70 Grade</t>
  </si>
  <si>
    <t>ii) Bitumen emulsion for tack coat . (RS)</t>
  </si>
  <si>
    <t>iii) Aggregates</t>
  </si>
  <si>
    <t>Grading I - 19mm(Nominal size)</t>
  </si>
  <si>
    <t xml:space="preserve">20-10mm 35 per cent </t>
  </si>
  <si>
    <t xml:space="preserve">10-5 mm 23 per cent </t>
  </si>
  <si>
    <t xml:space="preserve">5mm and below40 per cent </t>
  </si>
  <si>
    <t>Filler 2 per cent by weight of Aggregates</t>
  </si>
  <si>
    <t xml:space="preserve">Add 5 per cent  for wastage </t>
  </si>
  <si>
    <t>The Data Sl.no (1- 25) only</t>
  </si>
  <si>
    <t>// Approved //</t>
  </si>
  <si>
    <t xml:space="preserve">  SUB-ESTIMATE FOR SLAB CULVERT WITH SSR 2021-22</t>
  </si>
  <si>
    <t>Construction of 2 Vent of 6.00 x 2.00m span Slab Culverts- 1nos  at Km 1/600</t>
  </si>
  <si>
    <t>Sl. 
No.</t>
  </si>
  <si>
    <t xml:space="preserve">Abutment, </t>
  </si>
  <si>
    <t>Piers</t>
  </si>
  <si>
    <t>Wing walls</t>
  </si>
  <si>
    <t>For abutments</t>
  </si>
  <si>
    <t>for Piers, Abutments, wing walls, cut off walls etc., below bed level</t>
  </si>
  <si>
    <t>Abutment 1st steps</t>
  </si>
  <si>
    <t>,, 2nd step</t>
  </si>
  <si>
    <t>,, 3rd step</t>
  </si>
  <si>
    <t>,, tappered</t>
  </si>
  <si>
    <t>Pier 2st step</t>
  </si>
  <si>
    <t xml:space="preserve">2nd </t>
  </si>
  <si>
    <t>tappered</t>
  </si>
  <si>
    <t>Abutment</t>
  </si>
  <si>
    <t>Pier</t>
  </si>
  <si>
    <t>Semi circular portion</t>
  </si>
  <si>
    <t>II/8</t>
  </si>
  <si>
    <t>(1.35^2+0.76^2)/2</t>
  </si>
  <si>
    <t>Abutment dirt wall</t>
  </si>
  <si>
    <t>Wing walls Tappered</t>
  </si>
  <si>
    <t>Bed blocks Over abutment</t>
  </si>
  <si>
    <t>II/4*2</t>
  </si>
  <si>
    <t>Balance width</t>
  </si>
  <si>
    <t>Kerb  wall</t>
  </si>
  <si>
    <t>for deck slab</t>
  </si>
  <si>
    <t>for Deck slab</t>
  </si>
  <si>
    <t>For appraches</t>
  </si>
  <si>
    <t>Over deck slab</t>
  </si>
  <si>
    <t>For approaches</t>
  </si>
  <si>
    <t>1Cum</t>
  </si>
  <si>
    <t xml:space="preserve">approach </t>
  </si>
  <si>
    <t>Vent porton</t>
  </si>
  <si>
    <t>Up stream side</t>
  </si>
  <si>
    <t>Down stream side</t>
  </si>
  <si>
    <t xml:space="preserve">Total Amount </t>
  </si>
  <si>
    <t xml:space="preserve">  SUB-ESTIMATE  FOR PIPE CULVERT WITH SSR  2023-24</t>
  </si>
  <si>
    <t>Road from Chevella to Mudimyala via Malkapur in Chevella Mandal of Ranga Reddy District</t>
  </si>
  <si>
    <t xml:space="preserve">Construction of HP Culvert 3V of 1000mm Dia.NP4 Pipes at Km </t>
  </si>
  <si>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t>
  </si>
  <si>
    <t>Body Wall Foundation</t>
  </si>
  <si>
    <t>Under Pipes</t>
  </si>
  <si>
    <t>Sand  Filling  in foundation trenches as per drawing and technical specification Clause 304 of MORTH including overhead charges &amp; Contractors profit etc complete.</t>
  </si>
  <si>
    <t>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t>
  </si>
  <si>
    <t>Head walls</t>
  </si>
  <si>
    <t>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t>
  </si>
  <si>
    <t>Body Wall Foundation below GL</t>
  </si>
  <si>
    <t>1x</t>
  </si>
  <si>
    <r>
      <rPr>
        <u/>
        <sz val="11"/>
        <rFont val="Calibri"/>
        <charset val="134"/>
        <scheme val="minor"/>
      </rPr>
      <t>1.25+1.0</t>
    </r>
    <r>
      <rPr>
        <sz val="11"/>
        <rFont val="Calibri"/>
        <charset val="134"/>
        <scheme val="minor"/>
      </rPr>
      <t xml:space="preserve">
2</t>
    </r>
  </si>
  <si>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t>
  </si>
  <si>
    <t>Body Wall Foundation above GL</t>
  </si>
  <si>
    <r>
      <rPr>
        <u/>
        <sz val="11"/>
        <rFont val="Calibri"/>
        <charset val="134"/>
        <scheme val="minor"/>
      </rPr>
      <t>1.0+0.4</t>
    </r>
    <r>
      <rPr>
        <sz val="11"/>
        <rFont val="Calibri"/>
        <charset val="134"/>
        <scheme val="minor"/>
      </rPr>
      <t xml:space="preserve">
2</t>
    </r>
  </si>
  <si>
    <t>Parapet wall</t>
  </si>
  <si>
    <t>Deduct for pipe portion</t>
  </si>
  <si>
    <t>II/4</t>
  </si>
  <si>
    <r>
      <rPr>
        <u/>
        <sz val="11"/>
        <rFont val="Calibri"/>
        <charset val="134"/>
        <scheme val="minor"/>
      </rPr>
      <t>1.0+0.6</t>
    </r>
    <r>
      <rPr>
        <sz val="11"/>
        <rFont val="Calibri"/>
        <charset val="134"/>
        <scheme val="minor"/>
      </rPr>
      <t xml:space="preserve">
2</t>
    </r>
  </si>
  <si>
    <t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</si>
  <si>
    <t>1000mm dia NP4</t>
  </si>
  <si>
    <t>X</t>
  </si>
  <si>
    <t>Assistant  Engineer,</t>
  </si>
  <si>
    <t>PR MPP Chevella</t>
  </si>
  <si>
    <t>PR SD Chevella</t>
  </si>
  <si>
    <t>PIU Ranga Reddy</t>
  </si>
  <si>
    <t>PR Circle, Ranga Reddy</t>
  </si>
  <si>
    <t>Construction of Retaining wall of 15.00m Length at Km 1/800,2/400 &amp; 3/500</t>
  </si>
  <si>
    <t>Fill up</t>
  </si>
  <si>
    <t>From Km 3/060 to 3/080</t>
  </si>
  <si>
    <t>Foundation</t>
  </si>
  <si>
    <t>Ret Wall body wall</t>
  </si>
  <si>
    <r>
      <rPr>
        <u/>
        <sz val="10"/>
        <rFont val="Arial"/>
        <charset val="134"/>
      </rPr>
      <t xml:space="preserve">1.30+0.90
</t>
    </r>
    <r>
      <rPr>
        <sz val="10"/>
        <rFont val="Arial"/>
        <charset val="134"/>
      </rPr>
      <t>2</t>
    </r>
  </si>
  <si>
    <r>
      <rPr>
        <u/>
        <sz val="10"/>
        <rFont val="Arial"/>
        <charset val="134"/>
      </rPr>
      <t xml:space="preserve">0.90+0.40
</t>
    </r>
    <r>
      <rPr>
        <sz val="10"/>
        <rFont val="Arial"/>
        <charset val="134"/>
      </rPr>
      <t>2</t>
    </r>
  </si>
  <si>
    <t xml:space="preserve">  SUB-ESTIMATE FOR ROAD FURNITURE WITH SSR  2023-24</t>
  </si>
  <si>
    <t>Ordinery KM Stone</t>
  </si>
  <si>
    <t>/ No.</t>
  </si>
  <si>
    <t>H.M Stone (200M)  Stone</t>
  </si>
  <si>
    <t>Information Sign board</t>
  </si>
  <si>
    <t>1000x900mm size</t>
  </si>
  <si>
    <t>600mmx600mm size</t>
  </si>
  <si>
    <t>Supplying of hot applied thermoplastic road marking compound, 2.5mm thick including reflectorising glass beads @ 250gms with Reflectorising Glass Beads on Bituminous Surface at 250 gms per sqm area, thickness of 2.5mm is exclusive of surface applied glass bead as per MORTH Section 803.4 and IRC: 35-2015, the material should satisfy the requirements as per MORTH specifications 803.4 and must comply with the following: a) White index for the product should be in the range of 60-70 when measured against standard reference. The applied panel 7/8 number must be submitted for checking up the white index in the department lab. In case the department approves the white index of any vendor, the department engineer may carryout random checking of the applied products at site against the approved panel. In case of any major deviation, beyond</t>
  </si>
  <si>
    <t>ROAD SAFETY INTERVENTIONS  - SUB ESTIMATE</t>
  </si>
  <si>
    <t>Measurments</t>
  </si>
  <si>
    <t>Cost, supply and fixing on road of Reflective Studs - RMP (Twin Moulded Shanks) including cost and conveyance and all labour charges and including contractors profit &amp; Over head charges,  but excluding  GST etc,. Complete.</t>
  </si>
  <si>
    <t>At Junctions to be provided two rows of 0.5m spacing at Junction Start &amp; after Junctions</t>
  </si>
  <si>
    <t>Junctions</t>
  </si>
  <si>
    <t>At curves to be provided in both edges @ 1.00 mts intervals of curve potion</t>
  </si>
  <si>
    <t>curves</t>
  </si>
  <si>
    <t>/ Each</t>
  </si>
  <si>
    <t>Cost, supply and Painting on road of Thermoplastic Paint of 2.50 mm thick including cost and conveyance and all labour charges and including contractors profit &amp; Over head charges,  but excluding  GST etc,. Complete.</t>
  </si>
  <si>
    <t>Lenth of the road</t>
  </si>
  <si>
    <t xml:space="preserve">Both Sides of the road </t>
  </si>
  <si>
    <t>Center line</t>
  </si>
  <si>
    <t>/ Sqm</t>
  </si>
  <si>
    <t>Providing and erecting a "W" metal beam crash barrier comprising of 3mm thick corrugated sheet metal beam rail 70 cm above road/ground level, fixed on ISMC  series chennel verical post 150x75x5mm spaced 2.00m cente-to-centre, 1.80m high, 1.10m below ground/road level, all steel parts and fitiings to be galvanized by hot dip process, all fittings to confirm to IS:1367 and IS: 1364, metal beam rail to be fixed on vertical post with a spacer of chennel section 150x75x5mm, 330mm longs complete as per clause 810, including cost and conveyance and all labour charges and including contractors profit &amp; Over head charges,  but excluding  GST etc,. Complete.</t>
  </si>
  <si>
    <t>High Level Bridge / High Banking portion</t>
  </si>
  <si>
    <t xml:space="preserve">at </t>
  </si>
  <si>
    <t>/ Rm</t>
  </si>
  <si>
    <t>Cost, supply and Painting on road for Rumble strips 7.5mm thick (in 3 layers each of 2.5mm thick)  including cost and conveyance and all labour charges and including contractors profit &amp; Over head charges,  but excluding  GST etc,. Complete.</t>
  </si>
  <si>
    <t>2.5mm thick in 3 layers</t>
  </si>
  <si>
    <t>1Sqm</t>
  </si>
  <si>
    <t>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t>
  </si>
  <si>
    <t>Unit = 10 sqm</t>
  </si>
  <si>
    <t>Taking output = 1 hectare</t>
  </si>
  <si>
    <t>Hr</t>
  </si>
  <si>
    <t>Dozer 80 HP with attachment for removal of trees &amp; stumps</t>
  </si>
  <si>
    <t>Tractor with trolley 3t</t>
  </si>
  <si>
    <t xml:space="preserve">(C) </t>
  </si>
  <si>
    <t xml:space="preserve">Over head charges &amp; CP </t>
  </si>
  <si>
    <t>Over head charges 4.615%  on (A) + (B)+( C)</t>
  </si>
  <si>
    <t>Cost  unit hectare</t>
  </si>
  <si>
    <t>Rate per Sqm (D/10000)</t>
  </si>
  <si>
    <t>Dismantling of flexible pavements (bituminous courses) by mechanical means and disposal of dismantled materials up to a lead of 1000 metres, stacking serviceable and unserviceable materials separately as per Drawings and Technical Specification Clause MoRT&amp;H 202 and as directed by the Engineer.</t>
  </si>
  <si>
    <t>Page 36 of MoRT&amp;H SDB</t>
  </si>
  <si>
    <t>Bituminous Concrete</t>
  </si>
  <si>
    <t>Farm tractor with ripper @ 60 cum per hour</t>
  </si>
  <si>
    <t xml:space="preserve">Cutting of trees, including cutting of trunks branches and removal of stumps,roots, stacking of serviceable material with al lifts and upto lead  of 1000m and earth filling in the dression/pit. </t>
  </si>
  <si>
    <t>Girth from 300mm to 600mm</t>
  </si>
  <si>
    <t>Unit : Each</t>
  </si>
  <si>
    <t>Page 19 of MoRT&amp;H SDB</t>
  </si>
  <si>
    <t>Tractor-Trolley</t>
  </si>
  <si>
    <t>Cost per Each</t>
  </si>
  <si>
    <t xml:space="preserve">Rate for each </t>
  </si>
  <si>
    <t>Girth from 600mm to 900mm</t>
  </si>
  <si>
    <t>Girth from 900mm to 1800mm</t>
  </si>
  <si>
    <t>Page 50 of MoRT&amp;H SDB</t>
  </si>
  <si>
    <t xml:space="preserve">Taking out put = 180 Cum </t>
  </si>
  <si>
    <t>Hydraulic Excavator</t>
  </si>
  <si>
    <t>Cost  per 180 cum</t>
  </si>
  <si>
    <t>say</t>
  </si>
  <si>
    <t>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t>
  </si>
  <si>
    <t>Municipal area allowance</t>
  </si>
  <si>
    <t>Dozer 80 HP for spreading @ 30 cum per hour</t>
  </si>
  <si>
    <t xml:space="preserve">Cost  per 100 cum </t>
  </si>
  <si>
    <t>Tractor with grader for grading @ 25 cum per hour</t>
  </si>
  <si>
    <t>Materils</t>
  </si>
  <si>
    <t>KL</t>
  </si>
  <si>
    <t>Cost of Water</t>
  </si>
  <si>
    <t>Page 68,69 of MoRT&amp;H SDB</t>
  </si>
  <si>
    <t>Compensation for earth from private land</t>
  </si>
  <si>
    <t>Cost  per 100 cum</t>
  </si>
  <si>
    <t>SUB-ANALYSIS</t>
  </si>
  <si>
    <t>Cost of Haulage Excluding Loading and Unloading</t>
  </si>
  <si>
    <t>Haulage of materials by tipper excluding cost of loading, unloading and stacking.</t>
  </si>
  <si>
    <t>unit = Cum</t>
  </si>
  <si>
    <t>Page 12 of MoRT&amp;H SDB</t>
  </si>
  <si>
    <t>Taking out put 10 tonnes laod and leas 10Km= 100 t.km</t>
  </si>
  <si>
    <t>CASE-I : Surface Road</t>
  </si>
  <si>
    <t>Speed with Laod     = 25 Km/Hour</t>
  </si>
  <si>
    <t>Speed while returing empty     =  35 Km/Hour</t>
  </si>
  <si>
    <t>A).Machinary</t>
  </si>
  <si>
    <t>i).Tipper 10 Tonnes capacity</t>
  </si>
  <si>
    <t>hours</t>
  </si>
  <si>
    <t>Time taken for onword haulage with load</t>
  </si>
  <si>
    <t>Time taken for empty return trip</t>
  </si>
  <si>
    <t>Cost  per  100t.km</t>
  </si>
  <si>
    <t>Rate per 1 tkm</t>
  </si>
  <si>
    <t>Hire charges Machinary S.No.06, Pg: 77 Tipper</t>
  </si>
  <si>
    <t>Compacting  original ground supporting subgrade. Loosening of the ground upto a level of 500 mm below the sub grade level, waterred, graded and compacted in layers to meet requirement of Table 300-2 for sub grade construction</t>
  </si>
  <si>
    <t>Page 72 of MoRT&amp;H SDB</t>
  </si>
  <si>
    <t>Taking output = 600 cum</t>
  </si>
  <si>
    <t>Tractor with ripper attachment @ 60 Cum per hr</t>
  </si>
  <si>
    <t>Cost  per 600 cum</t>
  </si>
  <si>
    <t>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t>
  </si>
  <si>
    <t>Page 67,68 of MoRT&amp;H SDB</t>
  </si>
  <si>
    <t>Mazdoor including loading and unloading</t>
  </si>
  <si>
    <t>Cost per 100 sqm</t>
  </si>
  <si>
    <t>Rate per 1 sqm</t>
  </si>
  <si>
    <t>Front end loader 1 Cum bucket capacity @ 25 Cum per hour</t>
  </si>
  <si>
    <t>Tipper 5.5 Cum capacity, 4 trips per hour</t>
  </si>
  <si>
    <t>Granular Sub-Base with Material confirming to Grading - VI (Table:- 400-1)</t>
  </si>
  <si>
    <t>By Mix in Place Method</t>
  </si>
  <si>
    <t>Page 94 of MoRT&amp;H SDB</t>
  </si>
  <si>
    <t>Taking output = 300 cum</t>
  </si>
  <si>
    <t>Tractor with Rotavator</t>
  </si>
  <si>
    <t>53 mm-9.50 mm IRC &amp; Moths HBG Chips @ 35% Avg. rate of (40-45),(25-27),(19-22),(12-14)&amp;(9.5-11)</t>
  </si>
  <si>
    <t>9.5mm to 4.75 mm @ 47.5% 
(Av. rate of 9.5-12mm , 5-7mm &amp; 2.36 - 5mm HBG M/C metal)</t>
  </si>
  <si>
    <t>2.36mm and below @ 17.5%
(Rate of 2.36mm &amp; below HBG metal)</t>
  </si>
  <si>
    <t>Cost  per 300 cum</t>
  </si>
  <si>
    <t>Water Bound Macadam - Grading-II</t>
  </si>
  <si>
    <t>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t>
  </si>
  <si>
    <t>By Mechanical Means:</t>
  </si>
  <si>
    <t>Page 106 of MoRT&amp;H SDB</t>
  </si>
  <si>
    <t>Taking output = 360 cum</t>
  </si>
  <si>
    <t>Vibratory roller 8-10 tonnes @ 60cum/hr.</t>
  </si>
  <si>
    <t>Grading-II</t>
  </si>
  <si>
    <t>Aggregate</t>
  </si>
  <si>
    <t>Material (Total Qty 435.60 Cum) Grading-II 63 mm to 45 mm /Grading-III 53 mm to 22.4 mm@ 0.91 cum per 10 sqm for compacted thickness of 75 mm</t>
  </si>
  <si>
    <t>60-63 mm IRC HBG Metal (50% of 435.60 cum)</t>
  </si>
  <si>
    <t>50-55 mm IRC HBG Metal (35% of 435.60 cum)</t>
  </si>
  <si>
    <t>40-45 mm IRC HBG  Metal (11% of 435.60 cum)</t>
  </si>
  <si>
    <t>19-22 mm IRC HBG Metal metal (4% of 435.60 cum)</t>
  </si>
  <si>
    <t xml:space="preserve"> Stone Screening</t>
  </si>
  <si>
    <t xml:space="preserve">Type B 11.2 mm for grading-II @ 0.20 cum per 10 sqm </t>
  </si>
  <si>
    <t>Binding material</t>
  </si>
  <si>
    <t>Binding Material @ 0.06cum per 10 sqm for grading II material</t>
  </si>
  <si>
    <t>Cost  per 360 cum</t>
  </si>
  <si>
    <t>Water Bound Macadam - Grading-III</t>
  </si>
  <si>
    <t>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t>
  </si>
  <si>
    <t>Grading-III</t>
  </si>
  <si>
    <t>Material (Total Qty 435.60 Cum) Grading-III 53 mm to 22.4 mm@ 0.91 cum per 10 sqm for compacted thickness of 75 mm</t>
  </si>
  <si>
    <t>40-45 mm IRC HBG  Metal M/C ( 82% of 435.60 Cum)</t>
  </si>
  <si>
    <t>19-22.40 mm IRC HBG M/C Metal ( 18% of 435.60 cum)</t>
  </si>
  <si>
    <t xml:space="preserve">Type B11.2 mm for grading-III @ 0.18 cum per 10 sqm </t>
  </si>
  <si>
    <t>Cost of water</t>
  </si>
  <si>
    <t>Page 110,111 of MoRT&amp;H SDB</t>
  </si>
  <si>
    <t>Taking output = 225 cum</t>
  </si>
  <si>
    <t>nos.</t>
  </si>
  <si>
    <t>Wet mix plant of 60 tonne hr. capacity</t>
  </si>
  <si>
    <t>Electric generating set 125 KVA</t>
  </si>
  <si>
    <t>front end loader 1 cum capacity</t>
  </si>
  <si>
    <t>Mechanical Paver finisher</t>
  </si>
  <si>
    <t>Vibratory roller 8-10 T</t>
  </si>
  <si>
    <t>Water tanker</t>
  </si>
  <si>
    <t>45 to 22.40mm IRC&amp;MoRT&amp;H HBG M/C metal@ 30%</t>
  </si>
  <si>
    <t>(Av. of 40-45, 25-27, 19-22mm )</t>
  </si>
  <si>
    <t>22.4 to 2.36mm IRC&amp;MoRT&amp;H HBG M/C metal@40%</t>
  </si>
  <si>
    <t>(Av. Of 19-22mm, 12-14mm, 9.5-11.2mm, 5-7mm, 
2.36  - 5mm )</t>
  </si>
  <si>
    <t>2.36mm to 75 micron @ 30% (2.36mm &amp; below)</t>
  </si>
  <si>
    <t>Cost per 225 cum</t>
  </si>
  <si>
    <t>Rate to be adopted per 1 cum</t>
  </si>
  <si>
    <t xml:space="preserve"> Cum</t>
  </si>
  <si>
    <t>unit = sqm</t>
  </si>
  <si>
    <t>Page 124 of MoRT&amp;H SDB</t>
  </si>
  <si>
    <t>Taking output = 3500 sqm</t>
  </si>
  <si>
    <t>Mechanical broom Hydraulic @ 1250 sqm/hr.</t>
  </si>
  <si>
    <t>Emulsion pressure distributor @1750 sqm/hr</t>
  </si>
  <si>
    <t xml:space="preserve">Bitumen emulsion (RS-1)  @ 0.275 kg per sqm </t>
  </si>
  <si>
    <t>Cost per 3500 sqm</t>
  </si>
  <si>
    <t xml:space="preserve">Bitumen emulsion (RS-1)  @ 0.2 kg per sqm </t>
  </si>
  <si>
    <t>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t>
  </si>
  <si>
    <t>Page 123 of MoRT&amp;H SDB</t>
  </si>
  <si>
    <t>Water tanker 6KL capacity @ one trip</t>
  </si>
  <si>
    <t>Bitumen  pressure distributor @1750 sqm/hr</t>
  </si>
  <si>
    <t>Bitumen emulsion (SS-1)  @ 0.600 kg per sqm</t>
  </si>
  <si>
    <t>Open - Graded Premix Surfacing</t>
  </si>
  <si>
    <t>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t>
  </si>
  <si>
    <t>Page 143 of MoRT&amp;H SDB</t>
  </si>
  <si>
    <t>Taking out put = 10250 Sqm (205 cum)</t>
  </si>
  <si>
    <t>Case - I: Mechanical method using Penetration grade Bitumen and HMP of appropriate capacity not less than 75 tonnes/hour .</t>
  </si>
  <si>
    <t>Mazdoor working with HMP, road sweeper, paver and roller</t>
  </si>
  <si>
    <t>Skilled mazdoor for checking line &amp; levels</t>
  </si>
  <si>
    <t>i) Batch type HMP 75 tonne per hour</t>
  </si>
  <si>
    <t xml:space="preserve">ii) Electric Generator Set 250 KVA </t>
  </si>
  <si>
    <t xml:space="preserve">iii) Front end loader 1 cum bucket capacity </t>
  </si>
  <si>
    <t>450xL</t>
  </si>
  <si>
    <t>t.Km</t>
  </si>
  <si>
    <t>iv) Tipper 10 tonne capacity</t>
  </si>
  <si>
    <t>Add 10  per cent  of cost of carriage to cover cost of loading and unloading</t>
  </si>
  <si>
    <t xml:space="preserve">v) Mechanical Paver finisher </t>
  </si>
  <si>
    <t>iv) Smooth wheeled/tandom roller 8-10 tonnes weight</t>
  </si>
  <si>
    <t>Bitumen-VG30(60/70)@ 14.60 kg per 10 sqm</t>
  </si>
  <si>
    <t>Crushed stone chipping , 13.2 mm to 5.60 mm @ 0.27cum per 10 sqm</t>
  </si>
  <si>
    <t>Cost per 10250 Sqm</t>
  </si>
  <si>
    <t>Rate per 1 Sqm</t>
  </si>
  <si>
    <t>xx</t>
  </si>
  <si>
    <t xml:space="preserve">Seal Coat -  :  Type A </t>
  </si>
  <si>
    <t>Providing and laying bituminous liquid seal coat (Type A) comprising of a layer of bituminous binder followed by a cover of stone chipping of grading as defined in table 500.16 of MOST at of Crushed stone chipping of 6.7 mm size 100% passing through 11.2mm sieve and retained on 2.36 mm sieve applied @ 0.09 cum per 10 sqm chips to be laid uniformly with the help of a mechanical chip spreader simultaneously along with the bituminous course using 9.80 kgs of bitumen 60/70 (VG30) grade for 10 sqm and rolling with power roller including of required line, level, grade to serve as wearing course on previously prepared surface and finishing to required level and grades including cost and conveyance of all materials from approved sources and stacking at site to departmental gauge for  premeasurements,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including contractors profit &amp; Over head charges excluding Seignarage charges etc complete using Mechanical means.</t>
  </si>
  <si>
    <t>Page 147 of MoRT&amp;H SDB</t>
  </si>
  <si>
    <t>Taking output = 10250 sqm (92.25 cum)</t>
  </si>
  <si>
    <t xml:space="preserve">Mate </t>
  </si>
  <si>
    <t>Mazdoor (un-skilled)</t>
  </si>
  <si>
    <t>Hydraulic self propelled chips spreader</t>
  </si>
  <si>
    <t>Tipper 5.5 cum capacity</t>
  </si>
  <si>
    <t>Front end loader 1 cum bucket capacity</t>
  </si>
  <si>
    <t>Bitumen pressure distributor @ 1750 Sqm per hour</t>
  </si>
  <si>
    <t xml:space="preserve">Smooth wheeled roller 80-100 kN </t>
  </si>
  <si>
    <t>Materials</t>
  </si>
  <si>
    <t>t</t>
  </si>
  <si>
    <t>Bitumen@ 9.80 kg per 10 sqm</t>
  </si>
  <si>
    <t>Crushed stone chipping of 6.7 mm size 100% passing 11.20mm seive and retained on 2.36 mm sieve applied @ 0.09 cum per 10 sqm.</t>
  </si>
  <si>
    <t>Seal Coat -  :  Type B</t>
  </si>
  <si>
    <t>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t>
  </si>
  <si>
    <t>Taking output = 7858 sqm (47.16 cum)</t>
  </si>
  <si>
    <t xml:space="preserve">Electric Generator Set 250 KVA </t>
  </si>
  <si>
    <t xml:space="preserve">Front end loader 1 cum bucket capacity </t>
  </si>
  <si>
    <t>104 x 'L'</t>
  </si>
  <si>
    <t>Tipper 10 tonne capacity</t>
  </si>
  <si>
    <t xml:space="preserve">Mechanical Paver finisher </t>
  </si>
  <si>
    <t>Smooth wheeled 8-10 tonnes capacity</t>
  </si>
  <si>
    <t>Bitumen-VG30(60/70)@ 6.80 kg per 10 sqm</t>
  </si>
  <si>
    <t>Crushed stone chipping of 6.7 mm size 100% passing 11.20mm seive and retained on 2.36 mm sieve applied @ 0.06 cum per 10 sqm.</t>
  </si>
  <si>
    <t>Cost per 7858 Sqm</t>
  </si>
  <si>
    <t>Taking output = 75cum (172.50 t)</t>
  </si>
  <si>
    <t>(100x3.75 x 0.200)</t>
  </si>
  <si>
    <t>Mason (1st class)</t>
  </si>
  <si>
    <t>Mason (2nd class)</t>
  </si>
  <si>
    <t xml:space="preserve">Mazdoor (unskilled) </t>
  </si>
  <si>
    <t>Mazdoor(skilled)</t>
  </si>
  <si>
    <t>Surveyor</t>
  </si>
  <si>
    <t>Mazdoor (semi-skilled)</t>
  </si>
  <si>
    <t>Black smith for cutting of dowel bars including removal of burrs, fabrications &amp; fixing of dowel bars</t>
  </si>
  <si>
    <t>Add 10% MAA / AA</t>
  </si>
  <si>
    <t xml:space="preserve">Hour </t>
  </si>
  <si>
    <t>Concrete mixer 0.28/0.40 cum capacity ( 6 mixers) with weight batcher and suitable capacity calibrated water tank</t>
  </si>
  <si>
    <t>Needle vibrator</t>
  </si>
  <si>
    <t>Screed vibrator</t>
  </si>
  <si>
    <t>Plate vibrator</t>
  </si>
  <si>
    <t>Water tanker 6 Kl. Capacity</t>
  </si>
  <si>
    <t>Air compressor ( 1hour initial + 1 hour final)</t>
  </si>
  <si>
    <t>Meter</t>
  </si>
  <si>
    <t>Groove cutting</t>
  </si>
  <si>
    <t>Crushed stone coarse aggregates, grading will be as per clause 1501.2.4.1 (Table 1500.1) of specifications @ 0.90 Cum/cum of concrete</t>
  </si>
  <si>
    <t>10mm</t>
  </si>
  <si>
    <t>50% Natural Sand as per IS:383 and conforming to clause 1500.2.4.2.</t>
  </si>
  <si>
    <t>50% Manufactured sand(Rock Sand)</t>
  </si>
  <si>
    <t>Cement @ 350 Kg/cum of concrete</t>
  </si>
  <si>
    <t>Polythene sheet 125 micron</t>
  </si>
  <si>
    <t>Mild steel dowel bar 25mm dia of grade S 240.500 mm long 20 Nos. at culvert/bridge slab and at construction joiont including 5 percent wastage</t>
  </si>
  <si>
    <t>(4x20x0.500) + 5 per cent wastage = 42m @3.854 Kg per m = 161.91 kg.</t>
  </si>
  <si>
    <t>Bitumen primer @ 200ml. Per joint for 23 joints</t>
  </si>
  <si>
    <t>Litre</t>
  </si>
  <si>
    <t>Bitumenous sealant 800 ml. Per joint for 23 joints</t>
  </si>
  <si>
    <t>m</t>
  </si>
  <si>
    <t>Jute rope 12mm dia including 5 per cent wastage</t>
  </si>
  <si>
    <t>Debonding strips 3.75m. (length) x 10mm (width) x 5 mm (thick) cut-out of rubber fillter board of similar material including 5 per cent wastage</t>
  </si>
  <si>
    <t>Polythene sheathing, covering 2/3rd dowel bars (20x23) and tight fit including 5 per cent wastage</t>
  </si>
  <si>
    <t>Plasticizer 0.4 per cent by weight of cement</t>
  </si>
  <si>
    <t>kl</t>
  </si>
  <si>
    <t>Water for curing</t>
  </si>
  <si>
    <t>Joint filler board 20mm thick as per IS:1838</t>
  </si>
  <si>
    <t>(4x3.75x0.200 = 3 sqm)</t>
  </si>
  <si>
    <t>Form work @ 3% on (a+b+c)</t>
  </si>
  <si>
    <t>Cost per 75 Cum</t>
  </si>
  <si>
    <t>Rate per 1 Cum</t>
  </si>
  <si>
    <t>Providing and laying surface dressing as wearing course using in single coat using 19 mm nominal size IRC HBG/HBT machine crushed stone aggregates @ 0.015 cum / sqm on a layer of bitumen binder of  Bitumen grade 60/70 @ 1.20 Kg/sqm including cost, (excluding  seigniorage) and conveyance of all materials to work site and laid on prepared surface and rolling with 8-10 T  Power Road Roller etc., complete for finished item of work as per MoRT&amp;H Specification 510 (5th Revision) and as directed by the Engineer-in-charge.</t>
  </si>
  <si>
    <t>Page 141 of MoRT&amp;H SDB</t>
  </si>
  <si>
    <t>Taking output =9000 Sqm</t>
  </si>
  <si>
    <t>Mazdoor working with HMP, Mechanical broom, paver,roller,asphalt cutter and assistance for setting outlines,levels and layout of construction.</t>
  </si>
  <si>
    <t>Skilled Mazdoor for checking line and levels.</t>
  </si>
  <si>
    <t>Machinary</t>
  </si>
  <si>
    <t>Mechanical broom @ 1250 sqm/hr.</t>
  </si>
  <si>
    <t>chip spreader @ 1500 sqm/hr.</t>
  </si>
  <si>
    <t>Tipper 10Tonne capacity for carriage of stone chips from stock pile on road side to chip spreader</t>
  </si>
  <si>
    <t>Front end loader 1 cum capacity</t>
  </si>
  <si>
    <t>Bitumen pressure distributor @1750 sqm/hr.</t>
  </si>
  <si>
    <t>Pneumatic Tyred Roller for intermediate rolling</t>
  </si>
  <si>
    <t>Bitumen-VG30(60/70) @1.2 Kg/sqm</t>
  </si>
  <si>
    <t xml:space="preserve">Crushed stone chippings 10 mm </t>
  </si>
  <si>
    <t>crushed stone chipping, nominal size of 19mm @0.015 cum/sqm</t>
  </si>
  <si>
    <t>Cost per 9000 sqm</t>
  </si>
  <si>
    <t>Page 132, 133 of MoRT&amp;H SDB</t>
  </si>
  <si>
    <t>Taking out put = 195 cum (450 tonne)</t>
  </si>
  <si>
    <t>Mazdoor working with HMP, mechanical broom, paver, roller, asphalt cutter and assistance for setting out lines, levels and layout of construction.</t>
  </si>
  <si>
    <t>Generator 250 KVA</t>
  </si>
  <si>
    <t xml:space="preserve">Smooth wheeled roller 8-10 tonnes for initial break down rolling </t>
  </si>
  <si>
    <t>Vibratory roller 8 tonnes for intermediate rolling</t>
  </si>
  <si>
    <t>Finish rolling with 6-8 tonnes smooth wheeled tandem roller.</t>
  </si>
  <si>
    <t>Bitumen-VG30(60/70)@ 4.25% of weight of mix</t>
  </si>
  <si>
    <t>Total weight of mix = 450 tonnes</t>
  </si>
  <si>
    <t>weight of bitumen - 20.25 tonnes</t>
  </si>
  <si>
    <t>Weight of aggregate = 450-20.25 = 429.75 tonnes</t>
  </si>
  <si>
    <t>Taking density of aggregate = 1.5 tonne/cum</t>
  </si>
  <si>
    <t>Volume of aggregate = 286.50 cum</t>
  </si>
  <si>
    <t xml:space="preserve"> Grading - II    (19 mm nominal size)</t>
  </si>
  <si>
    <t>25-10 mm IRC &amp; MORT&amp;H HBG Chips @ 30 %</t>
  </si>
  <si>
    <t>Avarage of 25-27mm,19 to 22mm,12 to 14mm,9.5 to 11.2mmIRC HBGM/C metal )</t>
  </si>
  <si>
    <t>10-5 mm IRC &amp; MORT&amp;H HBG Chips  @ 28 %</t>
  </si>
  <si>
    <t>Avarage of 10mm to 5 mm 28 per cent ,IRC HBGM/C metal )</t>
  </si>
  <si>
    <t>5 mm &amp; below IRC &amp; MORT&amp;H HBG Chips@ 40 %</t>
  </si>
  <si>
    <t>Avarage of 2.36 to 5mm&amp; 2.36mm and belowIRC HBGM/C metal )</t>
  </si>
  <si>
    <t xml:space="preserve"> 2% filler @ Stone dust</t>
  </si>
  <si>
    <t>Cost per 195 cum</t>
  </si>
  <si>
    <t>Rate per 1 cum</t>
  </si>
  <si>
    <t>Page 125, 126 of MoRT&amp;H SDB</t>
  </si>
  <si>
    <t>Taking out put = 205 cum (450 tonne)</t>
  </si>
  <si>
    <t>Mazdoor working with HMP, paver, roller, asphalt cutter and assistance for setting out lines, levels and layout of construction.</t>
  </si>
  <si>
    <t>Mazdoor skilled for checking line and levels</t>
  </si>
  <si>
    <t>Mechanical broom hydraulic @ 1250 sqm per hour</t>
  </si>
  <si>
    <t>Bitumen-VG30(60/70)@ 3.3% of weight of mix</t>
  </si>
  <si>
    <t>Total weight of mix = 205x2.2 = 450 tonnes</t>
  </si>
  <si>
    <t>weight of bitumen - 14.85 tonnes</t>
  </si>
  <si>
    <t>Weight of aggregate = 450-14.85 = 435.15 tonnes</t>
  </si>
  <si>
    <t>Volume of aggregate = 290.1 cum</t>
  </si>
  <si>
    <t>25-10 mm IRC &amp; MORT&amp;H HBG Chips @ 40 %</t>
  </si>
  <si>
    <t>10-5 mm IRC &amp; MORT&amp;H HBG Chips  @ 40 %</t>
  </si>
  <si>
    <t>5 mm &amp; below IRC &amp; MORT&amp;H HBG Chips@ 20 %</t>
  </si>
  <si>
    <t>Cost per 205 cum</t>
  </si>
  <si>
    <t>Page 138, 139 of MoRT&amp;H SDB</t>
  </si>
  <si>
    <t>Taking out put = 191 cum (450 tonne)</t>
  </si>
  <si>
    <t>Bitumen-VG30(60/70)@ 5% of weight of mix</t>
  </si>
  <si>
    <t>weight of bitumen = 22.50 tonnes</t>
  </si>
  <si>
    <t>Weight of aggregate = 450-22.50 = 427.5 tonnes</t>
  </si>
  <si>
    <t>Volume of aggregate = 285.00 cum</t>
  </si>
  <si>
    <t xml:space="preserve"> Grading - II    (13 mm nominal size)</t>
  </si>
  <si>
    <t>13.20-10 mm IRC &amp; MORT&amp;H HBG Chips @ 30 %</t>
  </si>
  <si>
    <t>Avarage of 12 to 14mm,9.5 to 11.2mmIRC HBGM/C metal )</t>
  </si>
  <si>
    <t>10-5 mm IRC &amp; MORT&amp;H HBG Chips  @ 25%</t>
  </si>
  <si>
    <t>Avarage of 10mm to 5 mm 25 per cent ,IRC HBGM/C metal )</t>
  </si>
  <si>
    <t>5 mm &amp; below IRC &amp; MORT&amp;H HBG Chips@ 43%</t>
  </si>
  <si>
    <t xml:space="preserve"> 2% filler with Stone Dust</t>
  </si>
  <si>
    <t>Cost per 191 cum</t>
  </si>
  <si>
    <t>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t>
  </si>
  <si>
    <t>Taking output = 195 cum (450 tonnes)</t>
  </si>
  <si>
    <t>a)    Labour</t>
  </si>
  <si>
    <t>Mazdoor working with HMP, mechanical broom, paver, roller, asphalt cutter and assistance for setting out lines, levels and layout of construction</t>
  </si>
  <si>
    <t>b)     Machinery</t>
  </si>
  <si>
    <t xml:space="preserve">Batch mix HMP @ 75 tonne per hour </t>
  </si>
  <si>
    <t>Smooth wheeled roller 8-10 tonnes for initial break down rolling.</t>
  </si>
  <si>
    <t>Vibratory roller 8 tonnes for intermediate rolling.</t>
  </si>
  <si>
    <t>Finish rolling with 6-8 tonnes smooth wheeled tandem roller</t>
  </si>
  <si>
    <t>c)     Material</t>
  </si>
  <si>
    <t>Grading II: 10 mm (Nominal Size)</t>
  </si>
  <si>
    <t>Bitumen-VG30(60/70)@ 5  per cent  of weight of mix</t>
  </si>
  <si>
    <t>weight of mix = 450 tonne</t>
  </si>
  <si>
    <t xml:space="preserve"> Aggregate</t>
  </si>
  <si>
    <t>Weight of bitumen = 22.5 tonnes</t>
  </si>
  <si>
    <t>Weight of aggregate = 450 -22.50 = 427.50 tonnes</t>
  </si>
  <si>
    <t>Taking density of aggregate = 1.5 ton/cum</t>
  </si>
  <si>
    <t>Volume of aggregate = 285 cum</t>
  </si>
  <si>
    <t xml:space="preserve">9.5 - 4.75 mm@ 57  per cent </t>
  </si>
  <si>
    <t xml:space="preserve">4.75 and below@ 41  per cent </t>
  </si>
  <si>
    <t>Filler @ 2  per cent  of weight of aggregates.</t>
  </si>
  <si>
    <t>Vibrated  cement concrete M 20 Grade Concrete using 40mm,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substructure Drain Wall.</t>
  </si>
  <si>
    <t>(c  )</t>
  </si>
  <si>
    <t>Formwork @ 4% on (A)+(B)+(C)</t>
  </si>
  <si>
    <t>Add for Over head charges &amp; CP @ 13.615% on (A)+(B)+( C)</t>
  </si>
  <si>
    <t>Cost per 15 cum</t>
  </si>
  <si>
    <t>Vibrated  Reinforced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cover slab over drain.</t>
  </si>
  <si>
    <t>Formwork @ 10% on (A)+(B)+(C)</t>
  </si>
  <si>
    <t>Excavation for roadway in ordinary rock with hydraulic excavator of 0.9 cum bucket capacity including cutting and loading in tippers, transporting to embankment site within all lifts and lead upto 1000 m, trimming bottom and side slopes in accordance with requirements of lines, grades and cross sections.</t>
  </si>
  <si>
    <t>Page 53 of MoRT&amp;H SDB</t>
  </si>
  <si>
    <t>hrs</t>
  </si>
  <si>
    <t>Hydraulic Excavator 0.90 cum bucket capacity @ 40 cum / hour</t>
  </si>
  <si>
    <t>Tipper 5.5 cum capacity, 4 trips per hour.</t>
  </si>
  <si>
    <t>Cost  per 240 cum</t>
  </si>
  <si>
    <t xml:space="preserve">Excavation for Roadway in ordinory rock by diploying a Dozer 80 HP including cutting and pushing the cut earth to site of embankment up to a distance of 100m (average lead of 50m),Trimming of bottom and side slopes in accordance with requirements of lines, grades and cross sections as per MoRT&amp;H specification 301(5th Revision)  and as directed by the Engineer-in-Charge </t>
  </si>
  <si>
    <t>Unit = Cum</t>
  </si>
  <si>
    <t>Taking output = 108 Cum</t>
  </si>
  <si>
    <t>Dozer 80 Hp @ 20 Cum per hour</t>
  </si>
  <si>
    <t>Cost per 1.25 Cum</t>
  </si>
  <si>
    <t>Stone masonry work in cement mortar 1:3 for substructure complete as per drawing and Technical Specifications</t>
  </si>
  <si>
    <t>Page 453 of MoRT&amp;H SDB</t>
  </si>
  <si>
    <t>Cement mortar 1:3 (Rate as in Item 12.6)</t>
  </si>
  <si>
    <t>Cement</t>
  </si>
  <si>
    <t>Taking output = 1 Cum</t>
  </si>
  <si>
    <t>Stone</t>
  </si>
  <si>
    <t>Through and bond stone</t>
  </si>
  <si>
    <t>Cement mortar 1:3</t>
  </si>
  <si>
    <t>Cost per 1cum</t>
  </si>
  <si>
    <t>DATA-CD WORKS WITH SSR 2023-24</t>
  </si>
  <si>
    <t>FOUNDATIONS</t>
  </si>
  <si>
    <r>
      <rPr>
        <sz val="12"/>
        <rFont val="Calibri"/>
        <charset val="134"/>
        <scheme val="minor"/>
      </rPr>
      <t>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charset val="134"/>
        <scheme val="minor"/>
      </rPr>
      <t>th</t>
    </r>
    <r>
      <rPr>
        <sz val="12"/>
        <rFont val="Calibri"/>
        <charset val="134"/>
        <scheme val="minor"/>
      </rPr>
      <t xml:space="preserve">  Revision) and as directed by the Engineer-in-Charge for foundation.</t>
    </r>
  </si>
  <si>
    <t>Page No.271 of MoRTH DB</t>
  </si>
  <si>
    <t>Cost of 40mm SS-5 HBG M/C metal</t>
  </si>
  <si>
    <t>(C )</t>
  </si>
  <si>
    <t>Generator set 33 KVA</t>
  </si>
  <si>
    <r>
      <rPr>
        <sz val="12"/>
        <rFont val="Calibri"/>
        <charset val="134"/>
        <scheme val="minor"/>
      </rPr>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charset val="134"/>
        <scheme val="minor"/>
      </rPr>
      <t>th</t>
    </r>
    <r>
      <rPr>
        <sz val="12"/>
        <rFont val="Calibri"/>
        <charset val="134"/>
        <scheme val="minor"/>
      </rPr>
      <t xml:space="preserve">  Revision) and as directed by the Engineer-in-Charge for foundation.</t>
    </r>
  </si>
  <si>
    <t>Form work @ 4% on (A)+(B)+( C)</t>
  </si>
  <si>
    <r>
      <rPr>
        <sz val="12"/>
        <rFont val="Calibri"/>
        <charset val="134"/>
        <scheme val="minor"/>
      </rPr>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charset val="134"/>
        <scheme val="minor"/>
      </rPr>
      <t>th</t>
    </r>
    <r>
      <rPr>
        <sz val="12"/>
        <rFont val="Calibri"/>
        <charset val="134"/>
        <scheme val="minor"/>
      </rPr>
      <t xml:space="preserve">  Revision) and as directed by the Engineer-in-Charge for foundation.</t>
    </r>
  </si>
  <si>
    <t xml:space="preserve">Vibrated reinforced cement concrete M25 grade  using  20mm &amp; 10mm  HBG crushed stone aggregate (Coarse aggregate conforming to table 1000-1 and fine aggregate (Natural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Raft foundation)  </t>
  </si>
  <si>
    <t>Taking output = 15cum</t>
  </si>
  <si>
    <t>Vibrated  cement concrete M20 Grade Concrete using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footing ( Body walls, Wing wall)</t>
  </si>
  <si>
    <t>Page 336 of MoRT&amp;H SDB</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</si>
  <si>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t>
  </si>
  <si>
    <t>(C) Over Head Charges &amp; CP on (A+B)</t>
  </si>
  <si>
    <t>SUB-STRUCTURES</t>
  </si>
  <si>
    <r>
      <rPr>
        <sz val="12"/>
        <rFont val="Calibri"/>
        <charset val="134"/>
        <scheme val="minor"/>
      </rPr>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charset val="134"/>
        <scheme val="minor"/>
      </rPr>
      <t>th</t>
    </r>
    <r>
      <rPr>
        <sz val="12"/>
        <rFont val="Calibri"/>
        <charset val="134"/>
        <scheme val="minor"/>
      </rPr>
      <t xml:space="preserve">  Revision) and as directed by the Engineer-in-Charge for Substructure.</t>
    </r>
  </si>
  <si>
    <t>Page 455 of MoRT&amp;H SDB</t>
  </si>
  <si>
    <t>Form work @10% on (A)+(B)+( C)</t>
  </si>
  <si>
    <r>
      <rPr>
        <sz val="12"/>
        <rFont val="Calibri"/>
        <charset val="134"/>
        <scheme val="minor"/>
      </rPr>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charset val="134"/>
        <scheme val="minor"/>
      </rPr>
      <t>th</t>
    </r>
    <r>
      <rPr>
        <sz val="12"/>
        <rFont val="Calibri"/>
        <charset val="134"/>
        <scheme val="minor"/>
      </rPr>
      <t xml:space="preserve">  Revision) and as directed by the Engineer-in-Charge for Sub-structure.</t>
    </r>
  </si>
  <si>
    <r>
      <rPr>
        <sz val="12"/>
        <rFont val="Calibri"/>
        <charset val="134"/>
        <scheme val="minor"/>
      </rPr>
      <t>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charset val="134"/>
        <scheme val="minor"/>
      </rPr>
      <t>th</t>
    </r>
    <r>
      <rPr>
        <sz val="12"/>
        <rFont val="Calibri"/>
        <charset val="134"/>
        <scheme val="minor"/>
      </rPr>
      <t xml:space="preserve">  Revision) and as directed by the Engineer-in-Charge for Sub-structure.for  Bed blocks &amp; Backing walls</t>
    </r>
  </si>
  <si>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t>
  </si>
  <si>
    <t>(C) Over Head Charges &amp; CP  on (A+B)</t>
  </si>
  <si>
    <t>Unit =  1no</t>
  </si>
  <si>
    <t>Page 461 of MoRT&amp;H SDB</t>
  </si>
  <si>
    <t>Taking output = 30 Nos</t>
  </si>
  <si>
    <t>Cost of AC pipe 100mm dia (inluding wastage @ 5%)</t>
  </si>
  <si>
    <t>MS Clamps</t>
  </si>
  <si>
    <t>Cost of Collar for AC Pipe</t>
  </si>
  <si>
    <t>Cement Mortar (1:3)</t>
  </si>
  <si>
    <t>Cost per 30nos (F)+(G)</t>
  </si>
  <si>
    <t>Rate for 1no.</t>
  </si>
  <si>
    <t>Each</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</si>
  <si>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t>
  </si>
  <si>
    <t>Add for Over head charges &amp; CP   on (A)+(B)+( C)</t>
  </si>
  <si>
    <t>SUPER STRUCTURE</t>
  </si>
  <si>
    <t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t>
  </si>
  <si>
    <t>Page 457 of MoRT&amp;H SDB</t>
  </si>
  <si>
    <t>Add for Over head charges &amp; CP on (A)+(B)+( C)</t>
  </si>
  <si>
    <t>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t>
  </si>
  <si>
    <t>Form work @ 20 on (A)+(B)+( C)</t>
  </si>
  <si>
    <t>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t>
  </si>
  <si>
    <t>Form work @ 0% on (A)+(B)+( C)</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</si>
  <si>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t>
  </si>
  <si>
    <t>Page 499 of MoRT&amp;H SDB</t>
  </si>
  <si>
    <t>corrosion resistanct structural steel including 5% wastage (M087, Pg.29 of SSR 2014-15)</t>
  </si>
  <si>
    <t>GI bolt 10mm Dia (M110, Pg.30 of SSR 2014-15)</t>
  </si>
  <si>
    <t>G I Pipe 100 mm dia B Class (Sl.32, Pg.18 of SSR 2016-17)</t>
  </si>
  <si>
    <t>Galvanised MS flat clamp</t>
  </si>
  <si>
    <t>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</si>
  <si>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Page 501 of MoRT&amp;H SDB</t>
  </si>
  <si>
    <t>Form work @2.0 on (A)+(B)+( C)</t>
  </si>
  <si>
    <t>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t>
  </si>
  <si>
    <t>Form work charges @ 0%</t>
  </si>
  <si>
    <t>Add for Over head charges @ 0% on (A)+(B)+(C)</t>
  </si>
  <si>
    <t>PROTECTION WORKS</t>
  </si>
  <si>
    <t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t>
  </si>
  <si>
    <t>Add for Over head charges &amp; CP  on (A)+(B)+( C)</t>
  </si>
  <si>
    <t>Cost per 1 cum</t>
  </si>
  <si>
    <t>Construction of RCC guide posts of 250 mm dia M25 grade cast-in-situ with 20 mm nominal size aggregate, true to line and grade, tolerance of vertical RCC posts not to exceed 1 in 500 as per drawing and Technical Specification Clause 1608.2</t>
  </si>
  <si>
    <t>Unit = No.</t>
  </si>
  <si>
    <t>As per MoRD Data</t>
  </si>
  <si>
    <t>Taking output = 1 No.</t>
  </si>
  <si>
    <t>Earth work in excavation for structures</t>
  </si>
  <si>
    <t>Rates as per item No. 1 of Chapter 11</t>
  </si>
  <si>
    <t>RCC M25 grade</t>
  </si>
  <si>
    <t>Rate as per item No. 4 (C) (i) of Chapter 11</t>
  </si>
  <si>
    <t>HYSD steel bars</t>
  </si>
  <si>
    <t>Unit = t</t>
  </si>
  <si>
    <t>Rate as per item No. 7 of Chapter 11</t>
  </si>
  <si>
    <t>Painting two coats including prime coat on new concrete surface</t>
  </si>
  <si>
    <t>Rate as per item No. 5 of Chapter 10</t>
  </si>
  <si>
    <t>Cost per 1 No.</t>
  </si>
  <si>
    <t>1 No.</t>
  </si>
  <si>
    <t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t>
  </si>
  <si>
    <t>Unit = 10 Cum</t>
  </si>
  <si>
    <t>Selected Earth</t>
  </si>
  <si>
    <t>(c) Machinery</t>
  </si>
  <si>
    <t>Plate compactor / power rammer</t>
  </si>
  <si>
    <t>Water Tanker of 6 KL capacity</t>
  </si>
  <si>
    <t>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t>
  </si>
  <si>
    <t>Unit = 1 RM</t>
  </si>
  <si>
    <t>HAND RAILS WITHOUT  FOOT PATHS</t>
  </si>
  <si>
    <t>Taking output = 2 x 24 =</t>
  </si>
  <si>
    <t>mtrs</t>
  </si>
  <si>
    <t>a) Material</t>
  </si>
  <si>
    <t>No. of Vertical Posts (2 spans both sides) = (12+2)*2 =28 Nos</t>
  </si>
  <si>
    <t>External area of Vertical posts</t>
  </si>
  <si>
    <t>0.25*0.275</t>
  </si>
  <si>
    <t>Concrete in Vertical posts</t>
  </si>
  <si>
    <t>0.069*28</t>
  </si>
  <si>
    <t>Hand rail in 3 tiers</t>
  </si>
  <si>
    <t>3*24</t>
  </si>
  <si>
    <t>Meters</t>
  </si>
  <si>
    <t xml:space="preserve">External area </t>
  </si>
  <si>
    <t>0.17*0.175</t>
  </si>
  <si>
    <t>Concrtete in hand rails= 0.03*72</t>
  </si>
  <si>
    <t xml:space="preserve">Total concrete = </t>
  </si>
  <si>
    <t>1.932+2.16</t>
  </si>
  <si>
    <t>A. RCC Grade M 25</t>
  </si>
  <si>
    <t>Case-I :Using Concrete Mixer</t>
  </si>
  <si>
    <t>Unit= 1cum                   Taking output = 15 cum</t>
  </si>
  <si>
    <t>a)Material</t>
  </si>
  <si>
    <t xml:space="preserve">12mm aggregate </t>
  </si>
  <si>
    <t xml:space="preserve">10mm aggregate </t>
  </si>
  <si>
    <t>b)Labour</t>
  </si>
  <si>
    <t>c)Machinery</t>
  </si>
  <si>
    <t>Concrete mixer  0.40 / 0.28 cum</t>
  </si>
  <si>
    <t xml:space="preserve">33 KVA  Generater set </t>
  </si>
  <si>
    <t>Rate per 15 cum</t>
  </si>
  <si>
    <t>Basic rate per cum</t>
  </si>
  <si>
    <t>Cost of 48 mts length</t>
  </si>
  <si>
    <t>Basic rate of concrete</t>
  </si>
  <si>
    <t>% add for form work for casting in casting yard</t>
  </si>
  <si>
    <t>HYSD Bar reinforcement</t>
  </si>
  <si>
    <t>% add Over Head charges &amp; Contractor profit</t>
  </si>
  <si>
    <t>% add Contractor's profit</t>
  </si>
  <si>
    <t>Cost for 48.00m</t>
  </si>
  <si>
    <t xml:space="preserve">Rate per metre </t>
  </si>
  <si>
    <t>Rate per 1Rm</t>
  </si>
  <si>
    <t>or say</t>
  </si>
  <si>
    <t>SEIGNEORAGE CHARGES STATEMENT</t>
  </si>
  <si>
    <t>Description of item</t>
  </si>
  <si>
    <t>Qty</t>
  </si>
  <si>
    <t>Seignorage 
rate</t>
  </si>
  <si>
    <t>ROAD ITEMS</t>
  </si>
  <si>
    <t>C/o of embankment obtained from road way cutting</t>
  </si>
  <si>
    <t>C/o of embankment obtained from borrow pits</t>
  </si>
  <si>
    <t xml:space="preserve">Gravel subbase </t>
  </si>
  <si>
    <t>Wet Mix</t>
  </si>
  <si>
    <t>Seal coat</t>
  </si>
  <si>
    <t xml:space="preserve">CC pavement            </t>
  </si>
  <si>
    <t>Shoulders with Earth</t>
  </si>
  <si>
    <t>Earth work excavation for structures</t>
  </si>
  <si>
    <t>Filling sand</t>
  </si>
  <si>
    <t>PCC M15 grade for foundations</t>
  </si>
  <si>
    <t>PCC M15 grade for body walls</t>
  </si>
  <si>
    <t>1000mm dia pipes</t>
  </si>
  <si>
    <t>Construction of HP Culvert 3V of 1000mm Dia. NP4 Pipes</t>
  </si>
  <si>
    <t>1vent 5.00 x 2.00m span slab culvert at</t>
  </si>
  <si>
    <t>PCC (1:3:6)</t>
  </si>
  <si>
    <t>RCC M25 grade for Bed blocks</t>
  </si>
  <si>
    <t>RCC M25 grade for Deckslab</t>
  </si>
  <si>
    <t>PCC M15 bed pitching</t>
  </si>
  <si>
    <t>PCC M30 Wearing coat</t>
  </si>
  <si>
    <t>RCC M25 grade for Guide stone</t>
  </si>
  <si>
    <t>Back filling</t>
  </si>
  <si>
    <t>Carted earth</t>
  </si>
  <si>
    <t>PCC M15 below approch slab</t>
  </si>
  <si>
    <t>PCC M30 Approch slab</t>
  </si>
  <si>
    <t>Filter media</t>
  </si>
  <si>
    <t>Boulder apron</t>
  </si>
  <si>
    <t>1vent 6.00 x 2.00m span slab culvert at</t>
  </si>
  <si>
    <t>2vent 6.00 x 2.00m span slab culvert at</t>
  </si>
  <si>
    <t>Construction of Road dam  at  km</t>
  </si>
  <si>
    <t>PCC M10 grade</t>
  </si>
  <si>
    <t>PCC M10 levelling course</t>
  </si>
  <si>
    <t>Protection walls</t>
  </si>
  <si>
    <t>PCC M10 grade for foundations</t>
  </si>
  <si>
    <t>Construction of Drain</t>
  </si>
  <si>
    <t>Sand filling</t>
  </si>
  <si>
    <t>PCC M15 grade</t>
  </si>
  <si>
    <t xml:space="preserve">Seigneorage Charges </t>
  </si>
  <si>
    <t>ASST.ENGINEER                   DY.EXECUTIVE ENGINEER                      DIST.PANCHAYAT RAJ ENGINEER                 SUPERINTENDING ENGINEER</t>
  </si>
  <si>
    <t>PR KAMALAPUR                    PR SD HANAMKONDA                             PR DIVN HANAMKONDA                                    PR CIRLCE WARANGAL</t>
  </si>
  <si>
    <t>Schedule A (Part -I)</t>
  </si>
  <si>
    <t>Schedule of Rates and Approximate Quantities</t>
  </si>
  <si>
    <t>Name of the work : -</t>
  </si>
  <si>
    <t>Estt.Cost Rs..</t>
  </si>
  <si>
    <t>A)</t>
  </si>
  <si>
    <t>The quanties here given are those upon which the lumpsum tender cost of work is based but they are subject to alteration, omissions, deductions, or additions as provided for in the conditions of this contract and do not necessarily show the actual quantities of work to be done.  The total contract value and unit rates noted below are those governing payment of extras or deductions for omissions according to the conditions to the contract as set forth in the preliminary specifications of the AP Standard Specifications and other conditions of specification of this contract.</t>
  </si>
  <si>
    <t>B)</t>
  </si>
  <si>
    <t>It is to be expressly understood that the measured work is to be taken net (not withstanding any custom or practice to the contrary) according to the actual quantities when in place and finished according to the drawings or as may be ordered from time to time by the Executive Engineer and the cost calculated by measurmeent or weight, at their respective rates wihtout any additional charge for any necessary or contingent works connected works connected therewith.  The total contract value is for works in situ and complete in every respect.</t>
  </si>
  <si>
    <t>C)</t>
  </si>
  <si>
    <t>Additions and alterations in the Schedule of quantities will disqualify the tender</t>
  </si>
  <si>
    <t>D)</t>
  </si>
  <si>
    <t>In case of discrepancies between the written description of the item in the Schedule 'A" and the detailed description in the specification of the same item, the latter shall be adopted.</t>
  </si>
  <si>
    <t xml:space="preserve">Probable quantity both in figures </t>
  </si>
  <si>
    <t>Description of works</t>
  </si>
  <si>
    <t>MoRD/ MoRT&amp;H specification</t>
  </si>
  <si>
    <t>Unit of Measurement in figures and words</t>
  </si>
  <si>
    <t>Rate in figures</t>
  </si>
  <si>
    <t>Road Portion</t>
  </si>
  <si>
    <t>201 MoRTH</t>
  </si>
  <si>
    <t>1.00 Sqm</t>
  </si>
  <si>
    <t>305.3.4 MoRTH</t>
  </si>
  <si>
    <t>305 MoRTH</t>
  </si>
  <si>
    <t>305.4.3 MoRTH</t>
  </si>
  <si>
    <t>401 MoRTH</t>
  </si>
  <si>
    <t>404 MoRTH</t>
  </si>
  <si>
    <t>406 MoRTH</t>
  </si>
  <si>
    <t>502 MoRTH</t>
  </si>
  <si>
    <t>511 MoRTH</t>
  </si>
  <si>
    <t>513 MoRTH</t>
  </si>
  <si>
    <t>505 MoRTH</t>
  </si>
  <si>
    <t>503 MoRTH</t>
  </si>
  <si>
    <t>508 MoRTH</t>
  </si>
  <si>
    <t>507 MoRTH</t>
  </si>
  <si>
    <t>1501 MoRD</t>
  </si>
  <si>
    <t>Morth 305</t>
  </si>
  <si>
    <t>304 MoRTH</t>
  </si>
  <si>
    <t>1500, 1700, 2100 MoRTH</t>
  </si>
  <si>
    <t>1500, 1700, 2200 MoRTH</t>
  </si>
  <si>
    <t>2504 MoRTH</t>
  </si>
  <si>
    <t>2900, 2905, 2906 MoRTH</t>
  </si>
  <si>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t>
  </si>
  <si>
    <t>1500, 1600, 1700,
2300 MoRTH</t>
  </si>
  <si>
    <t>1500, 1600 1700, 2702 MoRTH</t>
  </si>
  <si>
    <t>1600, 2200 MoRTH</t>
  </si>
  <si>
    <t>1 MT</t>
  </si>
  <si>
    <t>1500,  1700, 2100 MoRTH</t>
  </si>
  <si>
    <t>2900 MoRTH</t>
  </si>
  <si>
    <t>1500, 1600 1700, 2704 MoRTH</t>
  </si>
  <si>
    <t>1608.2 MoRTH</t>
  </si>
  <si>
    <t>2706, 2200 MoRTH</t>
  </si>
  <si>
    <t>2200 MoRTH</t>
  </si>
  <si>
    <t>2703,1500,1600 &amp; 1700 Morth</t>
  </si>
  <si>
    <t>1 Rm</t>
  </si>
  <si>
    <t>2200 Morth</t>
  </si>
  <si>
    <t>1 RMT</t>
  </si>
  <si>
    <t xml:space="preserve">Construction of  1 Vents of  6.00m x 2.00 mspan Slab Culverts  1 Nos at 0/400 KM </t>
  </si>
  <si>
    <t>Sand  Filling (Natural sand 50%+Manufactured sand(Rock Sand)50% )  in foundation trenches as per drawing and technical specification Clause 304 of MORTH including overhead charges &amp; Contractors profit etc complete.</t>
  </si>
  <si>
    <t>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t>
  </si>
  <si>
    <t>2504 Morth</t>
  </si>
  <si>
    <t>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t>
  </si>
  <si>
    <t xml:space="preserve">Construction of  2 Vents of  6.00m x 2.00 mspan Slab Culverts  1 Nos at 1/200 KM </t>
  </si>
  <si>
    <t>1500, 1600, 1700, 2702 MoRTH</t>
  </si>
  <si>
    <t>1500, 1600, 1700, MoRTH</t>
  </si>
  <si>
    <t>Reinforced cement concrete M15 grade K.M stones of standard design as per IRC:8 fixing in position including painting and printing, etc as per drawing and Technical Specification Clause 804 MORTH ,including overhead charges &amp; Contractors profit ,But Exculding Seignarage charges. Ordinery KM Stone</t>
  </si>
  <si>
    <t>804 MoRTH</t>
  </si>
  <si>
    <t>Reinforced cement concrete M15 grade H.M stones of standard design as per IRC:8 fixing in position including painting and printing, etc as per drawing and Technical Specification Clause 804 MORTH ,including overhead charges &amp; Contractors profit ,But Exculding Seignarage charges. H.M Stone (200M)  Stone</t>
  </si>
  <si>
    <t>1701 MoRD</t>
  </si>
  <si>
    <t xml:space="preserve"> MORTH Section 803.4</t>
  </si>
  <si>
    <t>1 rmt</t>
  </si>
  <si>
    <t>"APPROVED"</t>
  </si>
  <si>
    <t>Engineer - in - Chief</t>
  </si>
  <si>
    <t>Panchayat Raj, Hyderabad</t>
  </si>
  <si>
    <t>Schedule -A (Part-B)</t>
  </si>
  <si>
    <t>Details of amount reimbursseble to the Contractor</t>
  </si>
  <si>
    <t>Seigniorage Charges</t>
  </si>
  <si>
    <t>DMF Charges @ 30%  on Seigniorage Charge</t>
  </si>
  <si>
    <t>SMET Charges @ 2%  on Seigniorage Charge</t>
  </si>
  <si>
    <t>Towards GST @ 18%</t>
  </si>
  <si>
    <t>GST component loaded in Part ‘B’ of the estimate shall be reimbursed to the contractor upon producing the required document in support of payment of GST.
GST for the works contract shall be as per GST Act 2017 including amendments there on from time to time.</t>
  </si>
  <si>
    <t>OLD</t>
  </si>
  <si>
    <t xml:space="preserve">GST component loaded in Part ‘B’ of the estimate shall be reimbursed to the contractor upon producing the required document in support of payment of GST.
GST for the works contract shall be as per GST Act 2017 and amendments there on from time to time. For works contract, Tax deduction at source will be recovered from each bill of the contractor at 2% of bill amount.  The TDS for GST at 2% will be added and recovered on each work bill.
It is the liability of the contractor to pay GST at 12% on each bill of work done.   However 2% TDS recovered from each bill could be added in monthly returns submitted.  The contractors will be reimbursed of the balance GST paid i.e. (12%-2% already deducted as TDS) 10% of each bill amount provided in part “B” of the estimate.
</t>
  </si>
  <si>
    <t>LEAD CHART WITH SSR 2023-24</t>
  </si>
  <si>
    <t>road</t>
  </si>
  <si>
    <t>NAME OF WORK ::-</t>
  </si>
  <si>
    <t>Description of Metal</t>
  </si>
  <si>
    <t>Source of Supply</t>
  </si>
  <si>
    <t>Lead in Kms</t>
  </si>
  <si>
    <t xml:space="preserve">Conveyance </t>
  </si>
  <si>
    <t xml:space="preserve">Initial cost </t>
  </si>
  <si>
    <t>Blasting charges</t>
  </si>
  <si>
    <t>Machine crushing charges</t>
  </si>
  <si>
    <t>Deduct stacking charges for conveyance</t>
  </si>
  <si>
    <t>Toal Cost per Cum</t>
  </si>
  <si>
    <t>50  mm to 55 mm  Metal IRC and MORT&amp;H  HBG  M/C METALS</t>
  </si>
  <si>
    <t>40 to 45 mm IRC  and MoRTH
 HBG M/C metal</t>
  </si>
  <si>
    <t>25 to 27 mm IRC  and MoRTH
HBG M/C metal</t>
  </si>
  <si>
    <t>19 to 22 mm IRC  and MoRTH 
HBG M/C metal</t>
  </si>
  <si>
    <t>12 to 14 mm IRC  and MoRTH 
HBG M/C metal</t>
  </si>
  <si>
    <t>9.5 to 11.20 mm IRC  and MoRTH
 HBG M/C metal</t>
  </si>
  <si>
    <t>5 to 7 mm IRC  and MoRTH 
HBG M/C metal</t>
  </si>
  <si>
    <t>2.36 to 5 mm IRC  and MoRTH 
HBG M/C metal</t>
  </si>
  <si>
    <t>HBG Stone chips 2.36mm 
and below</t>
  </si>
  <si>
    <t>B) FOR C.D. WORKS</t>
  </si>
  <si>
    <t>40 mm SS-5   HBG M/C metal</t>
  </si>
  <si>
    <t>25 mm SS-5  HBG M/C metal</t>
  </si>
  <si>
    <t>20 mm SS-5  HBG M/C metal</t>
  </si>
  <si>
    <t>12 mm SS-5  HBG M/C metal</t>
  </si>
  <si>
    <t>10 mm SS-5  HBG M/C metal</t>
  </si>
  <si>
    <t>6 mm SS-5  HBG M/C metal</t>
  </si>
  <si>
    <t>40 to 45 mm IRC  and MoRTH
 HBG  metal ( Hand Broken)</t>
  </si>
  <si>
    <t>50  mm to 55 mm  Metal IRC and MORT&amp;H  HBG  METALS (Hand Broken )</t>
  </si>
  <si>
    <t>60  mm to 63 mm  Metal IRC and MORT&amp;H  HBG  METALS  (Hand Broken )</t>
  </si>
  <si>
    <t>SS 300mm (HBG) for revetment</t>
  </si>
  <si>
    <t>SS 450 mm (HBG) for revetment</t>
  </si>
  <si>
    <t>Quarry spall (field picked metal</t>
  </si>
  <si>
    <t>150 mm soling stone  HBG metal</t>
  </si>
  <si>
    <t>Stone crusher dust finer than 3mm with not more than 10% passing 0.075 sieve.</t>
  </si>
  <si>
    <t>Crished Rubble Stone</t>
  </si>
  <si>
    <t>Bond Stones</t>
  </si>
  <si>
    <t>Sand for Motor</t>
  </si>
  <si>
    <t>Sand for concrete</t>
  </si>
  <si>
    <t>Emulsion SS-1 (Bulk) -do-</t>
  </si>
  <si>
    <t>Rapid setting  Emulsion (RS) Bulk - do-</t>
  </si>
  <si>
    <t>Hume pipes 1200mm Dia., NP4</t>
  </si>
  <si>
    <t>Hume pipes 1000mm Dia., NP4</t>
  </si>
  <si>
    <t>Hume pipes 900mm Dia., NP4</t>
  </si>
  <si>
    <t>Hume pipes 800mm Dia., NP4</t>
  </si>
  <si>
    <t>Hume pipes 700mm Dia., NP4</t>
  </si>
  <si>
    <t>Hume pipes 600mm Dia., NP4</t>
  </si>
  <si>
    <t>Hume pipes 450mm Dia., NP4</t>
  </si>
  <si>
    <t>Hume pipes 300mm Dia., NP4</t>
  </si>
  <si>
    <t>Hume pipes Collers 1200mm Dia. NP4</t>
  </si>
  <si>
    <t>Hume pipes  Collers  1000mm Dia. NP4</t>
  </si>
  <si>
    <t>Hume pipes  Collers  900mm Dia. NP4</t>
  </si>
  <si>
    <t>Hume pipes Collers  800mm Dia. NP4</t>
  </si>
  <si>
    <t>Hume pipes  Collers 700mm Dia. NP4</t>
  </si>
  <si>
    <t>Hume pipes  Collers  600mm Dia. NP4</t>
  </si>
  <si>
    <t>Hume pipes  Collers 450mm Dia. NP4</t>
  </si>
  <si>
    <t>Hume pipes Collers  300mm Dia. NP4</t>
  </si>
  <si>
    <t>Certificates</t>
  </si>
  <si>
    <t>Certified that the leads are true and nearer to the site to the best of my Knowledge.</t>
  </si>
  <si>
    <t>Certified that the materials are sufficiently available in the above quarries</t>
  </si>
  <si>
    <t>Certified that the HBG metal obtained by Blasting.</t>
  </si>
  <si>
    <t>Water cost Allowed ( Y/N)</t>
  </si>
  <si>
    <t xml:space="preserve">Area Allowence allowed </t>
  </si>
  <si>
    <t>AA/ MAA</t>
  </si>
  <si>
    <t>AEE/AE</t>
  </si>
  <si>
    <t xml:space="preserve">LONGITUDINAL SECTION </t>
  </si>
  <si>
    <t>0/00</t>
  </si>
  <si>
    <t>0/800</t>
  </si>
  <si>
    <t>1/000</t>
  </si>
  <si>
    <t>1/250</t>
  </si>
  <si>
    <t>30 mm Thick BC (B.T )</t>
  </si>
  <si>
    <t>CC 200mm</t>
  </si>
  <si>
    <t>WMM 150 mm</t>
  </si>
  <si>
    <t>WMM 75 mm</t>
  </si>
  <si>
    <t>GSB 175 mm</t>
  </si>
  <si>
    <t>GSB 100 mm</t>
  </si>
  <si>
    <t>Pangidipally village limits</t>
  </si>
  <si>
    <t>B.T with BC</t>
  </si>
  <si>
    <t>(Black)</t>
  </si>
  <si>
    <t>CC Pavement 200 mm</t>
  </si>
  <si>
    <t>(Yellow)</t>
  </si>
  <si>
    <t>GSB Gr- VI</t>
  </si>
  <si>
    <t>(Orange)</t>
  </si>
  <si>
    <t>existing earthen surface</t>
  </si>
  <si>
    <t>Asst  Engineer</t>
  </si>
  <si>
    <t>PR SD Thorrur</t>
  </si>
  <si>
    <t>PIU, Mahabubabad</t>
  </si>
  <si>
    <t>PR Circle Warangal</t>
  </si>
  <si>
    <t>SUB-ESTIMATE  FOR PIPE CULVERT WITH SSR  2023-24</t>
  </si>
  <si>
    <t xml:space="preserve">Construction of HP Culvert 1V of 1000mm Dia.NP4 Pipes at Km </t>
  </si>
  <si>
    <t xml:space="preserve">  SUB-ESTIMATE FOR ROAD DAM WITH SSR 217-18</t>
  </si>
  <si>
    <t>Const. of 30 m Road  Dam with 4 vents of 1000mm Dia  -</t>
  </si>
  <si>
    <t>Long wall</t>
  </si>
  <si>
    <t>Cross wall</t>
  </si>
  <si>
    <t>Under pipes</t>
  </si>
  <si>
    <t>Between road dam</t>
  </si>
  <si>
    <t>Level portion</t>
  </si>
  <si>
    <t>Between pipes</t>
  </si>
  <si>
    <t>Deduct pipe portion</t>
  </si>
  <si>
    <t>π/4</t>
  </si>
  <si>
    <t>Ramps</t>
  </si>
  <si>
    <t>Below bed level</t>
  </si>
  <si>
    <t>Above bed level</t>
  </si>
  <si>
    <t>(0.90+ 0.60)/2</t>
  </si>
  <si>
    <t>Long wall ramp</t>
  </si>
  <si>
    <t>(1.50+ 0.00)/2</t>
  </si>
  <si>
    <t>Pipes of 1000mm dia</t>
  </si>
  <si>
    <t>(1.275+ 0.00)/2</t>
  </si>
  <si>
    <t xml:space="preserve">  SUB-ESTIMATE FOR SLAB CULVERT WITH SSR 2023-24</t>
  </si>
  <si>
    <t xml:space="preserve">Construction of 1 Vent of 5.00 x 2.00m span Slab Culverts- 1nos  at Km 2/100 </t>
  </si>
  <si>
    <r>
      <rPr>
        <u/>
        <sz val="11"/>
        <rFont val="Calibri"/>
        <charset val="134"/>
        <scheme val="minor"/>
      </rPr>
      <t>2.37+1.85</t>
    </r>
    <r>
      <rPr>
        <sz val="11"/>
        <rFont val="Calibri"/>
        <charset val="134"/>
        <scheme val="minor"/>
      </rPr>
      <t xml:space="preserve">
2</t>
    </r>
  </si>
  <si>
    <r>
      <rPr>
        <u/>
        <sz val="11"/>
        <rFont val="Calibri"/>
        <charset val="134"/>
        <scheme val="minor"/>
      </rPr>
      <t>2.50+2.10</t>
    </r>
    <r>
      <rPr>
        <sz val="11"/>
        <rFont val="Calibri"/>
        <charset val="134"/>
        <scheme val="minor"/>
      </rPr>
      <t xml:space="preserve">
2</t>
    </r>
  </si>
  <si>
    <r>
      <rPr>
        <u/>
        <sz val="11"/>
        <rFont val="Calibri"/>
        <charset val="134"/>
        <scheme val="minor"/>
      </rPr>
      <t>2.17+1.65</t>
    </r>
    <r>
      <rPr>
        <sz val="11"/>
        <rFont val="Calibri"/>
        <charset val="134"/>
        <scheme val="minor"/>
      </rPr>
      <t xml:space="preserve">
2</t>
    </r>
  </si>
  <si>
    <r>
      <rPr>
        <u/>
        <sz val="11"/>
        <rFont val="Calibri"/>
        <charset val="134"/>
        <scheme val="minor"/>
      </rPr>
      <t>1.77+1.25</t>
    </r>
    <r>
      <rPr>
        <sz val="11"/>
        <rFont val="Calibri"/>
        <charset val="134"/>
        <scheme val="minor"/>
      </rPr>
      <t xml:space="preserve">
2</t>
    </r>
  </si>
  <si>
    <r>
      <rPr>
        <u/>
        <sz val="11"/>
        <rFont val="Calibri"/>
        <charset val="134"/>
        <scheme val="minor"/>
      </rPr>
      <t>1.57+1.05</t>
    </r>
    <r>
      <rPr>
        <sz val="11"/>
        <rFont val="Calibri"/>
        <charset val="134"/>
        <scheme val="minor"/>
      </rPr>
      <t xml:space="preserve">
2</t>
    </r>
  </si>
  <si>
    <r>
      <rPr>
        <u/>
        <sz val="11"/>
        <rFont val="Calibri"/>
        <charset val="134"/>
        <scheme val="minor"/>
      </rPr>
      <t>2.10+1.30</t>
    </r>
    <r>
      <rPr>
        <sz val="11"/>
        <rFont val="Calibri"/>
        <charset val="134"/>
        <scheme val="minor"/>
      </rPr>
      <t xml:space="preserve">
2</t>
    </r>
  </si>
  <si>
    <r>
      <rPr>
        <u/>
        <sz val="11"/>
        <rFont val="Calibri"/>
        <charset val="134"/>
        <scheme val="minor"/>
      </rPr>
      <t>0.935+0.50</t>
    </r>
    <r>
      <rPr>
        <sz val="11"/>
        <rFont val="Calibri"/>
        <charset val="134"/>
        <scheme val="minor"/>
      </rPr>
      <t xml:space="preserve">
2</t>
    </r>
  </si>
  <si>
    <r>
      <rPr>
        <u/>
        <sz val="11"/>
        <rFont val="Calibri"/>
        <charset val="134"/>
        <scheme val="minor"/>
      </rPr>
      <t xml:space="preserve">2.00+0.50
</t>
    </r>
    <r>
      <rPr>
        <sz val="11"/>
        <rFont val="Calibri"/>
        <charset val="134"/>
        <scheme val="minor"/>
      </rPr>
      <t>2</t>
    </r>
  </si>
  <si>
    <r>
      <rPr>
        <u/>
        <sz val="11"/>
        <rFont val="Calibri"/>
        <charset val="134"/>
        <scheme val="minor"/>
      </rPr>
      <t>13.50+7.50</t>
    </r>
    <r>
      <rPr>
        <sz val="11"/>
        <rFont val="Calibri"/>
        <charset val="134"/>
        <scheme val="minor"/>
      </rPr>
      <t xml:space="preserve">
2</t>
    </r>
  </si>
  <si>
    <r>
      <rPr>
        <u/>
        <sz val="11"/>
        <rFont val="Calibri"/>
        <charset val="134"/>
        <scheme val="minor"/>
      </rPr>
      <t>2.00+0.30</t>
    </r>
    <r>
      <rPr>
        <sz val="11"/>
        <rFont val="Calibri"/>
        <charset val="134"/>
        <scheme val="minor"/>
      </rPr>
      <t xml:space="preserve">
2</t>
    </r>
  </si>
  <si>
    <t>Asst. Exe. Engineer,</t>
  </si>
  <si>
    <t xml:space="preserve">          DETAILED ESTIMATES FOR Traffic</t>
  </si>
  <si>
    <t>Name of   work :</t>
  </si>
  <si>
    <t xml:space="preserve">Widening and Raising of Madikonda village -Narayanagiri village road from Km 5/0 to 8/075 in Warangal District (Newly formed District Warangal Urban) </t>
  </si>
  <si>
    <t>Item Description</t>
  </si>
  <si>
    <t>Providing and laying of Hot Applied Thermoplastic compound 2.5 mm thick including reflecting glass beads on bituminous surface at 250 gms per sqm area, thickness of 2.5 mm is exclusive of surface applied glass bead as per IRC:35, the finished surface to be level, uniform and free from streaks and holes etc. complete for finished item of work (with all leads and Lifts).(Data communicate vide E-in-C(R&amp;B) SR, Circular Memo No. Road Signages/DCE(R)/EE2/ DEE7/ AEE(NGL)/2013-14;   Dt 15-05-2013)</t>
  </si>
  <si>
    <t>Providing and fixing Cautionary / Warning sign boards size 900 mm equilateral triangle made out of Type – XI of ASTMD 4956-09 wide angle cube cornered micro Prismatic  Retro reflective sheeting and confirming to IRC 67:2012 for full background of White colour and letters/logos done by screen printing in Black colour, boarders by screen printing in Red colour and fixed over 4MM Aluminium Composite Material sheet having minimum 0.5 mm thick Aluminium skin on both sides with back side painted grey colour and fixed over back support frame of M.S angle 25x25x3mm all round and fixing with 35x35x4mm and mounted on a MS angle post of size 75x75x6mm with clear height of not less than 2.1 m from the ground level  to the bottom of the board.  The signpost should be painted with one coat of red oxide paint and 2 coats of synthetic enamel paint Black and White colour with bands of 30cm of height.  The signpost shall be firmly fixed with MS base angle 35x35x4 mm  in to the ground by M-15 Concrete foundation of size 450x450x600mm including cost and conveyance of all materials ,equipment, machinery and labour with all leads and lift, loading chages necessary for satisfactory completion of the work as directed by Engineer -in-Charge.</t>
  </si>
  <si>
    <t>Supplying &amp; Fixing of Molded Shanks Raised Pavement Markers made of plastic body moulded from HIPS(HI-impact polysterene) or ABS or ASA(Acrylic strene Acrylonitrite) and reflective panels with micro prismatic lens capable of providing total internal reflection of the light entering the lens face and shall support a load of 16000 kg tested in accordance to ASTM D 4280 Type H and complying to Specifications of Category A of MORTH Circular No RW/NH/33023/10-97 – DO III Dt 11.06. 1997. The height, width and length shall not exceed 50 mm, 100 mm and 100 mm and with minimum reflective area of 13 Sqcm on each side and the slope to the base shall be 35 +/- 5 degree. The strength of detachment of the integrated cylindrical shanks, (of diameter not less than 19 +/- 2 mm and height not less than 30+/- 2 mm) from the body is to be a minimum value of 700 Kgs. Fixing will be by drilling holes on the road for the twin shanks to go inside, without nails and using epoxy resin based adhesive as per manufacturer’s recommendation and complete as directed by the engineer.</t>
  </si>
  <si>
    <t>Providing and erecting a "W" metal beam crash barrier comprising of 3mm thick corrugated sheet metal beam rail, 70 cm above road/ground level, fixed on ISMC series channel vertical post, 150X75X5mm spaced 2m centre-to-centre, 1.80m high, 1.1m below ground/road level, all steel parts and fitments to be galvanised by hot dip process, all fittings to conform to IS: 1367 and IS: 1364, metal beam rail to be fixed on the vertical post with a spacer of channel section 150X75X5mm, 330mm long complete as per Clause 810.</t>
  </si>
  <si>
    <t>Providing Guard stones (1200 x 200 X 200 mm)</t>
  </si>
  <si>
    <t>AEE1                 DEE 4                   EE (R)                  DCE(R)            ENC (R&amp;B) SR&amp; CRN</t>
  </si>
  <si>
    <t>W11</t>
  </si>
  <si>
    <t>DEE-III</t>
  </si>
  <si>
    <t>Tender Approval Date</t>
  </si>
  <si>
    <t xml:space="preserve">  Dt:  - 9-2018</t>
  </si>
  <si>
    <t>GoRT.No</t>
  </si>
  <si>
    <t>Date</t>
  </si>
  <si>
    <t>Circle</t>
  </si>
  <si>
    <t>Tender LR.No</t>
  </si>
  <si>
    <t>Lr.No.T3/737/CRR/Guntipally/2017-18, dt:  29.3.2018</t>
  </si>
  <si>
    <t>NIT.Ref</t>
  </si>
  <si>
    <t>NIT.No</t>
  </si>
  <si>
    <t>Paper Notifications</t>
  </si>
  <si>
    <t>Eenadu ( Telugu) dt: 22-8-2018 &amp; The Times of India (English) dt. 22-8-2018</t>
  </si>
  <si>
    <t>Contract period</t>
  </si>
  <si>
    <t>1st Call.</t>
  </si>
  <si>
    <t>TENDER NOTE FILE</t>
  </si>
  <si>
    <t>SSR-2018-19</t>
  </si>
  <si>
    <t>4). T/o memo no.W11/DEE-III/MBNR-CRR-Plain-GoRT.No.82-Sl.No-3/2017-Tender Dt:10-4-2018</t>
  </si>
  <si>
    <t>5. SE PRMBNR Lr.No.T3/CRR-Plain-GoRT.No 82/2017-18 dt: 18-4-2018</t>
  </si>
  <si>
    <t>6. EE PIU Wanaparhty Lr.No.DBII/CRR-2017-18 Grant/2018 dt: 16-4-2018</t>
  </si>
  <si>
    <t xml:space="preserve">                     Kindly peruse the references, in response to this office memo vide in the ref 4th cited the Superintending Engineer PR Mahabubnagar vide ref 5th cited has furnished the  concerned EEs Clarification vide ref 6th cited on distance of BT plant from work site and he has furnished  that the BT HoT Mix Plant is located within the 70kms from the work site. Based on recommendation of the Superintending Engineer PR Mahabubnagar and Executive Engineer PR Wanaparhty, the Bid evaluation submitted by the SE PR MBNR  is  considered for scrutiny.</t>
  </si>
  <si>
    <t>1. Schedule sale opening date    :</t>
  </si>
  <si>
    <t>PM</t>
  </si>
  <si>
    <t>2. Schedule sale closing date       :</t>
  </si>
  <si>
    <t xml:space="preserve">PM                            </t>
  </si>
  <si>
    <t>3. Bid submission closing date       :</t>
  </si>
  <si>
    <t>4. Technical bid opening date      :</t>
  </si>
  <si>
    <t>5. Price bid opening date              :</t>
  </si>
  <si>
    <t>6. Period of Contract                     :</t>
  </si>
  <si>
    <t xml:space="preserve">                                   </t>
  </si>
  <si>
    <t>Name of the Bidders</t>
  </si>
  <si>
    <t>Percentage Quoted</t>
  </si>
  <si>
    <t>Rating</t>
  </si>
  <si>
    <t>Sri.J.Aswarthulu</t>
  </si>
  <si>
    <t>Qualified</t>
  </si>
  <si>
    <t>6.78% Less</t>
  </si>
  <si>
    <t>L1</t>
  </si>
  <si>
    <t>Total Bids</t>
  </si>
  <si>
    <t>.</t>
  </si>
  <si>
    <t>Sri.M.Pandurangam</t>
  </si>
  <si>
    <t>2.20% Less</t>
  </si>
  <si>
    <t>L2</t>
  </si>
  <si>
    <t>Bids qualified</t>
  </si>
  <si>
    <t>Sri. M.Pandurangam</t>
  </si>
  <si>
    <t>3.10% less</t>
  </si>
  <si>
    <t>L3</t>
  </si>
  <si>
    <t>M/s Chandra Constructions</t>
  </si>
  <si>
    <t xml:space="preserve">Disqualified  as the firm has uploaded lapsed solvency certificate. </t>
  </si>
  <si>
    <t>8.89% less</t>
  </si>
  <si>
    <t>L4</t>
  </si>
  <si>
    <t>M/s Geninfra Constructions</t>
  </si>
  <si>
    <t>Disqualified</t>
  </si>
  <si>
    <t>M/s LKP Infra Projects</t>
  </si>
  <si>
    <t>0.99% less</t>
  </si>
  <si>
    <t>L6</t>
  </si>
  <si>
    <t>M/s Nanitha Construction</t>
  </si>
  <si>
    <t>2.70% less</t>
  </si>
  <si>
    <t>L7</t>
  </si>
  <si>
    <t>M/s Siddartha Constructions</t>
  </si>
  <si>
    <t>2.67% less</t>
  </si>
  <si>
    <t>L8</t>
  </si>
  <si>
    <t>VKA constructions</t>
  </si>
  <si>
    <t>0.13% Less</t>
  </si>
  <si>
    <t>L9</t>
  </si>
  <si>
    <t>Bids Dis Qualified</t>
  </si>
  <si>
    <t xml:space="preserve">Sinlge </t>
  </si>
  <si>
    <t>Lowest</t>
  </si>
  <si>
    <t>M/s Raam Infratech India Pvt. Limited</t>
  </si>
  <si>
    <t>Disqualified due to insufficient bid capacity</t>
  </si>
  <si>
    <t>Dis qualified</t>
  </si>
  <si>
    <t>Bidders- &gt;</t>
  </si>
  <si>
    <t>NIT requirement
 Class III and above</t>
  </si>
  <si>
    <t>Items
Registration</t>
  </si>
  <si>
    <t>1)  178, Irr (PW) Dept., dt. 27.09.1997 - Spl.Class</t>
  </si>
  <si>
    <t>Class of contractor</t>
  </si>
  <si>
    <t>Class-I Civil</t>
  </si>
  <si>
    <t>2)  132, T R&amp;B (R1) Dept., dt. 11.08.1998 - Spl.Class</t>
  </si>
  <si>
    <t>(Proc.No.COT/TS/FC/404/2016 dt: 14-12-2016 of CE,Normal, RWS&amp;S PR,Hyd-P.No-1-4</t>
  </si>
  <si>
    <t>3)  8, T,R&amp;B (Roads) Dept., dt. 8.1.2003 - Class- I</t>
  </si>
  <si>
    <t>4) 94, I&amp;CAD (PW-COD) Dept., dt. 01.07.2003 - Class- I</t>
  </si>
  <si>
    <t>5) 664, I&amp;CAD (Reforms) Dept., dt. 20.04.2015 - Class- III</t>
  </si>
  <si>
    <t>Online Payment through ICICI Bank
for Rs. 95400/-  Payment ID-153518 dt:16-3-18</t>
  </si>
  <si>
    <t>page-54</t>
  </si>
  <si>
    <t xml:space="preserve">Similar Nature of works </t>
  </si>
  <si>
    <t>Nil</t>
  </si>
  <si>
    <t>As per GO.66 dt:20.04.15</t>
  </si>
  <si>
    <t>Physical Quantities</t>
  </si>
  <si>
    <t>Liquid assets &amp; credit facilities</t>
  </si>
  <si>
    <t>Rs.505.00 Lakhs , Karnataka Bank Lts,Ananthapur  dt:29-4--2017</t>
  </si>
  <si>
    <t>page -44</t>
  </si>
  <si>
    <t>Key personal</t>
  </si>
  <si>
    <t>Graduate Engineer (civil)-1  Diploma Engineer (civil)-1</t>
  </si>
  <si>
    <t>Graduate Engineer (civil)-1
Diploma Engineer (civil)-1</t>
  </si>
  <si>
    <t>page-38-43</t>
  </si>
  <si>
    <t>The tenderer / bidder should own a B.T. Hot Mix plant or have a lease / hire agreement with a B.T. Hot Mix plant owner within 70 Km distance from the work spot should be given on non - judicial stamp paper of Rs. 100/- &amp; to be up loaded</t>
  </si>
  <si>
    <t>Mandatory</t>
  </si>
  <si>
    <t xml:space="preserve">Furnished </t>
  </si>
  <si>
    <t>Page- 35-36</t>
  </si>
  <si>
    <t>Copy of declaration on critical equipment owned or lease on non - judicial stamp paper of Rs. 100</t>
  </si>
  <si>
    <t>page-35-36</t>
  </si>
  <si>
    <t xml:space="preserve">PAN card </t>
  </si>
  <si>
    <t>Pan.No. AEBPJ3722K</t>
  </si>
  <si>
    <t>PAGE-6</t>
  </si>
  <si>
    <t>Latest saral form</t>
  </si>
  <si>
    <t>optional</t>
  </si>
  <si>
    <t>PAGE-7</t>
  </si>
  <si>
    <t>GST Registration Certificate with TIN NO.</t>
  </si>
  <si>
    <t>Furnished GST-No. 
36AEBPJ3722KI7M</t>
  </si>
  <si>
    <t>page-6</t>
  </si>
  <si>
    <t xml:space="preserve">Commercial tax clearance </t>
  </si>
  <si>
    <t xml:space="preserve">page </t>
  </si>
  <si>
    <t>Litigation History</t>
  </si>
  <si>
    <t>page-46</t>
  </si>
  <si>
    <t>Self declaration</t>
  </si>
  <si>
    <t>page-45</t>
  </si>
  <si>
    <t>Bid Capacity =2AN-B                            A=</t>
  </si>
  <si>
    <t>As per CA certificate  3089.48  lakhs in the year-2016-17 , updated to 2017-18 =1.10x997.98=Rs.1097.778 Lakhs)  page-17</t>
  </si>
  <si>
    <t xml:space="preserve">Bids submitted as  L1 </t>
  </si>
  <si>
    <t>slno</t>
  </si>
  <si>
    <t>NIT.Nos</t>
  </si>
  <si>
    <t>TCV in Lakhs</t>
  </si>
  <si>
    <t>NIT No</t>
  </si>
  <si>
    <t>L1  Bidder</t>
  </si>
  <si>
    <t>Naryanpet Divn</t>
  </si>
  <si>
    <t>Bids Submitted with L1  Total Rs.</t>
  </si>
  <si>
    <t>works on Hand</t>
  </si>
  <si>
    <r>
      <rPr>
        <sz val="8"/>
        <rFont val="Verdana"/>
        <charset val="134"/>
      </rPr>
      <t xml:space="preserve">The agency has shown on hand works   asper upladed documentS &amp; as per SE's evaluation &amp; </t>
    </r>
    <r>
      <rPr>
        <b/>
        <sz val="8"/>
        <rFont val="Verdana"/>
        <charset val="134"/>
      </rPr>
      <t>Page-48</t>
    </r>
  </si>
  <si>
    <t>296/2017-18</t>
  </si>
  <si>
    <t>Total B. Value</t>
  </si>
  <si>
    <t xml:space="preserve">                             Kindly peruse the ref 4th cited, where in Sri.Koram Kanakaiah Hon'ble MLA Yellandu has requested this office that the one of the contractor on this work ha not shown the on hand work while submitting the tender documents and he has misguiding the governamant , hence requested this office to take necessrya ction against him, the copy of representation is placed belwo for perusal and further  orders Sir,</t>
  </si>
  <si>
    <t>Submitted for perusal and orders for processing the tender Sir,</t>
  </si>
  <si>
    <t>``</t>
  </si>
  <si>
    <t>OFFICE OF THE  ENGINEER-IN-CHIEF,PANCHAYAT RAJ, HYDERABAD</t>
  </si>
  <si>
    <t>ST-SDF-Grant-2017-18 -Wanaparhty Dist - Providing B.T on R/F  R&amp;B Road To Sheripall of  Srirangapur (M) Estt.Cost Rs.70.00 Lakhs- approval of tender communicated - Reg.</t>
  </si>
  <si>
    <t>4). SE PRMBNR Lr.No.T3/CRR-Plain-GoRT.No 82/2017-18 dt: 18-4-2018</t>
  </si>
  <si>
    <t xml:space="preserve">                    The Superintending Engineer (PR) is requested to issue letter of acceptance of the tender duly stating that the tenderer should enter into the agreement with in 15 days from the receipt of the LOA or else the tender deemed to have been cancelled. The agreement includes routine maintenance of the work for 5 years in addition to the execution of work as per the conditions of the contract. </t>
  </si>
  <si>
    <t xml:space="preserve">                    A copy of approved tender comparative statement is here with communicated to the Superintending Engineer and he is requested to take further necessary action as per the following instructions.</t>
  </si>
  <si>
    <t>The balance EMD of 1½% of ECV or TCV whichever is greater shall be obtained from the tenderer as per the clause 29 of ITB.</t>
  </si>
  <si>
    <t>To confirm the genuinety of all the documents uploaded in e-procurement by the  tenderer  from the issuing authorities before entering into agreement. If the successful bidder fails to submit the original hard copies of uploaded certificates/documents, DD/BG towards EMD with in the stipulated time or if any variation is noticed between the uploaded documents and the hard copies submitted by the tenderer, the action shall be taken as per the clause 29.4 of ITB.</t>
  </si>
  <si>
    <t xml:space="preserve">The Time schedule for completion of the work should be obtained from the Agency and should be incorporated in agreement </t>
  </si>
  <si>
    <t>The work should be carried out as per the approved designs &amp; provisions and standard specifications duly conducting required tests prescribed by the Government as well as the Department.</t>
  </si>
  <si>
    <t>The quantity of earthwork is allowed based on the provision made by the SE. The SE is  requested to submit the   L.F books of Pre levels of EW cross sections and levels shall be verified by the EE/SE on LF Books for accurate assessment of Earth work widening quantity before grounding of the work.</t>
  </si>
  <si>
    <t>The existing crust details of the road shall be recorded in M.B and verified/ Test checked by the Executive Engineer before commencement of the work.</t>
  </si>
  <si>
    <t>The designs of CD works of less than 8 m span are to be approved by the Superintending Engineers at their level as per site conditions before grounding the same and those of length more than 8 m the hydraulic particulars shall be submitted to this office for approval of designs by the design wing immediatly and shall be grounded only after approval of designs.</t>
  </si>
  <si>
    <t>If any deviations observed over the sanctioned estimate, the working estimate with inspection report of the SE concerned shall be submitted to this office within 1 month from the date of agreement/ grounding. The deviations should be taken up only after prior approval of the undersigned only.</t>
  </si>
  <si>
    <t>9).</t>
  </si>
  <si>
    <t>Get all the materials used for construction may be checked for quality control test.</t>
  </si>
  <si>
    <t>10).</t>
  </si>
  <si>
    <t>The progress of the work shall be updated regularly on the web site up to date.</t>
  </si>
  <si>
    <t>11).</t>
  </si>
  <si>
    <t>ASD for the tender quoated beyond 15% less shall be collected before concluding agreement.</t>
  </si>
  <si>
    <t xml:space="preserve">The receipt of the memo along with enclosures shall be acknowledged in the first instance.
</t>
  </si>
  <si>
    <t xml:space="preserve">Encl: 1. Copy of the approved Tender
          comparative Statement.
</t>
  </si>
  <si>
    <t>Sd/-xxx</t>
  </si>
  <si>
    <t xml:space="preserve"> Engineer-in-Chief</t>
  </si>
  <si>
    <t>Panchyat Raj Dept</t>
  </si>
  <si>
    <t>Hyderabad,Telangana state.</t>
  </si>
  <si>
    <t>Dy. Executive Engineer-III, PR</t>
  </si>
  <si>
    <t>TO BE WRITTEN ON TENDER COMPARTIVE STATE MENT MANUALLY WITH RED INK PEN AS FOLLOWS</t>
  </si>
  <si>
    <t xml:space="preserve">    SUB-ESTIMATE FOR SLAB CULVERT WITH SSR 2023-24</t>
  </si>
  <si>
    <t>Construction of 1 Vent of 6.00 x 2.00m span Slab Culverts- 1nos  at Km 0/400</t>
  </si>
  <si>
    <r>
      <rPr>
        <u/>
        <sz val="11"/>
        <rFont val="Calibri"/>
        <charset val="134"/>
        <scheme val="minor"/>
      </rPr>
      <t>2.38+1.85</t>
    </r>
    <r>
      <rPr>
        <sz val="11"/>
        <rFont val="Calibri"/>
        <charset val="134"/>
        <scheme val="minor"/>
      </rPr>
      <t xml:space="preserve">
2</t>
    </r>
  </si>
  <si>
    <t>(2.50+ 2.10)/2</t>
  </si>
  <si>
    <t>Abutment up to GL</t>
  </si>
  <si>
    <t>(2.10+ 1.82)/2</t>
  </si>
  <si>
    <t>(2.13+ 1.73)/2</t>
  </si>
  <si>
    <t>Wing walls up to GL</t>
  </si>
  <si>
    <t>(1.73+ 1.38)/2</t>
  </si>
  <si>
    <t>(1.82+ 1.30)/2</t>
  </si>
  <si>
    <t>Wing walls above GL</t>
  </si>
  <si>
    <t>(1.38+ 0.50)/2</t>
  </si>
  <si>
    <t>Backing wall</t>
  </si>
  <si>
    <t>Over Approach slab</t>
  </si>
  <si>
    <r>
      <rPr>
        <u/>
        <sz val="11"/>
        <rFont val="Calibri"/>
        <charset val="134"/>
        <scheme val="minor"/>
      </rPr>
      <t>13.5+7.5</t>
    </r>
    <r>
      <rPr>
        <sz val="11"/>
        <rFont val="Calibri"/>
        <charset val="134"/>
        <scheme val="minor"/>
      </rPr>
      <t xml:space="preserve">
2</t>
    </r>
  </si>
  <si>
    <r>
      <rPr>
        <u/>
        <sz val="11"/>
        <rFont val="Calibri"/>
        <charset val="134"/>
        <scheme val="minor"/>
      </rPr>
      <t>2.0+0.3</t>
    </r>
    <r>
      <rPr>
        <sz val="11"/>
        <rFont val="Calibri"/>
        <charset val="134"/>
        <scheme val="minor"/>
      </rPr>
      <t xml:space="preserve">
2</t>
    </r>
  </si>
  <si>
    <t>District PR Engineer,</t>
  </si>
  <si>
    <t>Construction of HP Culvert 2V of 1000mm Dia.NP4 Pipes at Km</t>
  </si>
  <si>
    <t xml:space="preserve">  SUB-ESTIMATE FOR SIDE DRAINS WITH SSR 2021-22</t>
  </si>
  <si>
    <t>Construction of Village side drain for a length of 250 m</t>
  </si>
  <si>
    <t>In the village portion both sides (From Km 0/580 to 0/950)</t>
  </si>
  <si>
    <t>In the village portion of Sublaid</t>
  </si>
  <si>
    <t>From Km 0/000 to 0/840</t>
  </si>
  <si>
    <t>In the village portion of Sublaid (From Km 0/000 to 0/840)</t>
  </si>
  <si>
    <t>Drain body wall</t>
  </si>
  <si>
    <r>
      <rPr>
        <u/>
        <sz val="10"/>
        <rFont val="Arial"/>
        <charset val="134"/>
      </rPr>
      <t xml:space="preserve">0.30+0.23
</t>
    </r>
    <r>
      <rPr>
        <sz val="10"/>
        <rFont val="Arial"/>
        <charset val="134"/>
      </rPr>
      <t>2</t>
    </r>
  </si>
  <si>
    <t>Drain body wall road side</t>
  </si>
  <si>
    <t>Road Crossings</t>
  </si>
  <si>
    <t>TRAFFIC SIGNS, MARKINGS AND OTHER ROAD APPURTENANCES WITH SSR  2023-24</t>
  </si>
  <si>
    <t>Index-code</t>
  </si>
  <si>
    <t>S. No</t>
  </si>
  <si>
    <t>Amount Rs.</t>
  </si>
  <si>
    <t xml:space="preserve">Allowances Made </t>
  </si>
  <si>
    <t xml:space="preserve">Over heads </t>
  </si>
  <si>
    <t>Contractor's Profit</t>
  </si>
  <si>
    <t>Sub Analysis</t>
  </si>
  <si>
    <t>RBR-FNDN-7</t>
  </si>
  <si>
    <t>Supplying, fitting and placing HYSD bar reinforcement in foundation complete as per drawings and technical specifications Clauses 1000 and 1202  &amp;1100, 1600 MORTH for Bars below 36 mm dia including over laps and wastage, where they are not welded.</t>
  </si>
  <si>
    <t>HYSD bars including 5 per cent for overlaps and wastage</t>
  </si>
  <si>
    <t>Binding wire</t>
  </si>
  <si>
    <t>kg</t>
  </si>
  <si>
    <t>(b) Labour for cutting, bending, shifting to site, tying and placing in position</t>
  </si>
  <si>
    <t>Blacksmith</t>
  </si>
  <si>
    <t>Mazdoor (Unskilled)</t>
  </si>
  <si>
    <t>c&amp;d) Overheads &amp; Contractors Profit</t>
  </si>
  <si>
    <t>Rate per t = a+b+c+d</t>
  </si>
  <si>
    <t>RBR-FNDN-1</t>
  </si>
  <si>
    <t>Note : Classifications of Earth Work Specification are as per 302.2.1(a) of MORD and 301.2.1 of MORT&amp;H</t>
  </si>
  <si>
    <t>Ordinary soil</t>
  </si>
  <si>
    <t>Manual means</t>
  </si>
  <si>
    <t>Upto 3 m depth</t>
  </si>
  <si>
    <t>a)  Labour</t>
  </si>
  <si>
    <t>Seignorage Charges for earth</t>
  </si>
  <si>
    <t>Rate per cum = /10</t>
  </si>
  <si>
    <t>For Road Furniture Items</t>
  </si>
  <si>
    <t>RBR-FNDN-4</t>
  </si>
  <si>
    <t>For height upto 5 m</t>
  </si>
  <si>
    <t>P.C.C grade M 15</t>
  </si>
  <si>
    <t>Unit = 15 cum</t>
  </si>
  <si>
    <t>40 mm aggregate</t>
  </si>
  <si>
    <t>20 mm aggregate</t>
  </si>
  <si>
    <t>10 mm aggregate</t>
  </si>
  <si>
    <t xml:space="preserve">(b) Labour </t>
  </si>
  <si>
    <t>Mason (1st Class)</t>
  </si>
  <si>
    <t>Concrete mixer 0.4/0.28 cum capacity</t>
  </si>
  <si>
    <t>(d) Formwork @ 4% on cost of material, labour and machinery (a+b+c)</t>
  </si>
  <si>
    <t>e&amp;f) Overheads &amp; Contractors Profit</t>
  </si>
  <si>
    <t>Rate per cum = a+b+c+d+e+f</t>
  </si>
  <si>
    <t>XX</t>
  </si>
  <si>
    <t>Providing concrete for plain concrete (1:3:6)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 ,including overhead charges &amp; Contractors profit ,but excluding Seignarage charges.</t>
  </si>
  <si>
    <t>Nominal mix 1:3:6</t>
  </si>
  <si>
    <t>Water</t>
  </si>
  <si>
    <t>Mechanical concrete mixer 0.4/0.28 cum capacity fitted with water measuring device and preferably also with load cell.</t>
  </si>
  <si>
    <t>Water tanker 6 kl capacity</t>
  </si>
  <si>
    <t>MoRTH 801</t>
  </si>
  <si>
    <t>Printing New Letters and Figures of any Shade</t>
  </si>
  <si>
    <t>Printing new letter and figures of any shade with synthetic enamel paint black or any other approved colour to give an even shade as per drawings and Technical Specification Clause 1701 MORD / 801 MORTH ,including overhead charges &amp; Contractors profit ,but excluding Seignarage charges.</t>
  </si>
  <si>
    <t>(ii)</t>
  </si>
  <si>
    <t>English and Roman</t>
  </si>
  <si>
    <t xml:space="preserve">Hyphens, commas and the like not to be measured and paid for. </t>
  </si>
  <si>
    <t>Detail for 100 letters of 160 mm height, i.e. 1600 cm</t>
  </si>
  <si>
    <t>Unit = per cm height per letter</t>
  </si>
  <si>
    <t>Painter 1st Class</t>
  </si>
  <si>
    <t>Painter Assistant</t>
  </si>
  <si>
    <t>b) Material</t>
  </si>
  <si>
    <t>Paint</t>
  </si>
  <si>
    <t>litre</t>
  </si>
  <si>
    <t>Cost for 1600 cm = a+b+c+d</t>
  </si>
  <si>
    <t>Rate per cm height per letter = (a+b+c+d)/1600</t>
  </si>
  <si>
    <t>ROAD FURNITURE MAIN ANALYSIS</t>
  </si>
  <si>
    <t>RBR-TSRA-2</t>
  </si>
  <si>
    <t>Traffic Signs</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</si>
  <si>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</si>
  <si>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t>
  </si>
  <si>
    <t>Unit = Each</t>
  </si>
  <si>
    <t>Taking output = one traffic sign</t>
  </si>
  <si>
    <t>(i) Excavation but excluding for foundation</t>
  </si>
  <si>
    <t>As per item No. 1 of Chapter 11</t>
  </si>
  <si>
    <t>(ii) Cement concrete M15 grade</t>
  </si>
  <si>
    <t>As per item No. 4 (A) (iii) or (iv)  of Chapter 11</t>
  </si>
  <si>
    <t>(iii) Painting two coats including prime coat on concrete surface with Epoxy Paint as per specifications</t>
  </si>
  <si>
    <t>As per item No. 9 of this Chapter</t>
  </si>
  <si>
    <t>(a) labour (For fixing at site)</t>
  </si>
  <si>
    <t>Support of M.S. Sheet tube</t>
  </si>
  <si>
    <t>(I) 47 mm x 47 mm x 12 SWG Sheet 3050 mm long</t>
  </si>
  <si>
    <t>(II) Angle iron 50 x 50 x 6 mm for hold fast including 5% wastage</t>
  </si>
  <si>
    <t>Add 3% cost of MS Sheet tube 12 SWG and angle irons towards the cost of fabrication, drilling holes, nuts and bolts etc.</t>
  </si>
  <si>
    <t xml:space="preserve">(III) 1.5 mm thick M.S. Sheet duly painted with stove enameled paint including lettering, signs, border, message with reflective tape of engineering grade required size, shade and colour as per Technical Specifications </t>
  </si>
  <si>
    <t>(i) 900 mm equilateral triangle</t>
  </si>
  <si>
    <t>OR</t>
  </si>
  <si>
    <t>(ii) 600 mm equilateral triangle</t>
  </si>
  <si>
    <t>(iii) 600 mm circular</t>
  </si>
  <si>
    <t>(iv) 800 mm x 600 mm rectangular</t>
  </si>
  <si>
    <t>(v) 600 mm x 450 mm rectangular</t>
  </si>
  <si>
    <t>(0.36 Sqm. X 0.0015X7850 Kg/cum)</t>
  </si>
  <si>
    <t>(vi) 600 mm x 600 mm square</t>
  </si>
  <si>
    <t>(vii) 900 mm side octagon</t>
  </si>
  <si>
    <t>Tractor with trolley</t>
  </si>
  <si>
    <t xml:space="preserve">d&amp;e) Overheads </t>
  </si>
  <si>
    <t>Rate per traffic sign = (i+ii+iii+a+b+c+d+e)</t>
  </si>
  <si>
    <t>2. The rate for excavation, but excluding cement concrete M-15, and painting may be taken from respective Chapters.</t>
  </si>
  <si>
    <t>3. The depth of foundation and quantity of cement in the foundation are indicative. These may be increased for areas having higher wind velocities like in coastal area. This is applicable to all road signs and direction boards.</t>
  </si>
  <si>
    <t>RBR-TSRA-3</t>
  </si>
  <si>
    <t>Direction and Place Identification signs upto 0.9 sqm size board (1000x900mm size)</t>
  </si>
  <si>
    <t>Semi-Reflective Traffic signs</t>
  </si>
  <si>
    <t>Direction and place identification signs up to 0.9 sqm size board</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</si>
  <si>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t>
  </si>
  <si>
    <t>Unit = each</t>
  </si>
  <si>
    <t>Take Output = 0.9 sqm</t>
  </si>
  <si>
    <t>(iii) Painting on M.S. tube post with primer and two coat of epoxy paint as per specifications</t>
  </si>
  <si>
    <t>As per item No.9 of Chapter 10</t>
  </si>
  <si>
    <t>(i) Support of MS sheet tube</t>
  </si>
  <si>
    <t>47 mm x 47 mm of 12 SWG sheet 3050 mm long</t>
  </si>
  <si>
    <t>(ii) Angle iron 50 x 50 x 6 mm for lugs including 5% wastage</t>
  </si>
  <si>
    <t>(iii) 2 mm thick MS sheet strengthened by 25 mm x 5 mm MS flat iron &amp; painted with stove enameled paint including lettering, signs, message, border with reflective tape of engineering grade of required shade and colour as per Technical Specifications.</t>
  </si>
  <si>
    <t>(0.9 Sqmx0.002 mx7850 kg/cum)</t>
  </si>
  <si>
    <t>Add 3% cost of MS sheet angle iron towards the cost of fabrications, drilling, holes, nuts, bolts etc.</t>
  </si>
  <si>
    <t>Cost for 0.9 sqm = (i+ii+iii+a+b+c+d+e)</t>
  </si>
  <si>
    <t>Rate per (for sign having area upto 0.9 sqm) = (i+ii+iii+a+b+c+d+e)/ 1no</t>
  </si>
  <si>
    <t>RBR-TSRA-6</t>
  </si>
  <si>
    <t>Painting Two Coats on New Concrete Surfaces</t>
  </si>
  <si>
    <t>Painting two coats including primer coat after filling the surface with synthetic enamel paint in all shades on new, plastered / concrete surfaces as per drawing and Technical Specification Clause 1701MORD.,including overhead charges &amp; Contractors profit ,but excluding Seignarage charges.</t>
  </si>
  <si>
    <t>Taking output = 40 sqm</t>
  </si>
  <si>
    <t>Painter (1st Class)</t>
  </si>
  <si>
    <t>Cement Primer as per specifications</t>
  </si>
  <si>
    <t>Paint conforming to requirement of Clause 1701.3.8</t>
  </si>
  <si>
    <t>Add for scaffolding @ 1 per cent of labour cost where required</t>
  </si>
  <si>
    <t>Filling Material on Paint Cost</t>
  </si>
  <si>
    <t>Cost for 40 sqm = a+b+c+d</t>
  </si>
  <si>
    <t>Rate per sqm = (a+b+c+d)/40</t>
  </si>
  <si>
    <t>RBR-TSRA-9</t>
  </si>
  <si>
    <t>Painting on Concrete/Steel Surfaces with Epoxy</t>
  </si>
  <si>
    <t>Painting two coats including prime coat with epoxy paint of approved brand on concrete/steel surfaces after through cleaning of surface to give an even shade as per drawing and Technical Specification Clause 1701 MORD ,including overhead charges &amp; Contractors profit ,but excluding Seignarage charges.</t>
  </si>
  <si>
    <t>Taking output = 10 sqm</t>
  </si>
  <si>
    <t>Epoxy primer / Red-oxide</t>
  </si>
  <si>
    <t>Epoxy paint</t>
  </si>
  <si>
    <t>Add @ 1 per cent on cost of material for scaffolding wherever required</t>
  </si>
  <si>
    <t>Cost for 10 sqm = a+b+c+d</t>
  </si>
  <si>
    <t>Rate per sqm = (a+b+c+d)/10</t>
  </si>
  <si>
    <t>RBR-TSRA-13</t>
  </si>
  <si>
    <t>Kilometre Stone</t>
  </si>
  <si>
    <t>Reinforced cement concrete M15 grade kilometre stone/local stone of standard design as per IRC:8 fixing in position including painting and printing, etc as per drawing and Technical Specification Clause 1703 MORD / 804 MORTH ,including overhead charges &amp; Contractors profit ,but excluding Seignarage charges.</t>
  </si>
  <si>
    <t>(i)</t>
  </si>
  <si>
    <t>5th Kilometre Stone (p )</t>
  </si>
  <si>
    <t>Taking output = 6 Nos.</t>
  </si>
  <si>
    <t>a) M-15 grade of concrete</t>
  </si>
  <si>
    <t>As per item No. 5 (i) or (ii) of Chapter 12</t>
  </si>
  <si>
    <t>b) Steel reinforcement @ 5 kg per sqm</t>
  </si>
  <si>
    <t>As per item No. 6 of Chapter 12</t>
  </si>
  <si>
    <t>c) Excavation but excluding in soil for foundation</t>
  </si>
  <si>
    <t>d) Painting two coats on concrete surface</t>
  </si>
  <si>
    <t>As per item No.5 of Chapter 10</t>
  </si>
  <si>
    <t>e) lettering on km post (average 30 letters of 10 cm height each)</t>
  </si>
  <si>
    <t>As per item No. 1 of Chapter 10</t>
  </si>
  <si>
    <t>per cm high per letter</t>
  </si>
  <si>
    <t>Transportation and fixing</t>
  </si>
  <si>
    <t>f)  Labour</t>
  </si>
  <si>
    <t>g) Machinery</t>
  </si>
  <si>
    <t>50 HP Tractor with trolley</t>
  </si>
  <si>
    <t>j )Cost for 6 Nos. 5th km stone = a+b+c+d+e+f+g+h+i</t>
  </si>
  <si>
    <t>Rate for each 5th km stone = j/6</t>
  </si>
  <si>
    <t>Ordinary Kilometer Stone (P )</t>
  </si>
  <si>
    <t>Taking output = 14 Nos.</t>
  </si>
  <si>
    <t>e) lettering on km post (average 12 letters of 10 cm height each)</t>
  </si>
  <si>
    <t>j) Cost for 14 Nos. ordinary km stone = (a+b+c+d+e+f+g+h+i)</t>
  </si>
  <si>
    <t>Rate for each ordinary km stone = j/ 14</t>
  </si>
  <si>
    <t>(iii)</t>
  </si>
  <si>
    <t>200 m / Hectometer stone (p )</t>
  </si>
  <si>
    <t>Taking output = 33 Nos.</t>
  </si>
  <si>
    <t>e) lettering on km post (average 1 letter of 10 cm height each)</t>
  </si>
  <si>
    <t>j) Cost for 33 Nos. 200 m stone = (a+b+c+d+e+f+g+h+i)</t>
  </si>
  <si>
    <t>Rate for each 200 m stone = j / 33</t>
  </si>
  <si>
    <t>RBR-TSRA-20</t>
  </si>
  <si>
    <t>Providing and Fixing ' CRR   Project  information &amp; Name Board</t>
  </si>
  <si>
    <t>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t>
  </si>
  <si>
    <t>Taking out put = one typical board</t>
  </si>
  <si>
    <t xml:space="preserve">i) Excavation but excluding for foundation </t>
  </si>
  <si>
    <t>(ii) Cement Concrete M15 grade</t>
  </si>
  <si>
    <t>As per item No. 4 (A) (iii) or (iv) of Chapter 11</t>
  </si>
  <si>
    <t>(iii) Painting on MS Steel tubes with primer and two coats of epoxy paint</t>
  </si>
  <si>
    <t>2x2.05x.30 = 1.23</t>
  </si>
  <si>
    <t>1x1.10x188 = 0.21</t>
  </si>
  <si>
    <t>As per item no. 9 of Chapter 10</t>
  </si>
  <si>
    <t>(iv) Printing new letters and figures of any shade with synthetic enamel paint black or any other  approved colour to give an even shade.</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</si>
  <si>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</si>
  <si>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</si>
  <si>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</si>
  <si>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</si>
  <si>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</si>
  <si>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</si>
  <si>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</si>
  <si>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</si>
  <si>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per cm height /  letter</t>
  </si>
  <si>
    <t>a) Labour (for fixing at site)</t>
  </si>
  <si>
    <t>2 nos. MS tubes 75mx75mm of 12 SWG sheet 2650 mm long</t>
  </si>
  <si>
    <t>1 No. MS tube 47mm x 47mm of 12 SWG 1100 mm long</t>
  </si>
  <si>
    <t>Angle iron 50mm x 50mm x 5 mm for lugs</t>
  </si>
  <si>
    <t xml:space="preserve">1.6 mm thick MS sheet strengthened by 25mm x 5 MS flat iron on logo and middle plate angle iron  25mm x 25mm x 5mm on bottom plate painting with stove enameled paint on both sides as per MORD specifications </t>
  </si>
  <si>
    <t>(1.44 sqmx0.0016mx7850 kg/cum)</t>
  </si>
  <si>
    <t>Add 3% cost of MS tube and angle iron towards the cost of fabrications, drilling holes, nuts, bolts, etc.</t>
  </si>
  <si>
    <t>c) Machinery</t>
  </si>
  <si>
    <t>Cost for one Board= (i+ii+iii+iv+a+b+c+d+e)</t>
  </si>
  <si>
    <t>LEAD CHARGES</t>
  </si>
  <si>
    <t>Cost of Materials, Labour</t>
  </si>
  <si>
    <t>pred</t>
  </si>
  <si>
    <t>Earth/Gravel/Sand</t>
  </si>
  <si>
    <t>Metal</t>
  </si>
  <si>
    <t>SSR 17-18</t>
  </si>
  <si>
    <t>SSR 21-22</t>
  </si>
  <si>
    <t>SSR 22-23</t>
  </si>
  <si>
    <t>SSR 23-24</t>
  </si>
  <si>
    <t>SSR 2024-25</t>
  </si>
  <si>
    <t>SSR-Ref</t>
  </si>
  <si>
    <t>loading</t>
  </si>
  <si>
    <t>Material Rates</t>
  </si>
  <si>
    <t>Distance</t>
  </si>
  <si>
    <t>Lead Charge for Earth/Sand/Gravel/Murrum/Lime/Surki/per cu.m</t>
  </si>
  <si>
    <t>Lead Charge for Rubble/size stones/cut stones/Coarse aggregare per cu.meter</t>
  </si>
  <si>
    <t>unloading</t>
  </si>
  <si>
    <t>60 to 63 mm IRC &amp; MoRTH HBG metal</t>
  </si>
  <si>
    <t>R-52</t>
  </si>
  <si>
    <t>stacking</t>
  </si>
  <si>
    <t>50 to 55 mm IRC &amp; MoRTH HBG metal</t>
  </si>
  <si>
    <t>R-51</t>
  </si>
  <si>
    <t>40 to 45 mm IRC &amp; MoRTH HBG metal</t>
  </si>
  <si>
    <t>R-50</t>
  </si>
  <si>
    <t>Roughstone 300mm (HBG)for revetment</t>
  </si>
  <si>
    <t>R-9</t>
  </si>
  <si>
    <t>Lead up to 1km</t>
  </si>
  <si>
    <t>Roughstone 225mm (HBG)for revetment</t>
  </si>
  <si>
    <t>R-8</t>
  </si>
  <si>
    <t>Lead up to 2km</t>
  </si>
  <si>
    <t xml:space="preserve">SS Revetment work 225mm </t>
  </si>
  <si>
    <t>R-2</t>
  </si>
  <si>
    <t>Lead up to 3km</t>
  </si>
  <si>
    <t xml:space="preserve">SS Revetment work 300mm </t>
  </si>
  <si>
    <t>R-3</t>
  </si>
  <si>
    <t>Lead up to 4km</t>
  </si>
  <si>
    <t xml:space="preserve">SS Revetment work 450mm </t>
  </si>
  <si>
    <t>R-4</t>
  </si>
  <si>
    <t>Lead up to 5km</t>
  </si>
  <si>
    <t xml:space="preserve">Laterite for Revetment  225mm </t>
  </si>
  <si>
    <t>R-6</t>
  </si>
  <si>
    <t>Lead from &gt;5 km  to 30km (every km)</t>
  </si>
  <si>
    <t xml:space="preserve">Laterite for Revetment  300mm </t>
  </si>
  <si>
    <t>R-7</t>
  </si>
  <si>
    <t>Lead from 30&gt; (for every km)</t>
  </si>
  <si>
    <t xml:space="preserve">Jeddy stone above 450mm to 600mm </t>
  </si>
  <si>
    <t>R-5</t>
  </si>
  <si>
    <t>Quarry spall(Field picked metal) 25mm</t>
  </si>
  <si>
    <t>R-83</t>
  </si>
  <si>
    <r>
      <rPr>
        <b/>
        <sz val="10"/>
        <rFont val="Arial"/>
        <charset val="134"/>
      </rPr>
      <t>Note: The lead &amp; lift charges are</t>
    </r>
    <r>
      <rPr>
        <b/>
        <sz val="10"/>
        <color indexed="10"/>
        <rFont val="Arial"/>
        <charset val="134"/>
      </rPr>
      <t xml:space="preserve"> inclusive of 13.615%</t>
    </r>
    <r>
      <rPr>
        <b/>
        <sz val="10"/>
        <rFont val="Arial"/>
        <charset val="134"/>
      </rPr>
      <t xml:space="preserve"> Contractor Profit and Over Head Charges</t>
    </r>
  </si>
  <si>
    <t>R-78</t>
  </si>
  <si>
    <t>Loading</t>
  </si>
  <si>
    <t>40 to 45 mm IRC &amp; MoRTH HBG M/C metal</t>
  </si>
  <si>
    <t>Un-Loading</t>
  </si>
  <si>
    <t>25 to 27 mm IRC &amp; MoRTH HBG M/C metal</t>
  </si>
  <si>
    <t>R-49</t>
  </si>
  <si>
    <t>19 to 22 mm IRC &amp; MoRTH HBG M/C metal</t>
  </si>
  <si>
    <t>R-48</t>
  </si>
  <si>
    <t>OH&amp;CP Coefficent</t>
  </si>
  <si>
    <t>12 to 14 mm IRC &amp; MoRTH HBG M/C metal</t>
  </si>
  <si>
    <t>R-47</t>
  </si>
  <si>
    <t>9.5 to 11.20 mm IRC &amp; MoRTH HBG M/C metal</t>
  </si>
  <si>
    <t>R-46</t>
  </si>
  <si>
    <t>BT Conveyance charges</t>
  </si>
  <si>
    <t>Per Km per MT (round the trip)</t>
  </si>
  <si>
    <t>5 to 7 mm IRC &amp; MoRTH HBG M/C metal</t>
  </si>
  <si>
    <t>R-45b</t>
  </si>
  <si>
    <t>2.36 to 5 mm IRC &amp; MoRTH HBG M/C metal</t>
  </si>
  <si>
    <t>R-45a</t>
  </si>
  <si>
    <t>HBG Stone chips 2.36mm and below</t>
  </si>
  <si>
    <t>R-91</t>
  </si>
  <si>
    <t>R-89</t>
  </si>
  <si>
    <t>40 mm SS-5 m/c  HBG metal</t>
  </si>
  <si>
    <t>R-30</t>
  </si>
  <si>
    <t>25 mm SS-5 m/c HBG metal</t>
  </si>
  <si>
    <t>R-29</t>
  </si>
  <si>
    <t>20 mm SS-5 m/c HBG metal</t>
  </si>
  <si>
    <t>R-28</t>
  </si>
  <si>
    <t>12 mm SS-5 m/c HBG metal</t>
  </si>
  <si>
    <t>R-27</t>
  </si>
  <si>
    <t>10 mm SS-5 m/c HBG metal</t>
  </si>
  <si>
    <t>R-26</t>
  </si>
  <si>
    <t>6 mm SS-5 m/c HBG metal</t>
  </si>
  <si>
    <t>R-25</t>
  </si>
  <si>
    <t>Sand for Mortar</t>
  </si>
  <si>
    <t>R-92</t>
  </si>
  <si>
    <t>R-93</t>
  </si>
  <si>
    <t>R-94</t>
  </si>
  <si>
    <t>Polythene Sheet 125 micro</t>
  </si>
  <si>
    <t>R-274</t>
  </si>
  <si>
    <t>Bitumenous sealant</t>
  </si>
  <si>
    <t>R-273</t>
  </si>
  <si>
    <t xml:space="preserve">Jute rope </t>
  </si>
  <si>
    <t>R-271</t>
  </si>
  <si>
    <t>De bonding Strips</t>
  </si>
  <si>
    <t>R-272</t>
  </si>
  <si>
    <t>Tar felt Joint filler board 20mm</t>
  </si>
  <si>
    <t>IRR-MR-74</t>
  </si>
  <si>
    <t>Super Plastisizer</t>
  </si>
  <si>
    <t>IRR-MR-70</t>
  </si>
  <si>
    <t>R-79</t>
  </si>
  <si>
    <t>Blasting charges for rough stone</t>
  </si>
  <si>
    <t>R-55</t>
  </si>
  <si>
    <t>Seigniorage charges</t>
  </si>
  <si>
    <t>Gravel/earth</t>
  </si>
  <si>
    <t>Sand</t>
  </si>
  <si>
    <t>Labour Rates</t>
  </si>
  <si>
    <t>LR-11</t>
  </si>
  <si>
    <t>LR-35</t>
  </si>
  <si>
    <t>LR-4</t>
  </si>
  <si>
    <t>LR-2</t>
  </si>
  <si>
    <t>LR-</t>
  </si>
  <si>
    <t>70% of Mason Semi Skilled + 30% of Mason Skilled</t>
  </si>
  <si>
    <t>Machinery Rates</t>
  </si>
  <si>
    <t>Dozer (D 80)</t>
  </si>
  <si>
    <t>HC-8</t>
  </si>
  <si>
    <t xml:space="preserve">Motor grader </t>
  </si>
  <si>
    <t>HC-3</t>
  </si>
  <si>
    <t>Hydralic excavator</t>
  </si>
  <si>
    <t>HC-4</t>
  </si>
  <si>
    <t>HC-5</t>
  </si>
  <si>
    <t>Tipper 5.5 cum per Hour</t>
  </si>
  <si>
    <t>HC-6</t>
  </si>
  <si>
    <t>HC-7</t>
  </si>
  <si>
    <t>smooth wheeled roller 8 Ton</t>
  </si>
  <si>
    <t>HC-10</t>
  </si>
  <si>
    <t xml:space="preserve">Tractor </t>
  </si>
  <si>
    <t>HC-11</t>
  </si>
  <si>
    <t>Tractor with Rotavator/Grader</t>
  </si>
  <si>
    <t>HC-12</t>
  </si>
  <si>
    <t>Tractor with ripper attachment @ 60 cum per hour</t>
  </si>
  <si>
    <t>HC-13</t>
  </si>
  <si>
    <t xml:space="preserve">Air compressor </t>
  </si>
  <si>
    <t>HC-14</t>
  </si>
  <si>
    <t>Wet mix plant of 60 TPH</t>
  </si>
  <si>
    <t>HC-15</t>
  </si>
  <si>
    <t>Mechanical broom Hydraulic</t>
  </si>
  <si>
    <t>HC-16</t>
  </si>
  <si>
    <t>Bitumen pressure distributor</t>
  </si>
  <si>
    <t>HC-17</t>
  </si>
  <si>
    <t xml:space="preserve">Emulsion pressure distributor </t>
  </si>
  <si>
    <t>HC-18</t>
  </si>
  <si>
    <t>Hot mix/Batch Mix Plant 100 TPH</t>
  </si>
  <si>
    <t>HC-20</t>
  </si>
  <si>
    <t>Hot Mix Plat 75 TPH</t>
  </si>
  <si>
    <t>Hot mix/Batch Mix Plant 60 TPH</t>
  </si>
  <si>
    <t>HC-21</t>
  </si>
  <si>
    <t>HC-22</t>
  </si>
  <si>
    <t xml:space="preserve">Hydraulic  chip spreader </t>
  </si>
  <si>
    <t>HC-23</t>
  </si>
  <si>
    <t>Tandem road roller.</t>
  </si>
  <si>
    <t>Pneumatic road Roller</t>
  </si>
  <si>
    <t>HC-24</t>
  </si>
  <si>
    <t>GSB Plant 50 Cum</t>
  </si>
  <si>
    <t>HC-26</t>
  </si>
  <si>
    <t>HC-39</t>
  </si>
  <si>
    <t>Generator set 125 KVA</t>
  </si>
  <si>
    <t>HC-43</t>
  </si>
  <si>
    <t>Generator set 30 KVA</t>
  </si>
  <si>
    <t>Concrete mixer 0.28 cum</t>
  </si>
  <si>
    <t>HC-34</t>
  </si>
  <si>
    <t>Tipper 10t per tonne Km</t>
  </si>
  <si>
    <t>HC-41</t>
  </si>
  <si>
    <t>Tipper 10t cum per  Km</t>
  </si>
  <si>
    <t>Plate compactor/Power rammer</t>
  </si>
  <si>
    <t>HC-44</t>
  </si>
  <si>
    <t>Black Smith</t>
  </si>
  <si>
    <t>Binding Wire per kg</t>
  </si>
  <si>
    <t>IRR-MR-3</t>
  </si>
  <si>
    <t>Hydrostatic sensor paver 100 TPH</t>
  </si>
  <si>
    <t>IRR-MR-35</t>
  </si>
  <si>
    <t>Batching and Mixing Plant</t>
  </si>
  <si>
    <t>(a) 30 Cum capacity</t>
  </si>
  <si>
    <t>HC-28</t>
  </si>
  <si>
    <t>(b) 15 - 20 Cum capacity</t>
  </si>
  <si>
    <t>© 175 cum capacity</t>
  </si>
  <si>
    <t>Generator 100 kv</t>
  </si>
  <si>
    <t>Generator 250 kv</t>
  </si>
  <si>
    <t>Transit mixer</t>
  </si>
  <si>
    <t>HC-33</t>
  </si>
  <si>
    <t>Concrete pump of 45 and</t>
  </si>
  <si>
    <t>30 cum</t>
  </si>
  <si>
    <t>Concrete paver finisher with 40 HP motor</t>
  </si>
  <si>
    <t>HC-40</t>
  </si>
  <si>
    <t>Curing Compound</t>
  </si>
  <si>
    <t>IRR-MR-15</t>
  </si>
  <si>
    <t xml:space="preserve">Epoxy -primer </t>
  </si>
  <si>
    <t>IRR-MR-27</t>
  </si>
  <si>
    <t>plastisizer admixture</t>
  </si>
  <si>
    <t>BSSR-671</t>
  </si>
  <si>
    <t>water (urban)</t>
  </si>
  <si>
    <t>R-276</t>
  </si>
  <si>
    <t>water (rural)</t>
  </si>
  <si>
    <t>R-275</t>
  </si>
  <si>
    <t>LR-2b</t>
  </si>
  <si>
    <t>Kerb casting machine</t>
  </si>
  <si>
    <t>HC-37</t>
  </si>
  <si>
    <t>Concrete batching and mixing plant @ 15 cu,/hr</t>
  </si>
  <si>
    <t>IRR-10</t>
  </si>
  <si>
    <t xml:space="preserve">Chequered Tiles-IS:13801 300X300 of 25 mm thick </t>
  </si>
  <si>
    <t>BSSR-85</t>
  </si>
  <si>
    <t>Plumber</t>
  </si>
  <si>
    <t>LR-36</t>
  </si>
  <si>
    <t>unslaked lime</t>
  </si>
  <si>
    <t>R-101</t>
  </si>
  <si>
    <t>Quarry Rubbish</t>
  </si>
  <si>
    <t>R-90</t>
  </si>
  <si>
    <t>TBSC-G.I-05</t>
  </si>
  <si>
    <t>BSSR-86</t>
  </si>
  <si>
    <t>Earth cost or Compensation</t>
  </si>
  <si>
    <t>IRR-MR-102</t>
  </si>
  <si>
    <t>IRR-MR-94</t>
  </si>
  <si>
    <t>GI Pipe 100mm dia/meter</t>
  </si>
  <si>
    <t>I&amp;CAD Page-2 S.No.32</t>
  </si>
  <si>
    <t>G I Bolt 10mm dia</t>
  </si>
  <si>
    <t>Bond stones ( 600 x 200 x 200 mm )</t>
  </si>
  <si>
    <t>DATA-PIPE CULVERTS with SSR 2023-24</t>
  </si>
  <si>
    <r>
      <rPr>
        <sz val="11"/>
        <rFont val="Calibri"/>
        <charset val="134"/>
      </rPr>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
    </r>
    <r>
      <rPr>
        <vertAlign val="superscript"/>
        <sz val="11"/>
        <rFont val="Calibri"/>
        <charset val="134"/>
      </rPr>
      <t>th</t>
    </r>
    <r>
      <rPr>
        <sz val="11"/>
        <rFont val="Calibri"/>
        <charset val="134"/>
      </rPr>
      <t xml:space="preserve"> Revision)  and as directed by the Engineer-in-Charge.</t>
    </r>
  </si>
  <si>
    <t>up to 3m depth</t>
  </si>
  <si>
    <t>Over Head Charges &amp; CP on (A+B)</t>
  </si>
  <si>
    <t>Cost per 240 cum</t>
  </si>
  <si>
    <t>up to 3m to 6m depth</t>
  </si>
  <si>
    <t xml:space="preserve">Taking out put = 210 Cum </t>
  </si>
  <si>
    <t>Cost per 210 cum</t>
  </si>
  <si>
    <t>above 6m depth</t>
  </si>
  <si>
    <t xml:space="preserve">Taking out put = 1Cum </t>
  </si>
  <si>
    <t xml:space="preserve"> Sand  for filling</t>
  </si>
  <si>
    <r>
      <rPr>
        <sz val="11"/>
        <rFont val="Calibri"/>
        <charset val="134"/>
      </rPr>
      <t>Providing, laying Reinforced cement concrete Hume pipes of 1000 mm Dia.,</t>
    </r>
    <r>
      <rPr>
        <b/>
        <sz val="11"/>
        <rFont val="Calibri"/>
        <charset val="134"/>
      </rPr>
      <t xml:space="preserve"> NP4</t>
    </r>
    <r>
      <rPr>
        <sz val="11"/>
        <rFont val="Calibri"/>
        <charset val="134"/>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</si>
  <si>
    <t>Cost per 12.5 metre</t>
  </si>
  <si>
    <r>
      <rPr>
        <sz val="11"/>
        <rFont val="Calibri"/>
        <charset val="134"/>
      </rPr>
      <t>Providing, laying Reinforced cement concrete Hume pipes of 900 mm Dia.,</t>
    </r>
    <r>
      <rPr>
        <b/>
        <sz val="11"/>
        <rFont val="Calibri"/>
        <charset val="134"/>
      </rPr>
      <t xml:space="preserve"> NP-4</t>
    </r>
    <r>
      <rPr>
        <sz val="11"/>
        <rFont val="Calibri"/>
        <charset val="134"/>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</si>
  <si>
    <t>Page 272, 273 of MoRT&amp;H SDB</t>
  </si>
  <si>
    <t>900 mm Dia.,</t>
  </si>
  <si>
    <t>Cost of 900mm Dia., pipes</t>
  </si>
  <si>
    <t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t>
  </si>
  <si>
    <t>Cost of Selected Earth</t>
  </si>
  <si>
    <t xml:space="preserve">Over head charges @ 13.615% </t>
  </si>
  <si>
    <t>Cost per 10 cum</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</si>
  <si>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202 and as directed by the Engineer.Prestressed/ Reinforced cement concrete grade M-20 and above (by manual means)</t>
  </si>
  <si>
    <t>Over Head Charges &amp; CP</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</si>
  <si>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MoRT&amp;H 202 and as directed by the Engineer.(By Mechanical means in Cement Concrete grade M-15 &amp; M-20) (Mechanical Means)</t>
  </si>
  <si>
    <t>Air Compressor 250cfm with leads of pnumatic breaker @ 1.5 cum per hour</t>
  </si>
  <si>
    <t>Dismantling of Stone Masonary in cement mortar including disposing of resulting materials and/or salvaging useful materials up to a distance of 1 km from project road complete as per Drawings and Technical Specification Clause 202 and as directed by the Engineer.</t>
  </si>
  <si>
    <t>Removing all type of Hume Pipes and Stacking within a lead of 1000 metres including Earthwork and Dismantling of Masonry Works as per clause 202 of  MoRTH specifications.</t>
  </si>
  <si>
    <t>Taking output = 1 Meter</t>
  </si>
  <si>
    <t>Up to 600mm dia</t>
  </si>
  <si>
    <t>Up to 600mm to 900mm dia</t>
  </si>
  <si>
    <t>Above 900mm dia</t>
  </si>
  <si>
    <t>Dismantling of flexible pavements and disposal of dismantled materials up to a lead of 1000 metres, stacking serviceable and unserviceable materials separately</t>
  </si>
  <si>
    <t>Bituminous Courses</t>
  </si>
  <si>
    <t>Over Head Charges &amp; CP  on (A+B)</t>
  </si>
  <si>
    <t>Add for Over head charges @ 10% on (A)+(B)+(C)</t>
  </si>
  <si>
    <t>MAINTENANCE OF ROADS DATA 2024-25</t>
  </si>
  <si>
    <t>Patch Repairs DATA</t>
  </si>
  <si>
    <t>RBR-MTRD-15</t>
  </si>
  <si>
    <t>Maintenance of WBM Road  / WMM</t>
  </si>
  <si>
    <t>Sr.NO 15.5, MORD Spec 1900 , Pg 15-7</t>
  </si>
  <si>
    <t>Maintenance of WBM road including filling up of pot holes, ruts and rectifying corrugated surface, damaged edges and raveling as per technical specification Clause 1906 MORD.</t>
  </si>
  <si>
    <t xml:space="preserve">Unit = Sqm        </t>
  </si>
  <si>
    <t>Output - Taking affected area @ 5% in 1 km = 1000 x 3.75 x 0.05 = 187.5 sqm</t>
  </si>
  <si>
    <t>Quantity 187.5 x 0.10 = 18.75 cum</t>
  </si>
  <si>
    <t xml:space="preserve"> as per MORD , QTY = 187.50 X 0.075 = 14.06 CUM</t>
  </si>
  <si>
    <t>Quantity 187.5 x 0.075 = 14.06 cum</t>
  </si>
  <si>
    <t>i.</t>
  </si>
  <si>
    <t>For grading I Material compacting with Smooth Wheel Roller 80-100 kN</t>
  </si>
  <si>
    <t>a) Rate as per item 4.7(3) of Chapter 4</t>
  </si>
  <si>
    <t>b) Add 50% for extra efforts involved as maintenance is to be done in small reaches</t>
  </si>
  <si>
    <t xml:space="preserve">Cost of 187.5 Sqm = a+b    </t>
  </si>
  <si>
    <t>Rate of per sqm  a+b/187.5  for 100mm thick</t>
  </si>
  <si>
    <t>per sqm</t>
  </si>
  <si>
    <t>For grading II Material compacting with Smooth Wheel Roller 80-100 kN</t>
  </si>
  <si>
    <t>iii.</t>
  </si>
  <si>
    <t>For grading III Material compacting with Smooth Wheel Roller 80-100 kN</t>
  </si>
  <si>
    <t>Sr.NO 15.3, MORD Spec 1900 , Pg 15-4 to 15-6</t>
  </si>
  <si>
    <t xml:space="preserve">Maintenance of Bituminous Surface road </t>
  </si>
  <si>
    <t>RBR-MTRD-3 (iii)</t>
  </si>
  <si>
    <r>
      <rPr>
        <sz val="10"/>
        <rFont val="Verdana"/>
        <charset val="134"/>
      </rPr>
      <t xml:space="preserve">Repair to pot holes and removal of loose material, trimming of sides, cleaning of surface by providing </t>
    </r>
    <r>
      <rPr>
        <b/>
        <sz val="10"/>
        <rFont val="Verdana"/>
        <charset val="134"/>
      </rPr>
      <t xml:space="preserve">tack coat, 20 mm thick pre-mix carpet and seal coat Type - B </t>
    </r>
    <r>
      <rPr>
        <sz val="10"/>
        <rFont val="Verdana"/>
        <charset val="134"/>
      </rPr>
      <t>as per drawing and technical specification  Clause 1904.2 MORD, 503 and  508.1,  including overhead charges &amp; Contractor profit  but excluding GST and seignorage charges.</t>
    </r>
  </si>
  <si>
    <t>Taking output = 200 sqm</t>
  </si>
  <si>
    <t>Add  Muncipal area allowance</t>
  </si>
  <si>
    <t>Air compressor 210 cfm with tractor</t>
  </si>
  <si>
    <t>Mixall 6/10t capacity</t>
  </si>
  <si>
    <t>Three wheeled 80-100 kN Static Roller</t>
  </si>
  <si>
    <t>(c) Materials</t>
  </si>
  <si>
    <t>Bitumen for tack coat @ 3kg per 10 sqm 200 x 3 / 10 = 60 kg (RS1)</t>
  </si>
  <si>
    <t>Bitumen for pre-mix carpet @ 14.60 kg per 10 sqm = 200 x 14.6 / 10 = 292 kg (60/70)</t>
  </si>
  <si>
    <t>Bitumen for seal coat at 6.8kgs/10sqm(60/70) = 200x 6.8/10 = 136 kg</t>
  </si>
  <si>
    <t xml:space="preserve">Crushed stone aggregate 13.2 mm to 5.6 mm @ 0.27 cum per 10 sqm= 200x0.27/10=5.4cum </t>
  </si>
  <si>
    <t>Crushed sand passing 2.36 mm sieve and retained on 180 micron sieve @ 0.06 cum per 10 sqm
200 x 0.06 / 10 = 1.20 cum</t>
  </si>
  <si>
    <t>a+b+c=</t>
  </si>
  <si>
    <t>(d) Overhead charges on (a+b+c)</t>
  </si>
  <si>
    <t xml:space="preserve">(d)  contractors Profit </t>
  </si>
  <si>
    <t>Cost for 200 sqm = a+b+c+d+e</t>
  </si>
  <si>
    <t>Rate per sqm = a+b+c+d+e/200</t>
  </si>
  <si>
    <t xml:space="preserve">Rate per 1Sqm </t>
  </si>
  <si>
    <t>RBR-MTRD-3 (ii)</t>
  </si>
  <si>
    <r>
      <rPr>
        <sz val="10"/>
        <rFont val="Verdana"/>
        <charset val="134"/>
      </rPr>
      <t xml:space="preserve">Patch repair on already filled pot holes with </t>
    </r>
    <r>
      <rPr>
        <b/>
        <sz val="10"/>
        <rFont val="Verdana"/>
        <charset val="134"/>
      </rPr>
      <t>75 mm BM with 20 mm premix carpet</t>
    </r>
    <r>
      <rPr>
        <sz val="10"/>
        <rFont val="Verdana"/>
        <charset val="134"/>
      </rPr>
      <t xml:space="preserve"> </t>
    </r>
    <r>
      <rPr>
        <b/>
        <sz val="10"/>
        <rFont val="Verdana"/>
        <charset val="134"/>
      </rPr>
      <t xml:space="preserve">and  seal coat Type B </t>
    </r>
    <r>
      <rPr>
        <sz val="10"/>
        <rFont val="Verdana"/>
        <charset val="134"/>
      </rPr>
      <t>as per drawings and technical specification Clause 1904.2 MORD  including overhead charges &amp; Contractor profit  but excluding GST and seignorage charges..</t>
    </r>
  </si>
  <si>
    <t xml:space="preserve">Mixall 6/10 tonne </t>
  </si>
  <si>
    <t>Bitumen for pre-mix carpet @ 14.60 kg/10 sqm 200x14.60/10 =292 kg</t>
  </si>
  <si>
    <t>Bitumen for tack coat @2kg per 10sqm 200 x 2 / 10 =40kg</t>
  </si>
  <si>
    <t>Bitumen for seal coat @ 6.8 kg per 10 sqm
200 x 6.8 / 10 = 136 kg</t>
  </si>
  <si>
    <t>Crushed sand passing 2.36 mm sieve and retained on 180 micron sieve @ 0.06 cum per 10 sqm</t>
  </si>
  <si>
    <t>200 x 0.06 / 10 = 1.20 cum</t>
  </si>
  <si>
    <t>Cost of 200 sqm = a+b+c+d+e</t>
  </si>
  <si>
    <t>Rate/sqm = a+b+c+d+e/200</t>
  </si>
  <si>
    <t>MORTH 3004.2</t>
  </si>
  <si>
    <r>
      <rPr>
        <sz val="10"/>
        <rFont val="Verdana"/>
        <charset val="134"/>
      </rPr>
      <t>Removal of all failed material,</t>
    </r>
    <r>
      <rPr>
        <b/>
        <sz val="10"/>
        <rFont val="Verdana"/>
        <charset val="134"/>
      </rPr>
      <t>(Filling Pot-holes and Patch Repairs with open-Graded Premix surfacing, 20mm)</t>
    </r>
    <r>
      <rPr>
        <sz val="10"/>
        <rFont val="Verdana"/>
        <charset val="134"/>
      </rPr>
      <t>.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 MORTHincluding overhead charges &amp; Contractor profit  but excluding GST and seignorage charges..</t>
    </r>
  </si>
  <si>
    <t>Unit = sq.m</t>
  </si>
  <si>
    <t>Taking output = 10250 sq.m (205 cu.m) (405 tonne)</t>
  </si>
  <si>
    <t>Mazdoor (skilled)</t>
  </si>
  <si>
    <t xml:space="preserve">Air compressor 210 cfm  </t>
  </si>
  <si>
    <t>cu.m</t>
  </si>
  <si>
    <t>Crushed stone aggregate 13.2 mm nominal size</t>
  </si>
  <si>
    <t>Crushed stone aggregate 11.2 mm nominal size</t>
  </si>
  <si>
    <t>Bitumen emulsion for tack coat including vertical sides of pot hole.</t>
  </si>
  <si>
    <t>Bitumen 60/70</t>
  </si>
  <si>
    <t>A+B+C</t>
  </si>
  <si>
    <t>Cost for 10250 sq.m = a+b+c+d</t>
  </si>
  <si>
    <t>Rate per 1 sq.m = (a+b+c+d) /10250</t>
  </si>
  <si>
    <t>Filling of Pot-holes and Patch Repairs with Bituminous concrete ,40mm</t>
  </si>
  <si>
    <t>Filling of Pot-holes and Patch Repairs with Bituminous concrete ,40mm Removal of all failed material ,trimming of completed excavation to provide firm vertical faces,cleaning of surface,painting of tack coat on the sides and base of excavation as per clause 503,back filling the pot holes with hot bituminous  concrete material  with batch type hot mix plant  75 tonne per hour as per clause 504,compacting,trimming and finishing the surface to form a smooth continuous surface, all as per Clause 3004.2 as per MORTH specification  complete in all respects</t>
  </si>
  <si>
    <t>Unit =sqm</t>
  </si>
  <si>
    <t>Page282,283 of MoRT&amp;H SDB</t>
  </si>
  <si>
    <t>Taking out put =4900 sqm(196cum) (450 tonne)</t>
  </si>
  <si>
    <t>Air Compressor 250 cfm</t>
  </si>
  <si>
    <t>Bitumen VG 30 @ 5% of weight of mix</t>
  </si>
  <si>
    <t>Bitumen emulsion for tack coat</t>
  </si>
  <si>
    <t>Aggregates</t>
  </si>
  <si>
    <t>Average of 12 to 14mm,9.5 to 11.2mmIRC HBGM/C metal )</t>
  </si>
  <si>
    <t>average of 10mm to 5 mm 25 per cent ,IRC HBGM/C metal )</t>
  </si>
  <si>
    <t>average of 2.36 to 5mm&amp; 2.36mm and belowIRC HBGM/C metal )</t>
  </si>
  <si>
    <t>HBG chips 2.36mm &amp; below @ 2% filler</t>
  </si>
  <si>
    <t>Over head charges and CP 13.615%  on (A) + (B)+(C)</t>
  </si>
  <si>
    <t>Cost per 196 cum</t>
  </si>
  <si>
    <t>MORD</t>
  </si>
  <si>
    <r>
      <rPr>
        <sz val="10"/>
        <rFont val="Verdana"/>
        <charset val="134"/>
      </rPr>
      <t xml:space="preserve"> Repair to pot holes by removal of failed material, trimming the sides to vertical and leveling the bottom, cleaning the same with compressed air or any appropriate method </t>
    </r>
    <r>
      <rPr>
        <b/>
        <sz val="10"/>
        <rFont val="Verdana"/>
        <charset val="134"/>
      </rPr>
      <t>filled with 75mm B.M</t>
    </r>
    <r>
      <rPr>
        <sz val="10"/>
        <rFont val="Verdana"/>
        <charset val="134"/>
      </rPr>
      <t>, after applying bitumen emulsion prime coat at the bottom and bitumen emulsion tack coat on sides and on bottom as per technical specifications Clauses 502 , 503 and1904 MORD  including overhead charges &amp; Contractor profit  but excluding GST and seignorage charges..</t>
    </r>
  </si>
  <si>
    <t>RBR-MTRD-3 (i)</t>
  </si>
  <si>
    <t>Taking output = 187.5x0.075 = 14.06 cum = (30.94 Tonne)</t>
  </si>
  <si>
    <t>(5% area of one km)</t>
  </si>
  <si>
    <t>Add Agency area allowance @ 0%</t>
  </si>
  <si>
    <t>Jack hammer 25 kg with tractor</t>
  </si>
  <si>
    <t>Compressor 210 cfm with tractor</t>
  </si>
  <si>
    <t>Mixall 6/10 t capacity</t>
  </si>
  <si>
    <t>Primer with bitumen emulsion (SS-1)  @ 9 kg/10 sqm 187.5x9 = 168.75 kg.</t>
  </si>
  <si>
    <t>Tonne</t>
  </si>
  <si>
    <t>Tack coat with bitumen emulsion (RS-1) @ 3.0 kg/ 10 sqm</t>
  </si>
  <si>
    <t>Bottom = 187.5</t>
  </si>
  <si>
    <t>Sides = 28.27</t>
  </si>
  <si>
    <t>Total = 215.77</t>
  </si>
  <si>
    <t>Bitumen for BM @ 3.5% by weight of mix = 30.94 x 3.5 / 100 = 1.082</t>
  </si>
  <si>
    <t>Weight of mix (BM) 14.06 cum = (30.94 tonne)</t>
  </si>
  <si>
    <t>Weight of Bitumen = 1.082</t>
  </si>
  <si>
    <t xml:space="preserve">Weight of aggregate 30.94 -1.082 = 29.86 </t>
  </si>
  <si>
    <t>Taking density of aggregate 1.5 t per cum</t>
  </si>
  <si>
    <t xml:space="preserve">Volume of aggregate 29.86 / 1.5 = 19.90 cum </t>
  </si>
  <si>
    <t>Grading (1) (40 mm nominal size)</t>
  </si>
  <si>
    <t>37.5 - 25 mm 15%</t>
  </si>
  <si>
    <t>25 - 10 mm 45%</t>
  </si>
  <si>
    <t>10 - 5 mm 25%</t>
  </si>
  <si>
    <t>5 mm and below 15%</t>
  </si>
  <si>
    <t>Cost per 14.06 cum</t>
  </si>
  <si>
    <r>
      <rPr>
        <b/>
        <sz val="10"/>
        <rFont val="Verdana"/>
        <charset val="134"/>
      </rPr>
      <t xml:space="preserve">Filling Pot-holes and Patch Repairs with Bituminous concrete, 40mm. Grading - I  19mm(Nominal size) </t>
    </r>
    <r>
      <rPr>
        <sz val="10"/>
        <rFont val="Verdana"/>
        <charset val="134"/>
      </rPr>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t>
    </r>
  </si>
  <si>
    <r>
      <rPr>
        <b/>
        <sz val="10"/>
        <rFont val="Verdana"/>
        <charset val="134"/>
      </rPr>
      <t xml:space="preserve">Note : </t>
    </r>
    <r>
      <rPr>
        <sz val="10"/>
        <rFont val="Verdana"/>
        <charset val="134"/>
      </rPr>
      <t>Only 75% of fresh material has been provided as 25% can be retrieved from site from earth i.e. flown down the slop in the form of slurry and deposited at the foot of rain cuts.</t>
    </r>
  </si>
  <si>
    <t>Maintenance of Earthen shoulder (filling with fresh selected soil)Making up loss of material/ irregularities on shoulder to the design level by adding fresh approved soil and compacting it with appropriate equipment.</t>
  </si>
  <si>
    <r>
      <rPr>
        <b/>
        <sz val="10"/>
        <rFont val="Verdana"/>
        <charset val="134"/>
      </rPr>
      <t xml:space="preserve">Maintenance of Earthen shoulder (stripping excess soil)  </t>
    </r>
    <r>
      <rPr>
        <sz val="10"/>
        <rFont val="Verdana"/>
        <charset val="134"/>
      </rPr>
      <t>Stripping excess soil from the shoulder surface to achieve the approved level and compacting with plate compactor.</t>
    </r>
  </si>
  <si>
    <t>Page No 280</t>
  </si>
  <si>
    <t>Assuming average depth of stripping as 75mm</t>
  </si>
  <si>
    <t>Quality of eart cutting involved = 7.5 cum</t>
  </si>
  <si>
    <t>Total A</t>
  </si>
  <si>
    <t>Total B</t>
  </si>
  <si>
    <t>Total A +B</t>
  </si>
  <si>
    <t>As per IS 458</t>
  </si>
  <si>
    <t>SSR  2022-23</t>
  </si>
  <si>
    <t>NP3 - RCC pipes made by Casting process</t>
  </si>
  <si>
    <t>Dia in mm</t>
  </si>
  <si>
    <t>Barrel 
thickness in mm</t>
  </si>
  <si>
    <t>Steel kgs/m</t>
  </si>
  <si>
    <t>CC qty in cum</t>
  </si>
  <si>
    <t>steel qty in kgs</t>
  </si>
  <si>
    <t>Cement Rate adopted</t>
  </si>
  <si>
    <t>Present Cement Rate</t>
  </si>
  <si>
    <t>Steel  Rate adopted</t>
  </si>
  <si>
    <t>Present steel Rate</t>
  </si>
  <si>
    <t>Variation in cost of Cement (S2-S1)/1000 X Ws</t>
  </si>
  <si>
    <t>Variation in cost of Steel (S2-S1)/1000 X Ws</t>
  </si>
  <si>
    <t>Total Variation</t>
  </si>
  <si>
    <t>Longi</t>
  </si>
  <si>
    <t>spiral</t>
  </si>
  <si>
    <t>Min. cement for NP3 pipes = 360 kg/ cum</t>
  </si>
  <si>
    <t xml:space="preserve">Cement Rate </t>
  </si>
  <si>
    <t>Plain Ended Pipes</t>
  </si>
  <si>
    <t>SSR  2022-23 Rates</t>
  </si>
  <si>
    <t>variation cost of cement and steel</t>
  </si>
  <si>
    <t>Final pipe rate</t>
  </si>
  <si>
    <t xml:space="preserve">1200mm Dia NP4 Class </t>
  </si>
  <si>
    <t>1200mm Dia Collar</t>
  </si>
  <si>
    <t xml:space="preserve">1000mm Dia NP4 Class </t>
  </si>
  <si>
    <t>1000mm Dia Collar</t>
  </si>
  <si>
    <t xml:space="preserve">900mm Dia NP4 Class </t>
  </si>
  <si>
    <t>900mm Dia Collar</t>
  </si>
  <si>
    <t xml:space="preserve">800mm Dia NP4 Class </t>
  </si>
  <si>
    <t>800mm Dia Collar</t>
  </si>
  <si>
    <t xml:space="preserve">700mm Dia NP4 Class </t>
  </si>
  <si>
    <t>700mm Dia Collar</t>
  </si>
  <si>
    <t xml:space="preserve">600mm Dia NP4 Class </t>
  </si>
  <si>
    <t>600mm Dia Collar</t>
  </si>
  <si>
    <t xml:space="preserve">450mm Dia NP4 Class </t>
  </si>
  <si>
    <t>450mm Dia Collar</t>
  </si>
  <si>
    <t xml:space="preserve">300mm Dia NP4 Class </t>
  </si>
  <si>
    <t>300mm Dia Collar</t>
  </si>
  <si>
    <t>With Cement rate Rs.</t>
  </si>
  <si>
    <t>With MS steel rate Rs</t>
  </si>
  <si>
    <t>NP3 - RCC Collars</t>
  </si>
  <si>
    <t>Caulking space in mm</t>
  </si>
  <si>
    <t>thickness in mm</t>
  </si>
  <si>
    <t>length in mm</t>
  </si>
  <si>
    <t>Steel</t>
  </si>
  <si>
    <t xml:space="preserve"> up to  2.00Cr  -&gt; 9 months
above 2.00 up to 5 Cr  12 months
 above 2.00 up to 5 Cr with major CD work  15 months
above 5.00 Cr -&gt;  15 months</t>
  </si>
  <si>
    <t>Seignarage Charges</t>
  </si>
  <si>
    <t>Steel HYSD Primary producers, JUN,2022</t>
  </si>
  <si>
    <t>Mild Steel Bars, JUN,2022</t>
  </si>
  <si>
    <t>Cement, JUN,2022</t>
  </si>
  <si>
    <t>6mm M.S. Rods, JUN,2022</t>
  </si>
  <si>
    <t>Over head charges &amp; CP 13.615%  on (A) + (B)+(C)</t>
  </si>
  <si>
    <t xml:space="preserve">The entire road stretch is passing through  Fertile lands. Therefore Iron Cage Wheel tractors are regularly being passed on the road for cultivation purpose. Therefore, Provide BT  with DGBM 50mm ,BC 30mm over  WMM 150mm as a special case to over the above problem and to provide better riding surface. </t>
  </si>
  <si>
    <t>Existing damaged BT Surface along with WMM</t>
  </si>
  <si>
    <t xml:space="preserve">                      The Detailed Estimate  is prepared with the SSR for  2024-25 and with above provisions for Rs.175.50 lakhs and same is submitted for according early technical Sanction.</t>
  </si>
  <si>
    <t>M.Heerya,Executive Engineer, PR, Division, Narayanpet</t>
  </si>
  <si>
    <t>B.Vilok, Dy. Executive Engineer, PR, SD,Maddur'</t>
  </si>
  <si>
    <t>A.Anjireddy, Asst.Exe Engineer, PRSD Maddur</t>
  </si>
  <si>
    <t>Narayanpet</t>
  </si>
  <si>
    <t>Maddur</t>
  </si>
  <si>
    <t>Warkur(Maganur)</t>
  </si>
  <si>
    <t>Kothakota</t>
  </si>
  <si>
    <r>
      <t>(Avarage annual daily trafic i.e AADT = T + n</t>
    </r>
    <r>
      <rPr>
        <u/>
        <sz val="10"/>
        <rFont val="Cambria"/>
        <family val="1"/>
        <scheme val="major"/>
      </rPr>
      <t xml:space="preserve"> x T x t)</t>
    </r>
  </si>
  <si>
    <r>
      <t>(AADT * (1.06)</t>
    </r>
    <r>
      <rPr>
        <vertAlign val="superscript"/>
        <sz val="12"/>
        <rFont val="Cambria"/>
        <family val="1"/>
        <scheme val="major"/>
      </rPr>
      <t>2</t>
    </r>
    <r>
      <rPr>
        <sz val="12"/>
        <rFont val="Cambria"/>
        <family val="1"/>
        <scheme val="major"/>
      </rPr>
      <t>)</t>
    </r>
  </si>
  <si>
    <r>
      <t>2.38+1.85</t>
    </r>
    <r>
      <rPr>
        <sz val="11"/>
        <rFont val="Cambria"/>
        <family val="1"/>
        <scheme val="major"/>
      </rPr>
      <t xml:space="preserve">
2</t>
    </r>
  </si>
  <si>
    <r>
      <t>2.50+2.10</t>
    </r>
    <r>
      <rPr>
        <sz val="11"/>
        <rFont val="Cambria"/>
        <family val="1"/>
        <scheme val="major"/>
      </rPr>
      <t xml:space="preserve">
2</t>
    </r>
  </si>
  <si>
    <r>
      <t>2.18+1.65</t>
    </r>
    <r>
      <rPr>
        <sz val="11"/>
        <rFont val="Cambria"/>
        <family val="1"/>
        <scheme val="major"/>
      </rPr>
      <t xml:space="preserve">
2</t>
    </r>
  </si>
  <si>
    <r>
      <t>1.78+1.25</t>
    </r>
    <r>
      <rPr>
        <sz val="11"/>
        <rFont val="Cambria"/>
        <family val="1"/>
        <scheme val="major"/>
      </rPr>
      <t xml:space="preserve">
2</t>
    </r>
  </si>
  <si>
    <r>
      <t>1.58+1.05</t>
    </r>
    <r>
      <rPr>
        <sz val="11"/>
        <rFont val="Cambria"/>
        <family val="1"/>
        <scheme val="major"/>
      </rPr>
      <t xml:space="preserve">
2</t>
    </r>
  </si>
  <si>
    <r>
      <t>2.1+1.30</t>
    </r>
    <r>
      <rPr>
        <sz val="11"/>
        <rFont val="Cambria"/>
        <family val="1"/>
        <scheme val="major"/>
      </rPr>
      <t xml:space="preserve">
2</t>
    </r>
  </si>
  <si>
    <r>
      <t>1.35+0.76</t>
    </r>
    <r>
      <rPr>
        <sz val="11"/>
        <rFont val="Cambria"/>
        <family val="1"/>
        <scheme val="major"/>
      </rPr>
      <t xml:space="preserve">
2</t>
    </r>
  </si>
  <si>
    <r>
      <t>0.94+0.50</t>
    </r>
    <r>
      <rPr>
        <sz val="11"/>
        <rFont val="Cambria"/>
        <family val="1"/>
        <scheme val="major"/>
      </rPr>
      <t xml:space="preserve">
2</t>
    </r>
  </si>
  <si>
    <r>
      <t xml:space="preserve">2.00+0.50
</t>
    </r>
    <r>
      <rPr>
        <sz val="11"/>
        <rFont val="Cambria"/>
        <family val="1"/>
        <scheme val="major"/>
      </rPr>
      <t>2</t>
    </r>
  </si>
  <si>
    <r>
      <t>13.50+7.50</t>
    </r>
    <r>
      <rPr>
        <sz val="11"/>
        <rFont val="Cambria"/>
        <family val="1"/>
        <scheme val="major"/>
      </rPr>
      <t xml:space="preserve">
2</t>
    </r>
  </si>
  <si>
    <r>
      <t>2.00+0.30</t>
    </r>
    <r>
      <rPr>
        <sz val="11"/>
        <rFont val="Cambria"/>
        <family val="1"/>
        <scheme val="major"/>
      </rPr>
      <t xml:space="preserve">
2</t>
    </r>
  </si>
  <si>
    <t>Asst Exe Engineer,</t>
  </si>
  <si>
    <t>Asst. Exe Engineer,</t>
  </si>
  <si>
    <t>Deduct  Village Portions</t>
  </si>
  <si>
    <t>PRSD Maddur</t>
  </si>
  <si>
    <t>Balabadraiaplly</t>
  </si>
  <si>
    <t>Danamma Thanda</t>
  </si>
  <si>
    <t>BM 50mm over BC 30mm over  WMM 150mm as the existing BT Surface is badly damaged along with WMM</t>
  </si>
  <si>
    <t>Balabadraipally</t>
  </si>
  <si>
    <t>Mirjapur</t>
  </si>
  <si>
    <t>Bhaktimalla</t>
  </si>
  <si>
    <r>
      <t>Earthwork excavation in soils upto SDR  by mechanical means  including trimming bottom and side slopes in accordance with requirements of lines, grades and cross sections etc.,  complete  including  for finished item of work for trench cutting as per MoRT&amp;H specification 301(5</t>
    </r>
    <r>
      <rPr>
        <vertAlign val="superscript"/>
        <sz val="11"/>
        <rFont val="Cambria"/>
        <family val="1"/>
        <scheme val="major"/>
      </rPr>
      <t>th</t>
    </r>
    <r>
      <rPr>
        <sz val="11"/>
        <rFont val="Cambria"/>
        <family val="1"/>
        <scheme val="major"/>
      </rPr>
      <t xml:space="preserve"> Revision)  and as directed by the Engineer-in-Charge.</t>
    </r>
  </si>
  <si>
    <r>
      <t xml:space="preserve">Forming embankment with excavated earth obtained from </t>
    </r>
    <r>
      <rPr>
        <b/>
        <sz val="11"/>
        <rFont val="Cambria"/>
        <family val="1"/>
        <scheme val="major"/>
      </rPr>
      <t xml:space="preserve">roadway excavation for Embankment </t>
    </r>
    <r>
      <rPr>
        <sz val="11"/>
        <rFont val="Cambria"/>
        <family val="1"/>
        <scheme val="major"/>
      </rPr>
      <t xml:space="preserve"> by mechanical means upto SDR including pre-watering of soil, removal of top soil, excavation of soils, depositing the soils on the embankment, spreading soil, breaking clods, sectioning, grading and consolidation with 8 to 10 Tonnes Vibratory Road Roller @ OMC to meet requirement of table 300-2 of MoRT&amp;H,  including  all hire and operational charges of T&amp;P  and  complete for finished item of work as per MoRT&amp;H specification 305 (5th revision).</t>
    </r>
  </si>
  <si>
    <r>
      <t>Forming Embankment with material obtained from</t>
    </r>
    <r>
      <rPr>
        <b/>
        <sz val="11"/>
        <rFont val="Cambria"/>
        <family val="1"/>
        <scheme val="major"/>
      </rPr>
      <t xml:space="preserve"> borrowed useful earth from outside road boundary </t>
    </r>
    <r>
      <rPr>
        <sz val="11"/>
        <rFont val="Cambria"/>
        <family val="1"/>
        <scheme val="major"/>
      </rPr>
      <t>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
    </r>
    <r>
      <rPr>
        <vertAlign val="superscript"/>
        <sz val="11"/>
        <rFont val="Cambria"/>
        <family val="1"/>
        <scheme val="major"/>
      </rPr>
      <t>th</t>
    </r>
    <r>
      <rPr>
        <sz val="11"/>
        <rFont val="Cambria"/>
        <family val="1"/>
        <scheme val="major"/>
      </rPr>
      <t xml:space="preserve"> revision). (The soil CBR&gt;10%, PI&lt;18% &amp; MDD&gt;1.8 g/cc)</t>
    </r>
  </si>
  <si>
    <r>
      <t>Scarifying the granular surface  to a depth of 50 mm by Mechanical means and re-using the scarified material with all leads and lifts  as per MoRT&amp;H (5</t>
    </r>
    <r>
      <rPr>
        <vertAlign val="superscript"/>
        <sz val="11"/>
        <rFont val="Cambria"/>
        <family val="1"/>
        <scheme val="major"/>
      </rPr>
      <t>th</t>
    </r>
    <r>
      <rPr>
        <sz val="11"/>
        <rFont val="Cambria"/>
        <family val="1"/>
        <scheme val="major"/>
      </rPr>
      <t xml:space="preserve"> Revision) Specn. No.305.4.3    </t>
    </r>
  </si>
  <si>
    <r>
      <t>Scarifying the existing bitumen surface  to a depth of 50 mm by Mechanical means and disposal of scarified material with all leads and lifts upto 1000 Mtrs as per MoRT&amp;H (5</t>
    </r>
    <r>
      <rPr>
        <vertAlign val="superscript"/>
        <sz val="11"/>
        <rFont val="Cambria"/>
        <family val="1"/>
        <scheme val="major"/>
      </rPr>
      <t>th</t>
    </r>
    <r>
      <rPr>
        <sz val="11"/>
        <rFont val="Cambria"/>
        <family val="1"/>
        <scheme val="major"/>
      </rPr>
      <t xml:space="preserve"> Revision) Specn. No.305.4.3    </t>
    </r>
  </si>
  <si>
    <r>
      <t xml:space="preserve">Construction of Granular sub-base by providing   HBG material </t>
    </r>
    <r>
      <rPr>
        <b/>
        <sz val="11"/>
        <rFont val="Cambria"/>
        <family val="1"/>
        <scheme val="major"/>
      </rPr>
      <t>confirming to Grading - VI</t>
    </r>
    <r>
      <rPr>
        <sz val="11"/>
        <rFont val="Cambria"/>
        <family val="1"/>
        <scheme val="major"/>
      </rPr>
      <t xml:space="preserve"> of MoRT&amp;H (Table 400-1 &amp; 400-2) including cost, and conveyance of all materials to work site and spreading in uniform layers with motor grader or by approved means,  on prepared surface mixing by mix-in-place method with rotavator / approved means at OMC and compacting with vibratory roller to achieve CBR value minimum of 30% at 98% of dry density and PI value maximum 6, complete for finished item of work as per MoRT&amp;H Specification   401  (5th revision) including contractors profit &amp; Over head charges excluding Seignarage charges etc</t>
    </r>
  </si>
  <si>
    <r>
      <t xml:space="preserve">Granular sub-base Material as per table 400-1 </t>
    </r>
    <r>
      <rPr>
        <b/>
        <sz val="11"/>
        <rFont val="Cambria"/>
        <family val="1"/>
        <scheme val="major"/>
      </rPr>
      <t>(Grading-VI) as per MoRTH</t>
    </r>
  </si>
  <si>
    <r>
      <t xml:space="preserve">Providing, laying, spreading and compacting graded stone aggregate to </t>
    </r>
    <r>
      <rPr>
        <b/>
        <sz val="11"/>
        <rFont val="Cambria"/>
        <family val="1"/>
        <scheme val="major"/>
      </rPr>
      <t xml:space="preserve">Wet mix macadam </t>
    </r>
    <r>
      <rPr>
        <sz val="11"/>
        <rFont val="Cambria"/>
        <family val="1"/>
        <scheme val="major"/>
      </rPr>
      <t>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t>
    </r>
  </si>
  <si>
    <r>
      <t xml:space="preserve">Providing and applying tack coat with Bitumen emulsion (RS-1)  using emulsion  distributor at the rate of 0.275 kg per sqm on the </t>
    </r>
    <r>
      <rPr>
        <b/>
        <sz val="11"/>
        <rFont val="Cambria"/>
        <family val="1"/>
        <scheme val="major"/>
      </rPr>
      <t xml:space="preserve">prepared granular surfaces treated with primer </t>
    </r>
    <r>
      <rPr>
        <sz val="11"/>
        <rFont val="Cambria"/>
        <family val="1"/>
        <scheme val="major"/>
      </rPr>
      <t>&amp; cleaned with Hydraulic broom,as directed by the Engineer-in-Charge and as per Technical Specification Clause 503 MoRT&amp;H (5th Revision), including overhead charges &amp; Contractors profit excluding Seignarage charges etc complete.</t>
    </r>
  </si>
  <si>
    <r>
      <t xml:space="preserve">Providing and applying tack coat with Bitumen emulsion (RS-1)  using emulsion  distributor at the rate of 0.20 kg per sqm on the prepared </t>
    </r>
    <r>
      <rPr>
        <b/>
        <sz val="11"/>
        <rFont val="Cambria"/>
        <family val="1"/>
        <scheme val="major"/>
      </rPr>
      <t>Bitumenus surfaces</t>
    </r>
    <r>
      <rPr>
        <sz val="11"/>
        <rFont val="Cambria"/>
        <family val="1"/>
        <scheme val="major"/>
      </rPr>
      <t xml:space="preserve"> &amp; cleaned with Hydraulic broom,as directed by the Engineer-in-Charge and as per Technical Specification Clause 503 MoRT&amp;H (5th Revision), including overhead charges &amp; Contractors profit excluding Seignarage charges etc complete.</t>
    </r>
  </si>
  <si>
    <r>
      <t xml:space="preserve">Construction of  dowel jointed un-reinforced, expansion and construction joint plain cement concrete pavement, thickness as per design, over a prepared sub base, with 43 grade cement or any other type as per Clause 1501.2.2 M30 (Grade), coarse and fine aggregates </t>
    </r>
    <r>
      <rPr>
        <b/>
        <sz val="11"/>
        <rFont val="Cambria"/>
        <family val="1"/>
        <scheme val="major"/>
      </rPr>
      <t>(Natural sand 50%+Manufactured sand(Rock Sand)50% )</t>
    </r>
    <r>
      <rPr>
        <sz val="11"/>
        <rFont val="Cambria"/>
        <family val="1"/>
        <scheme val="major"/>
      </rPr>
      <t xml:space="preserve">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t>
    </r>
  </si>
  <si>
    <r>
      <t xml:space="preserve">Providing  and laying 50 mm thick of </t>
    </r>
    <r>
      <rPr>
        <b/>
        <sz val="11"/>
        <rFont val="Cambria"/>
        <family val="1"/>
        <scheme val="major"/>
      </rPr>
      <t>Dense Graded Bituminous Macadam</t>
    </r>
    <r>
      <rPr>
        <sz val="11"/>
        <rFont val="Cambria"/>
        <family val="1"/>
        <scheme val="major"/>
      </rPr>
      <t xml:space="preserve">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t>
    </r>
    <r>
      <rPr>
        <b/>
        <sz val="11"/>
        <rFont val="Cambria"/>
        <family val="1"/>
        <scheme val="major"/>
      </rPr>
      <t xml:space="preserve">Mechanical Paver finisher </t>
    </r>
    <r>
      <rPr>
        <sz val="11"/>
        <rFont val="Cambria"/>
        <family val="1"/>
        <scheme val="major"/>
      </rPr>
      <t xml:space="preserve">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r>
  </si>
  <si>
    <r>
      <t xml:space="preserve">Providing  and laying 50 mm thick of </t>
    </r>
    <r>
      <rPr>
        <b/>
        <sz val="11"/>
        <rFont val="Cambria"/>
        <family val="1"/>
        <scheme val="major"/>
      </rPr>
      <t>Bituminous Macadam</t>
    </r>
    <r>
      <rPr>
        <sz val="11"/>
        <rFont val="Cambria"/>
        <family val="1"/>
        <scheme val="major"/>
      </rPr>
      <t xml:space="preserve"> with  100-120 TPH batch type  hot mix plant  using HBG crushed aggregates of Grading - II as per table 500-1 of MoRT&amp;H Specification 505 (5th revision) premixed with bitumen VG-30 grade (60/70)@ 3.3% of weight of total mixture, transported to site, laid over a previously prepared surface with </t>
    </r>
    <r>
      <rPr>
        <b/>
        <sz val="11"/>
        <rFont val="Cambria"/>
        <family val="1"/>
        <scheme val="major"/>
      </rPr>
      <t xml:space="preserve">Mechanical Paver finisher </t>
    </r>
    <r>
      <rPr>
        <sz val="11"/>
        <rFont val="Cambria"/>
        <family val="1"/>
        <scheme val="major"/>
      </rPr>
      <t xml:space="preserve">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r>
  </si>
  <si>
    <r>
      <t xml:space="preserve">Providing and laying </t>
    </r>
    <r>
      <rPr>
        <b/>
        <sz val="11"/>
        <rFont val="Cambria"/>
        <family val="1"/>
        <scheme val="major"/>
      </rPr>
      <t>bituminous concrete</t>
    </r>
    <r>
      <rPr>
        <sz val="11"/>
        <rFont val="Cambria"/>
        <family val="1"/>
        <scheme val="major"/>
      </rPr>
      <t xml:space="preserv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t>
    </r>
  </si>
  <si>
    <t>ROAD - DATA  With SSR 2024-25</t>
  </si>
  <si>
    <r>
      <t xml:space="preserve">Plain/reinforced cement concrete in </t>
    </r>
    <r>
      <rPr>
        <b/>
        <u/>
        <sz val="10"/>
        <rFont val="Cambria"/>
        <family val="1"/>
        <scheme val="major"/>
      </rPr>
      <t>Foundations</t>
    </r>
    <r>
      <rPr>
        <sz val="10"/>
        <rFont val="Cambria"/>
        <family val="1"/>
        <scheme val="major"/>
      </rPr>
      <t xml:space="preserve"> complete as per drawings and technical specification Clauses 802, 804, 805, 806, 807, 1202 and 1204 MORD and 1500, 1700 &amp; 2200 MORTH</t>
    </r>
  </si>
  <si>
    <r>
      <t>Note : Water for concrete :</t>
    </r>
    <r>
      <rPr>
        <sz val="10"/>
        <rFont val="Cambria"/>
        <family val="1"/>
        <scheme val="major"/>
      </rPr>
      <t xml:space="preserve"> A provision for cost of water may be added at 1.2 kl / 1 cum (including curing  purpose) keeping the site conditions</t>
    </r>
  </si>
  <si>
    <r>
      <t xml:space="preserve">Coarse Aggregate : </t>
    </r>
    <r>
      <rPr>
        <sz val="10"/>
        <rFont val="Cambria"/>
        <family val="1"/>
        <scheme val="major"/>
      </rPr>
      <t>Single grade nominal size can also be used instead of graded metal, keeping the site conditions in view</t>
    </r>
  </si>
  <si>
    <r>
      <t xml:space="preserve">Note : 1. </t>
    </r>
    <r>
      <rPr>
        <sz val="10"/>
        <rFont val="Cambria"/>
        <family val="1"/>
        <scheme val="major"/>
      </rPr>
      <t>Any one area of M.S. Sheet given at (i) to (viii) may be adopted as per site requirement and in accordance with IRC-67.</t>
    </r>
  </si>
  <si>
    <t>Name of the Work  :</t>
  </si>
  <si>
    <t>Asst.Exe Engineer</t>
  </si>
  <si>
    <t>Gundumal</t>
  </si>
  <si>
    <t xml:space="preserve">BT Renewal from Balabadraipally to Danamma Thanda of Gundumal Mandal in Narayanpet District </t>
  </si>
  <si>
    <t>0/000 to 2/070 km</t>
  </si>
  <si>
    <t>2/070  Km</t>
  </si>
  <si>
    <t>MBNR(Palkonda)</t>
  </si>
</sst>
</file>

<file path=xl/styles.xml><?xml version="1.0" encoding="utf-8"?>
<styleSheet xmlns="http://schemas.openxmlformats.org/spreadsheetml/2006/main" xmlns:mc="http://schemas.openxmlformats.org/markup-compatibility/2006" xmlns:x14ac="http://schemas.microsoft.com/office/spreadsheetml/2009/9/ac" mc:Ignorable="x14ac">
  <numFmts count="51">
    <numFmt numFmtId="44" formatCode="_(&quot;$&quot;* #,##0.00_);_(&quot;$&quot;* \(#,##0.00\);_(&quot;$&quot;* &quot;-&quot;??_);_(@_)"/>
    <numFmt numFmtId="43" formatCode="_(* #,##0.00_);_(* \(#,##0.00\);_(* &quot;-&quot;??_);_(@_)"/>
    <numFmt numFmtId="164" formatCode="_ * #,##0.00_ ;_ * \-#,##0.00_ ;_ * &quot;-&quot;??_ ;_ @_ "/>
    <numFmt numFmtId="165" formatCode="_-* #,##0_-;\-* #,##0_-;_-* &quot;-&quot;_-;_-@_-"/>
    <numFmt numFmtId="166" formatCode="_-* #,##0.00_-;\-* #,##0.00_-;_-* &quot;-&quot;??_-;_-@_-"/>
    <numFmt numFmtId="167" formatCode="0.00_)"/>
    <numFmt numFmtId="168" formatCode="0.0000"/>
    <numFmt numFmtId="169" formatCode="0.00&quot; Lakhs/Km&quot;"/>
    <numFmt numFmtId="170" formatCode="0.00\ &quot; Lakhs&quot;"/>
    <numFmt numFmtId="171" formatCode="0.000"/>
    <numFmt numFmtId="172" formatCode="_(* #,##0_);_(* \(#,##0\);_(* &quot;-&quot;??_);_(@_)"/>
    <numFmt numFmtId="173" formatCode="0.00&quot; Lakhs&quot;"/>
    <numFmt numFmtId="174" formatCode="#,##0\ &quot;kr.&quot;;[Red]\-#,##0\ &quot;kr.&quot;"/>
    <numFmt numFmtId="175" formatCode="\ 0.00\ &quot;X&quot;"/>
    <numFmt numFmtId="176" formatCode="0.0"/>
    <numFmt numFmtId="177" formatCode="0.00;[Red]0.00"/>
    <numFmt numFmtId="178" formatCode="_([$€-2]* #,##0.00_);_([$€-2]* \(#,##0.00\);_([$€-2]* &quot;-&quot;??_)"/>
    <numFmt numFmtId="179" formatCode="mm/dd/yy"/>
    <numFmt numFmtId="180" formatCode="&quot;Estt.Cost.Rs.&quot;0.00&quot; Lakhs&quot;"/>
    <numFmt numFmtId="181" formatCode="\ 0.00\ &quot;Kms&quot;"/>
    <numFmt numFmtId="182" formatCode="0.00000"/>
    <numFmt numFmtId="183" formatCode="0.000;[Red]0.000"/>
    <numFmt numFmtId="184" formatCode="0;[Red]0"/>
    <numFmt numFmtId="185" formatCode="0.000%"/>
    <numFmt numFmtId="186" formatCode="#,##0.00;[Red]#,##0.00"/>
    <numFmt numFmtId="187" formatCode="0.0;[Red]0.0"/>
    <numFmt numFmtId="188" formatCode="0.00_);\(0.00\)"/>
    <numFmt numFmtId="189" formatCode="0.000_);\(0.000\)"/>
    <numFmt numFmtId="190" formatCode="&quot;Rs.&quot;0.00&quot; &quot;"/>
    <numFmt numFmtId="191" formatCode="#,##0.000"/>
    <numFmt numFmtId="192" formatCode="0_ "/>
    <numFmt numFmtId="193" formatCode="0.00_ "/>
    <numFmt numFmtId="194" formatCode="[$-409]d/mmm/yy;@"/>
    <numFmt numFmtId="195" formatCode="0&quot;-Months &quot;"/>
    <numFmt numFmtId="196" formatCode="&quot;Rs.&quot;0.00&quot;  Lakhs.&quot;"/>
    <numFmt numFmtId="197" formatCode="&quot;Rs.&quot;0&quot; Lakhs&quot;"/>
    <numFmt numFmtId="198" formatCode="&quot;&gt; Rs.&quot;0.00&quot; Lakhs&quot;"/>
    <numFmt numFmtId="199" formatCode="0\ &quot;Nos.&quot;"/>
    <numFmt numFmtId="200" formatCode="#,##0.0000"/>
    <numFmt numFmtId="201" formatCode="0.00&quot;Lakhs&quot;"/>
    <numFmt numFmtId="202" formatCode="0.00&quot;-Kms&quot;"/>
    <numFmt numFmtId="203" formatCode="##,##0_);"/>
    <numFmt numFmtId="204" formatCode="0.00_);[Red]\(0.00\)"/>
    <numFmt numFmtId="205" formatCode="##,##0.0_);"/>
    <numFmt numFmtId="206" formatCode="##,##0.00_);"/>
    <numFmt numFmtId="207" formatCode="&quot;Rs.&quot;0.00&quot; Lakhs&quot;"/>
    <numFmt numFmtId="208" formatCode="0.00&quot; Kms&quot;"/>
    <numFmt numFmtId="209" formatCode="0.000&quot; Kms&quot;"/>
    <numFmt numFmtId="210" formatCode="0&quot;-Kms&quot;"/>
    <numFmt numFmtId="211" formatCode="[$-409]d/mmm/yyyy;@"/>
    <numFmt numFmtId="212" formatCode="0.0%"/>
  </numFmts>
  <fonts count="368">
    <font>
      <sz val="10"/>
      <name val="Arial"/>
      <charset val="134"/>
    </font>
    <font>
      <sz val="11"/>
      <color theme="1"/>
      <name val="Calibri"/>
      <charset val="134"/>
      <scheme val="minor"/>
    </font>
    <font>
      <b/>
      <sz val="12"/>
      <name val="Arial"/>
      <charset val="134"/>
    </font>
    <font>
      <sz val="10"/>
      <name val="Arial"/>
      <charset val="134"/>
    </font>
    <font>
      <b/>
      <sz val="10"/>
      <name val="Arial"/>
      <charset val="134"/>
    </font>
    <font>
      <b/>
      <sz val="14"/>
      <color rgb="FF0000FF"/>
      <name val="Times New Roman"/>
      <charset val="134"/>
    </font>
    <font>
      <b/>
      <sz val="10"/>
      <color rgb="FF0000FF"/>
      <name val="Arial"/>
      <charset val="134"/>
    </font>
    <font>
      <b/>
      <sz val="8"/>
      <name val="Arial"/>
      <charset val="134"/>
    </font>
    <font>
      <sz val="10"/>
      <color rgb="FF0000FF"/>
      <name val="Arial"/>
      <charset val="134"/>
    </font>
    <font>
      <b/>
      <sz val="12"/>
      <color rgb="FFFF0000"/>
      <name val="Arial"/>
      <charset val="134"/>
    </font>
    <font>
      <sz val="9"/>
      <name val="Arial"/>
      <charset val="134"/>
    </font>
    <font>
      <sz val="11"/>
      <color rgb="FFFF0000"/>
      <name val="Arial"/>
      <charset val="134"/>
    </font>
    <font>
      <sz val="10"/>
      <color rgb="FFFF0000"/>
      <name val="Arial"/>
      <charset val="134"/>
    </font>
    <font>
      <b/>
      <sz val="12"/>
      <color indexed="12"/>
      <name val="Arial"/>
      <charset val="134"/>
    </font>
    <font>
      <sz val="10"/>
      <color indexed="12"/>
      <name val="Arial"/>
      <charset val="134"/>
    </font>
    <font>
      <b/>
      <sz val="9"/>
      <name val="Arial"/>
      <charset val="134"/>
    </font>
    <font>
      <sz val="8"/>
      <name val="Arial"/>
      <charset val="134"/>
    </font>
    <font>
      <sz val="10"/>
      <color indexed="9"/>
      <name val="Arial"/>
      <charset val="134"/>
    </font>
    <font>
      <sz val="10"/>
      <color indexed="10"/>
      <name val="Arial"/>
      <charset val="134"/>
    </font>
    <font>
      <sz val="10"/>
      <color theme="7" tint="-0.499984740745262"/>
      <name val="Arial"/>
      <charset val="134"/>
    </font>
    <font>
      <sz val="10"/>
      <color indexed="14"/>
      <name val="Arial"/>
      <charset val="134"/>
    </font>
    <font>
      <sz val="10"/>
      <color rgb="FFFF0066"/>
      <name val="Arial"/>
      <charset val="134"/>
    </font>
    <font>
      <sz val="10"/>
      <color indexed="14"/>
      <name val="Arial"/>
      <charset val="134"/>
    </font>
    <font>
      <b/>
      <sz val="10"/>
      <color rgb="FFFF00FF"/>
      <name val="Arial"/>
      <charset val="134"/>
    </font>
    <font>
      <sz val="12"/>
      <name val="Arial Narrow"/>
      <charset val="134"/>
    </font>
    <font>
      <sz val="10"/>
      <color rgb="FFC00000"/>
      <name val="Verdana"/>
      <charset val="134"/>
    </font>
    <font>
      <sz val="10"/>
      <name val="Verdana"/>
      <charset val="134"/>
    </font>
    <font>
      <b/>
      <sz val="10"/>
      <name val="Verdana"/>
      <charset val="134"/>
    </font>
    <font>
      <b/>
      <u/>
      <sz val="10"/>
      <color rgb="FFC00000"/>
      <name val="Verdana"/>
      <charset val="134"/>
    </font>
    <font>
      <b/>
      <sz val="10"/>
      <color rgb="FFC00000"/>
      <name val="Verdana"/>
      <charset val="134"/>
    </font>
    <font>
      <b/>
      <i/>
      <sz val="10"/>
      <name val="Verdana"/>
      <charset val="134"/>
    </font>
    <font>
      <sz val="10"/>
      <color rgb="FFFF0000"/>
      <name val="Verdana"/>
      <charset val="134"/>
    </font>
    <font>
      <sz val="11"/>
      <name val="Calibri"/>
      <charset val="134"/>
    </font>
    <font>
      <b/>
      <sz val="11"/>
      <name val="Calibri"/>
      <charset val="134"/>
    </font>
    <font>
      <b/>
      <u/>
      <sz val="11"/>
      <name val="Calibri"/>
      <charset val="134"/>
    </font>
    <font>
      <b/>
      <i/>
      <sz val="11"/>
      <name val="Calibri"/>
      <charset val="134"/>
    </font>
    <font>
      <sz val="12"/>
      <name val="Arial"/>
      <charset val="134"/>
    </font>
    <font>
      <b/>
      <sz val="18"/>
      <name val="Arial"/>
      <charset val="134"/>
    </font>
    <font>
      <sz val="12"/>
      <color rgb="FFFF0000"/>
      <name val="Arial"/>
      <charset val="134"/>
    </font>
    <font>
      <sz val="12"/>
      <color rgb="FF00B050"/>
      <name val="Arial"/>
      <charset val="134"/>
    </font>
    <font>
      <sz val="12"/>
      <color indexed="36"/>
      <name val="Arial"/>
      <charset val="134"/>
    </font>
    <font>
      <b/>
      <sz val="14"/>
      <name val="Arial"/>
      <charset val="134"/>
    </font>
    <font>
      <sz val="12"/>
      <name val="Arial"/>
      <charset val="134"/>
    </font>
    <font>
      <b/>
      <sz val="10"/>
      <color rgb="FFFF0000"/>
      <name val="Arial"/>
      <charset val="134"/>
    </font>
    <font>
      <sz val="12"/>
      <color rgb="FFFF0000"/>
      <name val="Arial"/>
      <charset val="134"/>
    </font>
    <font>
      <b/>
      <sz val="12"/>
      <color rgb="FFFF0000"/>
      <name val="Arial"/>
      <charset val="134"/>
    </font>
    <font>
      <sz val="10"/>
      <color rgb="FF00B050"/>
      <name val="Arial"/>
      <charset val="134"/>
    </font>
    <font>
      <b/>
      <sz val="12"/>
      <color indexed="8"/>
      <name val="Arial"/>
      <charset val="134"/>
    </font>
    <font>
      <sz val="16"/>
      <color rgb="FFFF0000"/>
      <name val="Arial"/>
      <charset val="134"/>
    </font>
    <font>
      <sz val="16"/>
      <name val="Arial"/>
      <charset val="134"/>
    </font>
    <font>
      <sz val="11"/>
      <name val="Arial"/>
      <charset val="134"/>
    </font>
    <font>
      <sz val="12"/>
      <name val="Tahoma"/>
      <charset val="134"/>
    </font>
    <font>
      <b/>
      <sz val="10"/>
      <color indexed="10"/>
      <name val="Arial"/>
      <charset val="134"/>
    </font>
    <font>
      <b/>
      <sz val="12"/>
      <name val="Arial"/>
      <charset val="134"/>
    </font>
    <font>
      <sz val="12"/>
      <color indexed="8"/>
      <name val="Arial"/>
      <charset val="134"/>
    </font>
    <font>
      <sz val="16"/>
      <name val="Arial"/>
      <charset val="134"/>
    </font>
    <font>
      <sz val="10"/>
      <name val="Calibri"/>
      <charset val="134"/>
    </font>
    <font>
      <b/>
      <sz val="11"/>
      <name val="Tahoma"/>
      <charset val="134"/>
    </font>
    <font>
      <sz val="11"/>
      <name val="Tahoma"/>
      <charset val="134"/>
    </font>
    <font>
      <b/>
      <sz val="11"/>
      <name val="Arial"/>
      <charset val="134"/>
    </font>
    <font>
      <b/>
      <u/>
      <sz val="11"/>
      <name val="Tahoma"/>
      <charset val="134"/>
    </font>
    <font>
      <b/>
      <sz val="10"/>
      <name val="Tahoma"/>
      <charset val="134"/>
    </font>
    <font>
      <u/>
      <sz val="10"/>
      <name val="Arial"/>
      <charset val="134"/>
    </font>
    <font>
      <b/>
      <sz val="11"/>
      <name val="Calibri"/>
      <charset val="134"/>
      <scheme val="minor"/>
    </font>
    <font>
      <sz val="11"/>
      <name val="Calibri"/>
      <charset val="134"/>
      <scheme val="minor"/>
    </font>
    <font>
      <b/>
      <u/>
      <sz val="11"/>
      <name val="Calibri"/>
      <charset val="134"/>
      <scheme val="minor"/>
    </font>
    <font>
      <u/>
      <sz val="11"/>
      <name val="Calibri"/>
      <charset val="134"/>
      <scheme val="minor"/>
    </font>
    <font>
      <sz val="10"/>
      <name val="Calibri"/>
      <charset val="134"/>
      <scheme val="minor"/>
    </font>
    <font>
      <sz val="9"/>
      <name val="Calibri"/>
      <charset val="134"/>
      <scheme val="minor"/>
    </font>
    <font>
      <b/>
      <sz val="10"/>
      <name val="Calibri"/>
      <charset val="134"/>
      <scheme val="minor"/>
    </font>
    <font>
      <sz val="10"/>
      <name val="Century Gothic"/>
      <charset val="134"/>
    </font>
    <font>
      <b/>
      <sz val="16"/>
      <name val="Verdana"/>
      <charset val="134"/>
    </font>
    <font>
      <b/>
      <u/>
      <sz val="10"/>
      <name val="Verdana"/>
      <charset val="134"/>
    </font>
    <font>
      <b/>
      <sz val="9"/>
      <name val="Verdana"/>
      <charset val="134"/>
    </font>
    <font>
      <sz val="8"/>
      <name val="Verdana"/>
      <charset val="134"/>
    </font>
    <font>
      <sz val="20"/>
      <name val="Verdana"/>
      <charset val="134"/>
    </font>
    <font>
      <b/>
      <u/>
      <sz val="11"/>
      <name val="Verdana"/>
      <charset val="134"/>
    </font>
    <font>
      <sz val="11"/>
      <color theme="1"/>
      <name val="Verdana"/>
      <charset val="134"/>
    </font>
    <font>
      <sz val="10"/>
      <color rgb="FF0000FF"/>
      <name val="Verdana"/>
      <charset val="134"/>
    </font>
    <font>
      <b/>
      <sz val="10"/>
      <color rgb="FF0000FF"/>
      <name val="Verdana"/>
      <charset val="134"/>
    </font>
    <font>
      <sz val="8"/>
      <color rgb="FFFF0000"/>
      <name val="Verdana"/>
      <charset val="134"/>
    </font>
    <font>
      <sz val="8"/>
      <color rgb="FF0000FF"/>
      <name val="Verdana"/>
      <charset val="134"/>
    </font>
    <font>
      <sz val="10"/>
      <color theme="0"/>
      <name val="Verdana"/>
      <charset val="134"/>
    </font>
    <font>
      <b/>
      <sz val="12"/>
      <name val="Verdana"/>
      <charset val="134"/>
    </font>
    <font>
      <sz val="9"/>
      <name val="Verdana"/>
      <charset val="134"/>
    </font>
    <font>
      <b/>
      <sz val="10"/>
      <color rgb="FFFF0000"/>
      <name val="Century Gothic"/>
      <charset val="134"/>
    </font>
    <font>
      <sz val="9"/>
      <color rgb="FFFF0000"/>
      <name val="Verdana"/>
      <charset val="134"/>
    </font>
    <font>
      <b/>
      <sz val="10"/>
      <color rgb="FFFF00FF"/>
      <name val="Verdana"/>
      <charset val="134"/>
    </font>
    <font>
      <b/>
      <sz val="11"/>
      <color rgb="FF0000FF"/>
      <name val="Verdana"/>
      <charset val="134"/>
    </font>
    <font>
      <b/>
      <sz val="10"/>
      <color rgb="FFFF0000"/>
      <name val="Verdana"/>
      <charset val="134"/>
    </font>
    <font>
      <b/>
      <sz val="8"/>
      <color rgb="FF0000FF"/>
      <name val="Verdana"/>
      <charset val="134"/>
    </font>
    <font>
      <b/>
      <sz val="7"/>
      <name val="Verdana"/>
      <charset val="134"/>
    </font>
    <font>
      <b/>
      <sz val="9"/>
      <color rgb="FF0000FF"/>
      <name val="Verdana"/>
      <charset val="134"/>
    </font>
    <font>
      <b/>
      <sz val="10"/>
      <color rgb="FF66FFFF"/>
      <name val="Verdana"/>
      <charset val="134"/>
    </font>
    <font>
      <b/>
      <sz val="11"/>
      <name val="Verdana"/>
      <charset val="134"/>
    </font>
    <font>
      <b/>
      <sz val="12"/>
      <color rgb="FF0000FF"/>
      <name val="Verdana"/>
      <charset val="134"/>
    </font>
    <font>
      <b/>
      <sz val="11"/>
      <color indexed="10"/>
      <name val="Verdana"/>
      <charset val="134"/>
    </font>
    <font>
      <b/>
      <sz val="11"/>
      <color theme="1"/>
      <name val="Verdana"/>
      <charset val="134"/>
    </font>
    <font>
      <b/>
      <sz val="11"/>
      <color rgb="FF66FFFF"/>
      <name val="Verdana"/>
      <charset val="134"/>
    </font>
    <font>
      <sz val="7"/>
      <name val="Verdana"/>
      <charset val="134"/>
    </font>
    <font>
      <sz val="7"/>
      <color rgb="FFFF0000"/>
      <name val="Verdana"/>
      <charset val="134"/>
    </font>
    <font>
      <b/>
      <sz val="10"/>
      <color theme="1"/>
      <name val="Verdana"/>
      <charset val="134"/>
    </font>
    <font>
      <b/>
      <u/>
      <sz val="14"/>
      <name val="Verdana"/>
      <charset val="134"/>
    </font>
    <font>
      <sz val="11"/>
      <name val="Verdana"/>
      <charset val="134"/>
    </font>
    <font>
      <b/>
      <sz val="8"/>
      <color theme="1"/>
      <name val="Verdana"/>
      <charset val="134"/>
    </font>
    <font>
      <sz val="10"/>
      <color theme="1"/>
      <name val="Verdana"/>
      <charset val="134"/>
    </font>
    <font>
      <sz val="8"/>
      <color theme="1"/>
      <name val="Verdana"/>
      <charset val="134"/>
    </font>
    <font>
      <sz val="7"/>
      <name val="Tahoma"/>
      <charset val="134"/>
    </font>
    <font>
      <sz val="11"/>
      <name val="Maiandra GD"/>
      <charset val="134"/>
    </font>
    <font>
      <sz val="11"/>
      <color rgb="FFFF0000"/>
      <name val="Tahoma"/>
      <charset val="134"/>
    </font>
    <font>
      <sz val="11"/>
      <color theme="0"/>
      <name val="Verdana"/>
      <charset val="134"/>
    </font>
    <font>
      <b/>
      <sz val="11"/>
      <color rgb="FFFF0000"/>
      <name val="Verdana"/>
      <charset val="134"/>
    </font>
    <font>
      <b/>
      <sz val="12"/>
      <name val="Tahoma"/>
      <charset val="134"/>
    </font>
    <font>
      <b/>
      <u/>
      <sz val="12"/>
      <name val="Tahoma"/>
      <charset val="134"/>
    </font>
    <font>
      <b/>
      <u/>
      <sz val="10"/>
      <color indexed="10"/>
      <name val="Arial"/>
      <charset val="134"/>
    </font>
    <font>
      <sz val="12"/>
      <name val="Calibri"/>
      <charset val="134"/>
      <scheme val="minor"/>
    </font>
    <font>
      <b/>
      <u/>
      <sz val="12"/>
      <name val="Calibri"/>
      <charset val="134"/>
      <scheme val="minor"/>
    </font>
    <font>
      <b/>
      <sz val="12"/>
      <name val="Calibri"/>
      <charset val="134"/>
      <scheme val="minor"/>
    </font>
    <font>
      <b/>
      <i/>
      <sz val="12"/>
      <name val="Calibri"/>
      <charset val="134"/>
      <scheme val="minor"/>
    </font>
    <font>
      <i/>
      <sz val="12"/>
      <name val="Calibri"/>
      <charset val="134"/>
      <scheme val="minor"/>
    </font>
    <font>
      <sz val="12"/>
      <color rgb="FFFF0000"/>
      <name val="Calibri"/>
      <charset val="134"/>
      <scheme val="minor"/>
    </font>
    <font>
      <sz val="12"/>
      <color rgb="FFFF00FF"/>
      <name val="Calibri"/>
      <charset val="134"/>
      <scheme val="minor"/>
    </font>
    <font>
      <b/>
      <i/>
      <u/>
      <sz val="12"/>
      <name val="Calibri"/>
      <charset val="134"/>
      <scheme val="minor"/>
    </font>
    <font>
      <sz val="12"/>
      <color theme="0"/>
      <name val="Calibri"/>
      <charset val="134"/>
      <scheme val="minor"/>
    </font>
    <font>
      <sz val="11"/>
      <color rgb="FFFF0000"/>
      <name val="Calibri"/>
      <charset val="134"/>
      <scheme val="minor"/>
    </font>
    <font>
      <b/>
      <sz val="10"/>
      <color rgb="FFFF0000"/>
      <name val="Calibri"/>
      <charset val="134"/>
      <scheme val="minor"/>
    </font>
    <font>
      <b/>
      <sz val="11"/>
      <color indexed="12"/>
      <name val="Calibri"/>
      <charset val="134"/>
      <scheme val="minor"/>
    </font>
    <font>
      <b/>
      <sz val="11"/>
      <color indexed="10"/>
      <name val="Calibri"/>
      <charset val="134"/>
      <scheme val="minor"/>
    </font>
    <font>
      <b/>
      <sz val="11"/>
      <color rgb="FFFF0000"/>
      <name val="Calibri"/>
      <charset val="134"/>
      <scheme val="minor"/>
    </font>
    <font>
      <sz val="10"/>
      <name val="Times New Roman"/>
      <charset val="134"/>
    </font>
    <font>
      <sz val="10"/>
      <color indexed="10"/>
      <name val="Times New Roman"/>
      <charset val="134"/>
    </font>
    <font>
      <b/>
      <sz val="10"/>
      <name val="Times New Roman"/>
      <charset val="134"/>
    </font>
    <font>
      <b/>
      <sz val="12"/>
      <name val="Times New Roman"/>
      <charset val="134"/>
    </font>
    <font>
      <b/>
      <sz val="11"/>
      <name val="Times New Roman"/>
      <charset val="134"/>
    </font>
    <font>
      <b/>
      <sz val="10"/>
      <color indexed="10"/>
      <name val="Times New Roman"/>
      <charset val="134"/>
    </font>
    <font>
      <sz val="6"/>
      <name val="Times New Roman"/>
      <charset val="134"/>
    </font>
    <font>
      <b/>
      <i/>
      <sz val="10"/>
      <name val="Times New Roman"/>
      <charset val="134"/>
    </font>
    <font>
      <b/>
      <sz val="10"/>
      <color theme="0"/>
      <name val="Times New Roman"/>
      <charset val="134"/>
    </font>
    <font>
      <sz val="10"/>
      <color theme="0"/>
      <name val="Times New Roman"/>
      <charset val="134"/>
    </font>
    <font>
      <sz val="10"/>
      <color theme="1"/>
      <name val="Times New Roman"/>
      <charset val="134"/>
    </font>
    <font>
      <sz val="11"/>
      <color indexed="10"/>
      <name val="Calibri"/>
      <charset val="134"/>
    </font>
    <font>
      <b/>
      <sz val="14"/>
      <color indexed="8"/>
      <name val="Calibri"/>
      <charset val="134"/>
    </font>
    <font>
      <b/>
      <sz val="11"/>
      <color indexed="8"/>
      <name val="Calibri"/>
      <charset val="134"/>
    </font>
    <font>
      <b/>
      <sz val="11"/>
      <color rgb="FF0000FF"/>
      <name val="Calibri"/>
      <charset val="134"/>
    </font>
    <font>
      <b/>
      <sz val="7"/>
      <color indexed="8"/>
      <name val="Calibri"/>
      <charset val="134"/>
    </font>
    <font>
      <b/>
      <sz val="10"/>
      <color rgb="FF0000FF"/>
      <name val="Times New Roman"/>
      <charset val="134"/>
    </font>
    <font>
      <b/>
      <sz val="8"/>
      <name val="Times New Roman"/>
      <charset val="134"/>
    </font>
    <font>
      <b/>
      <sz val="10"/>
      <color rgb="FFFF0000"/>
      <name val="Times New Roman"/>
      <charset val="134"/>
    </font>
    <font>
      <sz val="8"/>
      <name val="Times New Roman"/>
      <charset val="134"/>
    </font>
    <font>
      <b/>
      <sz val="10"/>
      <color indexed="8"/>
      <name val="Calibri"/>
      <charset val="134"/>
    </font>
    <font>
      <i/>
      <sz val="10"/>
      <name val="Arial"/>
      <charset val="134"/>
    </font>
    <font>
      <u/>
      <sz val="11"/>
      <color indexed="8"/>
      <name val="Calibri"/>
      <charset val="134"/>
    </font>
    <font>
      <b/>
      <u/>
      <sz val="10"/>
      <color indexed="8"/>
      <name val="Calibri"/>
      <charset val="134"/>
    </font>
    <font>
      <b/>
      <u/>
      <sz val="11"/>
      <color indexed="8"/>
      <name val="Calibri"/>
      <charset val="134"/>
    </font>
    <font>
      <b/>
      <u/>
      <sz val="11"/>
      <color rgb="FF0000FF"/>
      <name val="Calibri"/>
      <charset val="134"/>
    </font>
    <font>
      <b/>
      <sz val="12"/>
      <color indexed="8"/>
      <name val="Calibri"/>
      <charset val="134"/>
    </font>
    <font>
      <b/>
      <sz val="11"/>
      <color rgb="FFFF0000"/>
      <name val="Calibri"/>
      <charset val="134"/>
    </font>
    <font>
      <b/>
      <sz val="10"/>
      <color rgb="FF000099"/>
      <name val="Times New Roman"/>
      <charset val="134"/>
    </font>
    <font>
      <b/>
      <sz val="7"/>
      <name val="Times New Roman"/>
      <charset val="134"/>
    </font>
    <font>
      <sz val="11"/>
      <color indexed="12"/>
      <name val="Calibri"/>
      <charset val="134"/>
    </font>
    <font>
      <sz val="7"/>
      <name val="Times New Roman"/>
      <charset val="134"/>
    </font>
    <font>
      <sz val="12"/>
      <color indexed="8"/>
      <name val="Calibri"/>
      <charset val="134"/>
    </font>
    <font>
      <sz val="14"/>
      <color indexed="8"/>
      <name val="Calibri"/>
      <charset val="134"/>
    </font>
    <font>
      <b/>
      <sz val="11"/>
      <color indexed="10"/>
      <name val="Calibri"/>
      <charset val="134"/>
    </font>
    <font>
      <sz val="14"/>
      <name val="Times New Roman"/>
      <charset val="134"/>
    </font>
    <font>
      <b/>
      <sz val="10"/>
      <color indexed="12"/>
      <name val="Arial"/>
      <charset val="134"/>
    </font>
    <font>
      <b/>
      <sz val="8"/>
      <color indexed="12"/>
      <name val="Arial"/>
      <charset val="134"/>
    </font>
    <font>
      <b/>
      <sz val="12"/>
      <color theme="0"/>
      <name val="Arial"/>
      <charset val="134"/>
    </font>
    <font>
      <sz val="10"/>
      <name val="CityBlueprint"/>
      <charset val="2"/>
    </font>
    <font>
      <b/>
      <sz val="24"/>
      <name val="Bernard MT Condensed"/>
      <charset val="134"/>
    </font>
    <font>
      <b/>
      <sz val="20"/>
      <name val="Arial"/>
      <charset val="134"/>
    </font>
    <font>
      <b/>
      <sz val="28"/>
      <color indexed="17"/>
      <name val="Swis721 BlkOul BT"/>
      <charset val="134"/>
    </font>
    <font>
      <b/>
      <sz val="28"/>
      <color indexed="17"/>
      <name val="Arial"/>
      <charset val="134"/>
    </font>
    <font>
      <sz val="20"/>
      <color indexed="18"/>
      <name val="Arial"/>
      <charset val="134"/>
    </font>
    <font>
      <b/>
      <sz val="20"/>
      <color indexed="18"/>
      <name val="Arial"/>
      <charset val="134"/>
    </font>
    <font>
      <sz val="18"/>
      <color indexed="18"/>
      <name val="Tahoma"/>
      <charset val="134"/>
    </font>
    <font>
      <sz val="18"/>
      <color indexed="18"/>
      <name val="Arial"/>
      <charset val="134"/>
    </font>
    <font>
      <b/>
      <sz val="16"/>
      <name val="Arial"/>
      <charset val="134"/>
    </font>
    <font>
      <sz val="22"/>
      <color indexed="58"/>
      <name val="Arial"/>
      <charset val="134"/>
    </font>
    <font>
      <sz val="14"/>
      <color indexed="18"/>
      <name val="Arial"/>
      <charset val="134"/>
    </font>
    <font>
      <b/>
      <sz val="18"/>
      <name val="Engravers MT"/>
      <charset val="134"/>
    </font>
    <font>
      <b/>
      <sz val="24"/>
      <name val="Arial"/>
      <charset val="134"/>
    </font>
    <font>
      <sz val="14"/>
      <name val="Arial"/>
      <charset val="134"/>
    </font>
    <font>
      <sz val="10"/>
      <name val="Elephant"/>
      <charset val="134"/>
    </font>
    <font>
      <sz val="16"/>
      <name val="Times"/>
      <charset val="134"/>
    </font>
    <font>
      <sz val="20"/>
      <color indexed="18"/>
      <name val="Bernard MT Condensed"/>
      <charset val="134"/>
    </font>
    <font>
      <b/>
      <sz val="20"/>
      <color indexed="18"/>
      <name val="Bernard MT Condensed"/>
      <charset val="134"/>
    </font>
    <font>
      <b/>
      <sz val="16"/>
      <name val="Modern"/>
      <charset val="255"/>
    </font>
    <font>
      <b/>
      <sz val="12"/>
      <name val="Garamond"/>
      <charset val="134"/>
    </font>
    <font>
      <sz val="22"/>
      <color indexed="58"/>
      <name val="Vineta BT"/>
      <charset val="134"/>
    </font>
    <font>
      <u/>
      <sz val="8.8000000000000007"/>
      <color theme="10"/>
      <name val="Calibri"/>
      <charset val="134"/>
    </font>
    <font>
      <b/>
      <sz val="18"/>
      <color indexed="8"/>
      <name val="Calibri"/>
      <charset val="134"/>
    </font>
    <font>
      <sz val="16"/>
      <color indexed="8"/>
      <name val="Calibri"/>
      <charset val="134"/>
    </font>
    <font>
      <sz val="10"/>
      <color indexed="8"/>
      <name val="Calibri"/>
      <charset val="134"/>
    </font>
    <font>
      <b/>
      <sz val="16"/>
      <color indexed="8"/>
      <name val="Calibri"/>
      <charset val="134"/>
    </font>
    <font>
      <sz val="11"/>
      <name val="Times New Roman"/>
      <charset val="134"/>
    </font>
    <font>
      <b/>
      <sz val="9"/>
      <name val="Times New Roman"/>
      <charset val="134"/>
    </font>
    <font>
      <b/>
      <u/>
      <sz val="12"/>
      <name val="Arial"/>
      <charset val="134"/>
    </font>
    <font>
      <b/>
      <sz val="11"/>
      <color theme="1"/>
      <name val="Calibri"/>
      <charset val="134"/>
      <scheme val="minor"/>
    </font>
    <font>
      <b/>
      <sz val="9"/>
      <name val="Century Gothic"/>
      <charset val="134"/>
    </font>
    <font>
      <sz val="9"/>
      <name val="Century Gothic"/>
      <charset val="134"/>
    </font>
    <font>
      <b/>
      <sz val="9"/>
      <color rgb="FFFF0000"/>
      <name val="Century Gothic"/>
      <charset val="134"/>
    </font>
    <font>
      <sz val="12"/>
      <name val="Times New Roman"/>
      <charset val="134"/>
    </font>
    <font>
      <b/>
      <sz val="11"/>
      <color rgb="FF0000FF"/>
      <name val="Calibri"/>
      <charset val="134"/>
      <scheme val="minor"/>
    </font>
    <font>
      <sz val="10"/>
      <color theme="1"/>
      <name val="Century Gothic"/>
      <charset val="134"/>
    </font>
    <font>
      <sz val="11"/>
      <color theme="1"/>
      <name val="Century Gothic"/>
      <charset val="134"/>
    </font>
    <font>
      <b/>
      <sz val="12"/>
      <color rgb="FFFF0000"/>
      <name val="Calibri"/>
      <charset val="134"/>
      <scheme val="minor"/>
    </font>
    <font>
      <sz val="12"/>
      <color indexed="18"/>
      <name val="Calibri"/>
      <charset val="134"/>
      <scheme val="minor"/>
    </font>
    <font>
      <b/>
      <sz val="12"/>
      <color indexed="10"/>
      <name val="Calibri"/>
      <charset val="134"/>
      <scheme val="minor"/>
    </font>
    <font>
      <b/>
      <sz val="12"/>
      <color rgb="FFFF0066"/>
      <name val="Calibri"/>
      <charset val="134"/>
      <scheme val="minor"/>
    </font>
    <font>
      <b/>
      <sz val="12"/>
      <color rgb="FFFF00FF"/>
      <name val="Calibri"/>
      <charset val="134"/>
      <scheme val="minor"/>
    </font>
    <font>
      <b/>
      <sz val="12"/>
      <color indexed="10"/>
      <name val="Arial"/>
      <charset val="134"/>
    </font>
    <font>
      <sz val="12"/>
      <color rgb="FF0000FF"/>
      <name val="Calibri"/>
      <charset val="134"/>
      <scheme val="minor"/>
    </font>
    <font>
      <sz val="12"/>
      <color rgb="FFFF0066"/>
      <name val="Calibri"/>
      <charset val="134"/>
      <scheme val="minor"/>
    </font>
    <font>
      <sz val="12"/>
      <color rgb="FF0000FF"/>
      <name val="Calibri"/>
      <charset val="134"/>
      <scheme val="minor"/>
    </font>
    <font>
      <sz val="12"/>
      <color indexed="10"/>
      <name val="Calibri"/>
      <charset val="134"/>
      <scheme val="minor"/>
    </font>
    <font>
      <b/>
      <sz val="12"/>
      <color rgb="FF0000FF"/>
      <name val="Calibri"/>
      <charset val="134"/>
      <scheme val="minor"/>
    </font>
    <font>
      <b/>
      <sz val="12"/>
      <color rgb="FFFF0066"/>
      <name val="Calibri"/>
      <charset val="134"/>
      <scheme val="minor"/>
    </font>
    <font>
      <b/>
      <sz val="14"/>
      <color rgb="FFFF0000"/>
      <name val="Times New Roman"/>
      <charset val="134"/>
    </font>
    <font>
      <b/>
      <sz val="12"/>
      <color rgb="FF0000FF"/>
      <name val="Arial"/>
      <charset val="134"/>
    </font>
    <font>
      <sz val="12"/>
      <color rgb="FFFF0000"/>
      <name val="Tahoma"/>
      <charset val="134"/>
    </font>
    <font>
      <b/>
      <u/>
      <sz val="12"/>
      <color rgb="FFFF0000"/>
      <name val="Tahoma"/>
      <charset val="134"/>
    </font>
    <font>
      <sz val="12"/>
      <color indexed="10"/>
      <name val="Tahoma"/>
      <charset val="134"/>
    </font>
    <font>
      <sz val="12"/>
      <color indexed="12"/>
      <name val="Tahoma"/>
      <charset val="134"/>
    </font>
    <font>
      <b/>
      <sz val="12"/>
      <color rgb="FFFF0000"/>
      <name val="Tahoma"/>
      <charset val="134"/>
    </font>
    <font>
      <sz val="11"/>
      <color indexed="8"/>
      <name val="Calibri"/>
      <charset val="134"/>
    </font>
    <font>
      <sz val="11"/>
      <color indexed="8"/>
      <name val="Arial"/>
      <charset val="134"/>
    </font>
    <font>
      <sz val="11"/>
      <color indexed="9"/>
      <name val="Calibri"/>
      <charset val="134"/>
    </font>
    <font>
      <sz val="11"/>
      <color indexed="9"/>
      <name val="Arial"/>
      <charset val="134"/>
    </font>
    <font>
      <sz val="11"/>
      <color indexed="20"/>
      <name val="Calibri"/>
      <charset val="134"/>
    </font>
    <font>
      <sz val="11"/>
      <color indexed="20"/>
      <name val="Arial"/>
      <charset val="134"/>
    </font>
    <font>
      <sz val="10"/>
      <color indexed="8"/>
      <name val="Arial"/>
      <charset val="134"/>
    </font>
    <font>
      <b/>
      <sz val="11"/>
      <color indexed="52"/>
      <name val="Calibri"/>
      <charset val="134"/>
    </font>
    <font>
      <b/>
      <sz val="11"/>
      <color indexed="52"/>
      <name val="Arial"/>
      <charset val="134"/>
    </font>
    <font>
      <b/>
      <sz val="11"/>
      <color indexed="9"/>
      <name val="Calibri"/>
      <charset val="134"/>
    </font>
    <font>
      <b/>
      <sz val="11"/>
      <color indexed="9"/>
      <name val="Arial"/>
      <charset val="134"/>
    </font>
    <font>
      <sz val="10"/>
      <name val="MS Serif"/>
      <charset val="134"/>
    </font>
    <font>
      <sz val="10"/>
      <color indexed="16"/>
      <name val="MS Serif"/>
      <charset val="134"/>
    </font>
    <font>
      <i/>
      <sz val="11"/>
      <color indexed="23"/>
      <name val="Calibri"/>
      <charset val="134"/>
    </font>
    <font>
      <i/>
      <sz val="11"/>
      <color indexed="23"/>
      <name val="Arial"/>
      <charset val="134"/>
    </font>
    <font>
      <sz val="11"/>
      <color indexed="17"/>
      <name val="Calibri"/>
      <charset val="134"/>
    </font>
    <font>
      <sz val="11"/>
      <color indexed="17"/>
      <name val="Arial"/>
      <charset val="134"/>
    </font>
    <font>
      <b/>
      <sz val="15"/>
      <color indexed="56"/>
      <name val="Calibri"/>
      <charset val="134"/>
    </font>
    <font>
      <b/>
      <sz val="15"/>
      <color indexed="56"/>
      <name val="Arial"/>
      <charset val="134"/>
    </font>
    <font>
      <b/>
      <sz val="13"/>
      <color indexed="56"/>
      <name val="Calibri"/>
      <charset val="134"/>
    </font>
    <font>
      <b/>
      <sz val="13"/>
      <color indexed="56"/>
      <name val="Arial"/>
      <charset val="134"/>
    </font>
    <font>
      <b/>
      <sz val="11"/>
      <color indexed="56"/>
      <name val="Calibri"/>
      <charset val="134"/>
    </font>
    <font>
      <b/>
      <sz val="11"/>
      <color indexed="56"/>
      <name val="Arial"/>
      <charset val="134"/>
    </font>
    <font>
      <u/>
      <sz val="11"/>
      <color indexed="12"/>
      <name val="Calibri"/>
      <charset val="134"/>
    </font>
    <font>
      <u/>
      <sz val="11"/>
      <color indexed="12"/>
      <name val="Times New Roman"/>
      <charset val="134"/>
    </font>
    <font>
      <u/>
      <sz val="10"/>
      <color indexed="12"/>
      <name val="MS Sans Serif"/>
      <charset val="134"/>
    </font>
    <font>
      <sz val="11"/>
      <color indexed="62"/>
      <name val="Calibri"/>
      <charset val="134"/>
    </font>
    <font>
      <sz val="11"/>
      <color indexed="62"/>
      <name val="Arial"/>
      <charset val="134"/>
    </font>
    <font>
      <sz val="11"/>
      <color indexed="52"/>
      <name val="Calibri"/>
      <charset val="134"/>
    </font>
    <font>
      <sz val="11"/>
      <color indexed="52"/>
      <name val="Arial"/>
      <charset val="134"/>
    </font>
    <font>
      <u/>
      <sz val="16"/>
      <name val="Verdana"/>
      <charset val="134"/>
    </font>
    <font>
      <b/>
      <sz val="12"/>
      <name val="Courier New"/>
      <charset val="134"/>
    </font>
    <font>
      <sz val="11"/>
      <color indexed="60"/>
      <name val="Calibri"/>
      <charset val="134"/>
    </font>
    <font>
      <sz val="11"/>
      <color indexed="60"/>
      <name val="Arial"/>
      <charset val="134"/>
    </font>
    <font>
      <sz val="7"/>
      <name val="Small Fonts"/>
      <charset val="134"/>
    </font>
    <font>
      <sz val="11"/>
      <color rgb="FF000000"/>
      <name val="Calibri"/>
      <charset val="134"/>
    </font>
    <font>
      <sz val="10"/>
      <name val="Book Antiqua"/>
      <charset val="134"/>
    </font>
    <font>
      <sz val="10"/>
      <name val="Times New Roman"/>
      <charset val="1"/>
    </font>
    <font>
      <sz val="10"/>
      <color theme="1"/>
      <name val="Calibri"/>
      <charset val="134"/>
      <scheme val="minor"/>
    </font>
    <font>
      <sz val="10"/>
      <color theme="1"/>
      <name val="Calibri"/>
      <charset val="134"/>
      <scheme val="minor"/>
    </font>
    <font>
      <sz val="11"/>
      <color rgb="FF000000"/>
      <name val="Calibri"/>
      <charset val="134"/>
      <scheme val="minor"/>
    </font>
    <font>
      <sz val="11.5"/>
      <name val="Times New Roman"/>
      <charset val="134"/>
    </font>
    <font>
      <sz val="11"/>
      <color indexed="8"/>
      <name val="Century Gothic"/>
      <charset val="134"/>
    </font>
    <font>
      <sz val="10"/>
      <color rgb="FF000000"/>
      <name val="Calibri"/>
      <charset val="134"/>
      <scheme val="minor"/>
    </font>
    <font>
      <sz val="10"/>
      <color rgb="FF000000"/>
      <name val="Arial"/>
      <charset val="134"/>
    </font>
    <font>
      <sz val="10"/>
      <name val="Times New Roman"/>
      <charset val="134"/>
    </font>
    <font>
      <b/>
      <sz val="11"/>
      <color indexed="63"/>
      <name val="Calibri"/>
      <charset val="134"/>
    </font>
    <font>
      <b/>
      <sz val="11"/>
      <color indexed="63"/>
      <name val="Arial"/>
      <charset val="134"/>
    </font>
    <font>
      <sz val="8"/>
      <name val="Helv"/>
      <charset val="134"/>
    </font>
    <font>
      <b/>
      <sz val="18"/>
      <color indexed="62"/>
      <name val="Cambria"/>
      <charset val="134"/>
    </font>
    <font>
      <b/>
      <sz val="12"/>
      <name val="MS Sans Serif"/>
      <charset val="134"/>
    </font>
    <font>
      <sz val="10"/>
      <name val="Helv"/>
      <charset val="204"/>
    </font>
    <font>
      <sz val="10"/>
      <name val="Helv"/>
      <charset val="134"/>
    </font>
    <font>
      <sz val="12"/>
      <name val="MS Sans Serif"/>
      <charset val="134"/>
    </font>
    <font>
      <u/>
      <sz val="12"/>
      <name val="Verdana"/>
      <charset val="134"/>
    </font>
    <font>
      <b/>
      <sz val="8"/>
      <color indexed="8"/>
      <name val="Helv"/>
      <charset val="134"/>
    </font>
    <font>
      <b/>
      <sz val="18"/>
      <color indexed="56"/>
      <name val="Cambria"/>
      <charset val="134"/>
    </font>
    <font>
      <b/>
      <sz val="18"/>
      <color indexed="56"/>
      <name val="Cambria"/>
      <charset val="134"/>
    </font>
    <font>
      <b/>
      <sz val="11"/>
      <color indexed="8"/>
      <name val="Arial"/>
      <charset val="134"/>
    </font>
    <font>
      <sz val="11"/>
      <color indexed="10"/>
      <name val="Arial"/>
      <charset val="134"/>
    </font>
    <font>
      <b/>
      <sz val="8"/>
      <color indexed="8"/>
      <name val="Calibri"/>
      <charset val="134"/>
    </font>
    <font>
      <vertAlign val="superscript"/>
      <sz val="12"/>
      <name val="Tahoma"/>
      <charset val="134"/>
    </font>
    <font>
      <b/>
      <u/>
      <sz val="9"/>
      <color indexed="8"/>
      <name val="Calibri"/>
      <charset val="134"/>
    </font>
    <font>
      <sz val="9"/>
      <name val="Times New Roman"/>
      <charset val="134"/>
    </font>
    <font>
      <b/>
      <sz val="8"/>
      <name val="Verdana"/>
      <charset val="134"/>
    </font>
    <font>
      <vertAlign val="superscript"/>
      <sz val="12"/>
      <name val="Calibri"/>
      <charset val="134"/>
      <scheme val="minor"/>
    </font>
    <font>
      <u/>
      <sz val="9"/>
      <color indexed="8"/>
      <name val="Calibri"/>
      <charset val="134"/>
    </font>
    <font>
      <vertAlign val="superscript"/>
      <sz val="11"/>
      <name val="Calibri"/>
      <charset val="134"/>
    </font>
    <font>
      <b/>
      <sz val="12"/>
      <color rgb="FFFF0000"/>
      <name val="Calibri"/>
      <family val="2"/>
      <scheme val="minor"/>
    </font>
    <font>
      <sz val="10"/>
      <name val="Cambria"/>
      <family val="1"/>
      <scheme val="major"/>
    </font>
    <font>
      <b/>
      <sz val="24"/>
      <name val="Cambria"/>
      <family val="1"/>
      <scheme val="major"/>
    </font>
    <font>
      <sz val="20"/>
      <color indexed="18"/>
      <name val="Cambria"/>
      <family val="1"/>
      <scheme val="major"/>
    </font>
    <font>
      <b/>
      <sz val="28"/>
      <color indexed="17"/>
      <name val="Cambria"/>
      <family val="1"/>
      <scheme val="major"/>
    </font>
    <font>
      <b/>
      <sz val="20"/>
      <color indexed="18"/>
      <name val="Cambria"/>
      <family val="1"/>
      <scheme val="major"/>
    </font>
    <font>
      <sz val="18"/>
      <color indexed="18"/>
      <name val="Cambria"/>
      <family val="1"/>
      <scheme val="major"/>
    </font>
    <font>
      <b/>
      <sz val="10"/>
      <name val="Cambria"/>
      <family val="1"/>
      <scheme val="major"/>
    </font>
    <font>
      <b/>
      <sz val="14"/>
      <name val="Cambria"/>
      <family val="1"/>
      <scheme val="major"/>
    </font>
    <font>
      <b/>
      <sz val="16"/>
      <name val="Cambria"/>
      <family val="1"/>
      <scheme val="major"/>
    </font>
    <font>
      <b/>
      <sz val="12"/>
      <name val="Cambria"/>
      <family val="1"/>
      <scheme val="major"/>
    </font>
    <font>
      <sz val="14"/>
      <color indexed="18"/>
      <name val="Cambria"/>
      <family val="1"/>
      <scheme val="major"/>
    </font>
    <font>
      <b/>
      <sz val="18"/>
      <name val="Cambria"/>
      <family val="1"/>
      <scheme val="major"/>
    </font>
    <font>
      <sz val="14"/>
      <name val="Cambria"/>
      <family val="1"/>
      <scheme val="major"/>
    </font>
    <font>
      <sz val="14"/>
      <color theme="1"/>
      <name val="Cambria"/>
      <family val="1"/>
      <scheme val="major"/>
    </font>
    <font>
      <sz val="11"/>
      <color theme="1"/>
      <name val="Cambria"/>
      <family val="1"/>
      <scheme val="major"/>
    </font>
    <font>
      <sz val="12"/>
      <color theme="1"/>
      <name val="Cambria"/>
      <family val="1"/>
      <scheme val="major"/>
    </font>
    <font>
      <b/>
      <sz val="11"/>
      <color theme="1"/>
      <name val="Cambria"/>
      <family val="1"/>
      <scheme val="major"/>
    </font>
    <font>
      <sz val="10"/>
      <color theme="1"/>
      <name val="Cambria"/>
      <family val="1"/>
      <scheme val="major"/>
    </font>
    <font>
      <sz val="10"/>
      <color rgb="FF000000"/>
      <name val="Cambria"/>
      <family val="1"/>
      <scheme val="major"/>
    </font>
    <font>
      <b/>
      <sz val="10"/>
      <color theme="1"/>
      <name val="Cambria"/>
      <family val="1"/>
      <scheme val="major"/>
    </font>
    <font>
      <sz val="11"/>
      <name val="Cambria"/>
      <family val="1"/>
      <scheme val="major"/>
    </font>
    <font>
      <b/>
      <sz val="11"/>
      <name val="Cambria"/>
      <family val="1"/>
      <scheme val="major"/>
    </font>
    <font>
      <sz val="11"/>
      <color rgb="FF0000FF"/>
      <name val="Cambria"/>
      <family val="1"/>
      <scheme val="major"/>
    </font>
    <font>
      <b/>
      <u/>
      <sz val="11"/>
      <name val="Cambria"/>
      <family val="1"/>
      <scheme val="major"/>
    </font>
    <font>
      <b/>
      <sz val="11"/>
      <color rgb="FFFF0000"/>
      <name val="Cambria"/>
      <family val="1"/>
      <scheme val="major"/>
    </font>
    <font>
      <b/>
      <sz val="11"/>
      <color rgb="FF0000FF"/>
      <name val="Cambria"/>
      <family val="1"/>
      <scheme val="major"/>
    </font>
    <font>
      <b/>
      <sz val="11"/>
      <color rgb="FFFF00FF"/>
      <name val="Cambria"/>
      <family val="1"/>
      <scheme val="major"/>
    </font>
    <font>
      <b/>
      <sz val="11"/>
      <color indexed="10"/>
      <name val="Cambria"/>
      <family val="1"/>
      <scheme val="major"/>
    </font>
    <font>
      <b/>
      <sz val="11"/>
      <color theme="8" tint="0.59999389629810485"/>
      <name val="Cambria"/>
      <family val="1"/>
      <scheme val="major"/>
    </font>
    <font>
      <sz val="11"/>
      <color indexed="12"/>
      <name val="Cambria"/>
      <family val="1"/>
      <scheme val="major"/>
    </font>
    <font>
      <sz val="11"/>
      <color rgb="FFFF0000"/>
      <name val="Cambria"/>
      <family val="1"/>
      <scheme val="major"/>
    </font>
    <font>
      <u/>
      <sz val="11"/>
      <name val="Cambria"/>
      <family val="1"/>
      <scheme val="major"/>
    </font>
    <font>
      <sz val="11"/>
      <color theme="0"/>
      <name val="Cambria"/>
      <family val="1"/>
      <scheme val="major"/>
    </font>
    <font>
      <b/>
      <sz val="11"/>
      <color rgb="FFFF0066"/>
      <name val="Cambria"/>
      <family val="1"/>
      <scheme val="major"/>
    </font>
    <font>
      <b/>
      <sz val="11"/>
      <color theme="0"/>
      <name val="Cambria"/>
      <family val="1"/>
      <scheme val="major"/>
    </font>
    <font>
      <sz val="14"/>
      <color rgb="FF0000FF"/>
      <name val="Cambria"/>
      <family val="1"/>
      <scheme val="major"/>
    </font>
    <font>
      <sz val="14"/>
      <color rgb="FFFF0000"/>
      <name val="Cambria"/>
      <family val="1"/>
      <scheme val="major"/>
    </font>
    <font>
      <sz val="14"/>
      <color theme="0"/>
      <name val="Cambria"/>
      <family val="1"/>
      <scheme val="major"/>
    </font>
    <font>
      <b/>
      <sz val="14"/>
      <color theme="0"/>
      <name val="Cambria"/>
      <family val="1"/>
      <scheme val="major"/>
    </font>
    <font>
      <b/>
      <sz val="11"/>
      <color indexed="8"/>
      <name val="Cambria"/>
      <family val="1"/>
      <scheme val="major"/>
    </font>
    <font>
      <b/>
      <sz val="16"/>
      <color indexed="8"/>
      <name val="Cambria"/>
      <family val="1"/>
      <scheme val="major"/>
    </font>
    <font>
      <sz val="10"/>
      <color indexed="8"/>
      <name val="Cambria"/>
      <family val="1"/>
      <scheme val="major"/>
    </font>
    <font>
      <sz val="9"/>
      <color indexed="8"/>
      <name val="Cambria"/>
      <family val="1"/>
      <scheme val="major"/>
    </font>
    <font>
      <b/>
      <sz val="10"/>
      <color indexed="8"/>
      <name val="Cambria"/>
      <family val="1"/>
      <scheme val="major"/>
    </font>
    <font>
      <b/>
      <sz val="12"/>
      <color indexed="8"/>
      <name val="Cambria"/>
      <family val="1"/>
      <scheme val="major"/>
    </font>
    <font>
      <sz val="12"/>
      <name val="Cambria"/>
      <family val="1"/>
      <scheme val="major"/>
    </font>
    <font>
      <sz val="9"/>
      <name val="Cambria"/>
      <family val="1"/>
      <scheme val="major"/>
    </font>
    <font>
      <sz val="10"/>
      <color indexed="10"/>
      <name val="Cambria"/>
      <family val="1"/>
      <scheme val="major"/>
    </font>
    <font>
      <sz val="9"/>
      <color indexed="10"/>
      <name val="Cambria"/>
      <family val="1"/>
      <scheme val="major"/>
    </font>
    <font>
      <b/>
      <u/>
      <sz val="12"/>
      <name val="Cambria"/>
      <family val="1"/>
      <scheme val="major"/>
    </font>
    <font>
      <b/>
      <sz val="8"/>
      <name val="Cambria"/>
      <family val="1"/>
      <scheme val="major"/>
    </font>
    <font>
      <sz val="8"/>
      <name val="Cambria"/>
      <family val="1"/>
      <scheme val="major"/>
    </font>
    <font>
      <b/>
      <sz val="10"/>
      <color indexed="10"/>
      <name val="Cambria"/>
      <family val="1"/>
      <scheme val="major"/>
    </font>
    <font>
      <b/>
      <sz val="8"/>
      <color indexed="10"/>
      <name val="Cambria"/>
      <family val="1"/>
      <scheme val="major"/>
    </font>
    <font>
      <sz val="10"/>
      <color rgb="FF0000FF"/>
      <name val="Cambria"/>
      <family val="1"/>
      <scheme val="major"/>
    </font>
    <font>
      <b/>
      <sz val="10"/>
      <color rgb="FF0000FF"/>
      <name val="Cambria"/>
      <family val="1"/>
      <scheme val="major"/>
    </font>
    <font>
      <b/>
      <sz val="10"/>
      <color indexed="12"/>
      <name val="Cambria"/>
      <family val="1"/>
      <scheme val="major"/>
    </font>
    <font>
      <u/>
      <sz val="10"/>
      <name val="Cambria"/>
      <family val="1"/>
      <scheme val="major"/>
    </font>
    <font>
      <vertAlign val="superscript"/>
      <sz val="12"/>
      <name val="Cambria"/>
      <family val="1"/>
      <scheme val="major"/>
    </font>
    <font>
      <b/>
      <u/>
      <sz val="10"/>
      <name val="Cambria"/>
      <family val="1"/>
      <scheme val="major"/>
    </font>
    <font>
      <sz val="10"/>
      <color indexed="17"/>
      <name val="Cambria"/>
      <family val="1"/>
      <scheme val="major"/>
    </font>
    <font>
      <b/>
      <sz val="7"/>
      <name val="Cambria"/>
      <family val="1"/>
      <scheme val="major"/>
    </font>
    <font>
      <b/>
      <sz val="13.5"/>
      <name val="Cambria"/>
      <family val="1"/>
      <scheme val="major"/>
    </font>
    <font>
      <sz val="10"/>
      <color rgb="FFFF0000"/>
      <name val="Cambria"/>
      <family val="1"/>
      <scheme val="major"/>
    </font>
    <font>
      <b/>
      <sz val="9"/>
      <name val="Cambria"/>
      <family val="1"/>
      <scheme val="major"/>
    </font>
    <font>
      <b/>
      <sz val="9"/>
      <color theme="1"/>
      <name val="Cambria"/>
      <family val="1"/>
      <scheme val="major"/>
    </font>
    <font>
      <b/>
      <sz val="20"/>
      <name val="Cambria"/>
      <family val="1"/>
      <scheme val="major"/>
    </font>
    <font>
      <sz val="11"/>
      <color indexed="10"/>
      <name val="Cambria"/>
      <family val="1"/>
      <scheme val="major"/>
    </font>
    <font>
      <sz val="11"/>
      <name val="Arial"/>
      <family val="2"/>
    </font>
    <font>
      <vertAlign val="superscript"/>
      <sz val="11"/>
      <name val="Cambria"/>
      <family val="1"/>
      <scheme val="major"/>
    </font>
    <font>
      <b/>
      <i/>
      <sz val="11"/>
      <name val="Cambria"/>
      <family val="1"/>
      <scheme val="major"/>
    </font>
    <font>
      <sz val="10"/>
      <color indexed="12"/>
      <name val="Cambria"/>
      <family val="1"/>
      <scheme val="major"/>
    </font>
    <font>
      <sz val="10"/>
      <color indexed="9"/>
      <name val="Cambria"/>
      <family val="1"/>
      <scheme val="major"/>
    </font>
    <font>
      <b/>
      <sz val="10"/>
      <color indexed="9"/>
      <name val="Cambria"/>
      <family val="1"/>
      <scheme val="major"/>
    </font>
  </fonts>
  <fills count="58">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theme="8" tint="0.79992065187536243"/>
        <bgColor indexed="64"/>
      </patternFill>
    </fill>
    <fill>
      <patternFill patternType="solid">
        <fgColor rgb="FFCCECFF"/>
        <bgColor indexed="64"/>
      </patternFill>
    </fill>
    <fill>
      <patternFill patternType="solid">
        <fgColor theme="4" tint="0.59999389629810485"/>
        <bgColor indexed="64"/>
      </patternFill>
    </fill>
    <fill>
      <patternFill patternType="solid">
        <fgColor theme="0"/>
        <bgColor indexed="64"/>
      </patternFill>
    </fill>
    <fill>
      <patternFill patternType="solid">
        <fgColor rgb="FFFF0000"/>
        <bgColor indexed="64"/>
      </patternFill>
    </fill>
    <fill>
      <patternFill patternType="solid">
        <fgColor theme="5" tint="0.39991454817346722"/>
        <bgColor indexed="64"/>
      </patternFill>
    </fill>
    <fill>
      <patternFill patternType="solid">
        <fgColor rgb="FF66FFFF"/>
        <bgColor indexed="64"/>
      </patternFill>
    </fill>
    <fill>
      <patternFill patternType="solid">
        <fgColor indexed="13"/>
        <bgColor indexed="64"/>
      </patternFill>
    </fill>
    <fill>
      <patternFill patternType="solid">
        <fgColor theme="1"/>
        <bgColor indexed="64"/>
      </patternFill>
    </fill>
    <fill>
      <patternFill patternType="solid">
        <fgColor rgb="FF00B0F0"/>
        <bgColor indexed="64"/>
      </patternFill>
    </fill>
    <fill>
      <patternFill patternType="solid">
        <fgColor theme="9" tint="-0.249977111117893"/>
        <bgColor indexed="64"/>
      </patternFill>
    </fill>
    <fill>
      <patternFill patternType="lightGrid"/>
    </fill>
    <fill>
      <patternFill patternType="solid">
        <fgColor indexed="8"/>
        <bgColor indexed="64"/>
      </patternFill>
    </fill>
    <fill>
      <patternFill patternType="solid">
        <fgColor indexed="53"/>
        <bgColor indexed="64"/>
      </patternFill>
    </fill>
    <fill>
      <patternFill patternType="solid">
        <fgColor indexed="9"/>
        <bgColor indexed="64"/>
      </patternFill>
    </fill>
    <fill>
      <patternFill patternType="solid">
        <fgColor indexed="23"/>
        <bgColor indexed="64"/>
      </patternFill>
    </fill>
    <fill>
      <patternFill patternType="solid">
        <fgColor indexed="44"/>
        <bgColor indexed="64"/>
      </patternFill>
    </fill>
    <fill>
      <patternFill patternType="solid">
        <fgColor indexed="51"/>
        <bgColor indexed="64"/>
      </patternFill>
    </fill>
    <fill>
      <patternFill patternType="solid">
        <fgColor indexed="47"/>
        <bgColor indexed="64"/>
      </patternFill>
    </fill>
    <fill>
      <patternFill patternType="solid">
        <fgColor indexed="31"/>
        <bgColor indexed="64"/>
      </patternFill>
    </fill>
    <fill>
      <patternFill patternType="solid">
        <fgColor indexed="29"/>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11"/>
        <bgColor indexed="64"/>
      </patternFill>
    </fill>
    <fill>
      <patternFill patternType="lightUp">
        <bgColor theme="0"/>
      </patternFill>
    </fill>
    <fill>
      <patternFill patternType="lightGrid">
        <bgColor theme="0"/>
      </patternFill>
    </fill>
    <fill>
      <patternFill patternType="lightHorizontal">
        <bgColor indexed="45"/>
      </patternFill>
    </fill>
    <fill>
      <patternFill patternType="lightVertical">
        <bgColor indexed="27"/>
      </patternFill>
    </fill>
    <fill>
      <patternFill patternType="solid">
        <fgColor theme="5"/>
        <bgColor indexed="64"/>
      </patternFill>
    </fill>
    <fill>
      <patternFill patternType="solid">
        <fgColor theme="0" tint="-0.499984740745262"/>
        <bgColor indexed="64"/>
      </patternFill>
    </fill>
    <fill>
      <patternFill patternType="solid">
        <fgColor indexed="22"/>
        <bgColor indexed="64"/>
      </patternFill>
    </fill>
    <fill>
      <patternFill patternType="solid">
        <fgColor indexed="42"/>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31"/>
        <bgColor indexed="31"/>
      </patternFill>
    </fill>
    <fill>
      <patternFill patternType="solid">
        <fgColor indexed="44"/>
        <bgColor indexed="44"/>
      </patternFill>
    </fill>
    <fill>
      <patternFill patternType="solid">
        <fgColor indexed="62"/>
        <bgColor indexed="6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bgColor indexed="64"/>
      </patternFill>
    </fill>
    <fill>
      <patternFill patternType="solid">
        <fgColor indexed="42"/>
        <bgColor indexed="42"/>
      </patternFill>
    </fill>
    <fill>
      <patternFill patternType="solid">
        <fgColor indexed="57"/>
        <bgColor indexed="64"/>
      </patternFill>
    </fill>
    <fill>
      <patternFill patternType="solid">
        <fgColor indexed="27"/>
        <bgColor indexed="27"/>
      </patternFill>
    </fill>
    <fill>
      <patternFill patternType="solid">
        <fgColor indexed="47"/>
        <bgColor indexed="47"/>
      </patternFill>
    </fill>
    <fill>
      <patternFill patternType="solid">
        <fgColor indexed="55"/>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64"/>
      </patternFill>
    </fill>
    <fill>
      <patternFill patternType="solid">
        <fgColor indexed="43"/>
        <bgColor indexed="64"/>
      </patternFill>
    </fill>
  </fills>
  <borders count="1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right/>
      <top style="thin">
        <color auto="1"/>
      </top>
      <bottom style="thin">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bottom/>
      <diagonal/>
    </border>
    <border>
      <left style="hair">
        <color auto="1"/>
      </left>
      <right style="hair">
        <color auto="1"/>
      </right>
      <top/>
      <bottom/>
      <diagonal/>
    </border>
    <border>
      <left style="hair">
        <color auto="1"/>
      </left>
      <right style="thin">
        <color auto="1"/>
      </right>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style="thin">
        <color auto="1"/>
      </right>
      <top style="thin">
        <color auto="1"/>
      </top>
      <bottom/>
      <diagonal/>
    </border>
    <border>
      <left/>
      <right style="medium">
        <color auto="1"/>
      </right>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diagonal/>
    </border>
    <border>
      <left style="medium">
        <color auto="1"/>
      </left>
      <right style="thin">
        <color auto="1"/>
      </right>
      <top style="medium">
        <color auto="1"/>
      </top>
      <bottom/>
      <diagonal/>
    </border>
    <border>
      <left style="thin">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thin">
        <color auto="1"/>
      </left>
      <right style="thin">
        <color auto="1"/>
      </right>
      <top style="thin">
        <color auto="1"/>
      </top>
      <bottom style="medium">
        <color auto="1"/>
      </bottom>
      <diagonal/>
    </border>
    <border>
      <left style="thin">
        <color auto="1"/>
      </left>
      <right style="thin">
        <color theme="0" tint="-0.34998626667073579"/>
      </right>
      <top/>
      <bottom style="thin">
        <color auto="1"/>
      </bottom>
      <diagonal/>
    </border>
    <border>
      <left style="thin">
        <color theme="0" tint="-0.34998626667073579"/>
      </left>
      <right style="thin">
        <color theme="0" tint="-0.34998626667073579"/>
      </right>
      <top/>
      <bottom style="thin">
        <color auto="1"/>
      </bottom>
      <diagonal/>
    </border>
    <border>
      <left style="thin">
        <color theme="0" tint="-0.34998626667073579"/>
      </left>
      <right style="thin">
        <color auto="1"/>
      </right>
      <top/>
      <bottom style="thin">
        <color auto="1"/>
      </bottom>
      <diagonal/>
    </border>
    <border>
      <left style="medium">
        <color auto="1"/>
      </left>
      <right/>
      <top style="double">
        <color auto="1"/>
      </top>
      <bottom/>
      <diagonal/>
    </border>
    <border>
      <left/>
      <right/>
      <top style="double">
        <color auto="1"/>
      </top>
      <bottom/>
      <diagonal/>
    </border>
    <border>
      <left style="double">
        <color auto="1"/>
      </left>
      <right/>
      <top/>
      <bottom/>
      <diagonal/>
    </border>
    <border>
      <left style="double">
        <color auto="1"/>
      </left>
      <right/>
      <top/>
      <bottom style="double">
        <color auto="1"/>
      </bottom>
      <diagonal/>
    </border>
    <border>
      <left/>
      <right/>
      <top/>
      <bottom style="double">
        <color auto="1"/>
      </bottom>
      <diagonal/>
    </border>
    <border>
      <left/>
      <right style="double">
        <color auto="1"/>
      </right>
      <top style="double">
        <color auto="1"/>
      </top>
      <bottom/>
      <diagonal/>
    </border>
    <border>
      <left/>
      <right style="double">
        <color auto="1"/>
      </right>
      <top/>
      <bottom/>
      <diagonal/>
    </border>
    <border>
      <left/>
      <right style="double">
        <color auto="1"/>
      </right>
      <top/>
      <bottom style="double">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hair">
        <color auto="1"/>
      </left>
      <right style="hair">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medium">
        <color auto="1"/>
      </top>
      <bottom style="medium">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medium">
        <color auto="1"/>
      </right>
      <top style="medium">
        <color auto="1"/>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dotted">
        <color auto="1"/>
      </left>
      <right style="dotted">
        <color auto="1"/>
      </right>
      <top style="dotted">
        <color auto="1"/>
      </top>
      <bottom style="dotted">
        <color auto="1"/>
      </bottom>
      <diagonal/>
    </border>
    <border>
      <left style="dotted">
        <color auto="1"/>
      </left>
      <right style="dotted">
        <color auto="1"/>
      </right>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auto="1"/>
      </left>
      <right style="thin">
        <color auto="1"/>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40028">
    <xf numFmtId="0" fontId="0" fillId="0" borderId="0"/>
    <xf numFmtId="43" fontId="3" fillId="0" borderId="0" applyFont="0" applyFill="0" applyBorder="0" applyAlignment="0" applyProtection="0"/>
    <xf numFmtId="9" fontId="3" fillId="0" borderId="0" applyFont="0" applyFill="0" applyBorder="0" applyAlignment="0" applyProtection="0"/>
    <xf numFmtId="0" fontId="190" fillId="0" borderId="0" applyNumberFormat="0" applyFill="0" applyBorder="0" applyAlignment="0" applyProtection="0">
      <alignment vertical="top"/>
      <protection locked="0"/>
    </xf>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5" fillId="23" borderId="0" applyNumberFormat="0" applyBorder="0" applyAlignment="0" applyProtection="0"/>
    <xf numFmtId="0" fontId="226" fillId="23"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5" fillId="25" borderId="0" applyNumberFormat="0" applyBorder="0" applyAlignment="0" applyProtection="0"/>
    <xf numFmtId="0" fontId="226" fillId="25"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5" fillId="36" borderId="0" applyNumberFormat="0" applyBorder="0" applyAlignment="0" applyProtection="0"/>
    <xf numFmtId="0" fontId="226" fillId="3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6" fillId="26"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5" fillId="27" borderId="0" applyNumberFormat="0" applyBorder="0" applyAlignment="0" applyProtection="0"/>
    <xf numFmtId="0" fontId="226" fillId="27"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5" fillId="22" borderId="0" applyNumberFormat="0" applyBorder="0" applyAlignment="0" applyProtection="0"/>
    <xf numFmtId="0" fontId="226" fillId="22"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6" fillId="20"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5" fillId="24" borderId="0" applyNumberFormat="0" applyBorder="0" applyAlignment="0" applyProtection="0"/>
    <xf numFmtId="0" fontId="226" fillId="24"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5" fillId="28" borderId="0" applyNumberFormat="0" applyBorder="0" applyAlignment="0" applyProtection="0"/>
    <xf numFmtId="0" fontId="226" fillId="28"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5" fillId="26" borderId="0" applyNumberFormat="0" applyBorder="0" applyAlignment="0" applyProtection="0"/>
    <xf numFmtId="0" fontId="226" fillId="26"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5" fillId="20" borderId="0" applyNumberFormat="0" applyBorder="0" applyAlignment="0" applyProtection="0"/>
    <xf numFmtId="0" fontId="226" fillId="20"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5" fillId="21" borderId="0" applyNumberFormat="0" applyBorder="0" applyAlignment="0" applyProtection="0"/>
    <xf numFmtId="0" fontId="226" fillId="21"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7" fillId="37" borderId="0" applyNumberFormat="0" applyBorder="0" applyAlignment="0" applyProtection="0"/>
    <xf numFmtId="0" fontId="228" fillId="37"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7" fillId="24" borderId="0" applyNumberFormat="0" applyBorder="0" applyAlignment="0" applyProtection="0"/>
    <xf numFmtId="0" fontId="228" fillId="24"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7" fillId="28" borderId="0" applyNumberFormat="0" applyBorder="0" applyAlignment="0" applyProtection="0"/>
    <xf numFmtId="0" fontId="228" fillId="2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8" fillId="38"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8" fillId="39"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7" fillId="40" borderId="0" applyNumberFormat="0" applyBorder="0" applyAlignment="0" applyProtection="0"/>
    <xf numFmtId="0" fontId="228" fillId="40"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8" fillId="43" borderId="0" applyNumberFormat="0" applyBorder="0" applyAlignment="0" applyProtection="0"/>
    <xf numFmtId="0" fontId="228" fillId="43" borderId="0" applyNumberFormat="0" applyBorder="0" applyAlignment="0" applyProtection="0"/>
    <xf numFmtId="0" fontId="228" fillId="43" borderId="0" applyNumberFormat="0" applyBorder="0" applyAlignment="0" applyProtection="0"/>
    <xf numFmtId="0" fontId="228"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7" fillId="43"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7" fillId="46" borderId="0" applyNumberFormat="0" applyBorder="0" applyAlignment="0" applyProtection="0"/>
    <xf numFmtId="0" fontId="227" fillId="46" borderId="0" applyNumberFormat="0" applyBorder="0" applyAlignment="0" applyProtection="0"/>
    <xf numFmtId="0" fontId="227" fillId="46" borderId="0" applyNumberFormat="0" applyBorder="0" applyAlignment="0" applyProtection="0"/>
    <xf numFmtId="0" fontId="227" fillId="46" borderId="0" applyNumberFormat="0" applyBorder="0" applyAlignment="0" applyProtection="0"/>
    <xf numFmtId="0" fontId="227" fillId="46" borderId="0" applyNumberFormat="0" applyBorder="0" applyAlignment="0" applyProtection="0"/>
    <xf numFmtId="0" fontId="227" fillId="46"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8" fillId="47" borderId="0" applyNumberFormat="0" applyBorder="0" applyAlignment="0" applyProtection="0"/>
    <xf numFmtId="0" fontId="228" fillId="47" borderId="0" applyNumberFormat="0" applyBorder="0" applyAlignment="0" applyProtection="0"/>
    <xf numFmtId="0" fontId="228" fillId="47" borderId="0" applyNumberFormat="0" applyBorder="0" applyAlignment="0" applyProtection="0"/>
    <xf numFmtId="0" fontId="228"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7" fillId="47"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8" borderId="0" applyNumberFormat="0" applyBorder="0" applyAlignment="0" applyProtection="0"/>
    <xf numFmtId="0" fontId="225" fillId="48" borderId="0" applyNumberFormat="0" applyBorder="0" applyAlignment="0" applyProtection="0"/>
    <xf numFmtId="0" fontId="225" fillId="48" borderId="0" applyNumberFormat="0" applyBorder="0" applyAlignment="0" applyProtection="0"/>
    <xf numFmtId="0" fontId="225" fillId="48" borderId="0" applyNumberFormat="0" applyBorder="0" applyAlignment="0" applyProtection="0"/>
    <xf numFmtId="0" fontId="225" fillId="48" borderId="0" applyNumberFormat="0" applyBorder="0" applyAlignment="0" applyProtection="0"/>
    <xf numFmtId="0" fontId="225" fillId="48" borderId="0" applyNumberFormat="0" applyBorder="0" applyAlignment="0" applyProtection="0"/>
    <xf numFmtId="0" fontId="225" fillId="48"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8" fillId="49" borderId="0" applyNumberFormat="0" applyBorder="0" applyAlignment="0" applyProtection="0"/>
    <xf numFmtId="0" fontId="228" fillId="49" borderId="0" applyNumberFormat="0" applyBorder="0" applyAlignment="0" applyProtection="0"/>
    <xf numFmtId="0" fontId="228" fillId="49" borderId="0" applyNumberFormat="0" applyBorder="0" applyAlignment="0" applyProtection="0"/>
    <xf numFmtId="0" fontId="228"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7" fillId="49"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5"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45"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8" fillId="38" borderId="0" applyNumberFormat="0" applyBorder="0" applyAlignment="0" applyProtection="0"/>
    <xf numFmtId="0" fontId="228" fillId="38" borderId="0" applyNumberFormat="0" applyBorder="0" applyAlignment="0" applyProtection="0"/>
    <xf numFmtId="0" fontId="228" fillId="38" borderId="0" applyNumberFormat="0" applyBorder="0" applyAlignment="0" applyProtection="0"/>
    <xf numFmtId="0" fontId="228"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7" fillId="38" borderId="0" applyNumberFormat="0" applyBorder="0" applyAlignment="0" applyProtection="0"/>
    <xf numFmtId="0" fontId="225" fillId="50" borderId="0" applyNumberFormat="0" applyBorder="0" applyAlignment="0" applyProtection="0"/>
    <xf numFmtId="0" fontId="225" fillId="50" borderId="0" applyNumberFormat="0" applyBorder="0" applyAlignment="0" applyProtection="0"/>
    <xf numFmtId="0" fontId="225" fillId="50" borderId="0" applyNumberFormat="0" applyBorder="0" applyAlignment="0" applyProtection="0"/>
    <xf numFmtId="0" fontId="225" fillId="50" borderId="0" applyNumberFormat="0" applyBorder="0" applyAlignment="0" applyProtection="0"/>
    <xf numFmtId="0" fontId="225" fillId="50" borderId="0" applyNumberFormat="0" applyBorder="0" applyAlignment="0" applyProtection="0"/>
    <xf numFmtId="0" fontId="225" fillId="50" borderId="0" applyNumberFormat="0" applyBorder="0" applyAlignment="0" applyProtection="0"/>
    <xf numFmtId="0" fontId="225" fillId="50"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5" fillId="41"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42"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8" fillId="39" borderId="0" applyNumberFormat="0" applyBorder="0" applyAlignment="0" applyProtection="0"/>
    <xf numFmtId="0" fontId="228" fillId="39" borderId="0" applyNumberFormat="0" applyBorder="0" applyAlignment="0" applyProtection="0"/>
    <xf numFmtId="0" fontId="228" fillId="39" borderId="0" applyNumberFormat="0" applyBorder="0" applyAlignment="0" applyProtection="0"/>
    <xf numFmtId="0" fontId="228"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7" fillId="39"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44" borderId="0" applyNumberFormat="0" applyBorder="0" applyAlignment="0" applyProtection="0"/>
    <xf numFmtId="0" fontId="225" fillId="51" borderId="0" applyNumberFormat="0" applyBorder="0" applyAlignment="0" applyProtection="0"/>
    <xf numFmtId="0" fontId="225" fillId="51" borderId="0" applyNumberFormat="0" applyBorder="0" applyAlignment="0" applyProtection="0"/>
    <xf numFmtId="0" fontId="225" fillId="51" borderId="0" applyNumberFormat="0" applyBorder="0" applyAlignment="0" applyProtection="0"/>
    <xf numFmtId="0" fontId="225" fillId="51" borderId="0" applyNumberFormat="0" applyBorder="0" applyAlignment="0" applyProtection="0"/>
    <xf numFmtId="0" fontId="225" fillId="51" borderId="0" applyNumberFormat="0" applyBorder="0" applyAlignment="0" applyProtection="0"/>
    <xf numFmtId="0" fontId="225" fillId="51" borderId="0" applyNumberFormat="0" applyBorder="0" applyAlignment="0" applyProtection="0"/>
    <xf numFmtId="0" fontId="225" fillId="51" borderId="0" applyNumberFormat="0" applyBorder="0" applyAlignment="0" applyProtection="0"/>
    <xf numFmtId="0" fontId="227" fillId="51" borderId="0" applyNumberFormat="0" applyBorder="0" applyAlignment="0" applyProtection="0"/>
    <xf numFmtId="0" fontId="227" fillId="51" borderId="0" applyNumberFormat="0" applyBorder="0" applyAlignment="0" applyProtection="0"/>
    <xf numFmtId="0" fontId="227" fillId="51" borderId="0" applyNumberFormat="0" applyBorder="0" applyAlignment="0" applyProtection="0"/>
    <xf numFmtId="0" fontId="227" fillId="51" borderId="0" applyNumberFormat="0" applyBorder="0" applyAlignment="0" applyProtection="0"/>
    <xf numFmtId="0" fontId="227" fillId="51" borderId="0" applyNumberFormat="0" applyBorder="0" applyAlignment="0" applyProtection="0"/>
    <xf numFmtId="0" fontId="227" fillId="51"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8" fillId="17" borderId="0" applyNumberFormat="0" applyBorder="0" applyAlignment="0" applyProtection="0"/>
    <xf numFmtId="0" fontId="228" fillId="17" borderId="0" applyNumberFormat="0" applyBorder="0" applyAlignment="0" applyProtection="0"/>
    <xf numFmtId="0" fontId="228" fillId="17" borderId="0" applyNumberFormat="0" applyBorder="0" applyAlignment="0" applyProtection="0"/>
    <xf numFmtId="0" fontId="228"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7" fillId="17"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29" fillId="25" borderId="0" applyNumberFormat="0" applyBorder="0" applyAlignment="0" applyProtection="0"/>
    <xf numFmtId="0" fontId="230" fillId="25" borderId="0" applyNumberFormat="0" applyBorder="0" applyAlignment="0" applyProtection="0"/>
    <xf numFmtId="0" fontId="3" fillId="0" borderId="0"/>
    <xf numFmtId="0" fontId="3" fillId="0" borderId="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2" fillId="35" borderId="99" applyNumberFormat="0" applyAlignment="0" applyProtection="0"/>
    <xf numFmtId="0" fontId="233" fillId="35" borderId="99"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4" fillId="52" borderId="100" applyNumberFormat="0" applyAlignment="0" applyProtection="0"/>
    <xf numFmtId="0" fontId="235" fillId="52" borderId="10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7" fontId="129" fillId="0" borderId="0" applyFont="0" applyFill="0" applyBorder="0" applyAlignment="0" applyProtection="0"/>
    <xf numFmtId="168" fontId="129" fillId="0" borderId="0" applyFont="0" applyFill="0" applyBorder="0" applyAlignment="0" applyProtection="0"/>
    <xf numFmtId="166" fontId="129" fillId="0" borderId="0" applyFont="0" applyFill="0" applyBorder="0" applyAlignment="0" applyProtection="0"/>
    <xf numFmtId="168"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9" fontId="129" fillId="0" borderId="0" applyFont="0" applyFill="0" applyBorder="0" applyAlignment="0" applyProtection="0"/>
    <xf numFmtId="170" fontId="129" fillId="0" borderId="0" applyFont="0" applyFill="0" applyBorder="0" applyAlignment="0" applyProtection="0"/>
    <xf numFmtId="170" fontId="129" fillId="0" borderId="0" applyFont="0" applyFill="0" applyBorder="0" applyAlignment="0" applyProtection="0"/>
    <xf numFmtId="169"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67" fontId="129" fillId="0" borderId="0" applyFont="0" applyFill="0" applyBorder="0" applyAlignment="0" applyProtection="0"/>
    <xf numFmtId="171" fontId="129" fillId="0" borderId="0" applyFont="0" applyFill="0" applyBorder="0" applyAlignment="0" applyProtection="0"/>
    <xf numFmtId="171" fontId="129" fillId="0" borderId="0" applyFont="0" applyFill="0" applyBorder="0" applyAlignment="0" applyProtection="0"/>
    <xf numFmtId="171" fontId="129" fillId="0" borderId="0" applyFont="0" applyFill="0" applyBorder="0" applyAlignment="0" applyProtection="0"/>
    <xf numFmtId="171" fontId="129" fillId="0" borderId="0" applyFont="0" applyFill="0" applyBorder="0" applyAlignment="0" applyProtection="0"/>
    <xf numFmtId="172" fontId="3" fillId="0" borderId="0" applyFill="0" applyBorder="0" applyAlignment="0" applyProtection="0"/>
    <xf numFmtId="172" fontId="3" fillId="0" borderId="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73" fontId="129"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3" fontId="129"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7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5" fontId="129"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7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7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7" fontId="129" fillId="0" borderId="0" applyFont="0" applyFill="0" applyBorder="0" applyAlignment="0" applyProtection="0"/>
    <xf numFmtId="177" fontId="129" fillId="0" borderId="0" applyFont="0" applyFill="0" applyBorder="0" applyAlignment="0" applyProtection="0"/>
    <xf numFmtId="177" fontId="129" fillId="0" borderId="0" applyFont="0" applyFill="0" applyBorder="0" applyAlignment="0" applyProtection="0"/>
    <xf numFmtId="177" fontId="129" fillId="0" borderId="0" applyFont="0" applyFill="0" applyBorder="0" applyAlignment="0" applyProtection="0"/>
    <xf numFmtId="177" fontId="129" fillId="0" borderId="0" applyFont="0" applyFill="0" applyBorder="0" applyAlignment="0" applyProtection="0"/>
    <xf numFmtId="177" fontId="129" fillId="0" borderId="0" applyFont="0" applyFill="0" applyBorder="0" applyAlignment="0" applyProtection="0"/>
    <xf numFmtId="177" fontId="129"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66"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75"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166" fontId="129"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1" fontId="129" fillId="0" borderId="0" applyFont="0" applyFill="0" applyBorder="0" applyAlignment="0" applyProtection="0"/>
    <xf numFmtId="43" fontId="225" fillId="0" borderId="0" applyFont="0" applyFill="0" applyBorder="0" applyAlignment="0" applyProtection="0"/>
    <xf numFmtId="164" fontId="225"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164" fontId="225"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4" fontId="1" fillId="0" borderId="0" applyFont="0" applyFill="0" applyBorder="0" applyAlignment="0" applyProtection="0"/>
    <xf numFmtId="43" fontId="225" fillId="0" borderId="0" applyFont="0" applyFill="0" applyBorder="0" applyAlignment="0" applyProtection="0"/>
    <xf numFmtId="43" fontId="225"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71" fontId="129" fillId="0" borderId="0" applyFont="0" applyFill="0" applyBorder="0" applyAlignment="0" applyProtection="0"/>
    <xf numFmtId="171" fontId="129" fillId="0" borderId="0" applyFont="0" applyFill="0" applyBorder="0" applyAlignment="0" applyProtection="0"/>
    <xf numFmtId="171" fontId="129" fillId="0" borderId="0" applyFont="0" applyFill="0" applyBorder="0" applyAlignment="0" applyProtection="0"/>
    <xf numFmtId="166" fontId="129" fillId="0" borderId="0" applyFont="0" applyFill="0" applyBorder="0" applyAlignment="0" applyProtection="0"/>
    <xf numFmtId="171" fontId="129" fillId="0" borderId="0" applyFont="0" applyFill="0" applyBorder="0" applyAlignment="0" applyProtection="0"/>
    <xf numFmtId="43" fontId="225" fillId="0" borderId="0" applyFont="0" applyFill="0" applyBorder="0" applyAlignment="0" applyProtection="0"/>
    <xf numFmtId="164" fontId="225" fillId="0" borderId="0" applyFont="0" applyFill="0" applyBorder="0" applyAlignment="0" applyProtection="0"/>
    <xf numFmtId="171" fontId="129" fillId="0" borderId="0" applyFont="0" applyFill="0" applyBorder="0" applyAlignment="0" applyProtection="0"/>
    <xf numFmtId="166" fontId="129" fillId="0" borderId="0" applyFont="0" applyFill="0" applyBorder="0" applyAlignment="0" applyProtection="0"/>
    <xf numFmtId="167" fontId="129" fillId="0" borderId="0" applyFont="0" applyFill="0" applyBorder="0" applyAlignment="0" applyProtection="0"/>
    <xf numFmtId="43" fontId="225" fillId="0" borderId="0" applyFont="0" applyFill="0" applyBorder="0" applyAlignment="0" applyProtection="0"/>
    <xf numFmtId="166" fontId="129" fillId="0" borderId="0" applyFont="0" applyFill="0" applyBorder="0" applyAlignment="0" applyProtection="0"/>
    <xf numFmtId="164" fontId="225" fillId="0" borderId="0" applyFont="0" applyFill="0" applyBorder="0" applyAlignment="0" applyProtection="0"/>
    <xf numFmtId="43" fontId="225" fillId="0" borderId="0" applyFont="0" applyFill="0" applyBorder="0" applyAlignment="0" applyProtection="0"/>
    <xf numFmtId="164" fontId="225" fillId="0" borderId="0" applyFont="0" applyFill="0" applyBorder="0" applyAlignment="0" applyProtection="0"/>
    <xf numFmtId="167" fontId="129" fillId="0" borderId="0" applyFont="0" applyFill="0" applyBorder="0" applyAlignment="0" applyProtection="0"/>
    <xf numFmtId="43" fontId="3" fillId="0" borderId="0" applyFont="0" applyFill="0" applyBorder="0" applyAlignment="0" applyProtection="0"/>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0" fontId="236" fillId="0" borderId="0" applyNumberFormat="0" applyAlignment="0">
      <alignment horizontal="left"/>
    </xf>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225" fillId="0" borderId="0" applyFont="0" applyFill="0" applyBorder="0" applyAlignment="0" applyProtection="0"/>
    <xf numFmtId="44" fontId="225" fillId="0" borderId="0" applyFont="0" applyFill="0" applyBorder="0" applyAlignment="0" applyProtection="0"/>
    <xf numFmtId="0" fontId="142" fillId="53" borderId="0" applyNumberFormat="0" applyBorder="0" applyAlignment="0" applyProtection="0"/>
    <xf numFmtId="0" fontId="142" fillId="53" borderId="0" applyNumberFormat="0" applyBorder="0" applyAlignment="0" applyProtection="0"/>
    <xf numFmtId="0" fontId="142" fillId="53" borderId="0" applyNumberFormat="0" applyBorder="0" applyAlignment="0" applyProtection="0"/>
    <xf numFmtId="0" fontId="142" fillId="53" borderId="0" applyNumberFormat="0" applyBorder="0" applyAlignment="0" applyProtection="0"/>
    <xf numFmtId="0" fontId="142" fillId="53" borderId="0" applyNumberFormat="0" applyBorder="0" applyAlignment="0" applyProtection="0"/>
    <xf numFmtId="0" fontId="142" fillId="53" borderId="0" applyNumberFormat="0" applyBorder="0" applyAlignment="0" applyProtection="0"/>
    <xf numFmtId="0" fontId="142" fillId="54" borderId="0" applyNumberFormat="0" applyBorder="0" applyAlignment="0" applyProtection="0"/>
    <xf numFmtId="0" fontId="142" fillId="54" borderId="0" applyNumberFormat="0" applyBorder="0" applyAlignment="0" applyProtection="0"/>
    <xf numFmtId="0" fontId="142" fillId="54" borderId="0" applyNumberFormat="0" applyBorder="0" applyAlignment="0" applyProtection="0"/>
    <xf numFmtId="0" fontId="142" fillId="54" borderId="0" applyNumberFormat="0" applyBorder="0" applyAlignment="0" applyProtection="0"/>
    <xf numFmtId="0" fontId="142" fillId="54" borderId="0" applyNumberFormat="0" applyBorder="0" applyAlignment="0" applyProtection="0"/>
    <xf numFmtId="0" fontId="142" fillId="54" borderId="0" applyNumberFormat="0" applyBorder="0" applyAlignment="0" applyProtection="0"/>
    <xf numFmtId="0" fontId="142" fillId="55" borderId="0" applyNumberFormat="0" applyBorder="0" applyAlignment="0" applyProtection="0"/>
    <xf numFmtId="0" fontId="142" fillId="55" borderId="0" applyNumberFormat="0" applyBorder="0" applyAlignment="0" applyProtection="0"/>
    <xf numFmtId="0" fontId="142" fillId="55" borderId="0" applyNumberFormat="0" applyBorder="0" applyAlignment="0" applyProtection="0"/>
    <xf numFmtId="0" fontId="142" fillId="55" borderId="0" applyNumberFormat="0" applyBorder="0" applyAlignment="0" applyProtection="0"/>
    <xf numFmtId="0" fontId="142" fillId="55" borderId="0" applyNumberFormat="0" applyBorder="0" applyAlignment="0" applyProtection="0"/>
    <xf numFmtId="0" fontId="142" fillId="55" borderId="0" applyNumberFormat="0" applyBorder="0" applyAlignment="0" applyProtection="0"/>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0" fontId="237" fillId="0" borderId="0" applyNumberFormat="0" applyAlignment="0">
      <alignment horizontal="left"/>
    </xf>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178" fontId="3" fillId="0" borderId="0" applyFont="0" applyFill="0" applyBorder="0" applyAlignment="0" applyProtection="0"/>
    <xf numFmtId="0" fontId="225" fillId="0" borderId="0"/>
    <xf numFmtId="0" fontId="225" fillId="0" borderId="0"/>
    <xf numFmtId="0" fontId="225" fillId="0" borderId="0"/>
    <xf numFmtId="0" fontId="225" fillId="0" borderId="0"/>
    <xf numFmtId="0" fontId="225" fillId="0" borderId="0"/>
    <xf numFmtId="0" fontId="225" fillId="0" borderId="0"/>
    <xf numFmtId="0" fontId="225" fillId="0" borderId="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1" fontId="3" fillId="0" borderId="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0" fillId="36" borderId="0" applyNumberFormat="0" applyBorder="0" applyAlignment="0" applyProtection="0"/>
    <xf numFmtId="0" fontId="241" fillId="36" borderId="0" applyNumberFormat="0" applyBorder="0" applyAlignment="0" applyProtection="0"/>
    <xf numFmtId="38" fontId="16" fillId="35" borderId="0" applyNumberFormat="0" applyBorder="0" applyAlignment="0" applyProtection="0"/>
    <xf numFmtId="38" fontId="16" fillId="35" borderId="0" applyNumberFormat="0" applyBorder="0" applyAlignment="0" applyProtection="0"/>
    <xf numFmtId="38" fontId="16" fillId="35" borderId="0" applyNumberFormat="0" applyBorder="0" applyAlignment="0" applyProtection="0"/>
    <xf numFmtId="38" fontId="16" fillId="35" borderId="0" applyNumberFormat="0" applyBorder="0" applyAlignment="0" applyProtection="0"/>
    <xf numFmtId="38" fontId="16" fillId="35" borderId="0" applyNumberFormat="0" applyBorder="0" applyAlignment="0" applyProtection="0"/>
    <xf numFmtId="38" fontId="16" fillId="35" borderId="0" applyNumberFormat="0" applyBorder="0" applyAlignment="0" applyProtection="0"/>
    <xf numFmtId="38" fontId="16" fillId="35" borderId="0" applyNumberFormat="0" applyBorder="0" applyAlignment="0" applyProtection="0"/>
    <xf numFmtId="0" fontId="2" fillId="0" borderId="24" applyNumberFormat="0" applyAlignment="0" applyProtection="0">
      <alignment horizontal="left" vertical="center"/>
    </xf>
    <xf numFmtId="0" fontId="2" fillId="0" borderId="24" applyNumberFormat="0" applyAlignment="0" applyProtection="0">
      <alignment horizontal="left" vertical="center"/>
    </xf>
    <xf numFmtId="0" fontId="2" fillId="0" borderId="24" applyNumberFormat="0" applyAlignment="0" applyProtection="0">
      <alignment horizontal="left" vertical="center"/>
    </xf>
    <xf numFmtId="0" fontId="2" fillId="0" borderId="24" applyNumberFormat="0" applyAlignment="0" applyProtection="0">
      <alignment horizontal="left" vertical="center"/>
    </xf>
    <xf numFmtId="0" fontId="2" fillId="0" borderId="24" applyNumberFormat="0" applyAlignment="0" applyProtection="0">
      <alignment horizontal="left" vertical="center"/>
    </xf>
    <xf numFmtId="0" fontId="2" fillId="0" borderId="24" applyNumberFormat="0" applyAlignment="0" applyProtection="0">
      <alignment horizontal="left" vertical="center"/>
    </xf>
    <xf numFmtId="0" fontId="2" fillId="0" borderId="14">
      <alignment horizontal="left" vertical="center"/>
    </xf>
    <xf numFmtId="0" fontId="2" fillId="0" borderId="14">
      <alignment horizontal="left" vertical="center"/>
    </xf>
    <xf numFmtId="0" fontId="2" fillId="0" borderId="14">
      <alignment horizontal="left" vertical="center"/>
    </xf>
    <xf numFmtId="0" fontId="2" fillId="0" borderId="14">
      <alignment horizontal="left" vertical="center"/>
    </xf>
    <xf numFmtId="0" fontId="2" fillId="0" borderId="14">
      <alignment horizontal="left" vertical="center"/>
    </xf>
    <xf numFmtId="0" fontId="2" fillId="0" borderId="14">
      <alignment horizontal="left" vertical="center"/>
    </xf>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2" fillId="0" borderId="101" applyNumberFormat="0" applyFill="0" applyAlignment="0" applyProtection="0"/>
    <xf numFmtId="0" fontId="243" fillId="0" borderId="101"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4" fillId="0" borderId="102" applyNumberFormat="0" applyFill="0" applyAlignment="0" applyProtection="0"/>
    <xf numFmtId="0" fontId="245" fillId="0" borderId="102"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6" fillId="0" borderId="103" applyNumberFormat="0" applyFill="0" applyAlignment="0" applyProtection="0"/>
    <xf numFmtId="0" fontId="247" fillId="0" borderId="103" applyNumberFormat="0" applyFill="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6" fillId="0" borderId="0" applyNumberFormat="0" applyFill="0" applyBorder="0" applyAlignment="0" applyProtection="0"/>
    <xf numFmtId="0" fontId="247" fillId="0" borderId="0" applyNumberFormat="0" applyFill="0" applyBorder="0" applyAlignment="0" applyProtection="0"/>
    <xf numFmtId="0" fontId="248" fillId="0" borderId="0" applyNumberFormat="0" applyFill="0" applyBorder="0" applyAlignment="0" applyProtection="0">
      <alignment vertical="top"/>
      <protection locked="0"/>
    </xf>
    <xf numFmtId="0" fontId="249" fillId="0" borderId="0" applyNumberFormat="0" applyFill="0" applyBorder="0" applyAlignment="0" applyProtection="0">
      <alignment vertical="top"/>
      <protection locked="0"/>
    </xf>
    <xf numFmtId="0" fontId="249" fillId="0" borderId="0" applyNumberFormat="0" applyFill="0" applyBorder="0" applyAlignment="0" applyProtection="0">
      <alignment vertical="top"/>
      <protection locked="0"/>
    </xf>
    <xf numFmtId="0" fontId="248" fillId="0" borderId="0" applyNumberFormat="0" applyFill="0" applyBorder="0" applyAlignment="0" applyProtection="0">
      <alignment vertical="top"/>
      <protection locked="0"/>
    </xf>
    <xf numFmtId="0" fontId="248" fillId="0" borderId="0" applyNumberFormat="0" applyFill="0" applyBorder="0" applyAlignment="0" applyProtection="0">
      <alignment vertical="top"/>
      <protection locked="0"/>
    </xf>
    <xf numFmtId="0" fontId="248" fillId="0" borderId="0" applyNumberFormat="0" applyFill="0" applyBorder="0" applyAlignment="0" applyProtection="0">
      <alignment vertical="top"/>
      <protection locked="0"/>
    </xf>
    <xf numFmtId="0" fontId="250" fillId="0" borderId="0" applyNumberFormat="0" applyFill="0" applyBorder="0" applyAlignment="0" applyProtection="0"/>
    <xf numFmtId="0" fontId="190" fillId="0" borderId="0" applyNumberFormat="0" applyFill="0" applyBorder="0" applyAlignment="0" applyProtection="0">
      <alignment vertical="top"/>
      <protection locked="0"/>
    </xf>
    <xf numFmtId="10" fontId="16" fillId="56" borderId="1" applyNumberFormat="0" applyBorder="0" applyAlignment="0" applyProtection="0"/>
    <xf numFmtId="10" fontId="16" fillId="56" borderId="1" applyNumberFormat="0" applyBorder="0" applyAlignment="0" applyProtection="0"/>
    <xf numFmtId="10" fontId="16" fillId="56" borderId="1" applyNumberFormat="0" applyBorder="0" applyAlignment="0" applyProtection="0"/>
    <xf numFmtId="10" fontId="16" fillId="56" borderId="1" applyNumberFormat="0" applyBorder="0" applyAlignment="0" applyProtection="0"/>
    <xf numFmtId="10" fontId="16" fillId="56" borderId="1" applyNumberFormat="0" applyBorder="0" applyAlignment="0" applyProtection="0"/>
    <xf numFmtId="10" fontId="16" fillId="56" borderId="1" applyNumberFormat="0" applyBorder="0" applyAlignment="0" applyProtection="0"/>
    <xf numFmtId="10" fontId="16" fillId="56" borderId="1" applyNumberFormat="0" applyBorder="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2" fillId="22" borderId="99" applyNumberFormat="0" applyAlignment="0" applyProtection="0"/>
    <xf numFmtId="0" fontId="252" fillId="22" borderId="99" applyNumberFormat="0" applyAlignment="0" applyProtection="0"/>
    <xf numFmtId="0" fontId="252" fillId="22" borderId="99" applyNumberFormat="0" applyAlignment="0" applyProtection="0"/>
    <xf numFmtId="0" fontId="252"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1" fillId="22" borderId="99" applyNumberFormat="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3" fillId="0" borderId="104" applyNumberFormat="0" applyFill="0" applyAlignment="0" applyProtection="0"/>
    <xf numFmtId="0" fontId="254" fillId="0" borderId="104" applyNumberFormat="0" applyFill="0" applyAlignment="0" applyProtection="0"/>
    <xf numFmtId="0" fontId="177" fillId="0" borderId="0" applyProtection="0">
      <alignment horizontal="center" vertical="center"/>
    </xf>
    <xf numFmtId="0" fontId="177" fillId="0" borderId="0" applyProtection="0">
      <alignment horizontal="center" vertical="center"/>
    </xf>
    <xf numFmtId="0" fontId="177" fillId="0" borderId="0" applyProtection="0">
      <alignment horizontal="center" vertical="center"/>
    </xf>
    <xf numFmtId="0" fontId="177" fillId="0" borderId="0" applyProtection="0">
      <alignment horizontal="center" vertical="center"/>
    </xf>
    <xf numFmtId="0" fontId="177" fillId="0" borderId="0" applyProtection="0">
      <alignment horizontal="center" vertical="center"/>
    </xf>
    <xf numFmtId="0" fontId="177" fillId="0" borderId="0" applyProtection="0">
      <alignment horizontal="center" vertical="center"/>
    </xf>
    <xf numFmtId="0" fontId="177" fillId="0" borderId="0" applyProtection="0">
      <alignment horizontal="center" vertical="center"/>
    </xf>
    <xf numFmtId="0" fontId="177" fillId="0" borderId="0" applyProtection="0">
      <alignment horizontal="center" vertical="center"/>
    </xf>
    <xf numFmtId="0" fontId="255" fillId="0" borderId="1">
      <alignment horizontal="center" vertical="center" wrapText="1"/>
    </xf>
    <xf numFmtId="0" fontId="255" fillId="0" borderId="1">
      <alignment horizontal="center" vertical="center" wrapText="1"/>
    </xf>
    <xf numFmtId="0" fontId="256" fillId="0" borderId="0">
      <alignment vertical="top"/>
    </xf>
    <xf numFmtId="0" fontId="256" fillId="0" borderId="0">
      <alignment vertical="top"/>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176" fontId="131" fillId="0" borderId="20">
      <alignment horizontal="right"/>
    </xf>
    <xf numFmtId="0" fontId="73" fillId="0" borderId="1">
      <alignment wrapText="1"/>
    </xf>
    <xf numFmtId="0" fontId="73" fillId="0" borderId="1">
      <alignment wrapText="1"/>
    </xf>
    <xf numFmtId="0" fontId="73" fillId="0" borderId="1">
      <alignment wrapText="1"/>
    </xf>
    <xf numFmtId="0" fontId="73" fillId="0" borderId="1">
      <alignment wrapText="1"/>
    </xf>
    <xf numFmtId="0" fontId="73" fillId="0" borderId="1">
      <alignment wrapText="1"/>
    </xf>
    <xf numFmtId="0" fontId="73" fillId="0" borderId="1">
      <alignment wrapText="1"/>
    </xf>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7" fillId="57" borderId="0" applyNumberFormat="0" applyBorder="0" applyAlignment="0" applyProtection="0"/>
    <xf numFmtId="0" fontId="258" fillId="57" borderId="0" applyNumberFormat="0" applyBorder="0" applyAlignment="0" applyProtection="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37" fontId="25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5"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0"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5" fillId="0" borderId="0"/>
    <xf numFmtId="0" fontId="225" fillId="0" borderId="0"/>
    <xf numFmtId="0" fontId="3" fillId="0" borderId="0"/>
    <xf numFmtId="0" fontId="3" fillId="0" borderId="0"/>
    <xf numFmtId="0" fontId="3" fillId="0" borderId="0"/>
    <xf numFmtId="0" fontId="225" fillId="0" borderId="0"/>
    <xf numFmtId="0" fontId="2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26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1" fillId="0" borderId="0"/>
    <xf numFmtId="0" fontId="129" fillId="0" borderId="0"/>
    <xf numFmtId="0" fontId="225" fillId="0" borderId="0"/>
    <xf numFmtId="0" fontId="129" fillId="0" borderId="0"/>
    <xf numFmtId="0" fontId="262"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129"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29" fillId="0" borderId="0"/>
    <xf numFmtId="0" fontId="129" fillId="0" borderId="0"/>
    <xf numFmtId="0" fontId="129"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 fillId="0" borderId="0"/>
    <xf numFmtId="0" fontId="1" fillId="0" borderId="0"/>
    <xf numFmtId="0" fontId="1" fillId="0" borderId="0"/>
    <xf numFmtId="0" fontId="1"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5" fillId="0" borderId="0"/>
    <xf numFmtId="0" fontId="195" fillId="0" borderId="0"/>
    <xf numFmtId="0" fontId="3" fillId="0" borderId="0"/>
    <xf numFmtId="0" fontId="195"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129" fillId="0" borderId="0"/>
    <xf numFmtId="0" fontId="129" fillId="0" borderId="0"/>
    <xf numFmtId="0" fontId="225"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3" fillId="0" borderId="0"/>
    <xf numFmtId="0" fontId="129" fillId="0" borderId="0"/>
    <xf numFmtId="0" fontId="1" fillId="0" borderId="0"/>
    <xf numFmtId="0" fontId="1" fillId="0" borderId="0"/>
    <xf numFmtId="0" fontId="3" fillId="0" borderId="0"/>
    <xf numFmtId="0" fontId="3"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 fillId="0" borderId="0"/>
    <xf numFmtId="0" fontId="1" fillId="0" borderId="0"/>
    <xf numFmtId="0" fontId="129" fillId="0" borderId="0"/>
    <xf numFmtId="0" fontId="1" fillId="0" borderId="0"/>
    <xf numFmtId="0" fontId="1"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 fillId="0" borderId="0"/>
    <xf numFmtId="0" fontId="1" fillId="0" borderId="0"/>
    <xf numFmtId="0" fontId="1"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3" fillId="0" borderId="0" applyNumberFormat="0" applyFill="0" applyBorder="0" applyAlignment="0" applyProtection="0"/>
    <xf numFmtId="0" fontId="263" fillId="0" borderId="0" applyNumberFormat="0" applyFill="0" applyBorder="0" applyAlignment="0" applyProtection="0"/>
    <xf numFmtId="0" fontId="263"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29" fillId="0" borderId="0"/>
    <xf numFmtId="0" fontId="129" fillId="0" borderId="0"/>
    <xf numFmtId="0" fontId="129" fillId="0" borderId="0"/>
    <xf numFmtId="0" fontId="3" fillId="0" borderId="0"/>
    <xf numFmtId="0" fontId="3" fillId="0" borderId="0"/>
    <xf numFmtId="0" fontId="3" fillId="0" borderId="0"/>
    <xf numFmtId="0" fontId="225" fillId="0" borderId="0"/>
    <xf numFmtId="0" fontId="3" fillId="0" borderId="0"/>
    <xf numFmtId="0" fontId="3"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25" fillId="0" borderId="0"/>
    <xf numFmtId="0" fontId="3" fillId="0" borderId="0"/>
    <xf numFmtId="0" fontId="3" fillId="0" borderId="0"/>
    <xf numFmtId="0" fontId="225" fillId="0" borderId="0"/>
    <xf numFmtId="0" fontId="129" fillId="0" borderId="0"/>
    <xf numFmtId="0" fontId="129" fillId="0" borderId="0"/>
    <xf numFmtId="0" fontId="129" fillId="0" borderId="0"/>
    <xf numFmtId="0" fontId="3" fillId="0" borderId="0"/>
    <xf numFmtId="0" fontId="129" fillId="0" borderId="0"/>
    <xf numFmtId="0" fontId="3" fillId="0" borderId="0"/>
    <xf numFmtId="0" fontId="3" fillId="0" borderId="0"/>
    <xf numFmtId="0" fontId="129" fillId="0" borderId="0"/>
    <xf numFmtId="0" fontId="3" fillId="0" borderId="0"/>
    <xf numFmtId="0" fontId="260" fillId="0" borderId="0"/>
    <xf numFmtId="0" fontId="265" fillId="0" borderId="0"/>
    <xf numFmtId="0" fontId="3" fillId="0" borderId="0"/>
    <xf numFmtId="0" fontId="3" fillId="0" borderId="0"/>
    <xf numFmtId="0" fontId="129" fillId="0" borderId="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05"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225" fillId="0" borderId="0"/>
    <xf numFmtId="0" fontId="225" fillId="0" borderId="0"/>
    <xf numFmtId="0" fontId="225" fillId="0" borderId="0"/>
    <xf numFmtId="0" fontId="129" fillId="0" borderId="0"/>
    <xf numFmtId="0" fontId="129" fillId="0" borderId="0"/>
    <xf numFmtId="0" fontId="129" fillId="0" borderId="0"/>
    <xf numFmtId="0" fontId="3" fillId="0" borderId="0"/>
    <xf numFmtId="0" fontId="225" fillId="0" borderId="0"/>
    <xf numFmtId="0" fontId="129" fillId="0" borderId="0"/>
    <xf numFmtId="0" fontId="129" fillId="0" borderId="0"/>
    <xf numFmtId="0" fontId="3" fillId="0" borderId="0"/>
    <xf numFmtId="0" fontId="3" fillId="0" borderId="0"/>
    <xf numFmtId="0" fontId="3" fillId="0" borderId="0"/>
    <xf numFmtId="0" fontId="3" fillId="0" borderId="0"/>
    <xf numFmtId="0" fontId="129" fillId="0" borderId="0"/>
    <xf numFmtId="0" fontId="129"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5"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25"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3" fillId="0" borderId="0"/>
    <xf numFmtId="0" fontId="225"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5" fillId="0" borderId="0"/>
    <xf numFmtId="0" fontId="22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6" fillId="0" borderId="0"/>
    <xf numFmtId="0" fontId="3" fillId="0" borderId="0"/>
    <xf numFmtId="0" fontId="3" fillId="0" borderId="0"/>
    <xf numFmtId="0" fontId="205" fillId="0" borderId="0"/>
    <xf numFmtId="0" fontId="205" fillId="0" borderId="0"/>
    <xf numFmtId="0" fontId="205" fillId="0" borderId="0"/>
    <xf numFmtId="0" fontId="205"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129"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129" fillId="0" borderId="0"/>
    <xf numFmtId="0" fontId="3" fillId="0" borderId="0"/>
    <xf numFmtId="0" fontId="129"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225" fillId="0" borderId="0"/>
    <xf numFmtId="0" fontId="225"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16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3" fillId="0" borderId="0"/>
    <xf numFmtId="0" fontId="129"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3" fillId="0" borderId="0"/>
    <xf numFmtId="0" fontId="129" fillId="0" borderId="0"/>
    <xf numFmtId="0" fontId="3" fillId="0" borderId="0"/>
    <xf numFmtId="0" fontId="1" fillId="0" borderId="0"/>
    <xf numFmtId="0" fontId="129"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6" fillId="0" borderId="0"/>
    <xf numFmtId="0" fontId="1" fillId="0" borderId="0"/>
    <xf numFmtId="0" fontId="3" fillId="0" borderId="0"/>
    <xf numFmtId="0" fontId="3" fillId="0" borderId="0"/>
    <xf numFmtId="0" fontId="1" fillId="0" borderId="0"/>
    <xf numFmtId="0" fontId="26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25" fillId="0" borderId="0"/>
    <xf numFmtId="0" fontId="2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 fillId="0" borderId="0"/>
    <xf numFmtId="0" fontId="1"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3"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225" fillId="0" borderId="0"/>
    <xf numFmtId="0" fontId="225"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25" fillId="0" borderId="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25"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1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25" fillId="0" borderId="0"/>
    <xf numFmtId="0" fontId="225" fillId="0" borderId="0"/>
    <xf numFmtId="0" fontId="129" fillId="0" borderId="0"/>
    <xf numFmtId="0" fontId="129" fillId="0" borderId="0" applyNumberFormat="0" applyFont="0" applyFill="0" applyBorder="0" applyAlignment="0" applyProtection="0"/>
    <xf numFmtId="0" fontId="36" fillId="0" borderId="0"/>
    <xf numFmtId="0" fontId="225" fillId="0" borderId="0"/>
    <xf numFmtId="0" fontId="225"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225"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7"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25"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5" fillId="0" borderId="0"/>
    <xf numFmtId="0" fontId="268"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3"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129" fillId="0" borderId="0"/>
    <xf numFmtId="0" fontId="129" fillId="0" borderId="0"/>
    <xf numFmtId="0" fontId="1" fillId="0" borderId="0"/>
    <xf numFmtId="0" fontId="1" fillId="0" borderId="0"/>
    <xf numFmtId="0" fontId="1" fillId="0" borderId="0"/>
    <xf numFmtId="0" fontId="1" fillId="0" borderId="0"/>
    <xf numFmtId="0" fontId="1" fillId="0" borderId="0"/>
    <xf numFmtId="0" fontId="269" fillId="0" borderId="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 fillId="0" borderId="0"/>
    <xf numFmtId="0" fontId="129" fillId="0" borderId="0" applyNumberFormat="0" applyFont="0" applyFill="0" applyBorder="0" applyAlignment="0" applyProtection="0"/>
    <xf numFmtId="0" fontId="129" fillId="0" borderId="0"/>
    <xf numFmtId="0" fontId="3" fillId="0" borderId="0"/>
    <xf numFmtId="0" fontId="1" fillId="0" borderId="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 fillId="0" borderId="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29" fillId="0" borderId="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xf numFmtId="0" fontId="129" fillId="0" borderId="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xf numFmtId="0" fontId="129"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261" fillId="0" borderId="0"/>
    <xf numFmtId="0" fontId="3" fillId="0" borderId="0"/>
    <xf numFmtId="0" fontId="129" fillId="0" borderId="0" applyNumberFormat="0" applyFont="0" applyFill="0" applyBorder="0" applyAlignment="0" applyProtection="0"/>
    <xf numFmtId="0" fontId="129" fillId="0" borderId="0"/>
    <xf numFmtId="0" fontId="129" fillId="0" borderId="0" applyNumberFormat="0" applyFont="0" applyFill="0" applyBorder="0" applyAlignment="0" applyProtection="0"/>
    <xf numFmtId="0" fontId="3" fillId="0" borderId="0"/>
    <xf numFmtId="0" fontId="129" fillId="0" borderId="0" applyNumberFormat="0" applyFont="0" applyFill="0" applyBorder="0" applyAlignment="0" applyProtection="0"/>
    <xf numFmtId="0" fontId="1" fillId="0" borderId="0"/>
    <xf numFmtId="0" fontId="270" fillId="0" borderId="0"/>
    <xf numFmtId="0" fontId="3" fillId="0" borderId="0"/>
    <xf numFmtId="0" fontId="195" fillId="0" borderId="0"/>
    <xf numFmtId="0" fontId="195"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6"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6" fillId="0" borderId="0"/>
    <xf numFmtId="0" fontId="129" fillId="0" borderId="0" applyNumberFormat="0" applyFont="0" applyFill="0" applyBorder="0" applyAlignment="0" applyProtection="0"/>
    <xf numFmtId="0" fontId="36"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3"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3" fillId="0" borderId="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1" fillId="0" borderId="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 fillId="0" borderId="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264" fillId="0" borderId="0" applyNumberFormat="0" applyFill="0" applyBorder="0" applyAlignment="0" applyProtection="0"/>
    <xf numFmtId="0" fontId="129" fillId="0" borderId="0" applyNumberFormat="0" applyFont="0" applyFill="0" applyBorder="0" applyAlignment="0" applyProtection="0"/>
    <xf numFmtId="0" fontId="26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129" fillId="0" borderId="0"/>
    <xf numFmtId="0" fontId="3" fillId="0" borderId="0"/>
    <xf numFmtId="0" fontId="129" fillId="0" borderId="0"/>
    <xf numFmtId="0" fontId="3" fillId="0" borderId="1">
      <alignment vertical="center" wrapText="1" shrinkToFit="1"/>
    </xf>
    <xf numFmtId="0" fontId="3" fillId="0" borderId="1">
      <alignment vertical="center" wrapText="1" shrinkToFit="1"/>
    </xf>
    <xf numFmtId="0" fontId="129" fillId="0" borderId="0"/>
    <xf numFmtId="0" fontId="129"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xf numFmtId="0" fontId="3" fillId="0" borderId="0"/>
    <xf numFmtId="0" fontId="3" fillId="0" borderId="0"/>
    <xf numFmtId="0" fontId="3" fillId="0" borderId="0"/>
    <xf numFmtId="0" fontId="129" fillId="0" borderId="0"/>
    <xf numFmtId="0" fontId="3" fillId="0" borderId="0">
      <alignment wrapText="1"/>
    </xf>
    <xf numFmtId="0" fontId="3" fillId="0" borderId="0"/>
    <xf numFmtId="0" fontId="3" fillId="0" borderId="0"/>
    <xf numFmtId="0" fontId="3" fillId="0" borderId="0"/>
    <xf numFmtId="0" fontId="3" fillId="0" borderId="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3" fillId="56" borderId="105" applyNumberFormat="0" applyFont="0" applyAlignment="0" applyProtection="0"/>
    <xf numFmtId="0" fontId="271" fillId="35" borderId="106" applyNumberFormat="0" applyAlignment="0" applyProtection="0"/>
    <xf numFmtId="0" fontId="271" fillId="35" borderId="106" applyNumberFormat="0" applyAlignment="0" applyProtection="0"/>
    <xf numFmtId="0" fontId="271" fillId="35" borderId="106" applyNumberForma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1" fillId="35" borderId="106" applyNumberFormat="0" applyAlignment="0" applyProtection="0"/>
    <xf numFmtId="0" fontId="271" fillId="35" borderId="106" applyNumberForma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1" fillId="35" borderId="106" applyNumberForma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1" fillId="35" borderId="106" applyNumberFormat="0" applyAlignment="0" applyProtection="0"/>
    <xf numFmtId="0" fontId="271" fillId="35" borderId="106" applyNumberForma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1" fillId="35" borderId="106" applyNumberForma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1" fillId="35" borderId="106" applyNumberFormat="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2" fillId="35" borderId="106" applyNumberFormat="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10" fontId="3"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225" fillId="0" borderId="0" applyFont="0" applyFill="0" applyBorder="0" applyAlignment="0" applyProtection="0"/>
    <xf numFmtId="9" fontId="225"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29"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225"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ill="0" applyBorder="0" applyAlignment="0" applyProtection="0"/>
    <xf numFmtId="9" fontId="3" fillId="0" borderId="0" applyFill="0" applyBorder="0" applyAlignment="0" applyProtection="0"/>
    <xf numFmtId="0" fontId="129" fillId="0" borderId="0" applyNumberFormat="0" applyFont="0" applyFill="0" applyBorder="0" applyAlignment="0" applyProtection="0"/>
    <xf numFmtId="9" fontId="3" fillId="0" borderId="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25"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225" fillId="0" borderId="0" applyFont="0" applyFill="0" applyBorder="0" applyAlignment="0" applyProtection="0"/>
    <xf numFmtId="9" fontId="225"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79" fontId="273" fillId="0" borderId="0" applyNumberFormat="0" applyFill="0" applyBorder="0" applyAlignment="0" applyProtection="0">
      <alignment horizontal="left"/>
    </xf>
    <xf numFmtId="179" fontId="273" fillId="0" borderId="0" applyNumberFormat="0" applyFill="0" applyBorder="0" applyAlignment="0" applyProtection="0">
      <alignment horizontal="left"/>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79" fontId="273" fillId="0" borderId="0" applyNumberFormat="0" applyFill="0" applyBorder="0" applyAlignment="0" applyProtection="0">
      <alignment horizontal="left"/>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4" fillId="0" borderId="0" applyNumberFormat="0" applyFill="0" applyBorder="0" applyAlignment="0" applyProtection="0"/>
    <xf numFmtId="0" fontId="274" fillId="0" borderId="0" applyNumberFormat="0" applyFill="0" applyBorder="0" applyAlignment="0" applyProtection="0"/>
    <xf numFmtId="0" fontId="274" fillId="0" borderId="0" applyNumberFormat="0" applyFill="0" applyBorder="0" applyAlignment="0" applyProtection="0"/>
    <xf numFmtId="0" fontId="274"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4" fillId="0" borderId="0" applyNumberFormat="0" applyFill="0" applyBorder="0" applyAlignment="0" applyProtection="0"/>
    <xf numFmtId="0" fontId="274"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4"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1">
      <alignment horizontal="center"/>
    </xf>
    <xf numFmtId="0" fontId="276" fillId="0" borderId="0"/>
    <xf numFmtId="0" fontId="276"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6"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7"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1">
      <alignment horizontal="center"/>
    </xf>
    <xf numFmtId="0" fontId="275" fillId="0" borderId="1">
      <alignment horizontal="center"/>
    </xf>
    <xf numFmtId="0" fontId="275" fillId="0" borderId="1">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1">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1">
      <alignment horizontal="center"/>
    </xf>
    <xf numFmtId="0" fontId="275" fillId="0" borderId="1">
      <alignment horizontal="center"/>
    </xf>
    <xf numFmtId="0" fontId="275" fillId="0" borderId="1">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1">
      <alignment horizontal="center"/>
    </xf>
    <xf numFmtId="0" fontId="275" fillId="0" borderId="1">
      <alignment horizontal="center"/>
    </xf>
    <xf numFmtId="0" fontId="275" fillId="0" borderId="1">
      <alignment horizontal="center"/>
    </xf>
    <xf numFmtId="0" fontId="275" fillId="0" borderId="1">
      <alignment horizontal="center"/>
    </xf>
    <xf numFmtId="0" fontId="275" fillId="0" borderId="1">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1">
      <alignment horizontal="center"/>
    </xf>
    <xf numFmtId="0" fontId="275" fillId="0" borderId="0">
      <alignment horizontal="center" vertical="center"/>
    </xf>
    <xf numFmtId="0" fontId="275" fillId="0" borderId="0">
      <alignment horizontal="center" vertical="center"/>
    </xf>
    <xf numFmtId="0" fontId="275" fillId="0" borderId="0">
      <alignment horizontal="center" vertical="center"/>
    </xf>
    <xf numFmtId="0" fontId="275" fillId="0" borderId="0">
      <alignment horizontal="center"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0">
      <alignment horizontal="center"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0">
      <alignment horizontal="center" vertical="center"/>
    </xf>
    <xf numFmtId="0" fontId="275" fillId="0" borderId="0">
      <alignment horizontal="center" vertical="center"/>
    </xf>
    <xf numFmtId="0" fontId="275" fillId="0" borderId="0">
      <alignment horizontal="center"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5" fillId="0" borderId="0">
      <alignment horizontal="center" vertical="center"/>
    </xf>
    <xf numFmtId="0" fontId="275" fillId="0" borderId="0">
      <alignment horizontal="center" vertical="center"/>
    </xf>
    <xf numFmtId="0" fontId="275" fillId="0" borderId="0">
      <alignment horizontal="center" vertical="center"/>
    </xf>
    <xf numFmtId="0" fontId="275" fillId="0" borderId="0">
      <alignment horizontal="center" vertical="center"/>
    </xf>
    <xf numFmtId="0" fontId="275" fillId="0" borderId="0">
      <alignment horizontal="center" vertical="center"/>
    </xf>
    <xf numFmtId="0" fontId="129" fillId="0" borderId="0" applyNumberFormat="0" applyFont="0" applyFill="0" applyBorder="0" applyAlignment="0" applyProtection="0"/>
    <xf numFmtId="0" fontId="275" fillId="0" borderId="0">
      <alignment horizontal="center" vertical="center"/>
    </xf>
    <xf numFmtId="0" fontId="278" fillId="0" borderId="0" applyNumberFormat="0" applyFill="0">
      <alignment horizontal="left" vertical="center"/>
    </xf>
    <xf numFmtId="0" fontId="278" fillId="0" borderId="0" applyNumberFormat="0" applyFill="0">
      <alignment horizontal="left" vertical="center"/>
    </xf>
    <xf numFmtId="0" fontId="278" fillId="0" borderId="0" applyNumberFormat="0" applyFill="0">
      <alignment horizontal="left" vertical="center"/>
    </xf>
    <xf numFmtId="0" fontId="278" fillId="0" borderId="0" applyNumberFormat="0" applyFill="0">
      <alignment horizontal="left"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278" fillId="0" borderId="0" applyNumberFormat="0" applyFill="0">
      <alignment horizontal="left"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8" fillId="0" borderId="0" applyNumberFormat="0" applyFill="0">
      <alignment horizontal="left" vertical="center"/>
    </xf>
    <xf numFmtId="0" fontId="278" fillId="0" borderId="0" applyNumberFormat="0" applyFill="0">
      <alignment horizontal="left" vertical="center"/>
    </xf>
    <xf numFmtId="0" fontId="278" fillId="0" borderId="0" applyNumberFormat="0" applyFill="0">
      <alignment horizontal="left"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8" fillId="0" borderId="0" applyNumberFormat="0" applyFill="0">
      <alignment horizontal="left" vertical="center"/>
    </xf>
    <xf numFmtId="0" fontId="278" fillId="0" borderId="0" applyNumberFormat="0" applyFill="0">
      <alignment horizontal="left" vertical="center"/>
    </xf>
    <xf numFmtId="0" fontId="278" fillId="0" borderId="0" applyNumberFormat="0" applyFill="0">
      <alignment horizontal="left" vertical="center"/>
    </xf>
    <xf numFmtId="0" fontId="278" fillId="0" borderId="0" applyNumberFormat="0" applyFill="0">
      <alignment horizontal="left" vertical="center"/>
    </xf>
    <xf numFmtId="0" fontId="278" fillId="0" borderId="0" applyNumberFormat="0" applyFill="0">
      <alignment horizontal="left" vertical="center"/>
    </xf>
    <xf numFmtId="0" fontId="129" fillId="0" borderId="0" applyNumberFormat="0" applyFont="0" applyFill="0" applyBorder="0" applyAlignment="0" applyProtection="0"/>
    <xf numFmtId="0" fontId="278" fillId="0" borderId="0" applyNumberFormat="0" applyFill="0">
      <alignment horizontal="left" vertical="center"/>
    </xf>
    <xf numFmtId="0" fontId="279" fillId="0" borderId="1">
      <alignment horizontal="center" vertical="center" wrapText="1"/>
    </xf>
    <xf numFmtId="0" fontId="279" fillId="0" borderId="1">
      <alignment horizontal="center" vertical="center" wrapText="1"/>
    </xf>
    <xf numFmtId="0" fontId="279" fillId="0" borderId="1">
      <alignment horizontal="center" vertical="center" wrapText="1"/>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9" fillId="0" borderId="1">
      <alignment horizontal="center" vertical="center" wrapText="1"/>
    </xf>
    <xf numFmtId="0" fontId="279" fillId="0" borderId="1">
      <alignment horizontal="center" vertical="center" wrapText="1"/>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79" fillId="0" borderId="1">
      <alignment horizontal="center" vertical="center" wrapText="1"/>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40" fontId="280" fillId="0" borderId="0" applyBorder="0">
      <alignment horizontal="right"/>
    </xf>
    <xf numFmtId="40" fontId="280" fillId="0" borderId="0" applyBorder="0">
      <alignment horizontal="right"/>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40" fontId="280" fillId="0" borderId="0" applyBorder="0">
      <alignment horizontal="right"/>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49" fontId="3" fillId="0" borderId="0"/>
    <xf numFmtId="49"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129" fillId="0" borderId="0" applyNumberFormat="0" applyFont="0" applyFill="0" applyBorder="0" applyAlignment="0" applyProtection="0"/>
    <xf numFmtId="0" fontId="3" fillId="0" borderId="0"/>
    <xf numFmtId="40" fontId="133" fillId="0" borderId="0"/>
    <xf numFmtId="40" fontId="133" fillId="0" borderId="0"/>
    <xf numFmtId="40" fontId="13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40" fontId="133" fillId="0" borderId="0"/>
    <xf numFmtId="40" fontId="13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40" fontId="133" fillId="0" borderId="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1"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1" fillId="0" borderId="0" applyNumberFormat="0" applyFill="0" applyBorder="0" applyAlignment="0" applyProtection="0"/>
    <xf numFmtId="0" fontId="281"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2"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2"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2" fillId="0" borderId="107" applyNumberFormat="0" applyFill="0" applyAlignment="0" applyProtection="0"/>
    <xf numFmtId="0" fontId="142" fillId="0" borderId="107" applyNumberFormat="0" applyFill="0" applyAlignment="0" applyProtection="0"/>
    <xf numFmtId="0" fontId="142" fillId="0" borderId="107" applyNumberFormat="0" applyFill="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2" fillId="0" borderId="107" applyNumberFormat="0" applyFill="0" applyAlignment="0" applyProtection="0"/>
    <xf numFmtId="0" fontId="142" fillId="0" borderId="107" applyNumberFormat="0" applyFill="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2" fillId="0" borderId="107" applyNumberFormat="0" applyFill="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2" fillId="0" borderId="107" applyNumberFormat="0" applyFill="0" applyAlignment="0" applyProtection="0"/>
    <xf numFmtId="0" fontId="142" fillId="0" borderId="107" applyNumberFormat="0" applyFill="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2" fillId="0" borderId="107" applyNumberFormat="0" applyFill="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2" fillId="0" borderId="107" applyNumberFormat="0" applyFill="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3" fillId="0" borderId="107" applyNumberFormat="0" applyFill="0" applyAlignment="0" applyProtection="0"/>
    <xf numFmtId="0" fontId="129" fillId="0" borderId="0" applyNumberFormat="0" applyFont="0" applyFill="0" applyBorder="0" applyAlignment="0" applyProtection="0"/>
    <xf numFmtId="2" fontId="3" fillId="0" borderId="0">
      <alignment horizontal="center" vertic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167" fontId="15" fillId="0" borderId="1">
      <alignment horizontal="center" vertical="center"/>
    </xf>
    <xf numFmtId="167" fontId="15" fillId="0" borderId="1">
      <alignment horizontal="center" vertical="center"/>
    </xf>
    <xf numFmtId="167" fontId="15" fillId="0" borderId="1">
      <alignment horizontal="center" vertical="center"/>
    </xf>
    <xf numFmtId="167" fontId="15" fillId="0" borderId="1">
      <alignment horizontal="center" vertical="center"/>
    </xf>
    <xf numFmtId="167" fontId="15" fillId="0" borderId="1">
      <alignment horizontal="center" vertic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3" fillId="0" borderId="13">
      <alignment horizontal="center"/>
    </xf>
    <xf numFmtId="0" fontId="129" fillId="0" borderId="0" applyNumberFormat="0" applyFont="0" applyFill="0" applyBorder="0" applyAlignment="0" applyProtection="0"/>
    <xf numFmtId="0" fontId="3" fillId="0" borderId="13">
      <alignment horizontal="center"/>
    </xf>
    <xf numFmtId="0" fontId="140" fillId="0" borderId="0" applyNumberFormat="0" applyFill="0" applyBorder="0" applyAlignment="0" applyProtection="0"/>
    <xf numFmtId="0" fontId="140" fillId="0" borderId="0" applyNumberFormat="0" applyFill="0" applyBorder="0" applyAlignment="0" applyProtection="0"/>
    <xf numFmtId="0" fontId="140"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0" fillId="0" borderId="0" applyNumberFormat="0" applyFill="0" applyBorder="0" applyAlignment="0" applyProtection="0"/>
    <xf numFmtId="0" fontId="140"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0"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0" fillId="0" borderId="0" applyNumberFormat="0" applyFill="0" applyBorder="0" applyAlignment="0" applyProtection="0"/>
    <xf numFmtId="0" fontId="140"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0"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40" fillId="0" borderId="0" applyNumberForma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129" fillId="0" borderId="0" applyNumberFormat="0" applyFont="0" applyFill="0" applyBorder="0" applyAlignment="0" applyProtection="0"/>
    <xf numFmtId="0" fontId="284" fillId="0" borderId="0" applyNumberFormat="0" applyFill="0" applyBorder="0" applyAlignment="0" applyProtection="0"/>
    <xf numFmtId="0" fontId="129" fillId="0" borderId="0" applyNumberFormat="0" applyFont="0" applyFill="0" applyBorder="0" applyAlignment="0" applyProtection="0"/>
    <xf numFmtId="0" fontId="129" fillId="0" borderId="0"/>
  </cellStyleXfs>
  <cellXfs count="3974">
    <xf numFmtId="0" fontId="0" fillId="0" borderId="0" xfId="0"/>
    <xf numFmtId="0" fontId="1" fillId="0" borderId="0" xfId="22747"/>
    <xf numFmtId="0" fontId="2" fillId="2" borderId="1" xfId="6145" applyFont="1" applyFill="1" applyBorder="1" applyAlignment="1">
      <alignment horizontal="center" vertical="center" wrapText="1"/>
    </xf>
    <xf numFmtId="0" fontId="3" fillId="0" borderId="0" xfId="6145"/>
    <xf numFmtId="180" fontId="2" fillId="2" borderId="1" xfId="6145" applyNumberFormat="1" applyFont="1" applyFill="1" applyBorder="1" applyAlignment="1">
      <alignment horizontal="center" vertical="center" wrapText="1"/>
    </xf>
    <xf numFmtId="0" fontId="4" fillId="0" borderId="2" xfId="6145" applyFont="1" applyBorder="1" applyAlignment="1">
      <alignment wrapText="1"/>
    </xf>
    <xf numFmtId="2" fontId="5" fillId="2" borderId="2" xfId="6145" applyNumberFormat="1" applyFont="1" applyFill="1" applyBorder="1"/>
    <xf numFmtId="1" fontId="6" fillId="0" borderId="3" xfId="6145" applyNumberFormat="1" applyFont="1" applyBorder="1" applyAlignment="1">
      <alignment horizontal="center" wrapText="1"/>
    </xf>
    <xf numFmtId="10" fontId="3" fillId="0" borderId="2" xfId="6145" applyNumberFormat="1" applyBorder="1" applyAlignment="1">
      <alignment horizontal="center" wrapText="1"/>
    </xf>
    <xf numFmtId="0" fontId="3" fillId="0" borderId="0" xfId="6145" applyAlignment="1">
      <alignment wrapText="1"/>
    </xf>
    <xf numFmtId="0" fontId="4" fillId="0" borderId="0" xfId="6145" applyFont="1" applyAlignment="1">
      <alignment wrapText="1"/>
    </xf>
    <xf numFmtId="2" fontId="4" fillId="0" borderId="0" xfId="6145" applyNumberFormat="1" applyFont="1" applyAlignment="1">
      <alignment horizontal="center" wrapText="1"/>
    </xf>
    <xf numFmtId="3" fontId="6" fillId="0" borderId="0" xfId="6145" applyNumberFormat="1" applyFont="1" applyAlignment="1">
      <alignment horizontal="center" wrapText="1"/>
    </xf>
    <xf numFmtId="4" fontId="3" fillId="0" borderId="1" xfId="6145" applyNumberFormat="1" applyBorder="1" applyAlignment="1">
      <alignment horizontal="center" wrapText="1"/>
    </xf>
    <xf numFmtId="10" fontId="4" fillId="0" borderId="0" xfId="6145" applyNumberFormat="1" applyFont="1" applyAlignment="1">
      <alignment vertical="center" wrapText="1"/>
    </xf>
    <xf numFmtId="10" fontId="7" fillId="0" borderId="0" xfId="6145" applyNumberFormat="1" applyFont="1" applyAlignment="1">
      <alignment horizontal="center" vertical="center" wrapText="1"/>
    </xf>
    <xf numFmtId="4" fontId="7" fillId="0" borderId="0" xfId="6145" applyNumberFormat="1" applyFont="1" applyAlignment="1">
      <alignment wrapText="1"/>
    </xf>
    <xf numFmtId="4" fontId="8" fillId="0" borderId="1" xfId="6145" applyNumberFormat="1" applyFont="1" applyBorder="1" applyAlignment="1">
      <alignment horizontal="center" vertical="center" wrapText="1"/>
    </xf>
    <xf numFmtId="4" fontId="6" fillId="0" borderId="1" xfId="6145" applyNumberFormat="1" applyFont="1" applyBorder="1" applyAlignment="1">
      <alignment horizontal="center" vertical="center" wrapText="1"/>
    </xf>
    <xf numFmtId="4" fontId="3" fillId="0" borderId="1" xfId="6145" applyNumberFormat="1" applyBorder="1" applyAlignment="1">
      <alignment wrapText="1"/>
    </xf>
    <xf numFmtId="0" fontId="4" fillId="0" borderId="1" xfId="6145" applyFont="1" applyBorder="1" applyAlignment="1">
      <alignment vertical="center" wrapText="1"/>
    </xf>
    <xf numFmtId="1" fontId="9" fillId="0" borderId="1" xfId="6145" applyNumberFormat="1" applyFont="1" applyBorder="1" applyAlignment="1">
      <alignment horizontal="center" vertical="center" wrapText="1"/>
    </xf>
    <xf numFmtId="4" fontId="4" fillId="3" borderId="4" xfId="6145" applyNumberFormat="1" applyFont="1" applyFill="1" applyBorder="1" applyAlignment="1">
      <alignment vertical="center" wrapText="1"/>
    </xf>
    <xf numFmtId="0" fontId="3" fillId="0" borderId="1" xfId="6145" applyBorder="1" applyAlignment="1">
      <alignment wrapText="1"/>
    </xf>
    <xf numFmtId="0" fontId="10" fillId="0" borderId="1" xfId="6145" applyFont="1" applyBorder="1" applyAlignment="1">
      <alignment vertical="center" wrapText="1"/>
    </xf>
    <xf numFmtId="1" fontId="6" fillId="0" borderId="1" xfId="6145" applyNumberFormat="1" applyFont="1" applyBorder="1" applyAlignment="1">
      <alignment horizontal="center" vertical="center" wrapText="1"/>
    </xf>
    <xf numFmtId="0" fontId="4" fillId="0" borderId="5" xfId="6145" applyFont="1" applyBorder="1" applyAlignment="1">
      <alignment horizontal="center" vertical="center" wrapText="1"/>
    </xf>
    <xf numFmtId="181" fontId="6" fillId="0" borderId="1" xfId="6145" applyNumberFormat="1" applyFont="1" applyBorder="1" applyAlignment="1">
      <alignment horizontal="center" vertical="center" wrapText="1"/>
    </xf>
    <xf numFmtId="2" fontId="6" fillId="0" borderId="1" xfId="6145" applyNumberFormat="1" applyFont="1" applyBorder="1" applyAlignment="1">
      <alignment horizontal="center" vertical="center" wrapText="1"/>
    </xf>
    <xf numFmtId="0" fontId="3" fillId="0" borderId="1" xfId="6145" applyBorder="1" applyAlignment="1">
      <alignment vertical="center" wrapText="1"/>
    </xf>
    <xf numFmtId="0" fontId="4" fillId="0" borderId="1" xfId="6145" applyFont="1" applyBorder="1" applyAlignment="1">
      <alignment horizontal="center" vertical="center" wrapText="1"/>
    </xf>
    <xf numFmtId="0" fontId="3" fillId="0" borderId="2" xfId="6145" applyBorder="1" applyAlignment="1">
      <alignment wrapText="1"/>
    </xf>
    <xf numFmtId="2" fontId="4" fillId="0" borderId="1" xfId="6145" applyNumberFormat="1" applyFont="1" applyBorder="1" applyAlignment="1">
      <alignment horizontal="right" vertical="center" wrapText="1"/>
    </xf>
    <xf numFmtId="0" fontId="4" fillId="0" borderId="1" xfId="6145" applyFont="1" applyBorder="1" applyAlignment="1">
      <alignment wrapText="1"/>
    </xf>
    <xf numFmtId="2" fontId="11" fillId="2" borderId="1" xfId="30649" applyNumberFormat="1" applyFont="1" applyFill="1" applyBorder="1" applyAlignment="1">
      <alignment horizontal="center"/>
    </xf>
    <xf numFmtId="2" fontId="6" fillId="0" borderId="1" xfId="6145" applyNumberFormat="1" applyFont="1" applyBorder="1" applyAlignment="1">
      <alignment wrapText="1"/>
    </xf>
    <xf numFmtId="4" fontId="12" fillId="2" borderId="1" xfId="6145" applyNumberFormat="1" applyFont="1" applyFill="1" applyBorder="1" applyAlignment="1">
      <alignment horizontal="center" wrapText="1"/>
    </xf>
    <xf numFmtId="0" fontId="4" fillId="0" borderId="0" xfId="6145" applyFont="1"/>
    <xf numFmtId="2" fontId="3" fillId="0" borderId="0" xfId="6145" applyNumberFormat="1"/>
    <xf numFmtId="0" fontId="3" fillId="0" borderId="1" xfId="6145" applyBorder="1"/>
    <xf numFmtId="43" fontId="6" fillId="0" borderId="0" xfId="1395" applyFont="1" applyAlignment="1">
      <alignment horizontal="center"/>
    </xf>
    <xf numFmtId="172" fontId="3" fillId="0" borderId="0" xfId="6145" applyNumberFormat="1"/>
    <xf numFmtId="2" fontId="3" fillId="0" borderId="0" xfId="6145" applyNumberFormat="1" applyAlignment="1">
      <alignment wrapText="1"/>
    </xf>
    <xf numFmtId="0" fontId="4" fillId="0" borderId="1" xfId="6145" applyFont="1" applyBorder="1" applyAlignment="1">
      <alignment horizontal="right"/>
    </xf>
    <xf numFmtId="43" fontId="3" fillId="0" borderId="0" xfId="6145" applyNumberFormat="1" applyAlignment="1">
      <alignment wrapText="1"/>
    </xf>
    <xf numFmtId="0" fontId="3" fillId="0" borderId="1" xfId="6145" applyBorder="1" applyAlignment="1">
      <alignment vertical="top" wrapText="1"/>
    </xf>
    <xf numFmtId="43" fontId="8" fillId="0" borderId="1" xfId="1395" applyFont="1" applyBorder="1" applyAlignment="1">
      <alignment horizontal="center"/>
    </xf>
    <xf numFmtId="43" fontId="3" fillId="0" borderId="0" xfId="6145" applyNumberFormat="1"/>
    <xf numFmtId="0" fontId="8" fillId="0" borderId="1" xfId="6145" applyFont="1" applyBorder="1" applyAlignment="1">
      <alignment horizontal="center"/>
    </xf>
    <xf numFmtId="1" fontId="8" fillId="0" borderId="1" xfId="6145" applyNumberFormat="1" applyFont="1" applyBorder="1" applyAlignment="1">
      <alignment horizontal="center"/>
    </xf>
    <xf numFmtId="0" fontId="3" fillId="0" borderId="0" xfId="6145" applyAlignment="1">
      <alignment horizontal="right"/>
    </xf>
    <xf numFmtId="0" fontId="3" fillId="0" borderId="1" xfId="6145" applyBorder="1" applyAlignment="1">
      <alignment horizontal="center"/>
    </xf>
    <xf numFmtId="0" fontId="8" fillId="0" borderId="0" xfId="6145" applyFont="1" applyAlignment="1">
      <alignment horizontal="center"/>
    </xf>
    <xf numFmtId="43" fontId="4" fillId="0" borderId="1" xfId="6145" applyNumberFormat="1" applyFont="1" applyBorder="1"/>
    <xf numFmtId="0" fontId="0" fillId="0" borderId="0" xfId="30638" applyFont="1"/>
    <xf numFmtId="0" fontId="13" fillId="0" borderId="0" xfId="30638" applyFont="1"/>
    <xf numFmtId="0" fontId="0" fillId="0" borderId="1" xfId="30638" applyFont="1" applyBorder="1" applyAlignment="1">
      <alignment horizontal="center" wrapText="1"/>
    </xf>
    <xf numFmtId="0" fontId="0" fillId="0" borderId="1" xfId="30638" applyFont="1" applyBorder="1" applyAlignment="1">
      <alignment horizontal="center"/>
    </xf>
    <xf numFmtId="0" fontId="4" fillId="0" borderId="0" xfId="30638" applyFont="1"/>
    <xf numFmtId="2" fontId="0" fillId="0" borderId="1" xfId="30638" applyNumberFormat="1" applyFont="1" applyBorder="1" applyAlignment="1">
      <alignment horizontal="center"/>
    </xf>
    <xf numFmtId="0" fontId="0" fillId="0" borderId="0" xfId="30638" applyFont="1" applyAlignment="1">
      <alignment vertical="center"/>
    </xf>
    <xf numFmtId="0" fontId="10" fillId="0" borderId="0" xfId="30638" applyFont="1" applyAlignment="1">
      <alignment vertical="top"/>
    </xf>
    <xf numFmtId="182" fontId="0" fillId="0" borderId="1" xfId="30638" applyNumberFormat="1" applyFont="1" applyBorder="1" applyAlignment="1">
      <alignment horizontal="center"/>
    </xf>
    <xf numFmtId="171" fontId="0" fillId="0" borderId="1" xfId="30638" applyNumberFormat="1" applyFont="1" applyBorder="1" applyAlignment="1">
      <alignment horizontal="center"/>
    </xf>
    <xf numFmtId="1" fontId="8" fillId="0" borderId="1" xfId="30638" applyNumberFormat="1" applyFont="1" applyBorder="1" applyAlignment="1">
      <alignment horizontal="center"/>
    </xf>
    <xf numFmtId="2" fontId="8" fillId="0" borderId="1" xfId="30638" applyNumberFormat="1" applyFont="1" applyBorder="1" applyAlignment="1">
      <alignment horizontal="center"/>
    </xf>
    <xf numFmtId="2" fontId="14" fillId="0" borderId="1" xfId="30638" applyNumberFormat="1" applyFont="1" applyBorder="1" applyAlignment="1">
      <alignment horizontal="center"/>
    </xf>
    <xf numFmtId="0" fontId="0" fillId="0" borderId="1" xfId="30638" applyFont="1" applyBorder="1" applyAlignment="1">
      <alignment vertical="center"/>
    </xf>
    <xf numFmtId="0" fontId="0" fillId="0" borderId="1" xfId="30638" applyFont="1" applyBorder="1"/>
    <xf numFmtId="0" fontId="10" fillId="0" borderId="1" xfId="30638" applyFont="1" applyBorder="1" applyAlignment="1">
      <alignment vertical="top"/>
    </xf>
    <xf numFmtId="0" fontId="15" fillId="0" borderId="1" xfId="30632" applyFont="1" applyAlignment="1">
      <alignment horizontal="center" vertical="top" wrapText="1" shrinkToFit="1"/>
    </xf>
    <xf numFmtId="0" fontId="10" fillId="0" borderId="1" xfId="30638" applyFont="1" applyBorder="1" applyAlignment="1">
      <alignment horizontal="center" vertical="top" wrapText="1"/>
    </xf>
    <xf numFmtId="0" fontId="0" fillId="0" borderId="1" xfId="30632" applyFont="1" applyAlignment="1">
      <alignment horizontal="center" vertical="top" wrapText="1" shrinkToFit="1"/>
    </xf>
    <xf numFmtId="0" fontId="16" fillId="0" borderId="1" xfId="30632" applyFont="1" applyAlignment="1">
      <alignment vertical="top" wrapText="1" shrinkToFit="1"/>
    </xf>
    <xf numFmtId="0" fontId="17" fillId="0" borderId="1" xfId="30632" applyFont="1" applyAlignment="1">
      <alignment vertical="top" wrapText="1" shrinkToFit="1"/>
    </xf>
    <xf numFmtId="2" fontId="18" fillId="0" borderId="1" xfId="30632" applyNumberFormat="1" applyFont="1" applyAlignment="1">
      <alignment vertical="top" wrapText="1" shrinkToFit="1"/>
    </xf>
    <xf numFmtId="2" fontId="19" fillId="0" borderId="1" xfId="30633" applyNumberFormat="1" applyFont="1" applyFill="1" applyAlignment="1">
      <alignment vertical="top" wrapText="1" shrinkToFit="1"/>
    </xf>
    <xf numFmtId="2" fontId="0" fillId="0" borderId="1" xfId="30632" applyNumberFormat="1" applyFont="1" applyAlignment="1">
      <alignment vertical="top" wrapText="1" shrinkToFit="1"/>
    </xf>
    <xf numFmtId="2" fontId="14" fillId="0" borderId="1" xfId="30632" applyNumberFormat="1" applyFont="1" applyAlignment="1">
      <alignment vertical="top" wrapText="1" shrinkToFit="1"/>
    </xf>
    <xf numFmtId="2" fontId="0" fillId="0" borderId="1" xfId="30632" applyNumberFormat="1" applyFont="1" applyAlignment="1">
      <alignment horizontal="center" vertical="top" wrapText="1" shrinkToFit="1"/>
    </xf>
    <xf numFmtId="2" fontId="20" fillId="0" borderId="1" xfId="30633" applyNumberFormat="1" applyFont="1" applyFill="1" applyAlignment="1">
      <alignment vertical="top" wrapText="1" shrinkToFit="1"/>
    </xf>
    <xf numFmtId="2" fontId="21" fillId="0" borderId="1" xfId="30632" applyNumberFormat="1" applyFont="1" applyAlignment="1">
      <alignment vertical="top"/>
    </xf>
    <xf numFmtId="2" fontId="21" fillId="0" borderId="1" xfId="30632" applyNumberFormat="1" applyFont="1" applyAlignment="1">
      <alignment vertical="top" wrapText="1" shrinkToFit="1"/>
    </xf>
    <xf numFmtId="2" fontId="22" fillId="0" borderId="1" xfId="30633" applyNumberFormat="1" applyFont="1" applyAlignment="1">
      <alignment vertical="top" wrapText="1" shrinkToFit="1"/>
    </xf>
    <xf numFmtId="0" fontId="23" fillId="0" borderId="0" xfId="30638" applyFont="1"/>
    <xf numFmtId="0" fontId="0" fillId="0" borderId="0" xfId="30638" applyFont="1" applyAlignment="1">
      <alignment horizontal="center" wrapText="1"/>
    </xf>
    <xf numFmtId="0" fontId="0" fillId="3" borderId="0" xfId="30638" applyFont="1" applyFill="1" applyAlignment="1">
      <alignment horizontal="center"/>
    </xf>
    <xf numFmtId="168" fontId="0" fillId="0" borderId="0" xfId="30638" applyNumberFormat="1" applyFont="1"/>
    <xf numFmtId="2" fontId="24" fillId="0" borderId="1" xfId="30632" applyNumberFormat="1" applyFont="1" applyAlignment="1">
      <alignment horizontal="center" vertical="top" wrapText="1" shrinkToFit="1"/>
    </xf>
    <xf numFmtId="2" fontId="4" fillId="0" borderId="1" xfId="30632" applyNumberFormat="1" applyFont="1" applyAlignment="1">
      <alignment vertical="top" wrapText="1" shrinkToFit="1"/>
    </xf>
    <xf numFmtId="0" fontId="25" fillId="3" borderId="0" xfId="0" applyFont="1" applyFill="1" applyAlignment="1">
      <alignment vertical="top" wrapText="1"/>
    </xf>
    <xf numFmtId="0" fontId="26" fillId="4" borderId="0" xfId="0" applyFont="1" applyFill="1" applyAlignment="1">
      <alignment vertical="top" wrapText="1"/>
    </xf>
    <xf numFmtId="0" fontId="26" fillId="4" borderId="0" xfId="2753" applyFont="1" applyFill="1" applyAlignment="1">
      <alignment vertical="top" wrapText="1"/>
    </xf>
    <xf numFmtId="0" fontId="26" fillId="4" borderId="0" xfId="2753" applyFont="1" applyFill="1" applyAlignment="1">
      <alignment vertical="center" wrapText="1"/>
    </xf>
    <xf numFmtId="0" fontId="26" fillId="0" borderId="0" xfId="0" applyFont="1" applyAlignment="1">
      <alignment vertical="top" wrapText="1"/>
    </xf>
    <xf numFmtId="0" fontId="26" fillId="0" borderId="0" xfId="0" applyFont="1" applyAlignment="1">
      <alignment vertical="center" wrapText="1"/>
    </xf>
    <xf numFmtId="0" fontId="27" fillId="0" borderId="0" xfId="0" applyFont="1" applyAlignment="1">
      <alignment vertical="center" wrapText="1"/>
    </xf>
    <xf numFmtId="0" fontId="25" fillId="0" borderId="0" xfId="0" applyFont="1" applyAlignment="1">
      <alignment vertical="center" wrapText="1"/>
    </xf>
    <xf numFmtId="0" fontId="26" fillId="0" borderId="0" xfId="30646" applyFont="1" applyAlignment="1">
      <alignment vertical="top" wrapText="1"/>
    </xf>
    <xf numFmtId="0" fontId="26" fillId="0" borderId="0" xfId="30646" applyFont="1" applyAlignment="1">
      <alignment vertical="center" wrapText="1"/>
    </xf>
    <xf numFmtId="0" fontId="3" fillId="0" borderId="0" xfId="0" applyFont="1"/>
    <xf numFmtId="1" fontId="29" fillId="3" borderId="0" xfId="0" applyNumberFormat="1" applyFont="1" applyFill="1" applyAlignment="1">
      <alignment horizontal="left" vertical="top" wrapText="1"/>
    </xf>
    <xf numFmtId="0" fontId="26" fillId="4" borderId="6" xfId="0" applyFont="1" applyFill="1" applyBorder="1" applyAlignment="1">
      <alignment horizontal="center" vertical="top" wrapText="1"/>
    </xf>
    <xf numFmtId="0" fontId="27" fillId="4" borderId="6" xfId="0" applyFont="1" applyFill="1" applyBorder="1" applyAlignment="1">
      <alignment horizontal="left" vertical="top" wrapText="1"/>
    </xf>
    <xf numFmtId="2" fontId="26" fillId="4" borderId="6" xfId="0" applyNumberFormat="1" applyFont="1" applyFill="1" applyBorder="1" applyAlignment="1">
      <alignment horizontal="center" vertical="center" wrapText="1"/>
    </xf>
    <xf numFmtId="2" fontId="27" fillId="4" borderId="6" xfId="0" applyNumberFormat="1" applyFont="1" applyFill="1" applyBorder="1" applyAlignment="1">
      <alignment horizontal="right" vertical="top" wrapText="1"/>
    </xf>
    <xf numFmtId="0" fontId="27" fillId="4" borderId="0" xfId="0" applyFont="1" applyFill="1" applyAlignment="1">
      <alignment horizontal="left" vertical="top" wrapText="1"/>
    </xf>
    <xf numFmtId="0" fontId="26" fillId="4" borderId="6" xfId="2753" applyFont="1" applyFill="1" applyBorder="1" applyAlignment="1">
      <alignment horizontal="center" vertical="top" wrapText="1"/>
    </xf>
    <xf numFmtId="2" fontId="27" fillId="4" borderId="6" xfId="2753" applyNumberFormat="1" applyFont="1" applyFill="1" applyBorder="1" applyAlignment="1">
      <alignment horizontal="left" vertical="top" wrapText="1"/>
    </xf>
    <xf numFmtId="2" fontId="26" fillId="4" borderId="6" xfId="2753" applyNumberFormat="1" applyFont="1" applyFill="1" applyBorder="1" applyAlignment="1">
      <alignment horizontal="center" vertical="center" wrapText="1"/>
    </xf>
    <xf numFmtId="183" fontId="26" fillId="4" borderId="6" xfId="2753" applyNumberFormat="1" applyFont="1" applyFill="1" applyBorder="1" applyAlignment="1">
      <alignment horizontal="center" vertical="top" wrapText="1"/>
    </xf>
    <xf numFmtId="2" fontId="26" fillId="4" borderId="6" xfId="2753" applyNumberFormat="1" applyFont="1" applyFill="1" applyBorder="1" applyAlignment="1">
      <alignment horizontal="right" vertical="top" wrapText="1"/>
    </xf>
    <xf numFmtId="0" fontId="26" fillId="4" borderId="0" xfId="2753" applyFont="1" applyFill="1" applyAlignment="1">
      <alignment horizontal="left" vertical="top" wrapText="1"/>
    </xf>
    <xf numFmtId="184" fontId="27" fillId="4" borderId="6" xfId="2753" applyNumberFormat="1" applyFont="1" applyFill="1" applyBorder="1" applyAlignment="1">
      <alignment horizontal="center" vertical="top" wrapText="1"/>
    </xf>
    <xf numFmtId="2" fontId="26" fillId="4" borderId="0" xfId="2753" applyNumberFormat="1" applyFont="1" applyFill="1" applyAlignment="1">
      <alignment horizontal="left" vertical="top" wrapText="1"/>
    </xf>
    <xf numFmtId="0" fontId="26" fillId="4" borderId="6" xfId="2753" applyFont="1" applyFill="1" applyBorder="1" applyAlignment="1">
      <alignment horizontal="center" vertical="center" wrapText="1"/>
    </xf>
    <xf numFmtId="184" fontId="27" fillId="4" borderId="6" xfId="2753" applyNumberFormat="1" applyFont="1" applyFill="1" applyBorder="1" applyAlignment="1">
      <alignment horizontal="center" vertical="center" wrapText="1"/>
    </xf>
    <xf numFmtId="0" fontId="27" fillId="4" borderId="6" xfId="2753" applyFont="1" applyFill="1" applyBorder="1" applyAlignment="1">
      <alignment horizontal="center" vertical="center" wrapText="1"/>
    </xf>
    <xf numFmtId="2" fontId="26" fillId="4" borderId="6" xfId="2753" applyNumberFormat="1" applyFont="1" applyFill="1" applyBorder="1" applyAlignment="1">
      <alignment horizontal="left" vertical="center" wrapText="1"/>
    </xf>
    <xf numFmtId="183" fontId="26" fillId="4" borderId="6" xfId="2753" applyNumberFormat="1" applyFont="1" applyFill="1" applyBorder="1" applyAlignment="1">
      <alignment horizontal="center" vertical="center" wrapText="1"/>
    </xf>
    <xf numFmtId="2" fontId="26" fillId="4" borderId="6" xfId="2753" applyNumberFormat="1" applyFont="1" applyFill="1" applyBorder="1" applyAlignment="1">
      <alignment horizontal="right" vertical="center" wrapText="1"/>
    </xf>
    <xf numFmtId="0" fontId="26" fillId="4" borderId="0" xfId="2753" applyFont="1" applyFill="1" applyAlignment="1">
      <alignment horizontal="left" vertical="center" wrapText="1"/>
    </xf>
    <xf numFmtId="2" fontId="26" fillId="4" borderId="0" xfId="2753" applyNumberFormat="1" applyFont="1" applyFill="1" applyAlignment="1">
      <alignment horizontal="left" vertical="center" wrapText="1"/>
    </xf>
    <xf numFmtId="2" fontId="27" fillId="4" borderId="0" xfId="2753" applyNumberFormat="1" applyFont="1" applyFill="1" applyAlignment="1">
      <alignment horizontal="left" vertical="top" wrapText="1"/>
    </xf>
    <xf numFmtId="2" fontId="26" fillId="4" borderId="6" xfId="0" applyNumberFormat="1" applyFont="1" applyFill="1" applyBorder="1" applyAlignment="1">
      <alignment horizontal="right" vertical="center" wrapText="1"/>
    </xf>
    <xf numFmtId="2" fontId="26" fillId="4" borderId="0" xfId="0" applyNumberFormat="1" applyFont="1" applyFill="1" applyAlignment="1">
      <alignment horizontal="left" vertical="center" wrapText="1"/>
    </xf>
    <xf numFmtId="2" fontId="26" fillId="4" borderId="6" xfId="31442" applyNumberFormat="1" applyFont="1" applyFill="1" applyBorder="1" applyAlignment="1">
      <alignment horizontal="center" vertical="center" wrapText="1"/>
    </xf>
    <xf numFmtId="2" fontId="27" fillId="4" borderId="6" xfId="2753" applyNumberFormat="1" applyFont="1" applyFill="1" applyBorder="1" applyAlignment="1">
      <alignment horizontal="right" vertical="center" wrapText="1"/>
    </xf>
    <xf numFmtId="177" fontId="27" fillId="4" borderId="0" xfId="2753" applyNumberFormat="1" applyFont="1" applyFill="1" applyAlignment="1">
      <alignment horizontal="left" vertical="center" wrapText="1"/>
    </xf>
    <xf numFmtId="177" fontId="26" fillId="4" borderId="0" xfId="2753" applyNumberFormat="1" applyFont="1" applyFill="1" applyAlignment="1">
      <alignment horizontal="left" vertical="center" wrapText="1"/>
    </xf>
    <xf numFmtId="0" fontId="26" fillId="4" borderId="6" xfId="0" applyFont="1" applyFill="1" applyBorder="1" applyAlignment="1">
      <alignment horizontal="left" vertical="top" wrapText="1"/>
    </xf>
    <xf numFmtId="2" fontId="26" fillId="4" borderId="6" xfId="0" applyNumberFormat="1" applyFont="1" applyFill="1" applyBorder="1" applyAlignment="1">
      <alignment horizontal="right" vertical="top" wrapText="1"/>
    </xf>
    <xf numFmtId="176" fontId="26" fillId="4" borderId="0" xfId="0" applyNumberFormat="1" applyFont="1" applyFill="1" applyAlignment="1">
      <alignment horizontal="left" vertical="top" wrapText="1"/>
    </xf>
    <xf numFmtId="0" fontId="26" fillId="0" borderId="6" xfId="0" applyFont="1" applyBorder="1" applyAlignment="1">
      <alignment horizontal="center" vertical="top" wrapText="1"/>
    </xf>
    <xf numFmtId="176" fontId="26" fillId="0" borderId="0" xfId="0" applyNumberFormat="1" applyFont="1" applyAlignment="1">
      <alignment horizontal="left" vertical="top" wrapText="1"/>
    </xf>
    <xf numFmtId="0" fontId="27" fillId="0" borderId="6" xfId="0" applyFont="1" applyBorder="1" applyAlignment="1">
      <alignment horizontal="center" vertical="top" wrapText="1"/>
    </xf>
    <xf numFmtId="0" fontId="26" fillId="0" borderId="0" xfId="0" applyFont="1" applyAlignment="1">
      <alignment horizontal="left" vertical="top" wrapText="1"/>
    </xf>
    <xf numFmtId="0" fontId="26" fillId="0" borderId="6" xfId="0" applyFont="1" applyBorder="1" applyAlignment="1">
      <alignment horizontal="center" vertical="center" wrapText="1"/>
    </xf>
    <xf numFmtId="2" fontId="26" fillId="0" borderId="6" xfId="0" applyNumberFormat="1" applyFont="1" applyBorder="1" applyAlignment="1">
      <alignment horizontal="left" vertical="center" wrapText="1"/>
    </xf>
    <xf numFmtId="2" fontId="26" fillId="0" borderId="6" xfId="0" applyNumberFormat="1" applyFont="1" applyBorder="1" applyAlignment="1">
      <alignment horizontal="center" vertical="center" wrapText="1"/>
    </xf>
    <xf numFmtId="2" fontId="26" fillId="0" borderId="6" xfId="0" applyNumberFormat="1" applyFont="1" applyBorder="1" applyAlignment="1">
      <alignment horizontal="right" vertical="center" wrapText="1"/>
    </xf>
    <xf numFmtId="176" fontId="26" fillId="0" borderId="0" xfId="0" applyNumberFormat="1" applyFont="1" applyAlignment="1">
      <alignment horizontal="left" vertical="center" wrapText="1"/>
    </xf>
    <xf numFmtId="2" fontId="27" fillId="0" borderId="6" xfId="0" applyNumberFormat="1" applyFont="1" applyBorder="1" applyAlignment="1">
      <alignment horizontal="left" vertical="center" wrapText="1"/>
    </xf>
    <xf numFmtId="183" fontId="26" fillId="0" borderId="6" xfId="0" applyNumberFormat="1" applyFont="1" applyBorder="1" applyAlignment="1">
      <alignment horizontal="center" vertical="center" wrapText="1"/>
    </xf>
    <xf numFmtId="177" fontId="26" fillId="0" borderId="0" xfId="0" applyNumberFormat="1" applyFont="1" applyAlignment="1">
      <alignment horizontal="left" vertical="center" wrapText="1"/>
    </xf>
    <xf numFmtId="10" fontId="26" fillId="0" borderId="6" xfId="0" applyNumberFormat="1" applyFont="1" applyBorder="1" applyAlignment="1">
      <alignment horizontal="center" vertical="center" wrapText="1"/>
    </xf>
    <xf numFmtId="0" fontId="26" fillId="0" borderId="6" xfId="0" applyFont="1" applyBorder="1" applyAlignment="1">
      <alignment horizontal="left" vertical="center" wrapText="1"/>
    </xf>
    <xf numFmtId="2" fontId="26" fillId="0" borderId="0" xfId="0" applyNumberFormat="1" applyFont="1" applyAlignment="1">
      <alignment horizontal="left" vertical="center" wrapText="1"/>
    </xf>
    <xf numFmtId="2" fontId="27" fillId="0" borderId="6" xfId="0" applyNumberFormat="1" applyFont="1" applyBorder="1" applyAlignment="1">
      <alignment horizontal="right" vertical="center" wrapText="1"/>
    </xf>
    <xf numFmtId="2" fontId="27" fillId="0" borderId="0" xfId="0" applyNumberFormat="1" applyFont="1" applyAlignment="1">
      <alignment horizontal="left" vertical="center" wrapText="1"/>
    </xf>
    <xf numFmtId="177" fontId="27" fillId="0" borderId="0" xfId="0" applyNumberFormat="1" applyFont="1" applyAlignment="1">
      <alignment horizontal="left" vertical="center" wrapText="1"/>
    </xf>
    <xf numFmtId="177" fontId="26" fillId="0" borderId="6" xfId="0" applyNumberFormat="1" applyFont="1" applyBorder="1" applyAlignment="1">
      <alignment horizontal="center" vertical="center" wrapText="1"/>
    </xf>
    <xf numFmtId="185" fontId="27" fillId="0" borderId="6" xfId="0" applyNumberFormat="1" applyFont="1" applyBorder="1" applyAlignment="1">
      <alignment horizontal="center" vertical="center" wrapText="1"/>
    </xf>
    <xf numFmtId="0" fontId="27" fillId="0" borderId="6" xfId="0" applyFont="1" applyBorder="1" applyAlignment="1">
      <alignment horizontal="left" vertical="center" wrapText="1"/>
    </xf>
    <xf numFmtId="0" fontId="27" fillId="0" borderId="6" xfId="0" applyFont="1" applyBorder="1" applyAlignment="1">
      <alignment horizontal="center" vertical="center" wrapText="1"/>
    </xf>
    <xf numFmtId="10" fontId="27" fillId="0" borderId="6" xfId="0" applyNumberFormat="1" applyFont="1" applyBorder="1" applyAlignment="1">
      <alignment horizontal="center" vertical="center" wrapText="1"/>
    </xf>
    <xf numFmtId="9" fontId="27" fillId="0" borderId="6" xfId="0" applyNumberFormat="1" applyFont="1" applyBorder="1" applyAlignment="1">
      <alignment horizontal="center" vertical="center" wrapText="1"/>
    </xf>
    <xf numFmtId="177" fontId="26" fillId="4" borderId="0" xfId="2753" applyNumberFormat="1" applyFont="1" applyFill="1" applyAlignment="1">
      <alignment vertical="top" wrapText="1"/>
    </xf>
    <xf numFmtId="177" fontId="26" fillId="4" borderId="0" xfId="2753" applyNumberFormat="1" applyFont="1" applyFill="1" applyAlignment="1">
      <alignment vertical="center" wrapText="1"/>
    </xf>
    <xf numFmtId="177" fontId="27" fillId="4" borderId="0" xfId="2753" applyNumberFormat="1" applyFont="1" applyFill="1" applyAlignment="1">
      <alignment vertical="center" wrapText="1"/>
    </xf>
    <xf numFmtId="2" fontId="27" fillId="0" borderId="6" xfId="0" applyNumberFormat="1" applyFont="1" applyBorder="1" applyAlignment="1">
      <alignment horizontal="center" vertical="center" wrapText="1"/>
    </xf>
    <xf numFmtId="176" fontId="27" fillId="0" borderId="0" xfId="0" applyNumberFormat="1" applyFont="1" applyAlignment="1">
      <alignment horizontal="left" vertical="center" wrapText="1"/>
    </xf>
    <xf numFmtId="0" fontId="25" fillId="0" borderId="6" xfId="0" applyFont="1" applyBorder="1" applyAlignment="1">
      <alignment horizontal="center" vertical="center" wrapText="1"/>
    </xf>
    <xf numFmtId="0" fontId="25" fillId="0" borderId="6" xfId="0" applyFont="1" applyBorder="1" applyAlignment="1">
      <alignment horizontal="left" vertical="center" wrapText="1"/>
    </xf>
    <xf numFmtId="2" fontId="25" fillId="0" borderId="6" xfId="0" applyNumberFormat="1" applyFont="1" applyBorder="1" applyAlignment="1">
      <alignment horizontal="center" vertical="center" wrapText="1"/>
    </xf>
    <xf numFmtId="2" fontId="25" fillId="0" borderId="6" xfId="0" applyNumberFormat="1" applyFont="1" applyBorder="1" applyAlignment="1">
      <alignment horizontal="right" vertical="center" wrapText="1"/>
    </xf>
    <xf numFmtId="176" fontId="25" fillId="0" borderId="0" xfId="0" applyNumberFormat="1" applyFont="1" applyAlignment="1">
      <alignment horizontal="left" vertical="center" wrapText="1"/>
    </xf>
    <xf numFmtId="0" fontId="27" fillId="0" borderId="0" xfId="0" applyFont="1" applyAlignment="1">
      <alignment horizontal="left" vertical="top" wrapText="1"/>
    </xf>
    <xf numFmtId="0" fontId="26" fillId="0" borderId="0" xfId="0" applyFont="1" applyAlignment="1">
      <alignment horizontal="left" vertical="center" wrapText="1"/>
    </xf>
    <xf numFmtId="9" fontId="26" fillId="0" borderId="6" xfId="0" applyNumberFormat="1" applyFont="1" applyBorder="1" applyAlignment="1">
      <alignment horizontal="center" vertical="center" wrapText="1"/>
    </xf>
    <xf numFmtId="0" fontId="26" fillId="0" borderId="6" xfId="30646" applyFont="1" applyBorder="1" applyAlignment="1">
      <alignment horizontal="left" vertical="center" wrapText="1"/>
    </xf>
    <xf numFmtId="171" fontId="26" fillId="0" borderId="6" xfId="0" applyNumberFormat="1" applyFont="1" applyBorder="1" applyAlignment="1">
      <alignment horizontal="center" vertical="center" wrapText="1"/>
    </xf>
    <xf numFmtId="185" fontId="26" fillId="0" borderId="6" xfId="0" applyNumberFormat="1" applyFont="1" applyBorder="1" applyAlignment="1">
      <alignment horizontal="center" vertical="center" wrapText="1"/>
    </xf>
    <xf numFmtId="2" fontId="26" fillId="0" borderId="6" xfId="30646" applyNumberFormat="1" applyFont="1" applyBorder="1" applyAlignment="1">
      <alignment horizontal="center" vertical="center" wrapText="1"/>
    </xf>
    <xf numFmtId="2" fontId="26" fillId="0" borderId="6" xfId="30646" applyNumberFormat="1" applyFont="1" applyBorder="1" applyAlignment="1">
      <alignment horizontal="left" vertical="center" wrapText="1"/>
    </xf>
    <xf numFmtId="2" fontId="27" fillId="0" borderId="6" xfId="30646" applyNumberFormat="1" applyFont="1" applyBorder="1" applyAlignment="1">
      <alignment horizontal="right" vertical="center" wrapText="1"/>
    </xf>
    <xf numFmtId="2" fontId="27" fillId="0" borderId="0" xfId="30646" applyNumberFormat="1" applyFont="1" applyAlignment="1">
      <alignment horizontal="left" vertical="center" wrapText="1"/>
    </xf>
    <xf numFmtId="0" fontId="26" fillId="0" borderId="6" xfId="30646" applyFont="1" applyBorder="1" applyAlignment="1">
      <alignment horizontal="center" vertical="top" wrapText="1"/>
    </xf>
    <xf numFmtId="2" fontId="26" fillId="0" borderId="0" xfId="0" applyNumberFormat="1" applyFont="1" applyAlignment="1">
      <alignment horizontal="left" vertical="top" wrapText="1"/>
    </xf>
    <xf numFmtId="186" fontId="26" fillId="0" borderId="6" xfId="0" applyNumberFormat="1" applyFont="1" applyBorder="1" applyAlignment="1">
      <alignment horizontal="center" vertical="center" wrapText="1"/>
    </xf>
    <xf numFmtId="0" fontId="27" fillId="0" borderId="6" xfId="7064" applyFont="1" applyBorder="1" applyAlignment="1">
      <alignment horizontal="center" vertical="top" wrapText="1"/>
    </xf>
    <xf numFmtId="187" fontId="27" fillId="0" borderId="6" xfId="7064" applyNumberFormat="1" applyFont="1" applyBorder="1" applyAlignment="1">
      <alignment horizontal="center" vertical="top" wrapText="1"/>
    </xf>
    <xf numFmtId="0" fontId="26" fillId="0" borderId="6" xfId="7064" applyFont="1" applyBorder="1" applyAlignment="1">
      <alignment horizontal="center" vertical="top" wrapText="1"/>
    </xf>
    <xf numFmtId="0" fontId="26" fillId="0" borderId="6" xfId="7064" applyFont="1" applyBorder="1" applyAlignment="1">
      <alignment horizontal="center" vertical="center" wrapText="1"/>
    </xf>
    <xf numFmtId="184" fontId="27" fillId="0" borderId="6" xfId="7064" applyNumberFormat="1" applyFont="1" applyBorder="1" applyAlignment="1">
      <alignment horizontal="center" vertical="center" wrapText="1"/>
    </xf>
    <xf numFmtId="0" fontId="26" fillId="0" borderId="6" xfId="6367" applyFont="1" applyBorder="1" applyAlignment="1">
      <alignment horizontal="left" vertical="center" wrapText="1"/>
    </xf>
    <xf numFmtId="2" fontId="27" fillId="0" borderId="6" xfId="7064" applyNumberFormat="1" applyFont="1" applyBorder="1" applyAlignment="1">
      <alignment horizontal="center" vertical="center" wrapText="1"/>
    </xf>
    <xf numFmtId="183" fontId="26" fillId="0" borderId="6" xfId="7064" applyNumberFormat="1" applyFont="1" applyBorder="1" applyAlignment="1">
      <alignment horizontal="center" vertical="center" wrapText="1"/>
    </xf>
    <xf numFmtId="2" fontId="26" fillId="0" borderId="6" xfId="7064" applyNumberFormat="1" applyFont="1" applyBorder="1" applyAlignment="1">
      <alignment horizontal="center" vertical="center" wrapText="1"/>
    </xf>
    <xf numFmtId="0" fontId="30" fillId="0" borderId="6" xfId="6367" applyFont="1" applyBorder="1" applyAlignment="1">
      <alignment horizontal="left" vertical="center" wrapText="1"/>
    </xf>
    <xf numFmtId="176" fontId="26" fillId="0" borderId="0" xfId="30646" applyNumberFormat="1" applyFont="1" applyAlignment="1">
      <alignment vertical="center" wrapText="1"/>
    </xf>
    <xf numFmtId="171" fontId="26" fillId="0" borderId="0" xfId="30646" applyNumberFormat="1" applyFont="1" applyAlignment="1">
      <alignment vertical="center" wrapText="1"/>
    </xf>
    <xf numFmtId="0" fontId="27" fillId="0" borderId="6" xfId="6367" applyFont="1" applyBorder="1" applyAlignment="1">
      <alignment horizontal="left" vertical="center" wrapText="1"/>
    </xf>
    <xf numFmtId="176" fontId="31" fillId="0" borderId="0" xfId="0" applyNumberFormat="1" applyFont="1" applyAlignment="1">
      <alignment horizontal="left" vertical="center" wrapText="1"/>
    </xf>
    <xf numFmtId="188" fontId="26" fillId="0" borderId="6" xfId="6367" applyNumberFormat="1" applyFont="1" applyBorder="1" applyAlignment="1">
      <alignment horizontal="center" vertical="center" wrapText="1"/>
    </xf>
    <xf numFmtId="2" fontId="26" fillId="0" borderId="6" xfId="2752" applyNumberFormat="1" applyFont="1" applyBorder="1" applyAlignment="1">
      <alignment horizontal="center" vertical="center" wrapText="1"/>
    </xf>
    <xf numFmtId="2" fontId="26" fillId="0" borderId="6" xfId="6367" applyNumberFormat="1" applyFont="1" applyBorder="1" applyAlignment="1">
      <alignment horizontal="center" vertical="center" wrapText="1"/>
    </xf>
    <xf numFmtId="189" fontId="26" fillId="0" borderId="6" xfId="6367" applyNumberFormat="1" applyFont="1" applyBorder="1" applyAlignment="1">
      <alignment horizontal="center" vertical="center" wrapText="1"/>
    </xf>
    <xf numFmtId="9" fontId="26" fillId="0" borderId="6" xfId="7064" applyNumberFormat="1" applyFont="1" applyBorder="1" applyAlignment="1">
      <alignment horizontal="center" vertical="center" wrapText="1"/>
    </xf>
    <xf numFmtId="2" fontId="27" fillId="0" borderId="6" xfId="2752" applyNumberFormat="1" applyFont="1" applyBorder="1" applyAlignment="1">
      <alignment horizontal="center" vertical="center" wrapText="1"/>
    </xf>
    <xf numFmtId="185" fontId="26" fillId="0" borderId="6" xfId="31403" applyNumberFormat="1" applyFont="1" applyFill="1" applyBorder="1" applyAlignment="1">
      <alignment horizontal="center" vertical="center" wrapText="1"/>
    </xf>
    <xf numFmtId="0" fontId="27" fillId="0" borderId="6" xfId="7064" applyFont="1" applyBorder="1" applyAlignment="1">
      <alignment horizontal="center" vertical="center" wrapText="1"/>
    </xf>
    <xf numFmtId="187" fontId="27" fillId="0" borderId="6" xfId="7064" applyNumberFormat="1" applyFont="1" applyBorder="1" applyAlignment="1">
      <alignment horizontal="center" vertical="center" wrapText="1"/>
    </xf>
    <xf numFmtId="0" fontId="27" fillId="0" borderId="6" xfId="7064" applyFont="1" applyBorder="1" applyAlignment="1">
      <alignment horizontal="left" vertical="center" wrapText="1"/>
    </xf>
    <xf numFmtId="184" fontId="27" fillId="0" borderId="6" xfId="7064" applyNumberFormat="1" applyFont="1" applyBorder="1" applyAlignment="1">
      <alignment horizontal="center" vertical="top" wrapText="1"/>
    </xf>
    <xf numFmtId="176" fontId="31" fillId="0" borderId="0" xfId="0" applyNumberFormat="1" applyFont="1" applyAlignment="1">
      <alignment horizontal="left" vertical="top" wrapText="1"/>
    </xf>
    <xf numFmtId="2" fontId="27" fillId="0" borderId="6" xfId="7064" applyNumberFormat="1" applyFont="1" applyBorder="1" applyAlignment="1">
      <alignment horizontal="left" vertical="center" wrapText="1"/>
    </xf>
    <xf numFmtId="2" fontId="26" fillId="0" borderId="6" xfId="7064" applyNumberFormat="1" applyFont="1" applyBorder="1" applyAlignment="1">
      <alignment horizontal="left" vertical="center" wrapText="1"/>
    </xf>
    <xf numFmtId="10" fontId="26" fillId="0" borderId="6" xfId="31403" applyNumberFormat="1" applyFont="1" applyFill="1" applyBorder="1" applyAlignment="1">
      <alignment horizontal="center" vertical="center" wrapText="1"/>
    </xf>
    <xf numFmtId="2" fontId="27" fillId="0" borderId="6" xfId="6367" applyNumberFormat="1" applyFont="1" applyBorder="1" applyAlignment="1">
      <alignment horizontal="center" vertical="center" wrapText="1"/>
    </xf>
    <xf numFmtId="0" fontId="27" fillId="0" borderId="6" xfId="6367" applyFont="1" applyBorder="1" applyAlignment="1">
      <alignment vertical="center" wrapText="1"/>
    </xf>
    <xf numFmtId="2" fontId="27" fillId="0" borderId="6" xfId="6367" applyNumberFormat="1" applyFont="1" applyBorder="1" applyAlignment="1">
      <alignment vertical="center" wrapText="1"/>
    </xf>
    <xf numFmtId="0" fontId="26" fillId="0" borderId="6" xfId="7064" applyFont="1" applyBorder="1" applyAlignment="1">
      <alignment horizontal="left" vertical="center" wrapText="1"/>
    </xf>
    <xf numFmtId="2" fontId="26" fillId="0" borderId="6" xfId="2753" applyNumberFormat="1" applyFont="1" applyBorder="1" applyAlignment="1">
      <alignment horizontal="center" vertical="center" wrapText="1"/>
    </xf>
    <xf numFmtId="185" fontId="26" fillId="0" borderId="6" xfId="31404" applyNumberFormat="1" applyFont="1" applyFill="1" applyBorder="1" applyAlignment="1">
      <alignment horizontal="center" vertical="center" wrapText="1"/>
    </xf>
    <xf numFmtId="0" fontId="26" fillId="0" borderId="0" xfId="7064" applyFont="1" applyAlignment="1">
      <alignment horizontal="center" vertical="top" wrapText="1"/>
    </xf>
    <xf numFmtId="184" fontId="27" fillId="0" borderId="0" xfId="7064" applyNumberFormat="1" applyFont="1" applyAlignment="1">
      <alignment horizontal="center" vertical="top" wrapText="1"/>
    </xf>
    <xf numFmtId="0" fontId="26" fillId="0" borderId="0" xfId="7064" applyFont="1" applyAlignment="1">
      <alignment horizontal="left" vertical="top" wrapText="1"/>
    </xf>
    <xf numFmtId="2" fontId="26" fillId="0" borderId="0" xfId="7064" applyNumberFormat="1" applyFont="1" applyAlignment="1">
      <alignment horizontal="center" vertical="top" wrapText="1"/>
    </xf>
    <xf numFmtId="183" fontId="26" fillId="0" borderId="0" xfId="7064" applyNumberFormat="1" applyFont="1" applyAlignment="1">
      <alignment horizontal="center" vertical="top" wrapText="1"/>
    </xf>
    <xf numFmtId="0" fontId="32" fillId="0" borderId="0" xfId="0" applyFont="1" applyAlignment="1">
      <alignment vertical="top"/>
    </xf>
    <xf numFmtId="0" fontId="32" fillId="0" borderId="0" xfId="0" applyFont="1"/>
    <xf numFmtId="0" fontId="33" fillId="0" borderId="0" xfId="0" applyFont="1" applyAlignment="1">
      <alignment horizontal="center" vertical="center"/>
    </xf>
    <xf numFmtId="0" fontId="32" fillId="0" borderId="0" xfId="0" applyFont="1" applyAlignment="1">
      <alignment horizontal="center" vertical="center"/>
    </xf>
    <xf numFmtId="0" fontId="32" fillId="0" borderId="0" xfId="0" applyFont="1" applyAlignment="1">
      <alignment vertical="center"/>
    </xf>
    <xf numFmtId="176" fontId="32" fillId="0" borderId="0" xfId="0" applyNumberFormat="1" applyFont="1" applyAlignment="1">
      <alignment vertical="center"/>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176" fontId="32" fillId="0" borderId="1" xfId="0" applyNumberFormat="1" applyFont="1" applyBorder="1" applyAlignment="1">
      <alignment horizontal="center" vertical="center" wrapText="1"/>
    </xf>
    <xf numFmtId="1" fontId="32" fillId="0" borderId="1" xfId="0" applyNumberFormat="1" applyFont="1" applyBorder="1" applyAlignment="1">
      <alignment horizontal="center" vertical="top"/>
    </xf>
    <xf numFmtId="0" fontId="33" fillId="0" borderId="1" xfId="0" applyFont="1" applyBorder="1" applyAlignment="1">
      <alignment horizontal="center" vertical="top"/>
    </xf>
    <xf numFmtId="0" fontId="33" fillId="0" borderId="1" xfId="0" applyFont="1" applyBorder="1" applyAlignment="1">
      <alignment horizontal="left" vertical="center" wrapText="1"/>
    </xf>
    <xf numFmtId="0" fontId="33" fillId="0" borderId="1" xfId="0" applyFont="1" applyBorder="1" applyAlignment="1">
      <alignment horizontal="left" vertical="center"/>
    </xf>
    <xf numFmtId="0" fontId="33" fillId="0" borderId="1" xfId="0" applyFont="1" applyBorder="1" applyAlignment="1">
      <alignment horizontal="center" vertical="center" wrapText="1"/>
    </xf>
    <xf numFmtId="0" fontId="33" fillId="0" borderId="1" xfId="0" applyFont="1" applyBorder="1" applyAlignment="1">
      <alignment horizontal="right" vertical="center" wrapText="1"/>
    </xf>
    <xf numFmtId="0" fontId="34" fillId="0" borderId="1" xfId="0" applyFont="1" applyBorder="1" applyAlignment="1">
      <alignment horizontal="left" vertical="center"/>
    </xf>
    <xf numFmtId="0" fontId="33" fillId="0" borderId="1" xfId="0" applyFont="1" applyBorder="1" applyAlignment="1">
      <alignment horizontal="center" vertical="center"/>
    </xf>
    <xf numFmtId="0" fontId="32" fillId="0" borderId="1" xfId="0" applyFont="1" applyBorder="1" applyAlignment="1">
      <alignment vertical="center"/>
    </xf>
    <xf numFmtId="2" fontId="32" fillId="0" borderId="1" xfId="0" applyNumberFormat="1" applyFont="1" applyBorder="1" applyAlignment="1">
      <alignment horizontal="center" vertical="center"/>
    </xf>
    <xf numFmtId="0" fontId="32" fillId="0" borderId="1" xfId="0" applyFont="1" applyBorder="1" applyAlignment="1">
      <alignment horizontal="left" vertical="center"/>
    </xf>
    <xf numFmtId="2" fontId="32" fillId="0" borderId="1" xfId="0" applyNumberFormat="1" applyFont="1" applyBorder="1" applyAlignment="1">
      <alignment horizontal="right" vertical="center"/>
    </xf>
    <xf numFmtId="9" fontId="32" fillId="0" borderId="1" xfId="0" applyNumberFormat="1" applyFont="1" applyBorder="1" applyAlignment="1">
      <alignment horizontal="center" vertical="center"/>
    </xf>
    <xf numFmtId="2" fontId="33" fillId="0" borderId="1" xfId="0" applyNumberFormat="1" applyFont="1" applyBorder="1" applyAlignment="1">
      <alignment horizontal="right" vertical="center"/>
    </xf>
    <xf numFmtId="2" fontId="32" fillId="0" borderId="1" xfId="0" applyNumberFormat="1" applyFont="1" applyBorder="1" applyAlignment="1">
      <alignment horizontal="center" vertical="center" wrapText="1"/>
    </xf>
    <xf numFmtId="0" fontId="32" fillId="0" borderId="1" xfId="0" applyFont="1" applyBorder="1" applyAlignment="1">
      <alignment horizontal="left" vertical="center" wrapText="1"/>
    </xf>
    <xf numFmtId="2" fontId="32" fillId="0" borderId="1" xfId="0" applyNumberFormat="1" applyFont="1" applyBorder="1" applyAlignment="1">
      <alignment horizontal="right" vertical="center" wrapText="1"/>
    </xf>
    <xf numFmtId="0" fontId="33" fillId="0" borderId="1" xfId="0" applyFont="1" applyBorder="1" applyAlignment="1" applyProtection="1">
      <alignment horizontal="left" vertical="center"/>
      <protection hidden="1"/>
    </xf>
    <xf numFmtId="0" fontId="32" fillId="0" borderId="1" xfId="0" applyFont="1" applyBorder="1" applyAlignment="1">
      <alignment horizontal="right" vertical="center"/>
    </xf>
    <xf numFmtId="0" fontId="33" fillId="0" borderId="1" xfId="0" applyFont="1" applyBorder="1" applyAlignment="1">
      <alignment vertical="top"/>
    </xf>
    <xf numFmtId="185" fontId="32" fillId="0" borderId="1" xfId="0" applyNumberFormat="1" applyFont="1" applyBorder="1" applyAlignment="1">
      <alignment horizontal="center" vertical="center"/>
    </xf>
    <xf numFmtId="2" fontId="32" fillId="0" borderId="1" xfId="0" applyNumberFormat="1" applyFont="1" applyBorder="1" applyAlignment="1">
      <alignment vertical="center"/>
    </xf>
    <xf numFmtId="10" fontId="33" fillId="0" borderId="1" xfId="0" applyNumberFormat="1" applyFont="1" applyBorder="1" applyAlignment="1">
      <alignment horizontal="center" vertical="center"/>
    </xf>
    <xf numFmtId="0" fontId="32" fillId="0" borderId="1" xfId="0" applyFont="1" applyBorder="1" applyAlignment="1">
      <alignment horizontal="left" vertical="top"/>
    </xf>
    <xf numFmtId="2" fontId="34" fillId="0" borderId="1" xfId="0" applyNumberFormat="1" applyFont="1" applyBorder="1" applyAlignment="1">
      <alignment horizontal="right" vertical="center"/>
    </xf>
    <xf numFmtId="1" fontId="33" fillId="0" borderId="1" xfId="0" applyNumberFormat="1" applyFont="1" applyBorder="1" applyAlignment="1">
      <alignment horizontal="right" vertical="center"/>
    </xf>
    <xf numFmtId="2" fontId="32" fillId="0" borderId="1" xfId="0" applyNumberFormat="1" applyFont="1" applyBorder="1" applyAlignment="1">
      <alignment horizontal="left" vertical="center"/>
    </xf>
    <xf numFmtId="2" fontId="32" fillId="3" borderId="1" xfId="0" applyNumberFormat="1" applyFont="1" applyFill="1" applyBorder="1" applyAlignment="1">
      <alignment horizontal="center" vertical="center"/>
    </xf>
    <xf numFmtId="2" fontId="32" fillId="0" borderId="1" xfId="0" applyNumberFormat="1" applyFont="1" applyBorder="1" applyAlignment="1">
      <alignment horizontal="right"/>
    </xf>
    <xf numFmtId="0" fontId="33" fillId="0" borderId="1" xfId="0" applyFont="1" applyBorder="1" applyAlignment="1">
      <alignment vertical="center"/>
    </xf>
    <xf numFmtId="2" fontId="33" fillId="0" borderId="1" xfId="0" applyNumberFormat="1" applyFont="1" applyBorder="1" applyAlignment="1">
      <alignment vertical="center"/>
    </xf>
    <xf numFmtId="0" fontId="35" fillId="0" borderId="1" xfId="0" applyFont="1" applyBorder="1" applyAlignment="1">
      <alignment horizontal="left" vertical="center" wrapText="1"/>
    </xf>
    <xf numFmtId="2" fontId="32" fillId="0" borderId="0" xfId="0" applyNumberFormat="1" applyFont="1" applyAlignment="1">
      <alignment vertical="center"/>
    </xf>
    <xf numFmtId="10" fontId="32" fillId="0" borderId="1" xfId="2" applyNumberFormat="1" applyFont="1" applyFill="1" applyBorder="1" applyAlignment="1">
      <alignment horizontal="center" vertical="center"/>
    </xf>
    <xf numFmtId="2" fontId="34" fillId="0" borderId="1" xfId="0" applyNumberFormat="1" applyFont="1" applyBorder="1" applyAlignment="1">
      <alignment vertical="center"/>
    </xf>
    <xf numFmtId="2" fontId="33" fillId="0" borderId="1" xfId="0" applyNumberFormat="1" applyFont="1" applyBorder="1" applyAlignment="1">
      <alignment horizontal="center" vertical="center"/>
    </xf>
    <xf numFmtId="1" fontId="33" fillId="0" borderId="1" xfId="0" applyNumberFormat="1" applyFont="1" applyBorder="1" applyAlignment="1">
      <alignment horizontal="center" vertical="top"/>
    </xf>
    <xf numFmtId="2" fontId="33" fillId="0" borderId="1" xfId="0" applyNumberFormat="1" applyFont="1" applyBorder="1" applyAlignment="1">
      <alignment horizontal="left" vertical="center" wrapText="1"/>
    </xf>
    <xf numFmtId="1" fontId="33" fillId="0" borderId="1" xfId="0" applyNumberFormat="1" applyFont="1" applyBorder="1" applyAlignment="1">
      <alignment horizontal="center" vertical="top" wrapText="1"/>
    </xf>
    <xf numFmtId="2" fontId="32" fillId="0" borderId="1" xfId="0" applyNumberFormat="1" applyFont="1" applyBorder="1" applyAlignment="1">
      <alignment vertical="center" shrinkToFit="1"/>
    </xf>
    <xf numFmtId="0" fontId="32" fillId="0" borderId="0" xfId="0" applyFont="1" applyAlignment="1" applyProtection="1">
      <alignment vertical="center" wrapText="1"/>
      <protection locked="0"/>
    </xf>
    <xf numFmtId="0" fontId="33" fillId="3" borderId="1" xfId="0" applyFont="1" applyFill="1" applyBorder="1" applyAlignment="1">
      <alignment horizontal="left" vertical="center"/>
    </xf>
    <xf numFmtId="0" fontId="33" fillId="0" borderId="1" xfId="0" applyFont="1" applyBorder="1" applyAlignment="1">
      <alignment horizontal="right" vertical="center"/>
    </xf>
    <xf numFmtId="9" fontId="32" fillId="0" borderId="1" xfId="0" applyNumberFormat="1" applyFont="1" applyBorder="1" applyAlignment="1">
      <alignment horizontal="right" vertical="center"/>
    </xf>
    <xf numFmtId="0" fontId="35" fillId="5" borderId="1" xfId="0" applyFont="1" applyFill="1" applyBorder="1" applyAlignment="1">
      <alignment horizontal="left" vertical="top" wrapText="1"/>
    </xf>
    <xf numFmtId="171" fontId="32" fillId="0" borderId="1" xfId="0" applyNumberFormat="1" applyFont="1" applyBorder="1" applyAlignment="1">
      <alignment horizontal="right" vertical="center"/>
    </xf>
    <xf numFmtId="2" fontId="32" fillId="3" borderId="1" xfId="0" applyNumberFormat="1" applyFont="1" applyFill="1" applyBorder="1" applyAlignment="1">
      <alignment horizontal="right" vertical="center"/>
    </xf>
    <xf numFmtId="185" fontId="32" fillId="0" borderId="1" xfId="0" applyNumberFormat="1" applyFont="1" applyBorder="1" applyAlignment="1">
      <alignment horizontal="right" vertical="center"/>
    </xf>
    <xf numFmtId="0" fontId="33" fillId="0" borderId="1" xfId="0" applyFont="1" applyBorder="1" applyAlignment="1">
      <alignment horizontal="left" vertical="top"/>
    </xf>
    <xf numFmtId="1" fontId="33" fillId="0" borderId="1" xfId="0" applyNumberFormat="1" applyFont="1" applyBorder="1" applyAlignment="1" applyProtection="1">
      <alignment horizontal="center" vertical="top" wrapText="1"/>
      <protection hidden="1"/>
    </xf>
    <xf numFmtId="0" fontId="33" fillId="0" borderId="1" xfId="0" applyFont="1" applyBorder="1" applyAlignment="1" applyProtection="1">
      <alignment horizontal="center" vertical="top"/>
      <protection hidden="1"/>
    </xf>
    <xf numFmtId="0" fontId="32" fillId="0" borderId="1" xfId="0" applyFont="1" applyBorder="1" applyAlignment="1" applyProtection="1">
      <alignment horizontal="center" vertical="center"/>
      <protection hidden="1"/>
    </xf>
    <xf numFmtId="0" fontId="32" fillId="0" borderId="1" xfId="0" applyFont="1" applyBorder="1" applyAlignment="1" applyProtection="1">
      <alignment horizontal="center"/>
      <protection hidden="1"/>
    </xf>
    <xf numFmtId="0" fontId="32" fillId="0" borderId="1" xfId="0" applyFont="1" applyBorder="1" applyAlignment="1" applyProtection="1">
      <alignment horizontal="right"/>
      <protection hidden="1"/>
    </xf>
    <xf numFmtId="2" fontId="33" fillId="0" borderId="1" xfId="0" applyNumberFormat="1" applyFont="1" applyBorder="1" applyAlignment="1" applyProtection="1">
      <alignment horizontal="left" vertical="center"/>
      <protection hidden="1"/>
    </xf>
    <xf numFmtId="2" fontId="32" fillId="0" borderId="1" xfId="0" applyNumberFormat="1" applyFont="1" applyBorder="1" applyAlignment="1" applyProtection="1">
      <alignment horizontal="center"/>
      <protection hidden="1"/>
    </xf>
    <xf numFmtId="0" fontId="33" fillId="0" borderId="1" xfId="0" applyFont="1" applyBorder="1" applyAlignment="1" applyProtection="1">
      <alignment horizontal="center"/>
      <protection hidden="1"/>
    </xf>
    <xf numFmtId="171" fontId="32" fillId="0" borderId="1" xfId="0" applyNumberFormat="1" applyFont="1" applyBorder="1" applyAlignment="1" applyProtection="1">
      <alignment horizontal="center" vertical="center"/>
      <protection hidden="1"/>
    </xf>
    <xf numFmtId="2" fontId="32" fillId="0" borderId="1" xfId="0" applyNumberFormat="1" applyFont="1" applyBorder="1" applyAlignment="1" applyProtection="1">
      <alignment horizontal="left" vertical="center"/>
      <protection hidden="1"/>
    </xf>
    <xf numFmtId="2" fontId="32" fillId="0" borderId="1" xfId="0" applyNumberFormat="1" applyFont="1" applyBorder="1" applyAlignment="1" applyProtection="1">
      <alignment horizontal="center" vertical="top"/>
      <protection hidden="1"/>
    </xf>
    <xf numFmtId="2" fontId="32" fillId="0" borderId="1" xfId="0" applyNumberFormat="1" applyFont="1" applyBorder="1" applyAlignment="1" applyProtection="1">
      <alignment horizontal="right"/>
      <protection hidden="1"/>
    </xf>
    <xf numFmtId="2" fontId="32" fillId="0" borderId="1" xfId="0" applyNumberFormat="1" applyFont="1" applyBorder="1" applyAlignment="1" applyProtection="1">
      <alignment horizontal="center" vertical="center"/>
      <protection hidden="1"/>
    </xf>
    <xf numFmtId="0" fontId="32" fillId="0" borderId="1" xfId="0" applyFont="1" applyBorder="1" applyAlignment="1" applyProtection="1">
      <alignment horizontal="left" vertical="center"/>
      <protection hidden="1"/>
    </xf>
    <xf numFmtId="2" fontId="33" fillId="0" borderId="1" xfId="0" applyNumberFormat="1" applyFont="1" applyBorder="1" applyAlignment="1" applyProtection="1">
      <alignment horizontal="center"/>
      <protection hidden="1"/>
    </xf>
    <xf numFmtId="2" fontId="33" fillId="0" borderId="1" xfId="0" applyNumberFormat="1" applyFont="1" applyBorder="1" applyAlignment="1" applyProtection="1">
      <alignment horizontal="right"/>
      <protection hidden="1"/>
    </xf>
    <xf numFmtId="0" fontId="32" fillId="0" borderId="1" xfId="0" applyFont="1" applyBorder="1" applyAlignment="1" applyProtection="1">
      <alignment horizontal="center" vertical="top"/>
      <protection hidden="1"/>
    </xf>
    <xf numFmtId="2" fontId="32" fillId="0" borderId="1" xfId="0" applyNumberFormat="1" applyFont="1" applyBorder="1" applyAlignment="1" applyProtection="1">
      <alignment horizontal="right" vertical="top"/>
      <protection hidden="1"/>
    </xf>
    <xf numFmtId="1" fontId="33" fillId="0" borderId="1" xfId="0" applyNumberFormat="1" applyFont="1" applyBorder="1" applyAlignment="1" applyProtection="1">
      <alignment horizontal="center" vertical="center" wrapText="1"/>
      <protection hidden="1"/>
    </xf>
    <xf numFmtId="0" fontId="33" fillId="0" borderId="1" xfId="0" applyFont="1" applyBorder="1" applyAlignment="1" applyProtection="1">
      <alignment horizontal="center" vertical="center"/>
      <protection hidden="1"/>
    </xf>
    <xf numFmtId="0" fontId="32" fillId="0" borderId="1" xfId="0" applyFont="1" applyBorder="1" applyAlignment="1" applyProtection="1">
      <alignment horizontal="right" vertical="center"/>
      <protection hidden="1"/>
    </xf>
    <xf numFmtId="2" fontId="32" fillId="0" borderId="1" xfId="0" applyNumberFormat="1" applyFont="1" applyBorder="1" applyAlignment="1" applyProtection="1">
      <alignment horizontal="right" vertical="center"/>
      <protection hidden="1"/>
    </xf>
    <xf numFmtId="2" fontId="33" fillId="0" borderId="1" xfId="0" applyNumberFormat="1" applyFont="1" applyBorder="1" applyAlignment="1" applyProtection="1">
      <alignment horizontal="center" vertical="center"/>
      <protection hidden="1"/>
    </xf>
    <xf numFmtId="2" fontId="33" fillId="0" borderId="1" xfId="0" applyNumberFormat="1" applyFont="1" applyBorder="1" applyAlignment="1" applyProtection="1">
      <alignment horizontal="right" vertical="center"/>
      <protection hidden="1"/>
    </xf>
    <xf numFmtId="0" fontId="32" fillId="0" borderId="1" xfId="0" applyFont="1" applyBorder="1" applyAlignment="1" applyProtection="1">
      <alignment horizontal="left" vertical="center" wrapText="1"/>
      <protection hidden="1"/>
    </xf>
    <xf numFmtId="176" fontId="32" fillId="0" borderId="1" xfId="0" applyNumberFormat="1" applyFont="1" applyBorder="1" applyAlignment="1">
      <alignment vertical="center"/>
    </xf>
    <xf numFmtId="0" fontId="33" fillId="0" borderId="1" xfId="0" applyFont="1" applyBorder="1" applyAlignment="1" applyProtection="1">
      <alignment horizontal="center" vertical="center" wrapText="1"/>
      <protection hidden="1"/>
    </xf>
    <xf numFmtId="176" fontId="32" fillId="0" borderId="1" xfId="0" applyNumberFormat="1" applyFont="1" applyBorder="1" applyAlignment="1">
      <alignment horizontal="right" vertical="center"/>
    </xf>
    <xf numFmtId="0" fontId="33" fillId="0" borderId="1" xfId="0" applyFont="1" applyBorder="1" applyAlignment="1" applyProtection="1">
      <alignment vertical="center"/>
      <protection hidden="1"/>
    </xf>
    <xf numFmtId="2" fontId="34" fillId="0" borderId="1" xfId="0" applyNumberFormat="1" applyFont="1" applyBorder="1" applyAlignment="1">
      <alignment horizontal="center" vertical="center"/>
    </xf>
    <xf numFmtId="0" fontId="33" fillId="0" borderId="0" xfId="0" applyFont="1" applyAlignment="1">
      <alignment vertical="center"/>
    </xf>
    <xf numFmtId="2" fontId="32" fillId="0" borderId="0" xfId="0" applyNumberFormat="1" applyFont="1" applyAlignment="1">
      <alignment horizontal="center" vertical="center"/>
    </xf>
    <xf numFmtId="2" fontId="33" fillId="0" borderId="0" xfId="0" applyNumberFormat="1" applyFont="1" applyAlignment="1">
      <alignment horizontal="center" vertical="center"/>
    </xf>
    <xf numFmtId="2" fontId="32" fillId="0" borderId="0" xfId="0" applyNumberFormat="1" applyFont="1" applyAlignment="1">
      <alignment horizontal="left" vertical="center"/>
    </xf>
    <xf numFmtId="0" fontId="32" fillId="0" borderId="0" xfId="0" applyFont="1" applyAlignment="1">
      <alignment horizontal="left" vertical="center"/>
    </xf>
    <xf numFmtId="0" fontId="4" fillId="0" borderId="0" xfId="0" applyFont="1" applyAlignment="1">
      <alignment horizontal="center"/>
    </xf>
    <xf numFmtId="0" fontId="0" fillId="0" borderId="0" xfId="0" applyAlignment="1">
      <alignment horizontal="center"/>
    </xf>
    <xf numFmtId="0" fontId="0" fillId="0" borderId="0" xfId="0" applyAlignment="1">
      <alignment wrapText="1"/>
    </xf>
    <xf numFmtId="2" fontId="0" fillId="0" borderId="0" xfId="0" applyNumberFormat="1" applyAlignment="1">
      <alignment horizontal="center"/>
    </xf>
    <xf numFmtId="0" fontId="2" fillId="0" borderId="1" xfId="0" applyFont="1" applyBorder="1" applyAlignment="1">
      <alignment horizontal="center"/>
    </xf>
    <xf numFmtId="0" fontId="36" fillId="0" borderId="0" xfId="0" applyFont="1" applyAlignment="1">
      <alignment horizontal="center"/>
    </xf>
    <xf numFmtId="0" fontId="36" fillId="0" borderId="1" xfId="0" applyFont="1" applyBorder="1" applyAlignment="1">
      <alignment horizontal="center"/>
    </xf>
    <xf numFmtId="0" fontId="36" fillId="0" borderId="1" xfId="0" applyFont="1" applyBorder="1" applyAlignment="1">
      <alignment horizontal="center" wrapText="1"/>
    </xf>
    <xf numFmtId="0" fontId="37" fillId="0" borderId="2" xfId="0" applyFont="1" applyBorder="1" applyAlignment="1">
      <alignment horizontal="center" wrapText="1"/>
    </xf>
    <xf numFmtId="0" fontId="37" fillId="0" borderId="0" xfId="0" applyFont="1" applyAlignment="1">
      <alignment horizontal="center" wrapText="1"/>
    </xf>
    <xf numFmtId="2" fontId="2" fillId="0" borderId="2" xfId="0" applyNumberFormat="1" applyFont="1" applyBorder="1" applyAlignment="1">
      <alignment horizontal="center" wrapText="1"/>
    </xf>
    <xf numFmtId="2" fontId="36" fillId="0" borderId="1" xfId="0" applyNumberFormat="1" applyFont="1" applyBorder="1"/>
    <xf numFmtId="0" fontId="2" fillId="3" borderId="1" xfId="0" applyFont="1" applyFill="1" applyBorder="1" applyAlignment="1">
      <alignment horizontal="center" vertical="center" wrapText="1"/>
    </xf>
    <xf numFmtId="0" fontId="2" fillId="0" borderId="1" xfId="0" applyFont="1" applyBorder="1" applyAlignment="1">
      <alignment wrapText="1"/>
    </xf>
    <xf numFmtId="2" fontId="36" fillId="3" borderId="1" xfId="0" applyNumberFormat="1" applyFont="1" applyFill="1" applyBorder="1" applyAlignment="1">
      <alignment horizontal="center"/>
    </xf>
    <xf numFmtId="2" fontId="36" fillId="0" borderId="4" xfId="0" applyNumberFormat="1" applyFont="1" applyBorder="1"/>
    <xf numFmtId="0" fontId="36" fillId="0" borderId="4" xfId="0" applyFont="1" applyBorder="1" applyAlignment="1">
      <alignment horizontal="center"/>
    </xf>
    <xf numFmtId="0" fontId="36" fillId="0" borderId="1" xfId="0" applyFont="1" applyBorder="1" applyAlignment="1">
      <alignment wrapText="1"/>
    </xf>
    <xf numFmtId="2" fontId="38" fillId="0" borderId="1" xfId="0" applyNumberFormat="1" applyFont="1" applyBorder="1" applyAlignment="1">
      <alignment horizontal="center" wrapText="1"/>
    </xf>
    <xf numFmtId="2" fontId="36" fillId="0" borderId="1" xfId="0" applyNumberFormat="1" applyFont="1" applyBorder="1" applyAlignment="1">
      <alignment horizontal="center" wrapText="1"/>
    </xf>
    <xf numFmtId="2" fontId="39" fillId="0" borderId="1" xfId="0" applyNumberFormat="1" applyFont="1" applyBorder="1" applyAlignment="1">
      <alignment horizontal="center" wrapText="1"/>
    </xf>
    <xf numFmtId="0" fontId="40" fillId="0" borderId="1" xfId="0" applyFont="1" applyBorder="1" applyAlignment="1">
      <alignment horizontal="left" wrapText="1"/>
    </xf>
    <xf numFmtId="2" fontId="38" fillId="3" borderId="1" xfId="0" applyNumberFormat="1" applyFont="1" applyFill="1" applyBorder="1" applyAlignment="1">
      <alignment horizontal="center" wrapText="1"/>
    </xf>
    <xf numFmtId="0" fontId="38" fillId="0" borderId="1" xfId="0" applyFont="1" applyBorder="1" applyAlignment="1">
      <alignment horizontal="center"/>
    </xf>
    <xf numFmtId="2" fontId="38" fillId="0" borderId="1" xfId="0" applyNumberFormat="1" applyFont="1" applyBorder="1" applyAlignment="1">
      <alignment horizontal="center"/>
    </xf>
    <xf numFmtId="2" fontId="36" fillId="0" borderId="1" xfId="0" applyNumberFormat="1" applyFont="1" applyBorder="1" applyAlignment="1">
      <alignment horizontal="center"/>
    </xf>
    <xf numFmtId="2" fontId="39" fillId="0" borderId="1" xfId="0" applyNumberFormat="1" applyFont="1" applyBorder="1" applyAlignment="1">
      <alignment horizontal="center"/>
    </xf>
    <xf numFmtId="0" fontId="36" fillId="0" borderId="1" xfId="0" applyFont="1" applyBorder="1" applyAlignment="1">
      <alignment horizontal="left" wrapText="1"/>
    </xf>
    <xf numFmtId="0" fontId="9" fillId="0" borderId="1" xfId="0" applyFont="1" applyBorder="1" applyAlignment="1">
      <alignment horizontal="center"/>
    </xf>
    <xf numFmtId="2" fontId="9" fillId="0" borderId="1" xfId="0" applyNumberFormat="1" applyFont="1" applyBorder="1" applyAlignment="1">
      <alignment horizontal="center"/>
    </xf>
    <xf numFmtId="0" fontId="6" fillId="0" borderId="1" xfId="0" applyFont="1" applyBorder="1" applyAlignment="1">
      <alignment horizontal="center"/>
    </xf>
    <xf numFmtId="0" fontId="41" fillId="0" borderId="0" xfId="0" applyFont="1"/>
    <xf numFmtId="0" fontId="4" fillId="3" borderId="1" xfId="0" applyFont="1" applyFill="1" applyBorder="1" applyAlignment="1">
      <alignment horizontal="center"/>
    </xf>
    <xf numFmtId="2" fontId="42" fillId="3" borderId="1" xfId="0" applyNumberFormat="1" applyFont="1" applyFill="1" applyBorder="1" applyAlignment="1">
      <alignment horizontal="center" wrapText="1"/>
    </xf>
    <xf numFmtId="2" fontId="43" fillId="0" borderId="1" xfId="0" applyNumberFormat="1" applyFont="1" applyBorder="1" applyAlignment="1">
      <alignment horizontal="center" wrapText="1"/>
    </xf>
    <xf numFmtId="0" fontId="36" fillId="0" borderId="1" xfId="0" applyFont="1" applyBorder="1"/>
    <xf numFmtId="2" fontId="42" fillId="6" borderId="1" xfId="0" applyNumberFormat="1" applyFont="1" applyFill="1" applyBorder="1" applyAlignment="1">
      <alignment horizontal="center" vertical="center" wrapText="1"/>
    </xf>
    <xf numFmtId="2" fontId="42" fillId="6" borderId="1" xfId="0" applyNumberFormat="1" applyFont="1" applyFill="1" applyBorder="1" applyAlignment="1">
      <alignment horizontal="center"/>
    </xf>
    <xf numFmtId="0" fontId="0" fillId="0" borderId="1" xfId="0" applyBorder="1" applyAlignment="1">
      <alignment horizontal="center"/>
    </xf>
    <xf numFmtId="0" fontId="3" fillId="0" borderId="1" xfId="0" applyFont="1" applyBorder="1"/>
    <xf numFmtId="182" fontId="9" fillId="0" borderId="1" xfId="0" applyNumberFormat="1" applyFont="1" applyBorder="1" applyAlignment="1">
      <alignment horizontal="center"/>
    </xf>
    <xf numFmtId="0" fontId="3" fillId="3" borderId="1" xfId="0" applyFont="1" applyFill="1" applyBorder="1"/>
    <xf numFmtId="2" fontId="42" fillId="5" borderId="1" xfId="0" applyNumberFormat="1" applyFont="1" applyFill="1" applyBorder="1" applyAlignment="1">
      <alignment horizontal="center"/>
    </xf>
    <xf numFmtId="0" fontId="0" fillId="0" borderId="1" xfId="0" applyBorder="1"/>
    <xf numFmtId="0" fontId="4" fillId="0" borderId="1" xfId="0" applyFont="1" applyBorder="1" applyAlignment="1">
      <alignment horizontal="center" vertical="center"/>
    </xf>
    <xf numFmtId="182" fontId="2" fillId="3" borderId="1" xfId="0" applyNumberFormat="1" applyFont="1" applyFill="1" applyBorder="1" applyAlignment="1">
      <alignment horizontal="center" vertical="center"/>
    </xf>
    <xf numFmtId="0" fontId="4" fillId="0" borderId="0" xfId="0" applyFont="1"/>
    <xf numFmtId="0" fontId="4" fillId="0" borderId="0" xfId="0" applyFont="1" applyAlignment="1">
      <alignment wrapText="1"/>
    </xf>
    <xf numFmtId="0" fontId="4" fillId="0" borderId="1" xfId="0" applyFont="1" applyBorder="1" applyAlignment="1">
      <alignment vertical="center"/>
    </xf>
    <xf numFmtId="190" fontId="4" fillId="0" borderId="1" xfId="0" applyNumberFormat="1" applyFont="1" applyBorder="1" applyAlignment="1">
      <alignment vertical="center" wrapText="1"/>
    </xf>
    <xf numFmtId="0" fontId="36" fillId="0" borderId="0" xfId="0" applyFont="1"/>
    <xf numFmtId="2" fontId="36" fillId="0" borderId="0" xfId="0" applyNumberFormat="1" applyFont="1" applyAlignment="1">
      <alignment horizontal="center" wrapText="1"/>
    </xf>
    <xf numFmtId="2" fontId="42" fillId="0" borderId="1" xfId="0" applyNumberFormat="1" applyFont="1" applyBorder="1" applyAlignment="1">
      <alignment horizontal="center" wrapText="1"/>
    </xf>
    <xf numFmtId="2" fontId="0" fillId="0" borderId="0" xfId="0" applyNumberFormat="1"/>
    <xf numFmtId="2" fontId="44" fillId="3" borderId="1" xfId="0" applyNumberFormat="1" applyFont="1" applyFill="1" applyBorder="1" applyAlignment="1">
      <alignment horizontal="center" wrapText="1"/>
    </xf>
    <xf numFmtId="0" fontId="43" fillId="0" borderId="1" xfId="0" applyFont="1" applyBorder="1" applyAlignment="1">
      <alignment horizontal="center"/>
    </xf>
    <xf numFmtId="176" fontId="0" fillId="0" borderId="0" xfId="0" applyNumberFormat="1"/>
    <xf numFmtId="2" fontId="44" fillId="0" borderId="1" xfId="0" applyNumberFormat="1" applyFont="1" applyBorder="1" applyAlignment="1">
      <alignment horizontal="center"/>
    </xf>
    <xf numFmtId="2" fontId="43" fillId="0" borderId="1" xfId="0" applyNumberFormat="1" applyFont="1" applyBorder="1" applyAlignment="1">
      <alignment horizontal="center"/>
    </xf>
    <xf numFmtId="2" fontId="36" fillId="7" borderId="1" xfId="0" applyNumberFormat="1" applyFont="1" applyFill="1" applyBorder="1" applyAlignment="1">
      <alignment horizontal="center"/>
    </xf>
    <xf numFmtId="2" fontId="42" fillId="7" borderId="1" xfId="0" applyNumberFormat="1" applyFont="1" applyFill="1" applyBorder="1" applyAlignment="1">
      <alignment horizontal="center"/>
    </xf>
    <xf numFmtId="2" fontId="42" fillId="0" borderId="1" xfId="0" applyNumberFormat="1" applyFont="1" applyBorder="1" applyAlignment="1">
      <alignment horizontal="center"/>
    </xf>
    <xf numFmtId="2" fontId="42" fillId="3" borderId="1" xfId="0" applyNumberFormat="1" applyFont="1" applyFill="1" applyBorder="1" applyAlignment="1">
      <alignment horizontal="center"/>
    </xf>
    <xf numFmtId="1" fontId="0" fillId="0" borderId="0" xfId="0" applyNumberFormat="1"/>
    <xf numFmtId="2" fontId="45" fillId="0" borderId="1" xfId="0" applyNumberFormat="1" applyFont="1" applyBorder="1" applyAlignment="1">
      <alignment horizontal="center"/>
    </xf>
    <xf numFmtId="0" fontId="17" fillId="0" borderId="0" xfId="0" applyFont="1"/>
    <xf numFmtId="182" fontId="9" fillId="3" borderId="1" xfId="0" applyNumberFormat="1" applyFont="1" applyFill="1" applyBorder="1" applyAlignment="1">
      <alignment horizontal="center"/>
    </xf>
    <xf numFmtId="0" fontId="4" fillId="0" borderId="1" xfId="0" applyFont="1" applyBorder="1" applyAlignment="1">
      <alignment vertical="center" wrapText="1"/>
    </xf>
    <xf numFmtId="0" fontId="24" fillId="0" borderId="1" xfId="0" applyFont="1" applyBorder="1" applyAlignment="1">
      <alignment horizontal="left" wrapText="1"/>
    </xf>
    <xf numFmtId="0" fontId="3" fillId="0" borderId="1" xfId="0" applyFont="1" applyBorder="1" applyAlignment="1">
      <alignment horizontal="left" wrapText="1"/>
    </xf>
    <xf numFmtId="2" fontId="46" fillId="0" borderId="1" xfId="0" applyNumberFormat="1" applyFont="1" applyBorder="1" applyAlignment="1">
      <alignment horizontal="center"/>
    </xf>
    <xf numFmtId="0" fontId="47" fillId="0" borderId="1" xfId="0" applyFont="1" applyBorder="1" applyAlignment="1">
      <alignment horizontal="left" vertical="center" wrapText="1"/>
    </xf>
    <xf numFmtId="2" fontId="2" fillId="0" borderId="1" xfId="0" applyNumberFormat="1" applyFont="1" applyBorder="1" applyAlignment="1">
      <alignment horizontal="center"/>
    </xf>
    <xf numFmtId="2" fontId="48" fillId="0" borderId="1" xfId="0" applyNumberFormat="1" applyFont="1" applyBorder="1" applyAlignment="1">
      <alignment horizontal="center"/>
    </xf>
    <xf numFmtId="2" fontId="49" fillId="3" borderId="1" xfId="0" applyNumberFormat="1" applyFont="1" applyFill="1" applyBorder="1" applyAlignment="1">
      <alignment horizontal="center"/>
    </xf>
    <xf numFmtId="0" fontId="39" fillId="0" borderId="1" xfId="0" applyFont="1" applyBorder="1" applyAlignment="1">
      <alignment horizontal="center"/>
    </xf>
    <xf numFmtId="176" fontId="39" fillId="0" borderId="1" xfId="0" applyNumberFormat="1" applyFont="1" applyBorder="1" applyAlignment="1">
      <alignment horizontal="center"/>
    </xf>
    <xf numFmtId="2" fontId="36" fillId="8" borderId="1" xfId="0" applyNumberFormat="1" applyFont="1" applyFill="1" applyBorder="1" applyAlignment="1">
      <alignment horizontal="center"/>
    </xf>
    <xf numFmtId="0" fontId="50" fillId="0" borderId="1" xfId="30648" applyFont="1" applyBorder="1" applyAlignment="1">
      <alignment horizontal="justify" wrapText="1"/>
    </xf>
    <xf numFmtId="0" fontId="36" fillId="0" borderId="0" xfId="0" applyFont="1" applyAlignment="1">
      <alignment wrapText="1"/>
    </xf>
    <xf numFmtId="2" fontId="36" fillId="8" borderId="0" xfId="0" applyNumberFormat="1" applyFont="1" applyFill="1" applyAlignment="1">
      <alignment horizontal="center"/>
    </xf>
    <xf numFmtId="2" fontId="38" fillId="8" borderId="0" xfId="0" applyNumberFormat="1" applyFont="1" applyFill="1" applyAlignment="1">
      <alignment horizontal="center"/>
    </xf>
    <xf numFmtId="0" fontId="51" fillId="0" borderId="0" xfId="0" applyFont="1" applyAlignment="1">
      <alignment vertical="center"/>
    </xf>
    <xf numFmtId="2" fontId="51" fillId="0" borderId="0" xfId="0" applyNumberFormat="1" applyFont="1" applyAlignment="1">
      <alignment vertical="center"/>
    </xf>
    <xf numFmtId="0" fontId="3" fillId="0" borderId="0" xfId="0" applyFont="1" applyAlignment="1">
      <alignment horizontal="right"/>
    </xf>
    <xf numFmtId="2" fontId="52" fillId="0" borderId="0" xfId="0" applyNumberFormat="1" applyFont="1"/>
    <xf numFmtId="2" fontId="52" fillId="0" borderId="10" xfId="0" applyNumberFormat="1" applyFont="1" applyBorder="1"/>
    <xf numFmtId="2" fontId="43" fillId="0" borderId="0" xfId="0" applyNumberFormat="1" applyFont="1"/>
    <xf numFmtId="2" fontId="53" fillId="0" borderId="1" xfId="0" applyNumberFormat="1" applyFont="1" applyBorder="1" applyAlignment="1">
      <alignment horizontal="center"/>
    </xf>
    <xf numFmtId="0" fontId="54" fillId="0" borderId="0" xfId="0" applyFont="1"/>
    <xf numFmtId="2" fontId="36" fillId="3" borderId="1" xfId="0" applyNumberFormat="1" applyFont="1" applyFill="1" applyBorder="1" applyAlignment="1">
      <alignment horizontal="center" wrapText="1"/>
    </xf>
    <xf numFmtId="2" fontId="55" fillId="3" borderId="1" xfId="0" applyNumberFormat="1" applyFont="1" applyFill="1" applyBorder="1" applyAlignment="1">
      <alignment horizontal="center"/>
    </xf>
    <xf numFmtId="2" fontId="4" fillId="0" borderId="1" xfId="0" applyNumberFormat="1" applyFont="1" applyBorder="1" applyAlignment="1">
      <alignment horizontal="center"/>
    </xf>
    <xf numFmtId="2" fontId="42" fillId="9" borderId="1" xfId="0" applyNumberFormat="1" applyFont="1" applyFill="1" applyBorder="1" applyAlignment="1">
      <alignment horizontal="center"/>
    </xf>
    <xf numFmtId="2" fontId="44" fillId="9" borderId="1" xfId="0" applyNumberFormat="1" applyFont="1" applyFill="1" applyBorder="1" applyAlignment="1">
      <alignment horizontal="center"/>
    </xf>
    <xf numFmtId="2" fontId="44" fillId="10" borderId="1" xfId="0" applyNumberFormat="1" applyFont="1" applyFill="1" applyBorder="1" applyAlignment="1">
      <alignment horizontal="center"/>
    </xf>
    <xf numFmtId="2" fontId="42" fillId="8" borderId="1" xfId="0" applyNumberFormat="1" applyFont="1" applyFill="1" applyBorder="1" applyAlignment="1">
      <alignment horizontal="center"/>
    </xf>
    <xf numFmtId="2" fontId="42" fillId="10" borderId="0" xfId="0" applyNumberFormat="1" applyFont="1" applyFill="1" applyAlignment="1">
      <alignment horizontal="center"/>
    </xf>
    <xf numFmtId="2" fontId="42" fillId="8" borderId="0" xfId="0" applyNumberFormat="1" applyFont="1" applyFill="1" applyAlignment="1">
      <alignment horizontal="center"/>
    </xf>
    <xf numFmtId="0" fontId="43" fillId="0" borderId="0" xfId="0" applyFont="1" applyAlignment="1">
      <alignment horizontal="center"/>
    </xf>
    <xf numFmtId="2" fontId="44" fillId="8" borderId="0" xfId="0" applyNumberFormat="1" applyFont="1" applyFill="1" applyAlignment="1">
      <alignment horizontal="center"/>
    </xf>
    <xf numFmtId="2" fontId="36" fillId="0" borderId="1" xfId="0" applyNumberFormat="1" applyFont="1" applyBorder="1" applyAlignment="1" applyProtection="1">
      <alignment horizontal="right" vertical="center" wrapText="1"/>
      <protection locked="0"/>
    </xf>
    <xf numFmtId="2" fontId="38" fillId="0" borderId="0" xfId="0" applyNumberFormat="1" applyFont="1" applyAlignment="1">
      <alignment horizontal="center"/>
    </xf>
    <xf numFmtId="2" fontId="36" fillId="0" borderId="0" xfId="0" applyNumberFormat="1" applyFont="1" applyAlignment="1">
      <alignment horizontal="center"/>
    </xf>
    <xf numFmtId="2" fontId="42" fillId="0" borderId="1" xfId="0" applyNumberFormat="1" applyFont="1" applyBorder="1" applyAlignment="1" applyProtection="1">
      <alignment horizontal="right" vertical="center" wrapText="1"/>
      <protection locked="0"/>
    </xf>
    <xf numFmtId="0" fontId="57" fillId="0" borderId="0" xfId="0" applyFont="1" applyAlignment="1">
      <alignment horizontal="center" vertical="center"/>
    </xf>
    <xf numFmtId="0" fontId="58" fillId="0" borderId="0" xfId="0" applyFont="1" applyAlignment="1">
      <alignment horizontal="center" vertical="center"/>
    </xf>
    <xf numFmtId="0" fontId="58" fillId="0" borderId="0" xfId="0" applyFont="1"/>
    <xf numFmtId="0" fontId="50" fillId="0" borderId="0" xfId="0" applyFont="1" applyAlignment="1">
      <alignment vertical="top"/>
    </xf>
    <xf numFmtId="0" fontId="58" fillId="0" borderId="0" xfId="0" applyFont="1" applyAlignment="1">
      <alignment vertical="center"/>
    </xf>
    <xf numFmtId="0" fontId="59" fillId="0" borderId="1" xfId="0" applyFont="1" applyBorder="1" applyAlignment="1">
      <alignment horizontal="center" vertical="top" wrapText="1"/>
    </xf>
    <xf numFmtId="0" fontId="59" fillId="0" borderId="1" xfId="0" applyFont="1" applyBorder="1" applyAlignment="1">
      <alignment horizontal="center" vertical="center" wrapText="1"/>
    </xf>
    <xf numFmtId="0" fontId="59" fillId="0" borderId="1" xfId="0" applyFont="1" applyBorder="1" applyAlignment="1">
      <alignment horizontal="center" vertical="top"/>
    </xf>
    <xf numFmtId="0" fontId="59" fillId="0" borderId="1" xfId="0" applyFont="1" applyBorder="1" applyAlignment="1">
      <alignment horizontal="center" vertical="center"/>
    </xf>
    <xf numFmtId="0" fontId="50" fillId="0" borderId="11" xfId="0" applyFont="1" applyBorder="1" applyAlignment="1">
      <alignment horizontal="center" vertical="top"/>
    </xf>
    <xf numFmtId="0" fontId="50" fillId="0" borderId="15" xfId="0" applyFont="1" applyBorder="1" applyAlignment="1">
      <alignment horizontal="center" vertical="center"/>
    </xf>
    <xf numFmtId="0" fontId="59" fillId="0" borderId="6" xfId="0" applyFont="1" applyBorder="1" applyAlignment="1">
      <alignment horizontal="left" vertical="center"/>
    </xf>
    <xf numFmtId="0" fontId="50" fillId="0" borderId="6" xfId="0" applyFont="1" applyBorder="1" applyAlignment="1">
      <alignment horizontal="justify" vertical="center" wrapText="1"/>
    </xf>
    <xf numFmtId="0" fontId="50" fillId="0" borderId="12" xfId="0" applyFont="1" applyBorder="1" applyAlignment="1">
      <alignment horizontal="center" vertical="center"/>
    </xf>
    <xf numFmtId="0" fontId="59" fillId="0" borderId="12" xfId="0" applyFont="1" applyBorder="1" applyAlignment="1">
      <alignment horizontal="left" vertical="center"/>
    </xf>
    <xf numFmtId="0" fontId="50" fillId="0" borderId="12" xfId="0" applyFont="1" applyBorder="1" applyAlignment="1">
      <alignment horizontal="justify" vertical="center" wrapText="1"/>
    </xf>
    <xf numFmtId="0" fontId="50" fillId="0" borderId="12" xfId="0" applyFont="1" applyBorder="1" applyAlignment="1">
      <alignment horizontal="left" vertical="center" wrapText="1"/>
    </xf>
    <xf numFmtId="0" fontId="50" fillId="0" borderId="12" xfId="0" applyFont="1" applyBorder="1" applyAlignment="1">
      <alignment horizontal="center" vertical="center" wrapText="1"/>
    </xf>
    <xf numFmtId="2" fontId="50" fillId="0" borderId="12" xfId="0" applyNumberFormat="1" applyFont="1" applyBorder="1" applyAlignment="1">
      <alignment horizontal="center" vertical="center" wrapText="1"/>
    </xf>
    <xf numFmtId="0" fontId="50" fillId="0" borderId="12" xfId="0" applyFont="1" applyBorder="1" applyAlignment="1">
      <alignment horizontal="center" vertical="top"/>
    </xf>
    <xf numFmtId="0" fontId="50" fillId="0" borderId="12" xfId="0" applyFont="1" applyBorder="1" applyAlignment="1">
      <alignment horizontal="left" vertical="top" wrapText="1"/>
    </xf>
    <xf numFmtId="0" fontId="50" fillId="0" borderId="12" xfId="0" applyFont="1" applyBorder="1" applyAlignment="1">
      <alignment horizontal="justify" vertical="top" wrapText="1"/>
    </xf>
    <xf numFmtId="0" fontId="0" fillId="0" borderId="12" xfId="0" applyBorder="1" applyAlignment="1">
      <alignment horizontal="left" vertical="center" wrapText="1"/>
    </xf>
    <xf numFmtId="0" fontId="0" fillId="0" borderId="12" xfId="0" applyBorder="1" applyAlignment="1">
      <alignment horizontal="center" vertical="center" wrapText="1"/>
    </xf>
    <xf numFmtId="2" fontId="0" fillId="0" borderId="12" xfId="0" applyNumberFormat="1" applyBorder="1" applyAlignment="1">
      <alignment horizontal="center" vertical="center" wrapText="1"/>
    </xf>
    <xf numFmtId="2" fontId="62" fillId="0" borderId="12" xfId="0" applyNumberFormat="1" applyFont="1" applyBorder="1" applyAlignment="1">
      <alignment horizontal="center" vertical="center" wrapText="1"/>
    </xf>
    <xf numFmtId="0" fontId="50" fillId="0" borderId="2" xfId="0" applyFont="1" applyBorder="1" applyAlignment="1">
      <alignment horizontal="center" vertical="center"/>
    </xf>
    <xf numFmtId="0" fontId="50" fillId="0" borderId="2" xfId="0" applyFont="1" applyBorder="1" applyAlignment="1">
      <alignment horizontal="left" vertical="center" wrapText="1"/>
    </xf>
    <xf numFmtId="0" fontId="50" fillId="0" borderId="1" xfId="0" applyFont="1" applyBorder="1" applyAlignment="1">
      <alignment horizontal="center" vertical="top"/>
    </xf>
    <xf numFmtId="0" fontId="50" fillId="0" borderId="1" xfId="0" applyFont="1" applyBorder="1" applyAlignment="1">
      <alignment horizontal="justify" vertical="top" wrapText="1"/>
    </xf>
    <xf numFmtId="0" fontId="50" fillId="0" borderId="1" xfId="0" applyFont="1" applyBorder="1" applyAlignment="1">
      <alignment horizontal="left" vertical="top" wrapText="1"/>
    </xf>
    <xf numFmtId="2" fontId="50" fillId="0" borderId="1" xfId="0" applyNumberFormat="1" applyFont="1" applyBorder="1" applyAlignment="1">
      <alignment horizontal="center" vertical="center"/>
    </xf>
    <xf numFmtId="0" fontId="50" fillId="0" borderId="1" xfId="0" applyFont="1" applyBorder="1" applyAlignment="1">
      <alignment horizontal="center" vertical="center"/>
    </xf>
    <xf numFmtId="0" fontId="50" fillId="0" borderId="1" xfId="0" applyFont="1" applyBorder="1" applyAlignment="1">
      <alignment horizontal="center"/>
    </xf>
    <xf numFmtId="0" fontId="59" fillId="0" borderId="1" xfId="0" applyFont="1" applyBorder="1" applyAlignment="1">
      <alignment horizontal="left"/>
    </xf>
    <xf numFmtId="0" fontId="50" fillId="0" borderId="1" xfId="0" applyFont="1" applyBorder="1" applyAlignment="1">
      <alignment horizontal="justify" wrapText="1"/>
    </xf>
    <xf numFmtId="0" fontId="50" fillId="0" borderId="1" xfId="0" applyFont="1" applyBorder="1" applyAlignment="1">
      <alignment horizontal="center" vertical="top" wrapText="1"/>
    </xf>
    <xf numFmtId="2" fontId="50" fillId="0" borderId="1" xfId="0" applyNumberFormat="1" applyFont="1" applyBorder="1" applyAlignment="1">
      <alignment horizontal="center" vertical="top" wrapText="1"/>
    </xf>
    <xf numFmtId="0" fontId="50" fillId="0" borderId="0" xfId="3892" applyFont="1" applyAlignment="1">
      <alignment horizontal="center" vertical="center"/>
    </xf>
    <xf numFmtId="0" fontId="50" fillId="0" borderId="0" xfId="3892" applyFont="1" applyAlignment="1">
      <alignment vertical="center" wrapText="1"/>
    </xf>
    <xf numFmtId="2" fontId="59" fillId="0" borderId="1" xfId="0" applyNumberFormat="1" applyFont="1" applyBorder="1" applyAlignment="1">
      <alignment horizontal="center" vertical="center"/>
    </xf>
    <xf numFmtId="1" fontId="59" fillId="0" borderId="1" xfId="0" applyNumberFormat="1" applyFont="1" applyBorder="1" applyAlignment="1">
      <alignment horizontal="center" vertical="center"/>
    </xf>
    <xf numFmtId="3" fontId="59" fillId="0" borderId="11" xfId="0" applyNumberFormat="1" applyFont="1" applyBorder="1" applyAlignment="1">
      <alignment horizontal="justify" vertical="top"/>
    </xf>
    <xf numFmtId="2" fontId="58" fillId="0" borderId="0" xfId="0" applyNumberFormat="1" applyFont="1" applyAlignment="1">
      <alignment vertical="center"/>
    </xf>
    <xf numFmtId="3" fontId="59" fillId="0" borderId="16" xfId="0" applyNumberFormat="1" applyFont="1" applyBorder="1" applyAlignment="1">
      <alignment horizontal="justify" vertical="center"/>
    </xf>
    <xf numFmtId="3" fontId="59" fillId="0" borderId="12" xfId="0" applyNumberFormat="1" applyFont="1" applyBorder="1" applyAlignment="1">
      <alignment horizontal="justify" vertical="center"/>
    </xf>
    <xf numFmtId="2" fontId="59" fillId="0" borderId="1" xfId="0" applyNumberFormat="1" applyFont="1" applyBorder="1" applyAlignment="1">
      <alignment horizontal="center" vertical="center" wrapText="1"/>
    </xf>
    <xf numFmtId="2" fontId="59" fillId="0" borderId="12" xfId="0" applyNumberFormat="1" applyFont="1" applyBorder="1" applyAlignment="1">
      <alignment horizontal="right" vertical="center"/>
    </xf>
    <xf numFmtId="2" fontId="59" fillId="0" borderId="12" xfId="0" applyNumberFormat="1" applyFont="1" applyBorder="1" applyAlignment="1">
      <alignment horizontal="center" vertical="center" wrapText="1"/>
    </xf>
    <xf numFmtId="2" fontId="59" fillId="0" borderId="12" xfId="0" applyNumberFormat="1" applyFont="1" applyBorder="1" applyAlignment="1">
      <alignment horizontal="justify" vertical="top"/>
    </xf>
    <xf numFmtId="2" fontId="59" fillId="0" borderId="2" xfId="0" applyNumberFormat="1" applyFont="1" applyBorder="1" applyAlignment="1">
      <alignment horizontal="center" vertical="center" wrapText="1"/>
    </xf>
    <xf numFmtId="2" fontId="50" fillId="0" borderId="2" xfId="0" applyNumberFormat="1" applyFont="1" applyBorder="1" applyAlignment="1">
      <alignment horizontal="center" vertical="center" wrapText="1"/>
    </xf>
    <xf numFmtId="0" fontId="50" fillId="0" borderId="2" xfId="0" applyFont="1" applyBorder="1" applyAlignment="1">
      <alignment horizontal="center" vertical="center" wrapText="1"/>
    </xf>
    <xf numFmtId="2" fontId="59" fillId="0" borderId="2" xfId="0" applyNumberFormat="1" applyFont="1" applyBorder="1" applyAlignment="1">
      <alignment horizontal="right" vertical="center"/>
    </xf>
    <xf numFmtId="2" fontId="59" fillId="0" borderId="1" xfId="0" applyNumberFormat="1" applyFont="1" applyBorder="1" applyAlignment="1">
      <alignment horizontal="right" vertical="center"/>
    </xf>
    <xf numFmtId="2" fontId="50" fillId="0" borderId="1" xfId="0" applyNumberFormat="1" applyFont="1" applyBorder="1" applyAlignment="1">
      <alignment horizontal="center" vertical="center" wrapText="1"/>
    </xf>
    <xf numFmtId="0" fontId="50" fillId="0" borderId="1" xfId="0" applyFont="1" applyBorder="1" applyAlignment="1">
      <alignment horizontal="center" vertical="center" wrapText="1"/>
    </xf>
    <xf numFmtId="2" fontId="50" fillId="0" borderId="1" xfId="0" applyNumberFormat="1" applyFont="1" applyBorder="1" applyAlignment="1">
      <alignment horizontal="right" wrapText="1"/>
    </xf>
    <xf numFmtId="2" fontId="50" fillId="0" borderId="1" xfId="0" applyNumberFormat="1" applyFont="1" applyBorder="1" applyAlignment="1">
      <alignment horizontal="justify" wrapText="1"/>
    </xf>
    <xf numFmtId="2" fontId="59" fillId="0" borderId="1" xfId="0" applyNumberFormat="1" applyFont="1" applyBorder="1" applyAlignment="1">
      <alignment horizontal="right"/>
    </xf>
    <xf numFmtId="2" fontId="58" fillId="0" borderId="0" xfId="0" applyNumberFormat="1" applyFont="1"/>
    <xf numFmtId="2" fontId="50" fillId="0" borderId="1" xfId="0" applyNumberFormat="1" applyFont="1" applyBorder="1" applyAlignment="1">
      <alignment horizontal="right" vertical="top" wrapText="1"/>
    </xf>
    <xf numFmtId="3" fontId="59" fillId="0" borderId="1" xfId="0" applyNumberFormat="1" applyFont="1" applyBorder="1" applyAlignment="1">
      <alignment horizontal="justify" vertical="top"/>
    </xf>
    <xf numFmtId="0" fontId="57" fillId="0" borderId="1" xfId="0" applyFont="1" applyBorder="1" applyAlignment="1">
      <alignment horizontal="center" vertical="center"/>
    </xf>
    <xf numFmtId="0" fontId="58" fillId="0" borderId="1" xfId="0" applyFont="1" applyBorder="1" applyAlignment="1">
      <alignment horizontal="center" vertical="center"/>
    </xf>
    <xf numFmtId="2" fontId="57" fillId="0" borderId="1" xfId="0" applyNumberFormat="1" applyFont="1" applyBorder="1" applyAlignment="1">
      <alignment vertical="center"/>
    </xf>
    <xf numFmtId="3" fontId="57" fillId="0" borderId="0" xfId="0" applyNumberFormat="1" applyFont="1" applyAlignment="1">
      <alignment horizontal="center" vertical="center"/>
    </xf>
    <xf numFmtId="0" fontId="50" fillId="0" borderId="0" xfId="3892" applyFont="1" applyAlignment="1">
      <alignment horizontal="center" vertical="center" wrapText="1"/>
    </xf>
    <xf numFmtId="0" fontId="63" fillId="0" borderId="0" xfId="0" applyFont="1" applyAlignment="1">
      <alignment horizontal="center" vertical="center"/>
    </xf>
    <xf numFmtId="0" fontId="64" fillId="0" borderId="0" xfId="0" applyFont="1" applyAlignment="1">
      <alignment horizontal="center" vertical="center"/>
    </xf>
    <xf numFmtId="0" fontId="64" fillId="0" borderId="0" xfId="0" applyFont="1"/>
    <xf numFmtId="0" fontId="64" fillId="0" borderId="0" xfId="0" applyFont="1" applyAlignment="1">
      <alignment vertical="top"/>
    </xf>
    <xf numFmtId="0" fontId="64" fillId="0" borderId="0" xfId="0" applyFont="1" applyAlignment="1">
      <alignment vertical="center"/>
    </xf>
    <xf numFmtId="0" fontId="64" fillId="0" borderId="0" xfId="0" applyFont="1" applyAlignment="1">
      <alignment horizontal="right" vertical="center"/>
    </xf>
    <xf numFmtId="0" fontId="64" fillId="0" borderId="0" xfId="0" applyFont="1" applyAlignment="1">
      <alignment horizontal="left" vertical="center"/>
    </xf>
    <xf numFmtId="1" fontId="65" fillId="0" borderId="0" xfId="0" applyNumberFormat="1" applyFont="1" applyAlignment="1">
      <alignment horizontal="center" vertical="center" wrapText="1"/>
    </xf>
    <xf numFmtId="1" fontId="65" fillId="0" borderId="0" xfId="0" applyNumberFormat="1" applyFont="1" applyAlignment="1">
      <alignment horizontal="right" vertical="center" wrapText="1"/>
    </xf>
    <xf numFmtId="1" fontId="65" fillId="0" borderId="0" xfId="0" applyNumberFormat="1" applyFont="1" applyAlignment="1">
      <alignment horizontal="left" vertical="center" wrapText="1"/>
    </xf>
    <xf numFmtId="0" fontId="64" fillId="0" borderId="1" xfId="0" applyFont="1" applyBorder="1" applyAlignment="1">
      <alignment horizontal="center" vertical="center" wrapText="1"/>
    </xf>
    <xf numFmtId="0" fontId="64" fillId="0" borderId="1" xfId="0" applyFont="1" applyBorder="1" applyAlignment="1">
      <alignment horizontal="center" vertical="top"/>
    </xf>
    <xf numFmtId="0" fontId="64" fillId="0" borderId="1" xfId="0" applyFont="1" applyBorder="1" applyAlignment="1">
      <alignment horizontal="center" vertical="center"/>
    </xf>
    <xf numFmtId="0" fontId="64" fillId="0" borderId="1" xfId="0" applyFont="1" applyBorder="1" applyAlignment="1">
      <alignment horizontal="justify" vertical="top" wrapText="1"/>
    </xf>
    <xf numFmtId="0" fontId="64" fillId="0" borderId="1" xfId="0" applyFont="1" applyBorder="1" applyAlignment="1">
      <alignment horizontal="center"/>
    </xf>
    <xf numFmtId="0" fontId="64" fillId="0" borderId="1" xfId="0" applyFont="1" applyBorder="1" applyAlignment="1">
      <alignment horizontal="left" wrapText="1"/>
    </xf>
    <xf numFmtId="0" fontId="64" fillId="0" borderId="1" xfId="0" applyFont="1" applyBorder="1" applyAlignment="1">
      <alignment horizontal="center" wrapText="1"/>
    </xf>
    <xf numFmtId="2" fontId="64" fillId="0" borderId="1" xfId="0" applyNumberFormat="1" applyFont="1" applyBorder="1" applyAlignment="1">
      <alignment horizontal="center"/>
    </xf>
    <xf numFmtId="2" fontId="64" fillId="0" borderId="1" xfId="0" applyNumberFormat="1" applyFont="1" applyBorder="1" applyAlignment="1">
      <alignment horizontal="center" wrapText="1"/>
    </xf>
    <xf numFmtId="0" fontId="64" fillId="0" borderId="1" xfId="0" applyFont="1" applyBorder="1" applyAlignment="1">
      <alignment horizontal="right" wrapText="1"/>
    </xf>
    <xf numFmtId="0" fontId="64" fillId="0" borderId="1" xfId="0" applyFont="1" applyBorder="1" applyAlignment="1">
      <alignment vertical="center"/>
    </xf>
    <xf numFmtId="0" fontId="64" fillId="0" borderId="1" xfId="0" applyFont="1" applyBorder="1" applyAlignment="1">
      <alignment horizontal="right" vertical="center"/>
    </xf>
    <xf numFmtId="0" fontId="64" fillId="0" borderId="1" xfId="0" applyFont="1" applyBorder="1" applyAlignment="1">
      <alignment horizontal="left" vertical="center"/>
    </xf>
    <xf numFmtId="2" fontId="64" fillId="0" borderId="1" xfId="0" applyNumberFormat="1" applyFont="1" applyBorder="1" applyAlignment="1">
      <alignment horizontal="justify" vertical="top" wrapText="1"/>
    </xf>
    <xf numFmtId="0" fontId="64" fillId="0" borderId="1" xfId="0" applyFont="1" applyBorder="1"/>
    <xf numFmtId="0" fontId="64" fillId="0" borderId="1" xfId="0" applyFont="1" applyBorder="1" applyAlignment="1">
      <alignment horizontal="right"/>
    </xf>
    <xf numFmtId="0" fontId="64" fillId="0" borderId="1" xfId="0" applyFont="1" applyBorder="1" applyAlignment="1">
      <alignment horizontal="left"/>
    </xf>
    <xf numFmtId="0" fontId="64" fillId="0" borderId="1" xfId="0" applyFont="1" applyBorder="1" applyAlignment="1">
      <alignment wrapText="1"/>
    </xf>
    <xf numFmtId="2" fontId="64" fillId="0" borderId="1" xfId="0" applyNumberFormat="1" applyFont="1" applyBorder="1" applyAlignment="1">
      <alignment horizontal="center" vertical="center"/>
    </xf>
    <xf numFmtId="0" fontId="64" fillId="0" borderId="1" xfId="0" applyFont="1" applyBorder="1" applyAlignment="1">
      <alignment horizontal="left" vertical="top" wrapText="1"/>
    </xf>
    <xf numFmtId="0" fontId="64" fillId="0" borderId="1" xfId="0" applyFont="1" applyBorder="1" applyAlignment="1">
      <alignment horizontal="center" vertical="top" wrapText="1"/>
    </xf>
    <xf numFmtId="2" fontId="64" fillId="0" borderId="1" xfId="0" applyNumberFormat="1" applyFont="1" applyBorder="1" applyAlignment="1">
      <alignment horizontal="center" vertical="top"/>
    </xf>
    <xf numFmtId="2" fontId="64" fillId="0" borderId="1" xfId="0" applyNumberFormat="1" applyFont="1" applyBorder="1" applyAlignment="1">
      <alignment horizontal="center" vertical="top" wrapText="1"/>
    </xf>
    <xf numFmtId="1" fontId="64" fillId="0" borderId="1" xfId="0" applyNumberFormat="1" applyFont="1" applyBorder="1" applyAlignment="1">
      <alignment horizontal="center" vertical="top"/>
    </xf>
    <xf numFmtId="2" fontId="66" fillId="0" borderId="1" xfId="0" applyNumberFormat="1" applyFont="1" applyBorder="1" applyAlignment="1">
      <alignment horizontal="center" vertical="top" wrapText="1"/>
    </xf>
    <xf numFmtId="0" fontId="64" fillId="0" borderId="1" xfId="0" applyFont="1" applyBorder="1" applyAlignment="1">
      <alignment horizontal="right" vertical="top" wrapText="1"/>
    </xf>
    <xf numFmtId="0" fontId="64" fillId="0" borderId="1" xfId="0" applyFont="1" applyBorder="1" applyAlignment="1">
      <alignment vertical="top" wrapText="1"/>
    </xf>
    <xf numFmtId="2" fontId="64" fillId="0" borderId="1" xfId="0" applyNumberFormat="1" applyFont="1" applyBorder="1" applyAlignment="1">
      <alignment horizontal="center" vertical="center" wrapText="1"/>
    </xf>
    <xf numFmtId="0" fontId="64" fillId="0" borderId="2" xfId="0" applyFont="1" applyBorder="1" applyAlignment="1">
      <alignment vertical="top"/>
    </xf>
    <xf numFmtId="0" fontId="64" fillId="0" borderId="2" xfId="0" applyFont="1" applyBorder="1" applyAlignment="1">
      <alignment vertical="center"/>
    </xf>
    <xf numFmtId="0" fontId="64" fillId="0" borderId="2" xfId="0" applyFont="1" applyBorder="1" applyAlignment="1">
      <alignment horizontal="right" vertical="center"/>
    </xf>
    <xf numFmtId="0" fontId="64" fillId="0" borderId="2" xfId="0" applyFont="1" applyBorder="1" applyAlignment="1">
      <alignment horizontal="center" vertical="center"/>
    </xf>
    <xf numFmtId="0" fontId="64" fillId="0" borderId="2" xfId="0" applyFont="1" applyBorder="1" applyAlignment="1">
      <alignment horizontal="left" vertical="center"/>
    </xf>
    <xf numFmtId="0" fontId="64" fillId="0" borderId="0" xfId="3892" applyFont="1" applyAlignment="1">
      <alignment horizontal="left" vertical="center" wrapText="1"/>
    </xf>
    <xf numFmtId="0" fontId="64" fillId="0" borderId="0" xfId="3892" applyFont="1" applyAlignment="1">
      <alignment horizontal="center" vertical="center" wrapText="1"/>
    </xf>
    <xf numFmtId="0" fontId="64" fillId="0" borderId="0" xfId="3892" applyFont="1" applyAlignment="1">
      <alignment horizontal="right" vertical="center" wrapText="1"/>
    </xf>
    <xf numFmtId="0" fontId="64" fillId="0" borderId="0" xfId="3892" applyFont="1" applyAlignment="1">
      <alignment vertical="center" wrapText="1"/>
    </xf>
    <xf numFmtId="3" fontId="63" fillId="0" borderId="1" xfId="0" applyNumberFormat="1" applyFont="1" applyBorder="1" applyAlignment="1">
      <alignment horizontal="justify" vertical="top"/>
    </xf>
    <xf numFmtId="2" fontId="64" fillId="0" borderId="1" xfId="30641" applyNumberFormat="1" applyFont="1" applyBorder="1"/>
    <xf numFmtId="0" fontId="64" fillId="0" borderId="1" xfId="0" applyFont="1" applyBorder="1" applyAlignment="1">
      <alignment horizontal="justify" wrapText="1"/>
    </xf>
    <xf numFmtId="2" fontId="63" fillId="0" borderId="1" xfId="0" applyNumberFormat="1" applyFont="1" applyBorder="1" applyAlignment="1">
      <alignment horizontal="justify"/>
    </xf>
    <xf numFmtId="2" fontId="63" fillId="0" borderId="1" xfId="0" applyNumberFormat="1" applyFont="1" applyBorder="1" applyAlignment="1">
      <alignment horizontal="right" wrapText="1"/>
    </xf>
    <xf numFmtId="2" fontId="63" fillId="0" borderId="1" xfId="0" applyNumberFormat="1" applyFont="1" applyBorder="1" applyAlignment="1">
      <alignment horizontal="right"/>
    </xf>
    <xf numFmtId="2" fontId="63" fillId="0" borderId="1" xfId="0" applyNumberFormat="1" applyFont="1" applyBorder="1" applyAlignment="1">
      <alignment horizontal="right" vertical="center" wrapText="1"/>
    </xf>
    <xf numFmtId="2" fontId="63" fillId="0" borderId="1" xfId="0" applyNumberFormat="1" applyFont="1" applyBorder="1" applyAlignment="1">
      <alignment horizontal="right" vertical="center"/>
    </xf>
    <xf numFmtId="2" fontId="63" fillId="0" borderId="1" xfId="0" applyNumberFormat="1" applyFont="1" applyBorder="1" applyAlignment="1">
      <alignment horizontal="justify" vertical="top"/>
    </xf>
    <xf numFmtId="2" fontId="64" fillId="0" borderId="0" xfId="0" applyNumberFormat="1" applyFont="1" applyAlignment="1">
      <alignment vertical="center"/>
    </xf>
    <xf numFmtId="2" fontId="64" fillId="0" borderId="1" xfId="0" applyNumberFormat="1" applyFont="1" applyBorder="1" applyAlignment="1">
      <alignment horizontal="right" wrapText="1"/>
    </xf>
    <xf numFmtId="171" fontId="64" fillId="0" borderId="1" xfId="0" applyNumberFormat="1" applyFont="1" applyBorder="1" applyAlignment="1">
      <alignment horizontal="right" vertical="top" wrapText="1"/>
    </xf>
    <xf numFmtId="2" fontId="63" fillId="0" borderId="1" xfId="0" applyNumberFormat="1" applyFont="1" applyBorder="1" applyAlignment="1">
      <alignment horizontal="center" wrapText="1"/>
    </xf>
    <xf numFmtId="2" fontId="64" fillId="0" borderId="1" xfId="0" applyNumberFormat="1" applyFont="1" applyBorder="1" applyAlignment="1">
      <alignment horizontal="right" vertical="center" wrapText="1"/>
    </xf>
    <xf numFmtId="2" fontId="63" fillId="0" borderId="1" xfId="0" applyNumberFormat="1" applyFont="1" applyBorder="1" applyAlignment="1">
      <alignment horizontal="center" vertical="center" wrapText="1"/>
    </xf>
    <xf numFmtId="0" fontId="63" fillId="0" borderId="2" xfId="0" applyFont="1" applyBorder="1" applyAlignment="1">
      <alignment horizontal="center" vertical="center"/>
    </xf>
    <xf numFmtId="2" fontId="63" fillId="0" borderId="2" xfId="0" applyNumberFormat="1" applyFont="1" applyBorder="1" applyAlignment="1">
      <alignment horizontal="right" vertical="center"/>
    </xf>
    <xf numFmtId="3" fontId="63" fillId="0" borderId="0" xfId="0" applyNumberFormat="1" applyFont="1" applyAlignment="1">
      <alignment horizontal="center" vertical="center"/>
    </xf>
    <xf numFmtId="0" fontId="67" fillId="0" borderId="0" xfId="30631" applyFont="1" applyAlignment="1">
      <alignment vertical="center"/>
    </xf>
    <xf numFmtId="0" fontId="67" fillId="0" borderId="0" xfId="30631" applyFont="1" applyAlignment="1">
      <alignment vertical="center" wrapText="1"/>
    </xf>
    <xf numFmtId="0" fontId="64" fillId="0" borderId="0" xfId="30642" applyFont="1"/>
    <xf numFmtId="0" fontId="64" fillId="0" borderId="0" xfId="30642" applyFont="1" applyAlignment="1">
      <alignment vertical="center"/>
    </xf>
    <xf numFmtId="0" fontId="64" fillId="7" borderId="0" xfId="0" applyFont="1" applyFill="1" applyAlignment="1">
      <alignment vertical="center"/>
    </xf>
    <xf numFmtId="192" fontId="64" fillId="0" borderId="0" xfId="0" applyNumberFormat="1" applyFont="1" applyAlignment="1">
      <alignment vertical="top"/>
    </xf>
    <xf numFmtId="1" fontId="66" fillId="0" borderId="0" xfId="0" applyNumberFormat="1" applyFont="1" applyAlignment="1">
      <alignment horizontal="center" vertical="center" wrapText="1"/>
    </xf>
    <xf numFmtId="192" fontId="64" fillId="0" borderId="1" xfId="0" applyNumberFormat="1" applyFont="1" applyBorder="1" applyAlignment="1">
      <alignment horizontal="center" vertical="top" wrapText="1"/>
    </xf>
    <xf numFmtId="192" fontId="64" fillId="0" borderId="1" xfId="0" applyNumberFormat="1" applyFont="1" applyBorder="1" applyAlignment="1">
      <alignment horizontal="center" vertical="top"/>
    </xf>
    <xf numFmtId="193" fontId="64" fillId="0" borderId="1" xfId="0" applyNumberFormat="1" applyFont="1" applyBorder="1" applyAlignment="1">
      <alignment horizontal="center" vertical="center"/>
    </xf>
    <xf numFmtId="192" fontId="64" fillId="0" borderId="11" xfId="0" applyNumberFormat="1" applyFont="1" applyBorder="1" applyAlignment="1">
      <alignment horizontal="center" vertical="top"/>
    </xf>
    <xf numFmtId="192" fontId="64" fillId="0" borderId="12" xfId="0" applyNumberFormat="1" applyFont="1" applyBorder="1" applyAlignment="1">
      <alignment horizontal="center" vertical="center"/>
    </xf>
    <xf numFmtId="193" fontId="64" fillId="0" borderId="12" xfId="30631" applyNumberFormat="1" applyFont="1" applyBorder="1" applyAlignment="1">
      <alignment horizontal="left" vertical="center"/>
    </xf>
    <xf numFmtId="193" fontId="64" fillId="0" borderId="12" xfId="30631" applyNumberFormat="1" applyFont="1" applyBorder="1" applyAlignment="1">
      <alignment horizontal="center" vertical="center"/>
    </xf>
    <xf numFmtId="193" fontId="66" fillId="0" borderId="12" xfId="30631" applyNumberFormat="1" applyFont="1" applyBorder="1" applyAlignment="1">
      <alignment horizontal="center" vertical="center" wrapText="1"/>
    </xf>
    <xf numFmtId="193" fontId="64" fillId="0" borderId="12" xfId="0" applyNumberFormat="1" applyFont="1" applyBorder="1" applyAlignment="1">
      <alignment horizontal="left" vertical="center" wrapText="1"/>
    </xf>
    <xf numFmtId="193" fontId="64" fillId="0" borderId="12" xfId="0" applyNumberFormat="1" applyFont="1" applyBorder="1" applyAlignment="1">
      <alignment horizontal="center" vertical="center" wrapText="1"/>
    </xf>
    <xf numFmtId="193" fontId="64" fillId="0" borderId="12" xfId="0" applyNumberFormat="1" applyFont="1" applyBorder="1" applyAlignment="1">
      <alignment horizontal="center" vertical="center"/>
    </xf>
    <xf numFmtId="192" fontId="64" fillId="0" borderId="12" xfId="0" applyNumberFormat="1" applyFont="1" applyBorder="1" applyAlignment="1">
      <alignment horizontal="center" vertical="top"/>
    </xf>
    <xf numFmtId="193" fontId="64" fillId="0" borderId="12" xfId="0" applyNumberFormat="1" applyFont="1" applyBorder="1" applyAlignment="1">
      <alignment horizontal="justify" vertical="top" wrapText="1"/>
    </xf>
    <xf numFmtId="192" fontId="64" fillId="0" borderId="12" xfId="0" applyNumberFormat="1" applyFont="1" applyBorder="1" applyAlignment="1">
      <alignment horizontal="center"/>
    </xf>
    <xf numFmtId="193" fontId="64" fillId="0" borderId="12" xfId="0" applyNumberFormat="1" applyFont="1" applyBorder="1" applyAlignment="1">
      <alignment horizontal="left" wrapText="1"/>
    </xf>
    <xf numFmtId="193" fontId="64" fillId="0" borderId="12" xfId="30642" applyNumberFormat="1" applyFont="1" applyBorder="1" applyAlignment="1">
      <alignment horizontal="center" wrapText="1"/>
    </xf>
    <xf numFmtId="193" fontId="64" fillId="0" borderId="12" xfId="0" applyNumberFormat="1" applyFont="1" applyBorder="1" applyAlignment="1">
      <alignment horizontal="left" vertical="top" wrapText="1"/>
    </xf>
    <xf numFmtId="193" fontId="64" fillId="0" borderId="12" xfId="0" applyNumberFormat="1" applyFont="1" applyBorder="1" applyAlignment="1">
      <alignment horizontal="center" vertical="top" wrapText="1"/>
    </xf>
    <xf numFmtId="193" fontId="64" fillId="0" borderId="12" xfId="30637" applyNumberFormat="1" applyFont="1" applyBorder="1" applyAlignment="1">
      <alignment vertical="center"/>
    </xf>
    <xf numFmtId="193" fontId="64" fillId="0" borderId="12" xfId="30637" applyNumberFormat="1" applyFont="1" applyBorder="1" applyAlignment="1">
      <alignment horizontal="center" vertical="center"/>
    </xf>
    <xf numFmtId="193" fontId="64" fillId="0" borderId="12" xfId="0" applyNumberFormat="1" applyFont="1" applyBorder="1" applyAlignment="1">
      <alignment vertical="center"/>
    </xf>
    <xf numFmtId="192" fontId="67" fillId="0" borderId="12" xfId="30631" applyNumberFormat="1" applyFont="1" applyBorder="1" applyAlignment="1">
      <alignment horizontal="left" vertical="center"/>
    </xf>
    <xf numFmtId="193" fontId="67" fillId="0" borderId="12" xfId="30631" applyNumberFormat="1" applyFont="1" applyBorder="1" applyAlignment="1">
      <alignment horizontal="left" vertical="center"/>
    </xf>
    <xf numFmtId="193" fontId="67" fillId="0" borderId="12" xfId="30631" applyNumberFormat="1" applyFont="1" applyBorder="1" applyAlignment="1">
      <alignment horizontal="center" vertical="center"/>
    </xf>
    <xf numFmtId="193" fontId="68" fillId="0" borderId="12" xfId="30631" applyNumberFormat="1" applyFont="1" applyBorder="1" applyAlignment="1">
      <alignment horizontal="center" vertical="center" wrapText="1"/>
    </xf>
    <xf numFmtId="193" fontId="67" fillId="0" borderId="12" xfId="30631" applyNumberFormat="1" applyFont="1" applyBorder="1" applyAlignment="1">
      <alignment horizontal="left" vertical="center" wrapText="1"/>
    </xf>
    <xf numFmtId="193" fontId="67" fillId="0" borderId="12" xfId="30631" applyNumberFormat="1" applyFont="1" applyBorder="1" applyAlignment="1">
      <alignment horizontal="center" vertical="center" wrapText="1"/>
    </xf>
    <xf numFmtId="193" fontId="64" fillId="0" borderId="12" xfId="30637" applyNumberFormat="1" applyFont="1" applyBorder="1" applyAlignment="1">
      <alignment horizontal="left" vertical="center"/>
    </xf>
    <xf numFmtId="192" fontId="67" fillId="0" borderId="12" xfId="30631" applyNumberFormat="1" applyFont="1" applyBorder="1" applyAlignment="1">
      <alignment horizontal="left" vertical="center" wrapText="1"/>
    </xf>
    <xf numFmtId="192" fontId="64" fillId="0" borderId="10" xfId="0" applyNumberFormat="1" applyFont="1" applyBorder="1" applyAlignment="1">
      <alignment horizontal="center" vertical="top"/>
    </xf>
    <xf numFmtId="192" fontId="64" fillId="0" borderId="12" xfId="30642" applyNumberFormat="1" applyFont="1" applyBorder="1" applyAlignment="1">
      <alignment horizontal="center" wrapText="1"/>
    </xf>
    <xf numFmtId="193" fontId="64" fillId="0" borderId="12" xfId="30642" applyNumberFormat="1" applyFont="1" applyBorder="1" applyAlignment="1">
      <alignment horizontal="justify" wrapText="1"/>
    </xf>
    <xf numFmtId="192" fontId="64" fillId="0" borderId="12" xfId="30642" applyNumberFormat="1" applyFont="1" applyBorder="1" applyAlignment="1">
      <alignment horizontal="center" vertical="center" wrapText="1"/>
    </xf>
    <xf numFmtId="193" fontId="64" fillId="0" borderId="12" xfId="30642" applyNumberFormat="1" applyFont="1" applyBorder="1" applyAlignment="1">
      <alignment horizontal="justify" vertical="center" wrapText="1"/>
    </xf>
    <xf numFmtId="193" fontId="64" fillId="0" borderId="12" xfId="30642" applyNumberFormat="1" applyFont="1" applyBorder="1" applyAlignment="1">
      <alignment horizontal="center" vertical="center" wrapText="1"/>
    </xf>
    <xf numFmtId="0" fontId="63" fillId="0" borderId="1" xfId="0" applyFont="1" applyBorder="1" applyAlignment="1">
      <alignment horizontal="center" vertical="center" wrapText="1"/>
    </xf>
    <xf numFmtId="193" fontId="63" fillId="0" borderId="1" xfId="0" applyNumberFormat="1" applyFont="1" applyBorder="1" applyAlignment="1">
      <alignment horizontal="center" vertical="center"/>
    </xf>
    <xf numFmtId="193" fontId="63" fillId="0" borderId="11" xfId="0" applyNumberFormat="1" applyFont="1" applyBorder="1" applyAlignment="1">
      <alignment horizontal="justify" vertical="top"/>
    </xf>
    <xf numFmtId="193" fontId="64" fillId="0" borderId="12" xfId="0" applyNumberFormat="1" applyFont="1" applyBorder="1" applyAlignment="1">
      <alignment horizontal="justify" vertical="center" wrapText="1"/>
    </xf>
    <xf numFmtId="193" fontId="63" fillId="0" borderId="12" xfId="0" applyNumberFormat="1" applyFont="1" applyBorder="1" applyAlignment="1">
      <alignment horizontal="justify" vertical="center"/>
    </xf>
    <xf numFmtId="193" fontId="64" fillId="0" borderId="1" xfId="30637" applyNumberFormat="1" applyFont="1" applyBorder="1" applyAlignment="1">
      <alignment horizontal="center" vertical="center"/>
    </xf>
    <xf numFmtId="193" fontId="63" fillId="0" borderId="12" xfId="0" applyNumberFormat="1" applyFont="1" applyBorder="1" applyAlignment="1">
      <alignment horizontal="right" vertical="center"/>
    </xf>
    <xf numFmtId="193" fontId="63" fillId="0" borderId="12" xfId="0" applyNumberFormat="1" applyFont="1" applyBorder="1" applyAlignment="1">
      <alignment horizontal="justify" vertical="top"/>
    </xf>
    <xf numFmtId="193" fontId="64" fillId="0" borderId="12" xfId="0" applyNumberFormat="1" applyFont="1" applyBorder="1" applyAlignment="1">
      <alignment horizontal="center" wrapText="1"/>
    </xf>
    <xf numFmtId="193" fontId="64" fillId="0" borderId="12" xfId="0" applyNumberFormat="1" applyFont="1" applyBorder="1" applyAlignment="1">
      <alignment horizontal="justify" wrapText="1"/>
    </xf>
    <xf numFmtId="193" fontId="63" fillId="0" borderId="12" xfId="0" applyNumberFormat="1" applyFont="1" applyBorder="1" applyAlignment="1">
      <alignment horizontal="justify"/>
    </xf>
    <xf numFmtId="2" fontId="64" fillId="0" borderId="0" xfId="0" applyNumberFormat="1" applyFont="1"/>
    <xf numFmtId="193" fontId="69" fillId="0" borderId="12" xfId="30631" applyNumberFormat="1" applyFont="1" applyBorder="1" applyAlignment="1">
      <alignment vertical="center"/>
    </xf>
    <xf numFmtId="193" fontId="69" fillId="0" borderId="12" xfId="30631" applyNumberFormat="1" applyFont="1" applyBorder="1" applyAlignment="1">
      <alignment vertical="center" wrapText="1"/>
    </xf>
    <xf numFmtId="193" fontId="64" fillId="0" borderId="1" xfId="0" applyNumberFormat="1" applyFont="1" applyBorder="1" applyAlignment="1">
      <alignment horizontal="center" vertical="center" wrapText="1"/>
    </xf>
    <xf numFmtId="193" fontId="63" fillId="0" borderId="20" xfId="0" applyNumberFormat="1" applyFont="1" applyBorder="1" applyAlignment="1">
      <alignment horizontal="right" vertical="center"/>
    </xf>
    <xf numFmtId="193" fontId="64" fillId="0" borderId="12" xfId="30642" applyNumberFormat="1" applyFont="1" applyBorder="1" applyAlignment="1">
      <alignment horizontal="center"/>
    </xf>
    <xf numFmtId="193" fontId="63" fillId="0" borderId="12" xfId="30642" applyNumberFormat="1" applyFont="1" applyBorder="1"/>
    <xf numFmtId="2" fontId="64" fillId="0" borderId="0" xfId="30642" applyNumberFormat="1" applyFont="1" applyAlignment="1">
      <alignment horizontal="center"/>
    </xf>
    <xf numFmtId="0" fontId="64" fillId="0" borderId="0" xfId="30642" applyFont="1" applyAlignment="1">
      <alignment horizontal="justify" wrapText="1"/>
    </xf>
    <xf numFmtId="193" fontId="64" fillId="0" borderId="12" xfId="30642" applyNumberFormat="1" applyFont="1" applyBorder="1"/>
    <xf numFmtId="193" fontId="64" fillId="0" borderId="12" xfId="30642" applyNumberFormat="1" applyFont="1" applyBorder="1" applyAlignment="1">
      <alignment vertical="center"/>
    </xf>
    <xf numFmtId="193" fontId="63" fillId="0" borderId="12" xfId="30642" applyNumberFormat="1" applyFont="1" applyBorder="1" applyAlignment="1">
      <alignment vertical="center"/>
    </xf>
    <xf numFmtId="193" fontId="64" fillId="0" borderId="12" xfId="30631" applyNumberFormat="1" applyFont="1" applyBorder="1" applyAlignment="1">
      <alignment horizontal="center" vertical="center" wrapText="1"/>
    </xf>
    <xf numFmtId="2" fontId="64" fillId="0" borderId="0" xfId="30642" applyNumberFormat="1" applyFont="1" applyAlignment="1">
      <alignment horizontal="center" vertical="center"/>
    </xf>
    <xf numFmtId="0" fontId="64" fillId="0" borderId="0" xfId="30642" applyFont="1" applyAlignment="1">
      <alignment horizontal="justify" vertical="center" wrapText="1"/>
    </xf>
    <xf numFmtId="192" fontId="64" fillId="7" borderId="12" xfId="0" applyNumberFormat="1" applyFont="1" applyFill="1" applyBorder="1" applyAlignment="1">
      <alignment horizontal="center" vertical="top"/>
    </xf>
    <xf numFmtId="193" fontId="64" fillId="0" borderId="12" xfId="30637" applyNumberFormat="1" applyFont="1" applyBorder="1" applyAlignment="1">
      <alignment horizontal="left" vertical="center" wrapText="1"/>
    </xf>
    <xf numFmtId="193" fontId="64" fillId="0" borderId="12" xfId="30637" applyNumberFormat="1" applyFont="1" applyBorder="1" applyAlignment="1">
      <alignment horizontal="center" vertical="center" wrapText="1"/>
    </xf>
    <xf numFmtId="193" fontId="64" fillId="0" borderId="12" xfId="30631" applyNumberFormat="1" applyFont="1" applyBorder="1" applyAlignment="1">
      <alignment horizontal="left" vertical="top"/>
    </xf>
    <xf numFmtId="193" fontId="64" fillId="0" borderId="12" xfId="30631" applyNumberFormat="1" applyFont="1" applyBorder="1" applyAlignment="1">
      <alignment horizontal="center" vertical="top"/>
    </xf>
    <xf numFmtId="193" fontId="64" fillId="0" borderId="12" xfId="30637" applyNumberFormat="1" applyFont="1" applyBorder="1" applyAlignment="1">
      <alignment horizontal="left" vertical="top" wrapText="1"/>
    </xf>
    <xf numFmtId="193" fontId="64" fillId="0" borderId="12" xfId="30637" applyNumberFormat="1" applyFont="1" applyBorder="1" applyAlignment="1">
      <alignment horizontal="center" vertical="top"/>
    </xf>
    <xf numFmtId="193" fontId="64" fillId="0" borderId="12" xfId="30637" applyNumberFormat="1" applyFont="1" applyBorder="1" applyAlignment="1">
      <alignment horizontal="center" vertical="top" wrapText="1"/>
    </xf>
    <xf numFmtId="192" fontId="64" fillId="0" borderId="2" xfId="0" applyNumberFormat="1" applyFont="1" applyBorder="1" applyAlignment="1">
      <alignment horizontal="center" vertical="center"/>
    </xf>
    <xf numFmtId="193" fontId="64" fillId="0" borderId="2" xfId="0" applyNumberFormat="1" applyFont="1" applyBorder="1" applyAlignment="1">
      <alignment horizontal="left" vertical="center" wrapText="1"/>
    </xf>
    <xf numFmtId="193" fontId="64" fillId="0" borderId="2" xfId="0" applyNumberFormat="1" applyFont="1" applyBorder="1" applyAlignment="1">
      <alignment horizontal="center" vertical="center" wrapText="1"/>
    </xf>
    <xf numFmtId="193" fontId="64" fillId="0" borderId="2" xfId="0" applyNumberFormat="1" applyFont="1" applyBorder="1" applyAlignment="1">
      <alignment horizontal="center" vertical="center"/>
    </xf>
    <xf numFmtId="192" fontId="64" fillId="0" borderId="3" xfId="0" applyNumberFormat="1" applyFont="1" applyBorder="1" applyAlignment="1">
      <alignment horizontal="center" vertical="center"/>
    </xf>
    <xf numFmtId="0" fontId="64" fillId="0" borderId="0" xfId="3892" applyFont="1" applyAlignment="1">
      <alignment horizontal="center" vertical="center"/>
    </xf>
    <xf numFmtId="193" fontId="63" fillId="7" borderId="12" xfId="30637" applyNumberFormat="1" applyFont="1" applyFill="1" applyBorder="1" applyAlignment="1">
      <alignment horizontal="right" vertical="top"/>
    </xf>
    <xf numFmtId="193" fontId="64" fillId="0" borderId="12" xfId="30631" applyNumberFormat="1" applyFont="1" applyBorder="1" applyAlignment="1">
      <alignment vertical="center"/>
    </xf>
    <xf numFmtId="193" fontId="63" fillId="0" borderId="12" xfId="30631" applyNumberFormat="1" applyFont="1" applyBorder="1" applyAlignment="1">
      <alignment vertical="center"/>
    </xf>
    <xf numFmtId="193" fontId="64" fillId="0" borderId="12" xfId="30637" applyNumberFormat="1" applyFont="1" applyBorder="1" applyAlignment="1">
      <alignment vertical="center" wrapText="1"/>
    </xf>
    <xf numFmtId="193" fontId="63" fillId="0" borderId="12" xfId="30637" applyNumberFormat="1" applyFont="1" applyBorder="1" applyAlignment="1">
      <alignment horizontal="right" vertical="top"/>
    </xf>
    <xf numFmtId="193" fontId="63" fillId="0" borderId="12" xfId="30637" applyNumberFormat="1" applyFont="1" applyBorder="1" applyAlignment="1">
      <alignment horizontal="right" vertical="center"/>
    </xf>
    <xf numFmtId="193" fontId="64" fillId="0" borderId="12" xfId="30631" applyNumberFormat="1" applyFont="1" applyBorder="1" applyAlignment="1">
      <alignment vertical="top"/>
    </xf>
    <xf numFmtId="193" fontId="63" fillId="0" borderId="12" xfId="30631" applyNumberFormat="1" applyFont="1" applyBorder="1" applyAlignment="1">
      <alignment vertical="top"/>
    </xf>
    <xf numFmtId="193" fontId="64" fillId="0" borderId="1" xfId="30637" applyNumberFormat="1" applyFont="1" applyBorder="1" applyAlignment="1">
      <alignment horizontal="center" vertical="top"/>
    </xf>
    <xf numFmtId="193" fontId="64" fillId="0" borderId="12" xfId="30637" applyNumberFormat="1" applyFont="1" applyBorder="1" applyAlignment="1">
      <alignment vertical="top" wrapText="1"/>
    </xf>
    <xf numFmtId="193" fontId="63" fillId="0" borderId="2" xfId="0" applyNumberFormat="1" applyFont="1" applyBorder="1" applyAlignment="1">
      <alignment horizontal="right" vertical="center"/>
    </xf>
    <xf numFmtId="193" fontId="63" fillId="0" borderId="2" xfId="0" applyNumberFormat="1" applyFont="1" applyBorder="1" applyAlignment="1">
      <alignment vertical="center"/>
    </xf>
    <xf numFmtId="0" fontId="26" fillId="0" borderId="0" xfId="30634" applyFont="1" applyAlignment="1">
      <alignment vertical="center"/>
    </xf>
    <xf numFmtId="0" fontId="31" fillId="0" borderId="0" xfId="30634" applyFont="1" applyAlignment="1">
      <alignment vertical="top"/>
    </xf>
    <xf numFmtId="0" fontId="27" fillId="0" borderId="0" xfId="30634" applyFont="1" applyAlignment="1">
      <alignment vertical="top"/>
    </xf>
    <xf numFmtId="0" fontId="26" fillId="3" borderId="0" xfId="30634" applyFont="1" applyFill="1" applyAlignment="1">
      <alignment vertical="top"/>
    </xf>
    <xf numFmtId="0" fontId="70" fillId="0" borderId="0" xfId="30634" applyFont="1" applyAlignment="1">
      <alignment vertical="top"/>
    </xf>
    <xf numFmtId="0" fontId="26" fillId="0" borderId="0" xfId="30634" applyFont="1" applyAlignment="1">
      <alignment vertical="top" wrapText="1"/>
    </xf>
    <xf numFmtId="0" fontId="26" fillId="0" borderId="0" xfId="30634" applyFont="1" applyAlignment="1">
      <alignment horizontal="center" vertical="top"/>
    </xf>
    <xf numFmtId="0" fontId="26" fillId="0" borderId="0" xfId="30634" applyFont="1" applyAlignment="1">
      <alignment vertical="top"/>
    </xf>
    <xf numFmtId="0" fontId="27" fillId="0" borderId="0" xfId="30634" applyFont="1" applyAlignment="1">
      <alignment vertical="top" wrapText="1"/>
    </xf>
    <xf numFmtId="0" fontId="26" fillId="0" borderId="0" xfId="30634" applyFont="1" applyAlignment="1">
      <alignment horizontal="justify" vertical="top" wrapText="1"/>
    </xf>
    <xf numFmtId="0" fontId="73" fillId="0" borderId="0" xfId="30634" applyFont="1" applyAlignment="1">
      <alignment horizontal="center" vertical="top"/>
    </xf>
    <xf numFmtId="0" fontId="26" fillId="0" borderId="0" xfId="30634" applyFont="1" applyAlignment="1">
      <alignment horizontal="center" vertical="top" wrapText="1"/>
    </xf>
    <xf numFmtId="0" fontId="27" fillId="0" borderId="0" xfId="30634" applyFont="1" applyAlignment="1">
      <alignment horizontal="left" vertical="top"/>
    </xf>
    <xf numFmtId="0" fontId="77" fillId="0" borderId="1" xfId="17486" applyFont="1" applyBorder="1" applyAlignment="1">
      <alignment horizontal="left" vertical="top"/>
    </xf>
    <xf numFmtId="0" fontId="77" fillId="0" borderId="1" xfId="17486" applyFont="1" applyBorder="1" applyAlignment="1">
      <alignment vertical="top"/>
    </xf>
    <xf numFmtId="0" fontId="26" fillId="0" borderId="1" xfId="30634" applyFont="1" applyBorder="1" applyAlignment="1">
      <alignment vertical="top" wrapText="1"/>
    </xf>
    <xf numFmtId="2" fontId="31" fillId="0" borderId="1" xfId="30634" applyNumberFormat="1" applyFont="1" applyBorder="1" applyAlignment="1">
      <alignment vertical="top" wrapText="1"/>
    </xf>
    <xf numFmtId="0" fontId="26" fillId="0" borderId="1" xfId="30634" applyFont="1" applyBorder="1" applyAlignment="1">
      <alignment vertical="top"/>
    </xf>
    <xf numFmtId="0" fontId="26" fillId="0" borderId="0" xfId="30634" applyFont="1" applyAlignment="1">
      <alignment horizontal="center" vertical="center"/>
    </xf>
    <xf numFmtId="0" fontId="26" fillId="0" borderId="0" xfId="30634" applyFont="1" applyAlignment="1">
      <alignment horizontal="justify" vertical="center" wrapText="1"/>
    </xf>
    <xf numFmtId="0" fontId="26" fillId="0" borderId="1" xfId="17486" applyFont="1" applyBorder="1" applyAlignment="1">
      <alignment horizontal="center" vertical="top" wrapText="1"/>
    </xf>
    <xf numFmtId="0" fontId="26" fillId="0" borderId="1" xfId="17486" applyFont="1" applyBorder="1" applyAlignment="1">
      <alignment horizontal="center" vertical="center" wrapText="1"/>
    </xf>
    <xf numFmtId="0" fontId="80" fillId="0" borderId="1" xfId="17486" applyFont="1" applyBorder="1" applyAlignment="1">
      <alignment horizontal="center" vertical="center" wrapText="1"/>
    </xf>
    <xf numFmtId="0" fontId="31" fillId="0" borderId="1" xfId="17486" applyFont="1" applyBorder="1" applyAlignment="1">
      <alignment horizontal="center" vertical="top" wrapText="1"/>
    </xf>
    <xf numFmtId="0" fontId="80" fillId="0" borderId="1" xfId="17486" applyFont="1" applyBorder="1" applyAlignment="1">
      <alignment horizontal="center" vertical="top" wrapText="1"/>
    </xf>
    <xf numFmtId="0" fontId="82" fillId="0" borderId="0" xfId="30634" applyFont="1" applyAlignment="1">
      <alignment horizontal="center" vertical="top"/>
    </xf>
    <xf numFmtId="0" fontId="84" fillId="0" borderId="1" xfId="17486" applyFont="1" applyBorder="1" applyAlignment="1">
      <alignment vertical="center"/>
    </xf>
    <xf numFmtId="0" fontId="84" fillId="0" borderId="1" xfId="17486" applyFont="1" applyBorder="1" applyAlignment="1">
      <alignment vertical="center" wrapText="1"/>
    </xf>
    <xf numFmtId="0" fontId="26" fillId="0" borderId="4" xfId="17486" applyFont="1" applyBorder="1" applyAlignment="1">
      <alignment vertical="top"/>
    </xf>
    <xf numFmtId="0" fontId="84" fillId="0" borderId="1" xfId="17486" applyFont="1" applyBorder="1" applyAlignment="1">
      <alignment horizontal="left" vertical="top" wrapText="1"/>
    </xf>
    <xf numFmtId="0" fontId="26" fillId="0" borderId="13" xfId="30634" applyFont="1" applyBorder="1" applyAlignment="1">
      <alignment horizontal="center" vertical="top"/>
    </xf>
    <xf numFmtId="0" fontId="86" fillId="0" borderId="4" xfId="17486" applyFont="1" applyBorder="1" applyAlignment="1">
      <alignment horizontal="left" vertical="top" wrapText="1"/>
    </xf>
    <xf numFmtId="0" fontId="84" fillId="0" borderId="4" xfId="17486" applyFont="1" applyBorder="1" applyAlignment="1">
      <alignment horizontal="left" vertical="top" wrapText="1"/>
    </xf>
    <xf numFmtId="0" fontId="87" fillId="0" borderId="1" xfId="30634" applyFont="1" applyBorder="1" applyAlignment="1">
      <alignment horizontal="center" vertical="top"/>
    </xf>
    <xf numFmtId="0" fontId="27" fillId="0" borderId="1" xfId="30634" applyFont="1" applyBorder="1" applyAlignment="1">
      <alignment vertical="top"/>
    </xf>
    <xf numFmtId="0" fontId="78" fillId="0" borderId="1" xfId="30634" applyFont="1" applyBorder="1" applyAlignment="1">
      <alignment vertical="top"/>
    </xf>
    <xf numFmtId="14" fontId="87" fillId="0" borderId="11" xfId="30634" applyNumberFormat="1" applyFont="1" applyBorder="1" applyAlignment="1">
      <alignment vertical="top"/>
    </xf>
    <xf numFmtId="0" fontId="26" fillId="0" borderId="1" xfId="30634" applyFont="1" applyBorder="1" applyAlignment="1">
      <alignment horizontal="center" vertical="top" wrapText="1"/>
    </xf>
    <xf numFmtId="0" fontId="88" fillId="0" borderId="23" xfId="4497" applyFont="1" applyBorder="1" applyAlignment="1">
      <alignment horizontal="left" vertical="top"/>
    </xf>
    <xf numFmtId="0" fontId="26" fillId="0" borderId="23" xfId="30634" applyFont="1" applyBorder="1" applyAlignment="1">
      <alignment vertical="top"/>
    </xf>
    <xf numFmtId="0" fontId="26" fillId="0" borderId="24" xfId="30634" applyFont="1" applyBorder="1" applyAlignment="1">
      <alignment vertical="top"/>
    </xf>
    <xf numFmtId="197" fontId="79" fillId="0" borderId="25" xfId="30634" applyNumberFormat="1" applyFont="1" applyBorder="1" applyAlignment="1">
      <alignment horizontal="center" vertical="top"/>
    </xf>
    <xf numFmtId="0" fontId="89" fillId="0" borderId="2" xfId="30634" applyFont="1" applyBorder="1" applyAlignment="1">
      <alignment horizontal="center" vertical="top"/>
    </xf>
    <xf numFmtId="0" fontId="79" fillId="0" borderId="2" xfId="30634" applyFont="1" applyBorder="1" applyAlignment="1">
      <alignment vertical="top"/>
    </xf>
    <xf numFmtId="0" fontId="26" fillId="0" borderId="2" xfId="30634" applyFont="1" applyBorder="1" applyAlignment="1">
      <alignment vertical="top"/>
    </xf>
    <xf numFmtId="0" fontId="90" fillId="0" borderId="5" xfId="30634" applyFont="1" applyBorder="1" applyAlignment="1">
      <alignment horizontal="center" vertical="top"/>
    </xf>
    <xf numFmtId="0" fontId="91" fillId="0" borderId="1" xfId="30634" applyFont="1" applyBorder="1" applyAlignment="1">
      <alignment horizontal="center" vertical="top" wrapText="1"/>
    </xf>
    <xf numFmtId="1" fontId="79" fillId="0" borderId="1" xfId="30634" applyNumberFormat="1" applyFont="1" applyBorder="1" applyAlignment="1">
      <alignment horizontal="center" vertical="top" wrapText="1"/>
    </xf>
    <xf numFmtId="14" fontId="89" fillId="0" borderId="1" xfId="30634" applyNumberFormat="1" applyFont="1" applyBorder="1" applyAlignment="1">
      <alignment horizontal="center" vertical="top" wrapText="1"/>
    </xf>
    <xf numFmtId="14" fontId="92" fillId="0" borderId="1" xfId="30634" applyNumberFormat="1" applyFont="1" applyBorder="1" applyAlignment="1">
      <alignment horizontal="center" vertical="top" wrapText="1"/>
    </xf>
    <xf numFmtId="0" fontId="76" fillId="0" borderId="3" xfId="17486" applyFont="1" applyBorder="1" applyAlignment="1">
      <alignment horizontal="right" vertical="top" wrapText="1"/>
    </xf>
    <xf numFmtId="0" fontId="89" fillId="0" borderId="26" xfId="30634" applyFont="1" applyBorder="1" applyAlignment="1">
      <alignment vertical="top"/>
    </xf>
    <xf numFmtId="0" fontId="76" fillId="0" borderId="23" xfId="17486" applyFont="1" applyBorder="1" applyAlignment="1">
      <alignment vertical="top" wrapText="1"/>
    </xf>
    <xf numFmtId="0" fontId="79" fillId="0" borderId="1" xfId="30634" applyFont="1" applyBorder="1" applyAlignment="1">
      <alignment horizontal="center" vertical="top" wrapText="1"/>
    </xf>
    <xf numFmtId="0" fontId="27" fillId="0" borderId="4" xfId="30634" applyFont="1" applyBorder="1" applyAlignment="1">
      <alignment horizontal="right" vertical="top"/>
    </xf>
    <xf numFmtId="0" fontId="94" fillId="0" borderId="0" xfId="30634" applyFont="1" applyAlignment="1">
      <alignment horizontal="right" vertical="top"/>
    </xf>
    <xf numFmtId="1" fontId="95" fillId="0" borderId="28" xfId="30634" applyNumberFormat="1" applyFont="1" applyBorder="1" applyAlignment="1">
      <alignment horizontal="left" vertical="top"/>
    </xf>
    <xf numFmtId="2" fontId="79" fillId="0" borderId="5" xfId="30634" applyNumberFormat="1" applyFont="1" applyBorder="1" applyAlignment="1">
      <alignment horizontal="center" vertical="top"/>
    </xf>
    <xf numFmtId="0" fontId="96" fillId="0" borderId="0" xfId="30634" applyFont="1" applyAlignment="1">
      <alignment vertical="top"/>
    </xf>
    <xf numFmtId="0" fontId="97" fillId="0" borderId="1" xfId="30634" applyFont="1" applyBorder="1" applyAlignment="1">
      <alignment vertical="top" wrapText="1"/>
    </xf>
    <xf numFmtId="0" fontId="89" fillId="0" borderId="14" xfId="30634" applyFont="1" applyBorder="1" applyAlignment="1">
      <alignment horizontal="center" vertical="top"/>
    </xf>
    <xf numFmtId="0" fontId="98" fillId="0" borderId="30" xfId="30634" applyFont="1" applyBorder="1" applyAlignment="1">
      <alignment horizontal="center" vertical="top"/>
    </xf>
    <xf numFmtId="0" fontId="77" fillId="0" borderId="0" xfId="17486" applyFont="1" applyAlignment="1">
      <alignment vertical="top"/>
    </xf>
    <xf numFmtId="0" fontId="98" fillId="0" borderId="1" xfId="30634" applyFont="1" applyBorder="1" applyAlignment="1">
      <alignment horizontal="center" vertical="top"/>
    </xf>
    <xf numFmtId="0" fontId="74" fillId="0" borderId="1" xfId="30634" applyFont="1" applyBorder="1" applyAlignment="1">
      <alignment vertical="top"/>
    </xf>
    <xf numFmtId="0" fontId="77" fillId="0" borderId="0" xfId="17486" applyFont="1" applyAlignment="1">
      <alignment vertical="center"/>
    </xf>
    <xf numFmtId="0" fontId="99" fillId="0" borderId="1" xfId="17486" applyFont="1" applyBorder="1" applyAlignment="1">
      <alignment horizontal="center" vertical="top" wrapText="1"/>
    </xf>
    <xf numFmtId="0" fontId="26" fillId="0" borderId="1" xfId="17486" applyFont="1" applyBorder="1" applyAlignment="1">
      <alignment vertical="top" wrapText="1"/>
    </xf>
    <xf numFmtId="0" fontId="31" fillId="0" borderId="1" xfId="17486" applyFont="1" applyBorder="1" applyAlignment="1">
      <alignment horizontal="center" vertical="center" wrapText="1"/>
    </xf>
    <xf numFmtId="0" fontId="26" fillId="0" borderId="1" xfId="30634" applyFont="1" applyBorder="1" applyAlignment="1">
      <alignment horizontal="center" vertical="center" wrapText="1"/>
    </xf>
    <xf numFmtId="0" fontId="89" fillId="0" borderId="1" xfId="30634" applyFont="1" applyBorder="1" applyAlignment="1">
      <alignment horizontal="center" vertical="center"/>
    </xf>
    <xf numFmtId="0" fontId="78" fillId="0" borderId="0" xfId="30634" applyFont="1" applyAlignment="1">
      <alignment vertical="center"/>
    </xf>
    <xf numFmtId="0" fontId="100" fillId="0" borderId="1" xfId="17486" applyFont="1" applyBorder="1" applyAlignment="1">
      <alignment horizontal="center" vertical="top" wrapText="1"/>
    </xf>
    <xf numFmtId="0" fontId="31" fillId="0" borderId="1" xfId="30634" applyFont="1" applyBorder="1" applyAlignment="1">
      <alignment horizontal="center" vertical="top" wrapText="1"/>
    </xf>
    <xf numFmtId="0" fontId="89" fillId="0" borderId="1" xfId="30634" applyFont="1" applyBorder="1" applyAlignment="1">
      <alignment horizontal="center" vertical="top"/>
    </xf>
    <xf numFmtId="0" fontId="79" fillId="0" borderId="1" xfId="30634" applyFont="1" applyBorder="1" applyAlignment="1">
      <alignment horizontal="center" vertical="top"/>
    </xf>
    <xf numFmtId="0" fontId="27" fillId="0" borderId="1" xfId="30634" applyFont="1" applyBorder="1" applyAlignment="1">
      <alignment vertical="top" wrapText="1"/>
    </xf>
    <xf numFmtId="0" fontId="89" fillId="0" borderId="1" xfId="30634" applyFont="1" applyBorder="1" applyAlignment="1">
      <alignment vertical="top"/>
    </xf>
    <xf numFmtId="0" fontId="101" fillId="0" borderId="1" xfId="30634" applyFont="1" applyBorder="1" applyAlignment="1">
      <alignment horizontal="center" vertical="top" wrapText="1"/>
    </xf>
    <xf numFmtId="0" fontId="101" fillId="0" borderId="1" xfId="30634" applyFont="1" applyBorder="1" applyAlignment="1">
      <alignment horizontal="center" vertical="top"/>
    </xf>
    <xf numFmtId="0" fontId="84" fillId="0" borderId="1" xfId="17486" applyFont="1" applyBorder="1" applyAlignment="1">
      <alignment horizontal="center" vertical="top" wrapText="1"/>
    </xf>
    <xf numFmtId="0" fontId="26" fillId="0" borderId="11" xfId="30634" applyFont="1" applyBorder="1" applyAlignment="1">
      <alignment vertical="top"/>
    </xf>
    <xf numFmtId="14" fontId="89" fillId="0" borderId="2" xfId="30634" applyNumberFormat="1" applyFont="1" applyBorder="1" applyAlignment="1">
      <alignment vertical="top"/>
    </xf>
    <xf numFmtId="0" fontId="26" fillId="0" borderId="35" xfId="30634" applyFont="1" applyBorder="1" applyAlignment="1">
      <alignment vertical="top"/>
    </xf>
    <xf numFmtId="0" fontId="100" fillId="0" borderId="1" xfId="30634" applyFont="1" applyBorder="1" applyAlignment="1">
      <alignment vertical="top" wrapText="1"/>
    </xf>
    <xf numFmtId="0" fontId="99" fillId="0" borderId="1" xfId="30634" applyFont="1" applyBorder="1" applyAlignment="1">
      <alignment vertical="top" wrapText="1"/>
    </xf>
    <xf numFmtId="0" fontId="29" fillId="0" borderId="36" xfId="30634" applyFont="1" applyBorder="1" applyAlignment="1">
      <alignment vertical="top"/>
    </xf>
    <xf numFmtId="0" fontId="26" fillId="0" borderId="37" xfId="30634" applyFont="1" applyBorder="1" applyAlignment="1">
      <alignment vertical="top"/>
    </xf>
    <xf numFmtId="0" fontId="29" fillId="0" borderId="38" xfId="30634" applyFont="1" applyBorder="1" applyAlignment="1">
      <alignment vertical="top"/>
    </xf>
    <xf numFmtId="0" fontId="94" fillId="0" borderId="0" xfId="30634" applyFont="1" applyAlignment="1">
      <alignment vertical="top"/>
    </xf>
    <xf numFmtId="0" fontId="26" fillId="3" borderId="0" xfId="30634" applyFont="1" applyFill="1" applyAlignment="1">
      <alignment horizontal="center" vertical="top"/>
    </xf>
    <xf numFmtId="0" fontId="27" fillId="0" borderId="1" xfId="6618" applyFont="1" applyBorder="1" applyAlignment="1">
      <alignment horizontal="center" vertical="top"/>
    </xf>
    <xf numFmtId="0" fontId="26" fillId="0" borderId="1" xfId="6618" applyFont="1" applyBorder="1" applyAlignment="1">
      <alignment horizontal="center" vertical="top" wrapText="1"/>
    </xf>
    <xf numFmtId="0" fontId="26" fillId="0" borderId="0" xfId="30634" applyFont="1" applyAlignment="1">
      <alignment horizontal="left" vertical="top" wrapText="1"/>
    </xf>
    <xf numFmtId="0" fontId="97" fillId="0" borderId="0" xfId="17486" applyFont="1" applyAlignment="1">
      <alignment horizontal="right" vertical="top" wrapText="1"/>
    </xf>
    <xf numFmtId="0" fontId="97" fillId="0" borderId="0" xfId="17486" applyFont="1" applyAlignment="1">
      <alignment horizontal="right" vertical="top"/>
    </xf>
    <xf numFmtId="0" fontId="105" fillId="0" borderId="0" xfId="17486" applyFont="1" applyAlignment="1">
      <alignment horizontal="left" vertical="top" wrapText="1"/>
    </xf>
    <xf numFmtId="0" fontId="77" fillId="0" borderId="0" xfId="17486" applyFont="1" applyAlignment="1">
      <alignment horizontal="justify" vertical="top" wrapText="1"/>
    </xf>
    <xf numFmtId="0" fontId="77" fillId="0" borderId="0" xfId="17486" applyFont="1" applyAlignment="1">
      <alignment horizontal="right" vertical="top"/>
    </xf>
    <xf numFmtId="0" fontId="84" fillId="3" borderId="1" xfId="17486" applyFont="1" applyFill="1" applyBorder="1" applyAlignment="1">
      <alignment horizontal="center" vertical="top" wrapText="1"/>
    </xf>
    <xf numFmtId="0" fontId="26" fillId="3" borderId="0" xfId="30634" applyFont="1" applyFill="1" applyAlignment="1">
      <alignment vertical="top" wrapText="1"/>
    </xf>
    <xf numFmtId="0" fontId="106" fillId="0" borderId="0" xfId="17486" applyFont="1" applyAlignment="1">
      <alignment vertical="top"/>
    </xf>
    <xf numFmtId="0" fontId="86" fillId="0" borderId="1" xfId="17486" applyFont="1" applyBorder="1" applyAlignment="1">
      <alignment horizontal="center" vertical="top" wrapText="1"/>
    </xf>
    <xf numFmtId="0" fontId="26" fillId="0" borderId="0" xfId="6618" applyFont="1" applyAlignment="1">
      <alignment vertical="top"/>
    </xf>
    <xf numFmtId="0" fontId="26" fillId="0" borderId="1" xfId="30634" applyFont="1" applyBorder="1" applyAlignment="1">
      <alignment horizontal="center" vertical="top"/>
    </xf>
    <xf numFmtId="1" fontId="107" fillId="0" borderId="1" xfId="2778" applyNumberFormat="1" applyFont="1" applyBorder="1" applyAlignment="1">
      <alignment horizontal="center" vertical="top" wrapText="1"/>
    </xf>
    <xf numFmtId="2" fontId="58" fillId="0" borderId="1" xfId="17486" applyNumberFormat="1" applyFont="1" applyBorder="1" applyAlignment="1">
      <alignment horizontal="center" vertical="top" wrapText="1"/>
    </xf>
    <xf numFmtId="0" fontId="31" fillId="0" borderId="1" xfId="30634" applyFont="1" applyBorder="1" applyAlignment="1">
      <alignment horizontal="center" vertical="top"/>
    </xf>
    <xf numFmtId="1" fontId="58" fillId="0" borderId="1" xfId="2778" applyNumberFormat="1" applyFont="1" applyBorder="1" applyAlignment="1">
      <alignment horizontal="center" vertical="top" wrapText="1"/>
    </xf>
    <xf numFmtId="0" fontId="108" fillId="0" borderId="1" xfId="17486" applyFont="1" applyBorder="1" applyAlignment="1">
      <alignment horizontal="justify" vertical="top" wrapText="1"/>
    </xf>
    <xf numFmtId="2" fontId="108" fillId="0" borderId="1" xfId="17486" applyNumberFormat="1" applyFont="1" applyBorder="1" applyAlignment="1">
      <alignment horizontal="center" vertical="top" wrapText="1"/>
    </xf>
    <xf numFmtId="1" fontId="109" fillId="0" borderId="1" xfId="2778" applyNumberFormat="1" applyFont="1" applyBorder="1" applyAlignment="1">
      <alignment horizontal="center" vertical="top" wrapText="1"/>
    </xf>
    <xf numFmtId="2" fontId="109" fillId="0" borderId="1" xfId="17486" applyNumberFormat="1" applyFont="1" applyBorder="1" applyAlignment="1">
      <alignment horizontal="center" vertical="top" wrapText="1"/>
    </xf>
    <xf numFmtId="0" fontId="70" fillId="0" borderId="0" xfId="30634" applyFont="1" applyAlignment="1">
      <alignment vertical="top" wrapText="1"/>
    </xf>
    <xf numFmtId="0" fontId="110" fillId="0" borderId="0" xfId="17486" applyFont="1" applyAlignment="1">
      <alignment horizontal="center" vertical="top"/>
    </xf>
    <xf numFmtId="0" fontId="77" fillId="0" borderId="0" xfId="17486" applyFont="1" applyAlignment="1">
      <alignment horizontal="center" vertical="top"/>
    </xf>
    <xf numFmtId="0" fontId="103" fillId="0" borderId="0" xfId="30634" applyFont="1" applyAlignment="1">
      <alignment vertical="top"/>
    </xf>
    <xf numFmtId="0" fontId="103" fillId="0" borderId="0" xfId="17486" applyFont="1" applyAlignment="1">
      <alignment vertical="top"/>
    </xf>
    <xf numFmtId="0" fontId="110" fillId="0" borderId="0" xfId="17486" applyFont="1" applyAlignment="1">
      <alignment vertical="top"/>
    </xf>
    <xf numFmtId="0" fontId="110" fillId="0" borderId="0" xfId="30634" applyFont="1" applyAlignment="1">
      <alignment horizontal="center" vertical="top"/>
    </xf>
    <xf numFmtId="0" fontId="103" fillId="0" borderId="0" xfId="30634" applyFont="1" applyAlignment="1">
      <alignment horizontal="center" vertical="top"/>
    </xf>
    <xf numFmtId="0" fontId="110" fillId="0" borderId="0" xfId="30634" applyFont="1" applyAlignment="1">
      <alignment vertical="top"/>
    </xf>
    <xf numFmtId="0" fontId="79" fillId="0" borderId="0" xfId="30634" applyFont="1" applyAlignment="1">
      <alignment horizontal="left" vertical="top"/>
    </xf>
    <xf numFmtId="0" fontId="112" fillId="0" borderId="0" xfId="0" applyFont="1"/>
    <xf numFmtId="0" fontId="51" fillId="0" borderId="0" xfId="0" applyFont="1"/>
    <xf numFmtId="0" fontId="51" fillId="0" borderId="0" xfId="0" applyFont="1" applyAlignment="1">
      <alignment horizontal="center"/>
    </xf>
    <xf numFmtId="0" fontId="112" fillId="0" borderId="1" xfId="0" applyFont="1" applyBorder="1" applyAlignment="1">
      <alignment horizontal="center" vertical="center"/>
    </xf>
    <xf numFmtId="2" fontId="112" fillId="0" borderId="1" xfId="0" applyNumberFormat="1" applyFont="1" applyBorder="1" applyAlignment="1">
      <alignment horizontal="center" vertical="center"/>
    </xf>
    <xf numFmtId="0" fontId="112" fillId="0" borderId="1" xfId="0" applyFont="1" applyBorder="1" applyAlignment="1">
      <alignment horizontal="center" vertical="center" wrapText="1"/>
    </xf>
    <xf numFmtId="0" fontId="51" fillId="0" borderId="0" xfId="0" applyFont="1" applyAlignment="1" applyProtection="1">
      <alignment horizontal="center" vertical="top" wrapText="1"/>
      <protection hidden="1"/>
    </xf>
    <xf numFmtId="0" fontId="51" fillId="0" borderId="0" xfId="0" applyFont="1" applyAlignment="1" applyProtection="1">
      <alignment horizontal="left" vertical="top" wrapText="1"/>
      <protection hidden="1"/>
    </xf>
    <xf numFmtId="0" fontId="51" fillId="0" borderId="0" xfId="0" applyFont="1" applyAlignment="1">
      <alignment horizontal="left"/>
    </xf>
    <xf numFmtId="176" fontId="51" fillId="0" borderId="0" xfId="0" applyNumberFormat="1" applyFont="1" applyAlignment="1">
      <alignment horizontal="center"/>
    </xf>
    <xf numFmtId="0" fontId="51" fillId="0" borderId="0" xfId="0" applyFont="1" applyAlignment="1">
      <alignment horizontal="center" vertical="top"/>
    </xf>
    <xf numFmtId="0" fontId="112" fillId="0" borderId="0" xfId="0" applyFont="1" applyAlignment="1">
      <alignment horizontal="justify" wrapText="1"/>
    </xf>
    <xf numFmtId="0" fontId="112" fillId="0" borderId="0" xfId="0" applyFont="1" applyAlignment="1">
      <alignment horizontal="center" wrapText="1"/>
    </xf>
    <xf numFmtId="1" fontId="113" fillId="0" borderId="0" xfId="0" applyNumberFormat="1" applyFont="1" applyAlignment="1">
      <alignment horizontal="center" wrapText="1"/>
    </xf>
    <xf numFmtId="176" fontId="113" fillId="0" borderId="0" xfId="0" applyNumberFormat="1" applyFont="1" applyAlignment="1">
      <alignment horizontal="center" wrapText="1"/>
    </xf>
    <xf numFmtId="0" fontId="51" fillId="0" borderId="0" xfId="0" applyFont="1" applyAlignment="1">
      <alignment horizontal="right"/>
    </xf>
    <xf numFmtId="0" fontId="64" fillId="0" borderId="0" xfId="30631" applyFont="1" applyAlignment="1">
      <alignment vertical="center"/>
    </xf>
    <xf numFmtId="0" fontId="64" fillId="0" borderId="0" xfId="30631" applyFont="1" applyAlignment="1">
      <alignment vertical="center" wrapText="1"/>
    </xf>
    <xf numFmtId="0" fontId="63" fillId="0" borderId="1" xfId="0" applyFont="1" applyBorder="1" applyAlignment="1">
      <alignment horizontal="center" vertical="top" wrapText="1"/>
    </xf>
    <xf numFmtId="0" fontId="63" fillId="0" borderId="1" xfId="0" applyFont="1" applyBorder="1" applyAlignment="1">
      <alignment horizontal="center" vertical="top"/>
    </xf>
    <xf numFmtId="0" fontId="63" fillId="0" borderId="1" xfId="0" applyFont="1" applyBorder="1" applyAlignment="1">
      <alignment horizontal="center" vertical="center"/>
    </xf>
    <xf numFmtId="0" fontId="64" fillId="0" borderId="1" xfId="30631" applyFont="1" applyBorder="1" applyAlignment="1">
      <alignment horizontal="left" vertical="center"/>
    </xf>
    <xf numFmtId="0" fontId="64" fillId="0" borderId="1" xfId="30631" applyFont="1" applyBorder="1" applyAlignment="1">
      <alignment horizontal="center" vertical="center"/>
    </xf>
    <xf numFmtId="2" fontId="64" fillId="0" borderId="1" xfId="30631" applyNumberFormat="1" applyFont="1" applyBorder="1" applyAlignment="1">
      <alignment horizontal="center" vertical="center"/>
    </xf>
    <xf numFmtId="2" fontId="66" fillId="0" borderId="1" xfId="30631" applyNumberFormat="1" applyFont="1" applyBorder="1" applyAlignment="1">
      <alignment horizontal="center" vertical="center" wrapText="1"/>
    </xf>
    <xf numFmtId="0" fontId="64" fillId="0" borderId="1" xfId="0" applyFont="1" applyBorder="1" applyAlignment="1">
      <alignment horizontal="left" vertical="center" wrapText="1"/>
    </xf>
    <xf numFmtId="0" fontId="64" fillId="0" borderId="1" xfId="30642" applyFont="1" applyBorder="1" applyAlignment="1">
      <alignment horizontal="center" wrapText="1"/>
    </xf>
    <xf numFmtId="2" fontId="64" fillId="0" borderId="1" xfId="30642" applyNumberFormat="1" applyFont="1" applyBorder="1" applyAlignment="1">
      <alignment horizontal="center" wrapText="1"/>
    </xf>
    <xf numFmtId="0" fontId="64" fillId="0" borderId="1" xfId="30637" applyFont="1" applyBorder="1" applyAlignment="1">
      <alignment vertical="center"/>
    </xf>
    <xf numFmtId="0" fontId="64" fillId="0" borderId="1" xfId="30637" applyFont="1" applyBorder="1" applyAlignment="1">
      <alignment horizontal="center" vertical="center"/>
    </xf>
    <xf numFmtId="2" fontId="64" fillId="0" borderId="1" xfId="30637" applyNumberFormat="1" applyFont="1" applyBorder="1" applyAlignment="1">
      <alignment horizontal="center" vertical="center"/>
    </xf>
    <xf numFmtId="0" fontId="64" fillId="0" borderId="1" xfId="30631" applyFont="1" applyBorder="1" applyAlignment="1">
      <alignment horizontal="left" vertical="center" wrapText="1"/>
    </xf>
    <xf numFmtId="0" fontId="64" fillId="0" borderId="1" xfId="30631" applyFont="1" applyBorder="1" applyAlignment="1">
      <alignment horizontal="center" vertical="center" wrapText="1"/>
    </xf>
    <xf numFmtId="171" fontId="64" fillId="0" borderId="1" xfId="30631" applyNumberFormat="1" applyFont="1" applyBorder="1" applyAlignment="1">
      <alignment horizontal="center" vertical="center"/>
    </xf>
    <xf numFmtId="0" fontId="64" fillId="0" borderId="1" xfId="30637" applyFont="1" applyBorder="1" applyAlignment="1">
      <alignment horizontal="left" vertical="center"/>
    </xf>
    <xf numFmtId="2" fontId="64" fillId="0" borderId="1" xfId="30631" applyNumberFormat="1" applyFont="1" applyBorder="1" applyAlignment="1">
      <alignment horizontal="center" vertical="center" wrapText="1"/>
    </xf>
    <xf numFmtId="171" fontId="64" fillId="0" borderId="1" xfId="30631" applyNumberFormat="1" applyFont="1" applyBorder="1" applyAlignment="1">
      <alignment horizontal="center" vertical="center" wrapText="1"/>
    </xf>
    <xf numFmtId="0" fontId="64" fillId="0" borderId="1" xfId="30642" applyFont="1" applyBorder="1" applyAlignment="1">
      <alignment horizontal="justify" wrapText="1"/>
    </xf>
    <xf numFmtId="171" fontId="64" fillId="0" borderId="1" xfId="30642" applyNumberFormat="1" applyFont="1" applyBorder="1" applyAlignment="1">
      <alignment horizontal="center" wrapText="1"/>
    </xf>
    <xf numFmtId="0" fontId="64" fillId="0" borderId="1" xfId="30642" applyFont="1" applyBorder="1" applyAlignment="1">
      <alignment horizontal="center" vertical="center" wrapText="1"/>
    </xf>
    <xf numFmtId="0" fontId="64" fillId="0" borderId="1" xfId="30642" applyFont="1" applyBorder="1" applyAlignment="1">
      <alignment horizontal="justify" vertical="center" wrapText="1"/>
    </xf>
    <xf numFmtId="2" fontId="64" fillId="0" borderId="1" xfId="30642" applyNumberFormat="1" applyFont="1" applyBorder="1" applyAlignment="1">
      <alignment horizontal="center" vertical="center" wrapText="1"/>
    </xf>
    <xf numFmtId="171" fontId="64" fillId="0" borderId="1" xfId="30642" applyNumberFormat="1" applyFont="1" applyBorder="1" applyAlignment="1">
      <alignment horizontal="center" vertical="center" wrapText="1"/>
    </xf>
    <xf numFmtId="0" fontId="64" fillId="7" borderId="1" xfId="0" applyFont="1" applyFill="1" applyBorder="1" applyAlignment="1">
      <alignment horizontal="center" vertical="top"/>
    </xf>
    <xf numFmtId="0" fontId="64" fillId="0" borderId="1" xfId="30637" applyFont="1" applyBorder="1" applyAlignment="1">
      <alignment horizontal="left" vertical="center" wrapText="1"/>
    </xf>
    <xf numFmtId="2" fontId="64" fillId="0" borderId="1" xfId="30637" applyNumberFormat="1" applyFont="1" applyBorder="1" applyAlignment="1">
      <alignment horizontal="center" vertical="center" wrapText="1"/>
    </xf>
    <xf numFmtId="2" fontId="63" fillId="0" borderId="1" xfId="0" applyNumberFormat="1" applyFont="1" applyBorder="1" applyAlignment="1">
      <alignment horizontal="center" vertical="center"/>
    </xf>
    <xf numFmtId="1" fontId="63" fillId="0" borderId="1" xfId="0" applyNumberFormat="1" applyFont="1" applyBorder="1" applyAlignment="1">
      <alignment horizontal="center" vertical="center"/>
    </xf>
    <xf numFmtId="4" fontId="63" fillId="0" borderId="1" xfId="0" applyNumberFormat="1" applyFont="1" applyBorder="1" applyAlignment="1">
      <alignment horizontal="justify" vertical="top"/>
    </xf>
    <xf numFmtId="4" fontId="63" fillId="0" borderId="1" xfId="0" applyNumberFormat="1" applyFont="1" applyBorder="1" applyAlignment="1">
      <alignment horizontal="justify" vertical="center"/>
    </xf>
    <xf numFmtId="2" fontId="63" fillId="0" borderId="1" xfId="30637" applyNumberFormat="1" applyFont="1" applyBorder="1" applyAlignment="1">
      <alignment horizontal="center" vertical="center"/>
    </xf>
    <xf numFmtId="4" fontId="63" fillId="0" borderId="1" xfId="0" applyNumberFormat="1" applyFont="1" applyBorder="1" applyAlignment="1">
      <alignment horizontal="right" vertical="center"/>
    </xf>
    <xf numFmtId="4" fontId="63" fillId="0" borderId="1" xfId="0" applyNumberFormat="1" applyFont="1" applyBorder="1" applyAlignment="1">
      <alignment horizontal="justify"/>
    </xf>
    <xf numFmtId="4" fontId="63" fillId="0" borderId="1" xfId="30631" applyNumberFormat="1" applyFont="1" applyBorder="1" applyAlignment="1">
      <alignment vertical="center"/>
    </xf>
    <xf numFmtId="4" fontId="63" fillId="0" borderId="1" xfId="30631" applyNumberFormat="1" applyFont="1" applyBorder="1" applyAlignment="1">
      <alignment vertical="center" wrapText="1"/>
    </xf>
    <xf numFmtId="0" fontId="64" fillId="0" borderId="1" xfId="30642" applyFont="1" applyBorder="1" applyAlignment="1">
      <alignment horizontal="center"/>
    </xf>
    <xf numFmtId="4" fontId="63" fillId="0" borderId="1" xfId="30642" applyNumberFormat="1" applyFont="1" applyBorder="1"/>
    <xf numFmtId="0" fontId="64" fillId="0" borderId="1" xfId="30642" applyFont="1" applyBorder="1" applyAlignment="1">
      <alignment horizontal="center" vertical="center"/>
    </xf>
    <xf numFmtId="4" fontId="63" fillId="0" borderId="1" xfId="30642" applyNumberFormat="1" applyFont="1" applyBorder="1" applyAlignment="1">
      <alignment vertical="center"/>
    </xf>
    <xf numFmtId="4" fontId="63" fillId="7" borderId="1" xfId="30637" applyNumberFormat="1" applyFont="1" applyFill="1" applyBorder="1" applyAlignment="1">
      <alignment horizontal="right" vertical="top"/>
    </xf>
    <xf numFmtId="0" fontId="64" fillId="0" borderId="1" xfId="30637" applyFont="1" applyBorder="1" applyAlignment="1">
      <alignment horizontal="center" vertical="center" wrapText="1"/>
    </xf>
    <xf numFmtId="4" fontId="63" fillId="0" borderId="1" xfId="30637" applyNumberFormat="1" applyFont="1" applyBorder="1" applyAlignment="1">
      <alignment horizontal="right" vertical="top"/>
    </xf>
    <xf numFmtId="4" fontId="63" fillId="0" borderId="1" xfId="30637" applyNumberFormat="1" applyFont="1" applyBorder="1" applyAlignment="1">
      <alignment horizontal="right" vertical="center"/>
    </xf>
    <xf numFmtId="4" fontId="63" fillId="0" borderId="1" xfId="0" applyNumberFormat="1" applyFont="1" applyBorder="1" applyAlignment="1">
      <alignment vertical="center"/>
    </xf>
    <xf numFmtId="0" fontId="50" fillId="0" borderId="0" xfId="0" applyFont="1" applyAlignment="1">
      <alignment vertical="center"/>
    </xf>
    <xf numFmtId="171" fontId="50" fillId="0" borderId="12" xfId="0" applyNumberFormat="1" applyFont="1" applyBorder="1" applyAlignment="1">
      <alignment horizontal="center" vertical="center" wrapText="1"/>
    </xf>
    <xf numFmtId="2" fontId="50" fillId="0" borderId="12" xfId="30641" applyNumberFormat="1" applyFont="1" applyBorder="1" applyAlignment="1">
      <alignment horizontal="left" vertical="center"/>
    </xf>
    <xf numFmtId="0" fontId="59" fillId="0" borderId="12" xfId="0" applyFont="1" applyBorder="1" applyAlignment="1">
      <alignment horizontal="left" vertical="center" wrapText="1"/>
    </xf>
    <xf numFmtId="0" fontId="50" fillId="0" borderId="12" xfId="0" applyFont="1" applyBorder="1" applyAlignment="1">
      <alignment vertical="center"/>
    </xf>
    <xf numFmtId="0" fontId="50" fillId="0" borderId="12" xfId="0" applyFont="1" applyBorder="1" applyAlignment="1">
      <alignment horizontal="center"/>
    </xf>
    <xf numFmtId="0" fontId="50" fillId="0" borderId="12" xfId="0" applyFont="1" applyBorder="1" applyAlignment="1">
      <alignment horizontal="left" wrapText="1"/>
    </xf>
    <xf numFmtId="0" fontId="50" fillId="0" borderId="12" xfId="0" applyFont="1" applyBorder="1" applyAlignment="1">
      <alignment horizontal="center" wrapText="1"/>
    </xf>
    <xf numFmtId="2" fontId="50" fillId="0" borderId="1" xfId="0" applyNumberFormat="1" applyFont="1" applyBorder="1" applyAlignment="1">
      <alignment horizontal="center" wrapText="1"/>
    </xf>
    <xf numFmtId="2" fontId="50" fillId="0" borderId="12" xfId="0" applyNumberFormat="1" applyFont="1" applyBorder="1" applyAlignment="1">
      <alignment horizontal="center" wrapText="1"/>
    </xf>
    <xf numFmtId="2" fontId="50" fillId="0" borderId="12" xfId="30641" applyNumberFormat="1" applyFont="1" applyBorder="1" applyAlignment="1">
      <alignment horizontal="left" shrinkToFit="1"/>
    </xf>
    <xf numFmtId="0" fontId="50" fillId="0" borderId="12" xfId="0" applyFont="1" applyBorder="1" applyAlignment="1">
      <alignment horizontal="center" vertical="top" wrapText="1"/>
    </xf>
    <xf numFmtId="2" fontId="50" fillId="0" borderId="12" xfId="0" applyNumberFormat="1" applyFont="1" applyBorder="1" applyAlignment="1">
      <alignment horizontal="center" vertical="top" wrapText="1"/>
    </xf>
    <xf numFmtId="0" fontId="50" fillId="0" borderId="2" xfId="0" applyFont="1" applyBorder="1" applyAlignment="1">
      <alignment horizontal="center" vertical="top"/>
    </xf>
    <xf numFmtId="0" fontId="50" fillId="0" borderId="2" xfId="0" applyFont="1" applyBorder="1" applyAlignment="1">
      <alignment horizontal="left" vertical="top" wrapText="1"/>
    </xf>
    <xf numFmtId="0" fontId="50" fillId="0" borderId="43" xfId="0" applyFont="1" applyBorder="1" applyAlignment="1">
      <alignment horizontal="center" vertical="top"/>
    </xf>
    <xf numFmtId="0" fontId="50" fillId="0" borderId="44" xfId="0" applyFont="1" applyBorder="1" applyAlignment="1">
      <alignment horizontal="left" vertical="top" wrapText="1"/>
    </xf>
    <xf numFmtId="0" fontId="50" fillId="0" borderId="44" xfId="0" applyFont="1" applyBorder="1" applyAlignment="1">
      <alignment horizontal="center" vertical="center"/>
    </xf>
    <xf numFmtId="0" fontId="50" fillId="0" borderId="12" xfId="0" applyFont="1" applyBorder="1" applyAlignment="1">
      <alignment horizontal="justify" wrapText="1"/>
    </xf>
    <xf numFmtId="3" fontId="59" fillId="0" borderId="12" xfId="0" applyNumberFormat="1" applyFont="1" applyBorder="1" applyAlignment="1">
      <alignment horizontal="justify"/>
    </xf>
    <xf numFmtId="171" fontId="50" fillId="0" borderId="12" xfId="0" applyNumberFormat="1" applyFont="1" applyBorder="1" applyAlignment="1">
      <alignment horizontal="center" vertical="top" wrapText="1"/>
    </xf>
    <xf numFmtId="3" fontId="59" fillId="0" borderId="12" xfId="0" applyNumberFormat="1" applyFont="1" applyBorder="1" applyAlignment="1">
      <alignment horizontal="justify" vertical="top"/>
    </xf>
    <xf numFmtId="171" fontId="59" fillId="0" borderId="1" xfId="0" applyNumberFormat="1" applyFont="1" applyBorder="1" applyAlignment="1">
      <alignment horizontal="center" vertical="center" wrapText="1"/>
    </xf>
    <xf numFmtId="2" fontId="59" fillId="0" borderId="44" xfId="0" applyNumberFormat="1" applyFont="1" applyBorder="1" applyAlignment="1">
      <alignment horizontal="center" vertical="center" wrapText="1"/>
    </xf>
    <xf numFmtId="0" fontId="57" fillId="0" borderId="44" xfId="0" applyFont="1" applyBorder="1" applyAlignment="1">
      <alignment horizontal="center" vertical="center"/>
    </xf>
    <xf numFmtId="0" fontId="58" fillId="0" borderId="44" xfId="0" applyFont="1" applyBorder="1" applyAlignment="1">
      <alignment horizontal="center" vertical="center"/>
    </xf>
    <xf numFmtId="2" fontId="57" fillId="0" borderId="45" xfId="0" applyNumberFormat="1" applyFont="1" applyBorder="1" applyAlignment="1">
      <alignment vertical="center"/>
    </xf>
    <xf numFmtId="0" fontId="26" fillId="0" borderId="0" xfId="6618" applyFont="1"/>
    <xf numFmtId="0" fontId="26" fillId="0" borderId="46" xfId="6618" applyFont="1" applyBorder="1"/>
    <xf numFmtId="0" fontId="26" fillId="0" borderId="47" xfId="6618" applyFont="1" applyBorder="1"/>
    <xf numFmtId="0" fontId="114" fillId="0" borderId="32" xfId="6618" applyFont="1" applyBorder="1" applyAlignment="1">
      <alignment horizontal="left"/>
    </xf>
    <xf numFmtId="0" fontId="114" fillId="0" borderId="0" xfId="6618" applyFont="1" applyAlignment="1">
      <alignment horizontal="left"/>
    </xf>
    <xf numFmtId="0" fontId="26" fillId="0" borderId="48" xfId="6618" applyFont="1" applyBorder="1"/>
    <xf numFmtId="0" fontId="83" fillId="0" borderId="0" xfId="6618" applyFont="1"/>
    <xf numFmtId="0" fontId="27" fillId="0" borderId="0" xfId="6618" applyFont="1"/>
    <xf numFmtId="0" fontId="26" fillId="0" borderId="0" xfId="6618" applyFont="1" applyAlignment="1">
      <alignment horizontal="center"/>
    </xf>
    <xf numFmtId="0" fontId="26" fillId="0" borderId="0" xfId="6618" applyFont="1" applyAlignment="1">
      <alignment horizontal="center" vertical="top" textRotation="90"/>
    </xf>
    <xf numFmtId="0" fontId="26" fillId="0" borderId="0" xfId="6618" applyFont="1" applyAlignment="1">
      <alignment horizontal="right" vertical="top" textRotation="90"/>
    </xf>
    <xf numFmtId="0" fontId="26" fillId="12" borderId="0" xfId="6618" applyFont="1" applyFill="1"/>
    <xf numFmtId="0" fontId="26" fillId="13" borderId="0" xfId="6618" applyFont="1" applyFill="1"/>
    <xf numFmtId="0" fontId="4" fillId="3" borderId="0" xfId="6618" applyFont="1" applyFill="1"/>
    <xf numFmtId="0" fontId="84" fillId="13" borderId="0" xfId="6618" applyFont="1" applyFill="1"/>
    <xf numFmtId="0" fontId="10" fillId="3" borderId="0" xfId="6618" applyFont="1" applyFill="1"/>
    <xf numFmtId="0" fontId="26" fillId="14" borderId="10" xfId="6618" applyFont="1" applyFill="1" applyBorder="1"/>
    <xf numFmtId="0" fontId="26" fillId="0" borderId="10" xfId="6618" applyFont="1" applyBorder="1"/>
    <xf numFmtId="0" fontId="10" fillId="14" borderId="0" xfId="6618" applyFont="1" applyFill="1"/>
    <xf numFmtId="0" fontId="4" fillId="14" borderId="0" xfId="6618" applyFont="1" applyFill="1"/>
    <xf numFmtId="0" fontId="4" fillId="14" borderId="0" xfId="6618" applyFont="1" applyFill="1" applyAlignment="1">
      <alignment horizontal="center"/>
    </xf>
    <xf numFmtId="0" fontId="4" fillId="15" borderId="0" xfId="6618" applyFont="1" applyFill="1" applyAlignment="1">
      <alignment horizontal="center"/>
    </xf>
    <xf numFmtId="0" fontId="74" fillId="0" borderId="0" xfId="6618" applyFont="1"/>
    <xf numFmtId="0" fontId="84" fillId="0" borderId="0" xfId="6618" applyFont="1"/>
    <xf numFmtId="0" fontId="4" fillId="17" borderId="4" xfId="6618" applyFont="1" applyFill="1" applyBorder="1" applyAlignment="1">
      <alignment horizontal="center"/>
    </xf>
    <xf numFmtId="0" fontId="4" fillId="17" borderId="5" xfId="6618" applyFont="1" applyFill="1" applyBorder="1" applyAlignment="1">
      <alignment horizontal="center"/>
    </xf>
    <xf numFmtId="0" fontId="26" fillId="0" borderId="49" xfId="6618" applyFont="1" applyBorder="1"/>
    <xf numFmtId="0" fontId="26" fillId="0" borderId="50" xfId="6618" applyFont="1" applyBorder="1"/>
    <xf numFmtId="0" fontId="0" fillId="0" borderId="0" xfId="6618" applyFont="1" applyAlignment="1">
      <alignment horizontal="center"/>
    </xf>
    <xf numFmtId="0" fontId="3" fillId="0" borderId="0" xfId="6618" applyAlignment="1">
      <alignment horizontal="center"/>
    </xf>
    <xf numFmtId="0" fontId="26" fillId="0" borderId="0" xfId="6618" applyNumberFormat="1" applyFont="1" applyAlignment="1">
      <alignment horizontal="left" textRotation="90"/>
    </xf>
    <xf numFmtId="0" fontId="99" fillId="0" borderId="0" xfId="6618" applyFont="1"/>
    <xf numFmtId="0" fontId="3" fillId="0" borderId="0" xfId="6618"/>
    <xf numFmtId="17" fontId="26" fillId="0" borderId="0" xfId="6618" applyNumberFormat="1" applyFont="1" applyAlignment="1">
      <alignment horizontal="center" vertical="top" textRotation="90"/>
    </xf>
    <xf numFmtId="0" fontId="26" fillId="0" borderId="51" xfId="6618" applyFont="1" applyBorder="1"/>
    <xf numFmtId="0" fontId="26" fillId="0" borderId="52" xfId="6618" applyFont="1" applyBorder="1"/>
    <xf numFmtId="0" fontId="26" fillId="0" borderId="0" xfId="6618" applyFont="1" applyAlignment="1">
      <alignment vertical="center"/>
    </xf>
    <xf numFmtId="0" fontId="74" fillId="0" borderId="52" xfId="6618" applyFont="1" applyBorder="1"/>
    <xf numFmtId="0" fontId="10" fillId="0" borderId="0" xfId="6618" applyFont="1" applyAlignment="1">
      <alignment vertical="center"/>
    </xf>
    <xf numFmtId="0" fontId="26" fillId="0" borderId="53" xfId="6618" applyFont="1" applyBorder="1"/>
    <xf numFmtId="0" fontId="115" fillId="0" borderId="0" xfId="0" applyFont="1" applyAlignment="1" applyProtection="1">
      <alignment horizontal="center"/>
      <protection locked="0"/>
    </xf>
    <xf numFmtId="0" fontId="115" fillId="0" borderId="0" xfId="0" applyFont="1" applyAlignment="1" applyProtection="1">
      <alignment vertical="center"/>
      <protection locked="0"/>
    </xf>
    <xf numFmtId="0" fontId="115" fillId="7" borderId="0" xfId="0" applyFont="1" applyFill="1" applyAlignment="1" applyProtection="1">
      <alignment vertical="center"/>
      <protection locked="0"/>
    </xf>
    <xf numFmtId="0" fontId="115" fillId="0" borderId="0" xfId="0" applyFont="1"/>
    <xf numFmtId="0" fontId="115" fillId="0" borderId="0" xfId="0" applyFont="1" applyAlignment="1">
      <alignment vertical="center"/>
    </xf>
    <xf numFmtId="0" fontId="115" fillId="0" borderId="0" xfId="0" applyFont="1" applyProtection="1">
      <protection locked="0"/>
    </xf>
    <xf numFmtId="0" fontId="117" fillId="0" borderId="1" xfId="0" applyFont="1" applyBorder="1" applyAlignment="1" applyProtection="1">
      <alignment horizontal="center" vertical="center" wrapText="1"/>
      <protection locked="0"/>
    </xf>
    <xf numFmtId="0" fontId="118" fillId="0" borderId="1" xfId="0" applyFont="1" applyBorder="1" applyAlignment="1" applyProtection="1">
      <alignment horizontal="center" vertical="center" wrapText="1"/>
      <protection locked="0"/>
    </xf>
    <xf numFmtId="0" fontId="115" fillId="0" borderId="1" xfId="0" applyFont="1" applyBorder="1" applyAlignment="1" applyProtection="1">
      <alignment horizontal="center" vertical="center"/>
      <protection locked="0"/>
    </xf>
    <xf numFmtId="0" fontId="115" fillId="0" borderId="1" xfId="0" applyFont="1" applyBorder="1" applyAlignment="1" applyProtection="1">
      <alignment vertical="center" wrapText="1"/>
      <protection locked="0"/>
    </xf>
    <xf numFmtId="0" fontId="119" fillId="0" borderId="1" xfId="0" applyFont="1" applyBorder="1" applyAlignment="1" applyProtection="1">
      <alignment horizontal="center" vertical="center" wrapText="1"/>
      <protection locked="0"/>
    </xf>
    <xf numFmtId="1" fontId="115" fillId="0" borderId="1" xfId="0" applyNumberFormat="1" applyFont="1" applyBorder="1" applyAlignment="1" applyProtection="1">
      <alignment horizontal="center" vertical="center" wrapText="1"/>
      <protection locked="0"/>
    </xf>
    <xf numFmtId="2" fontId="115" fillId="0" borderId="1" xfId="0" applyNumberFormat="1" applyFont="1" applyBorder="1" applyAlignment="1" applyProtection="1">
      <alignment horizontal="right" vertical="center" wrapText="1"/>
      <protection locked="0"/>
    </xf>
    <xf numFmtId="0" fontId="115" fillId="0" borderId="1" xfId="0" applyFont="1" applyBorder="1" applyAlignment="1" applyProtection="1">
      <alignment horizontal="center" vertical="top" wrapText="1"/>
      <protection locked="0"/>
    </xf>
    <xf numFmtId="0" fontId="118" fillId="0" borderId="1" xfId="0" applyFont="1" applyBorder="1" applyAlignment="1" applyProtection="1">
      <alignment horizontal="left" vertical="center"/>
      <protection locked="0"/>
    </xf>
    <xf numFmtId="0" fontId="115" fillId="0" borderId="1" xfId="0" applyFont="1" applyBorder="1" applyAlignment="1" applyProtection="1">
      <alignment horizontal="right" vertical="center" wrapText="1"/>
      <protection locked="0"/>
    </xf>
    <xf numFmtId="0" fontId="115" fillId="0" borderId="1" xfId="0" applyFont="1" applyBorder="1" applyAlignment="1" applyProtection="1">
      <alignment vertical="center"/>
      <protection locked="0"/>
    </xf>
    <xf numFmtId="0" fontId="120" fillId="0" borderId="1" xfId="0" applyFont="1" applyBorder="1" applyAlignment="1" applyProtection="1">
      <alignment horizontal="center" vertical="top" wrapText="1"/>
      <protection locked="0"/>
    </xf>
    <xf numFmtId="1" fontId="115" fillId="7" borderId="1" xfId="0" applyNumberFormat="1" applyFont="1" applyFill="1" applyBorder="1" applyAlignment="1" applyProtection="1">
      <alignment horizontal="center" vertical="center" wrapText="1"/>
      <protection locked="0"/>
    </xf>
    <xf numFmtId="2" fontId="115" fillId="7" borderId="1" xfId="0" applyNumberFormat="1" applyFont="1" applyFill="1" applyBorder="1" applyAlignment="1" applyProtection="1">
      <alignment horizontal="right" vertical="center" wrapText="1"/>
      <protection locked="0"/>
    </xf>
    <xf numFmtId="0" fontId="115" fillId="7" borderId="1" xfId="0" applyFont="1" applyFill="1" applyBorder="1" applyAlignment="1" applyProtection="1">
      <alignment vertical="center" wrapText="1"/>
      <protection locked="0"/>
    </xf>
    <xf numFmtId="0" fontId="115" fillId="0" borderId="1" xfId="0" applyFont="1" applyBorder="1" applyAlignment="1" applyProtection="1">
      <alignment horizontal="center" vertical="center" wrapText="1"/>
      <protection locked="0"/>
    </xf>
    <xf numFmtId="0" fontId="115" fillId="3" borderId="1" xfId="0" applyFont="1" applyFill="1" applyBorder="1" applyAlignment="1" applyProtection="1">
      <alignment vertical="center"/>
      <protection locked="0"/>
    </xf>
    <xf numFmtId="0" fontId="115" fillId="7" borderId="1" xfId="0" applyFont="1" applyFill="1" applyBorder="1" applyAlignment="1" applyProtection="1">
      <alignment vertical="center"/>
      <protection locked="0"/>
    </xf>
    <xf numFmtId="0" fontId="115" fillId="7" borderId="1" xfId="0" applyFont="1" applyFill="1" applyBorder="1" applyAlignment="1" applyProtection="1">
      <alignment horizontal="center" vertical="center"/>
      <protection locked="0"/>
    </xf>
    <xf numFmtId="0" fontId="115" fillId="0" borderId="1" xfId="0" applyFont="1" applyBorder="1" applyAlignment="1" applyProtection="1">
      <alignment horizontal="right" vertical="center"/>
      <protection locked="0"/>
    </xf>
    <xf numFmtId="0" fontId="115" fillId="0" borderId="1" xfId="0" applyFont="1" applyBorder="1" applyProtection="1">
      <protection locked="0"/>
    </xf>
    <xf numFmtId="0" fontId="115" fillId="0" borderId="1" xfId="0" applyFont="1" applyBorder="1" applyAlignment="1" applyProtection="1">
      <alignment horizontal="right"/>
      <protection locked="0"/>
    </xf>
    <xf numFmtId="0" fontId="115" fillId="0" borderId="1" xfId="0" applyFont="1" applyBorder="1" applyAlignment="1" applyProtection="1">
      <alignment horizontal="left"/>
      <protection locked="0"/>
    </xf>
    <xf numFmtId="0" fontId="115" fillId="0" borderId="5" xfId="0" applyFont="1" applyBorder="1" applyProtection="1">
      <protection locked="0"/>
    </xf>
    <xf numFmtId="0" fontId="117" fillId="0" borderId="1" xfId="0" applyFont="1" applyBorder="1" applyProtection="1">
      <protection locked="0"/>
    </xf>
    <xf numFmtId="0" fontId="117" fillId="0" borderId="1" xfId="0" applyFont="1" applyBorder="1" applyAlignment="1" applyProtection="1">
      <alignment horizontal="right"/>
      <protection locked="0"/>
    </xf>
    <xf numFmtId="0" fontId="115" fillId="0" borderId="5" xfId="0" applyFont="1" applyBorder="1" applyAlignment="1" applyProtection="1">
      <alignment vertical="center" wrapText="1"/>
      <protection locked="0"/>
    </xf>
    <xf numFmtId="0" fontId="117" fillId="0" borderId="1" xfId="0" applyFont="1" applyBorder="1" applyAlignment="1" applyProtection="1">
      <alignment horizontal="right" vertical="center"/>
      <protection locked="0"/>
    </xf>
    <xf numFmtId="0" fontId="115" fillId="0" borderId="5" xfId="0" applyFont="1" applyBorder="1" applyAlignment="1" applyProtection="1">
      <alignment vertical="center"/>
      <protection locked="0"/>
    </xf>
    <xf numFmtId="0" fontId="117" fillId="3" borderId="1" xfId="0" applyFont="1" applyFill="1" applyBorder="1" applyProtection="1">
      <protection locked="0"/>
    </xf>
    <xf numFmtId="0" fontId="115" fillId="0" borderId="14" xfId="0" applyFont="1" applyBorder="1" applyAlignment="1" applyProtection="1">
      <alignment horizontal="center"/>
      <protection locked="0"/>
    </xf>
    <xf numFmtId="0" fontId="115" fillId="0" borderId="1" xfId="0" applyFont="1" applyBorder="1" applyAlignment="1" applyProtection="1">
      <alignment horizontal="center"/>
      <protection locked="0"/>
    </xf>
    <xf numFmtId="2" fontId="121" fillId="0" borderId="1" xfId="0" applyNumberFormat="1" applyFont="1" applyBorder="1" applyAlignment="1" applyProtection="1">
      <alignment horizontal="right"/>
      <protection locked="0"/>
    </xf>
    <xf numFmtId="2" fontId="115" fillId="0" borderId="1" xfId="0" applyNumberFormat="1" applyFont="1" applyBorder="1" applyAlignment="1" applyProtection="1">
      <alignment horizontal="right"/>
      <protection locked="0"/>
    </xf>
    <xf numFmtId="0" fontId="116" fillId="0" borderId="1" xfId="0" applyFont="1" applyBorder="1" applyAlignment="1" applyProtection="1">
      <alignment horizontal="center"/>
      <protection locked="0"/>
    </xf>
    <xf numFmtId="2" fontId="121" fillId="0" borderId="1" xfId="0" applyNumberFormat="1" applyFont="1" applyBorder="1" applyProtection="1">
      <protection locked="0"/>
    </xf>
    <xf numFmtId="0" fontId="117" fillId="0" borderId="1" xfId="0" applyFont="1" applyBorder="1" applyAlignment="1" applyProtection="1">
      <alignment horizontal="center"/>
      <protection locked="0"/>
    </xf>
    <xf numFmtId="0" fontId="115" fillId="0" borderId="11" xfId="0" applyFont="1" applyBorder="1" applyProtection="1">
      <protection locked="0"/>
    </xf>
    <xf numFmtId="2" fontId="115" fillId="0" borderId="1" xfId="0" applyNumberFormat="1" applyFont="1" applyBorder="1" applyProtection="1">
      <protection locked="0"/>
    </xf>
    <xf numFmtId="0" fontId="116" fillId="0" borderId="14" xfId="0" applyFont="1" applyBorder="1" applyAlignment="1" applyProtection="1">
      <alignment horizontal="center"/>
      <protection locked="0"/>
    </xf>
    <xf numFmtId="0" fontId="115" fillId="0" borderId="0" xfId="0" applyFont="1" applyAlignment="1">
      <alignment horizontal="center" vertical="center"/>
    </xf>
    <xf numFmtId="0" fontId="122" fillId="0" borderId="0" xfId="0" applyFont="1"/>
    <xf numFmtId="0" fontId="117" fillId="0" borderId="0" xfId="0" applyFont="1"/>
    <xf numFmtId="2" fontId="115" fillId="0" borderId="0" xfId="0" applyNumberFormat="1" applyFont="1" applyAlignment="1">
      <alignment horizontal="center"/>
    </xf>
    <xf numFmtId="0" fontId="117" fillId="0" borderId="0" xfId="0" applyFont="1" applyAlignment="1">
      <alignment horizontal="center"/>
    </xf>
    <xf numFmtId="0" fontId="115" fillId="0" borderId="0" xfId="0" applyFont="1" applyAlignment="1">
      <alignment horizontal="center"/>
    </xf>
    <xf numFmtId="0" fontId="117" fillId="0" borderId="0" xfId="0" applyFont="1" applyAlignment="1">
      <alignment vertical="center"/>
    </xf>
    <xf numFmtId="0" fontId="115" fillId="0" borderId="0" xfId="0" applyFont="1" applyAlignment="1">
      <alignment horizontal="center" vertical="center" wrapText="1"/>
    </xf>
    <xf numFmtId="0" fontId="115" fillId="0" borderId="1" xfId="0" applyFont="1" applyBorder="1" applyAlignment="1">
      <alignment vertical="center"/>
    </xf>
    <xf numFmtId="9" fontId="117" fillId="0" borderId="1" xfId="0" applyNumberFormat="1" applyFont="1" applyBorder="1" applyAlignment="1" applyProtection="1">
      <alignment horizontal="center" vertical="center" wrapText="1"/>
      <protection locked="0"/>
    </xf>
    <xf numFmtId="0" fontId="117" fillId="0" borderId="0" xfId="0" applyFont="1" applyProtection="1">
      <protection locked="0"/>
    </xf>
    <xf numFmtId="0" fontId="123" fillId="3" borderId="1" xfId="0" applyFont="1" applyFill="1" applyBorder="1" applyProtection="1">
      <protection locked="0"/>
    </xf>
    <xf numFmtId="2" fontId="115" fillId="0" borderId="0" xfId="0" applyNumberFormat="1" applyFont="1" applyAlignment="1" applyProtection="1">
      <alignment horizontal="center"/>
      <protection locked="0"/>
    </xf>
    <xf numFmtId="2" fontId="115" fillId="0" borderId="0" xfId="0" applyNumberFormat="1" applyFont="1" applyAlignment="1" applyProtection="1">
      <alignment vertical="center"/>
      <protection locked="0"/>
    </xf>
    <xf numFmtId="2" fontId="115" fillId="3" borderId="1" xfId="0" applyNumberFormat="1" applyFont="1" applyFill="1" applyBorder="1" applyAlignment="1" applyProtection="1">
      <alignment horizontal="right" vertical="center" wrapText="1"/>
      <protection locked="0"/>
    </xf>
    <xf numFmtId="193" fontId="115" fillId="0" borderId="0" xfId="0" applyNumberFormat="1" applyFont="1" applyProtection="1">
      <protection locked="0"/>
    </xf>
    <xf numFmtId="2" fontId="117" fillId="0" borderId="5" xfId="0" applyNumberFormat="1" applyFont="1" applyBorder="1" applyAlignment="1">
      <alignment horizontal="center" vertical="center" wrapText="1"/>
    </xf>
    <xf numFmtId="2" fontId="117" fillId="0" borderId="1" xfId="0" applyNumberFormat="1" applyFont="1" applyBorder="1" applyAlignment="1">
      <alignment horizontal="center" vertical="center" wrapText="1"/>
    </xf>
    <xf numFmtId="2" fontId="115" fillId="0" borderId="0" xfId="0" applyNumberFormat="1" applyFont="1" applyAlignment="1">
      <alignment horizontal="center" vertical="center" wrapText="1"/>
    </xf>
    <xf numFmtId="0" fontId="117" fillId="0" borderId="0" xfId="0" applyFont="1" applyAlignment="1" applyProtection="1">
      <alignment horizontal="center" vertical="center" wrapText="1"/>
      <protection locked="0"/>
    </xf>
    <xf numFmtId="9" fontId="117" fillId="0" borderId="0" xfId="0" applyNumberFormat="1" applyFont="1" applyAlignment="1" applyProtection="1">
      <alignment horizontal="center" vertical="center" wrapText="1"/>
      <protection locked="0"/>
    </xf>
    <xf numFmtId="0" fontId="115" fillId="0" borderId="0" xfId="3524" applyFont="1" applyAlignment="1" applyProtection="1">
      <alignment horizontal="center" vertical="top"/>
      <protection locked="0"/>
    </xf>
    <xf numFmtId="0" fontId="115" fillId="0" borderId="0" xfId="3524" applyFont="1" applyAlignment="1" applyProtection="1">
      <alignment horizontal="center"/>
      <protection locked="0"/>
    </xf>
    <xf numFmtId="0" fontId="115" fillId="0" borderId="0" xfId="3892" applyFont="1" applyAlignment="1" applyProtection="1">
      <alignment horizontal="left"/>
      <protection locked="0"/>
    </xf>
    <xf numFmtId="0" fontId="115" fillId="0" borderId="0" xfId="3892" applyFont="1" applyAlignment="1" applyProtection="1">
      <alignment horizontal="center"/>
      <protection locked="0"/>
    </xf>
    <xf numFmtId="0" fontId="115" fillId="0" borderId="0" xfId="3892" applyFont="1" applyAlignment="1" applyProtection="1">
      <alignment horizontal="left" vertical="center"/>
      <protection locked="0"/>
    </xf>
    <xf numFmtId="0" fontId="115" fillId="0" borderId="0" xfId="3892" applyFont="1" applyAlignment="1" applyProtection="1">
      <alignment horizontal="center" vertical="top" wrapText="1"/>
      <protection locked="0"/>
    </xf>
    <xf numFmtId="0" fontId="115" fillId="0" borderId="0" xfId="3892" applyFont="1" applyAlignment="1" applyProtection="1">
      <alignment horizontal="center" vertical="top"/>
      <protection locked="0"/>
    </xf>
    <xf numFmtId="0" fontId="67" fillId="0" borderId="0" xfId="30650" applyFont="1" applyAlignment="1">
      <alignment vertical="top" wrapText="1"/>
    </xf>
    <xf numFmtId="0" fontId="67" fillId="0" borderId="0" xfId="24100" applyFont="1" applyAlignment="1">
      <alignment horizontal="justify" vertical="center" wrapText="1"/>
    </xf>
    <xf numFmtId="0" fontId="117" fillId="0" borderId="0" xfId="24100" applyFont="1" applyAlignment="1">
      <alignment horizontal="justify" vertical="center" wrapText="1"/>
    </xf>
    <xf numFmtId="0" fontId="67" fillId="0" borderId="0" xfId="30650" applyFont="1"/>
    <xf numFmtId="0" fontId="63" fillId="0" borderId="0" xfId="30647" applyFont="1" applyAlignment="1">
      <alignment horizontal="center"/>
    </xf>
    <xf numFmtId="0" fontId="63" fillId="0" borderId="0" xfId="30647" applyFont="1"/>
    <xf numFmtId="0" fontId="65" fillId="0" borderId="0" xfId="30647" applyFont="1" applyAlignment="1">
      <alignment horizontal="center" vertical="top" wrapText="1"/>
    </xf>
    <xf numFmtId="0" fontId="65" fillId="0" borderId="0" xfId="30647" applyFont="1" applyAlignment="1">
      <alignment vertical="top" wrapText="1"/>
    </xf>
    <xf numFmtId="0" fontId="64" fillId="0" borderId="1" xfId="24100" applyFont="1" applyBorder="1" applyAlignment="1">
      <alignment horizontal="center" vertical="center" wrapText="1"/>
    </xf>
    <xf numFmtId="2" fontId="63" fillId="0" borderId="1" xfId="30647" applyNumberFormat="1" applyFont="1" applyBorder="1" applyAlignment="1">
      <alignment vertical="center" wrapText="1"/>
    </xf>
    <xf numFmtId="2" fontId="64" fillId="0" borderId="1" xfId="30647" applyNumberFormat="1" applyFont="1" applyBorder="1" applyAlignment="1">
      <alignment vertical="center" wrapText="1"/>
    </xf>
    <xf numFmtId="0" fontId="64" fillId="0" borderId="0" xfId="24100" applyFont="1" applyAlignment="1">
      <alignment horizontal="justify" vertical="center" wrapText="1"/>
    </xf>
    <xf numFmtId="0" fontId="64" fillId="0" borderId="1" xfId="24100" applyFont="1" applyBorder="1" applyAlignment="1">
      <alignment horizontal="justify" vertical="center" wrapText="1"/>
    </xf>
    <xf numFmtId="0" fontId="64" fillId="0" borderId="4" xfId="30649" applyFont="1" applyBorder="1" applyAlignment="1">
      <alignment horizontal="left" vertical="center" wrapText="1"/>
    </xf>
    <xf numFmtId="0" fontId="64" fillId="0" borderId="5" xfId="30649" applyFont="1" applyBorder="1" applyAlignment="1">
      <alignment horizontal="left" vertical="center" wrapText="1"/>
    </xf>
    <xf numFmtId="0" fontId="63" fillId="0" borderId="1" xfId="24100" applyFont="1" applyBorder="1" applyAlignment="1">
      <alignment horizontal="center" vertical="center" wrapText="1"/>
    </xf>
    <xf numFmtId="0" fontId="63" fillId="0" borderId="1" xfId="24100" applyFont="1" applyBorder="1" applyAlignment="1">
      <alignment horizontal="right" vertical="center" wrapText="1"/>
    </xf>
    <xf numFmtId="2" fontId="63" fillId="0" borderId="1" xfId="24100" applyNumberFormat="1" applyFont="1" applyBorder="1" applyAlignment="1">
      <alignment horizontal="right" vertical="center" wrapText="1"/>
    </xf>
    <xf numFmtId="0" fontId="63" fillId="0" borderId="0" xfId="24100" applyFont="1" applyAlignment="1">
      <alignment horizontal="justify" vertical="center" wrapText="1"/>
    </xf>
    <xf numFmtId="0" fontId="64" fillId="0" borderId="0" xfId="30647" applyFont="1" applyAlignment="1">
      <alignment horizontal="center"/>
    </xf>
    <xf numFmtId="0" fontId="64" fillId="0" borderId="0" xfId="30647" applyFont="1" applyAlignment="1">
      <alignment horizontal="left"/>
    </xf>
    <xf numFmtId="0" fontId="65" fillId="0" borderId="0" xfId="30647" applyFont="1" applyAlignment="1">
      <alignment horizontal="center"/>
    </xf>
    <xf numFmtId="0" fontId="65" fillId="0" borderId="0" xfId="30647" applyFont="1" applyAlignment="1">
      <alignment horizontal="center" vertical="center" wrapText="1"/>
    </xf>
    <xf numFmtId="0" fontId="64" fillId="0" borderId="0" xfId="30647" applyFont="1"/>
    <xf numFmtId="0" fontId="64" fillId="0" borderId="0" xfId="30647" applyFont="1" applyAlignment="1">
      <alignment horizontal="justify" vertical="top" wrapText="1"/>
    </xf>
    <xf numFmtId="0" fontId="64" fillId="0" borderId="0" xfId="30647" applyFont="1" applyAlignment="1">
      <alignment vertical="top" wrapText="1"/>
    </xf>
    <xf numFmtId="0" fontId="115" fillId="0" borderId="0" xfId="30647" applyFont="1"/>
    <xf numFmtId="0" fontId="115" fillId="0" borderId="0" xfId="30647" applyFont="1" applyAlignment="1">
      <alignment vertical="top" wrapText="1"/>
    </xf>
    <xf numFmtId="0" fontId="116" fillId="0" borderId="0" xfId="30647" applyFont="1" applyAlignment="1">
      <alignment vertical="top" wrapText="1"/>
    </xf>
    <xf numFmtId="0" fontId="67" fillId="0" borderId="0" xfId="30647" applyFont="1"/>
    <xf numFmtId="0" fontId="63" fillId="0" borderId="0" xfId="0" applyFont="1" applyAlignment="1">
      <alignment vertical="top"/>
    </xf>
    <xf numFmtId="0" fontId="64" fillId="0" borderId="0" xfId="0" applyFont="1" applyAlignment="1">
      <alignment horizontal="center" vertical="top"/>
    </xf>
    <xf numFmtId="171" fontId="64" fillId="0" borderId="0" xfId="0" applyNumberFormat="1" applyFont="1" applyAlignment="1">
      <alignment horizontal="center" vertical="top"/>
    </xf>
    <xf numFmtId="1" fontId="64" fillId="0" borderId="0" xfId="0" applyNumberFormat="1" applyFont="1" applyAlignment="1">
      <alignment horizontal="center" vertical="top"/>
    </xf>
    <xf numFmtId="0" fontId="63" fillId="0" borderId="0" xfId="0" applyFont="1" applyAlignment="1">
      <alignment horizontal="center" vertical="top"/>
    </xf>
    <xf numFmtId="0" fontId="63" fillId="0" borderId="0" xfId="0" applyFont="1" applyAlignment="1">
      <alignment horizontal="left" vertical="top"/>
    </xf>
    <xf numFmtId="171" fontId="63" fillId="0" borderId="0" xfId="0" applyNumberFormat="1" applyFont="1" applyAlignment="1">
      <alignment horizontal="center" vertical="top"/>
    </xf>
    <xf numFmtId="0" fontId="63" fillId="0" borderId="4" xfId="0" applyFont="1" applyBorder="1" applyAlignment="1">
      <alignment horizontal="left" vertical="top"/>
    </xf>
    <xf numFmtId="171" fontId="63" fillId="0" borderId="5" xfId="0" applyNumberFormat="1" applyFont="1" applyBorder="1" applyAlignment="1">
      <alignment horizontal="center" vertical="top"/>
    </xf>
    <xf numFmtId="2" fontId="126" fillId="0" borderId="1" xfId="0" applyNumberFormat="1" applyFont="1" applyBorder="1" applyAlignment="1">
      <alignment horizontal="center" vertical="top"/>
    </xf>
    <xf numFmtId="0" fontId="63" fillId="0" borderId="1" xfId="0" applyFont="1" applyBorder="1" applyAlignment="1">
      <alignment horizontal="justify" vertical="top" wrapText="1"/>
    </xf>
    <xf numFmtId="1" fontId="63" fillId="0" borderId="1" xfId="0" applyNumberFormat="1" applyFont="1" applyBorder="1" applyAlignment="1">
      <alignment horizontal="center" vertical="top"/>
    </xf>
    <xf numFmtId="0" fontId="63" fillId="0" borderId="1" xfId="30651" applyFont="1" applyBorder="1" applyAlignment="1">
      <alignment horizontal="center" vertical="top" wrapText="1"/>
    </xf>
    <xf numFmtId="171" fontId="63" fillId="0" borderId="1" xfId="30651" applyNumberFormat="1" applyFont="1" applyBorder="1" applyAlignment="1">
      <alignment horizontal="center" vertical="top" wrapText="1"/>
    </xf>
    <xf numFmtId="1" fontId="63" fillId="0" borderId="1" xfId="30651" applyNumberFormat="1" applyFont="1" applyBorder="1" applyAlignment="1">
      <alignment horizontal="center" vertical="top" wrapText="1"/>
    </xf>
    <xf numFmtId="2" fontId="63" fillId="0" borderId="1" xfId="30651" applyNumberFormat="1" applyFont="1" applyBorder="1" applyAlignment="1">
      <alignment horizontal="center" vertical="top" wrapText="1"/>
    </xf>
    <xf numFmtId="0" fontId="63" fillId="0" borderId="1" xfId="0" applyFont="1" applyBorder="1" applyAlignment="1">
      <alignment vertical="top" wrapText="1"/>
    </xf>
    <xf numFmtId="0" fontId="63" fillId="0" borderId="1" xfId="30651" applyFont="1" applyBorder="1" applyAlignment="1">
      <alignment vertical="top" wrapText="1"/>
    </xf>
    <xf numFmtId="0" fontId="64" fillId="0" borderId="1" xfId="6532" applyFont="1" applyBorder="1" applyAlignment="1">
      <alignment horizontal="center" vertical="top" shrinkToFit="1"/>
    </xf>
    <xf numFmtId="171" fontId="64" fillId="0" borderId="1" xfId="0" applyNumberFormat="1" applyFont="1" applyBorder="1" applyAlignment="1">
      <alignment horizontal="center" vertical="top"/>
    </xf>
    <xf numFmtId="1" fontId="64" fillId="0" borderId="1" xfId="0" applyNumberFormat="1" applyFont="1" applyBorder="1" applyAlignment="1">
      <alignment horizontal="center" vertical="top" wrapText="1"/>
    </xf>
    <xf numFmtId="2" fontId="64" fillId="7" borderId="1" xfId="0" applyNumberFormat="1" applyFont="1" applyFill="1" applyBorder="1" applyAlignment="1">
      <alignment horizontal="right" vertical="top" wrapText="1"/>
    </xf>
    <xf numFmtId="2" fontId="64" fillId="0" borderId="1" xfId="0" applyNumberFormat="1" applyFont="1" applyBorder="1" applyAlignment="1">
      <alignment horizontal="right" vertical="top" wrapText="1"/>
    </xf>
    <xf numFmtId="1" fontId="64" fillId="0" borderId="1" xfId="0" applyNumberFormat="1" applyFont="1" applyBorder="1" applyAlignment="1">
      <alignment horizontal="justify" vertical="top" wrapText="1"/>
    </xf>
    <xf numFmtId="0" fontId="63" fillId="0" borderId="1" xfId="30651" applyFont="1" applyBorder="1" applyAlignment="1">
      <alignment horizontal="justify" vertical="top" wrapText="1"/>
    </xf>
    <xf numFmtId="199" fontId="64" fillId="0" borderId="1" xfId="0" applyNumberFormat="1" applyFont="1" applyBorder="1" applyAlignment="1">
      <alignment horizontal="center" vertical="top" wrapText="1"/>
    </xf>
    <xf numFmtId="2" fontId="64" fillId="0" borderId="1" xfId="22731" applyNumberFormat="1" applyFont="1" applyBorder="1" applyAlignment="1">
      <alignment horizontal="justify" vertical="top" wrapText="1"/>
    </xf>
    <xf numFmtId="2" fontId="64" fillId="0" borderId="1" xfId="0" applyNumberFormat="1" applyFont="1" applyBorder="1" applyAlignment="1">
      <alignment vertical="top"/>
    </xf>
    <xf numFmtId="2" fontId="64" fillId="0" borderId="1" xfId="6532" applyNumberFormat="1" applyFont="1" applyBorder="1" applyAlignment="1">
      <alignment horizontal="center" vertical="top" shrinkToFit="1"/>
    </xf>
    <xf numFmtId="0" fontId="64" fillId="0" borderId="0" xfId="6532" applyFont="1" applyAlignment="1">
      <alignment horizontal="center" vertical="top" shrinkToFit="1"/>
    </xf>
    <xf numFmtId="2" fontId="63" fillId="0" borderId="0" xfId="0" applyNumberFormat="1" applyFont="1" applyAlignment="1">
      <alignment vertical="top"/>
    </xf>
    <xf numFmtId="2" fontId="64" fillId="0" borderId="0" xfId="0" applyNumberFormat="1" applyFont="1" applyAlignment="1">
      <alignment vertical="top"/>
    </xf>
    <xf numFmtId="2" fontId="64" fillId="0" borderId="0" xfId="0" applyNumberFormat="1" applyFont="1" applyAlignment="1">
      <alignment horizontal="center" vertical="top"/>
    </xf>
    <xf numFmtId="2" fontId="124" fillId="0" borderId="0" xfId="0" applyNumberFormat="1" applyFont="1" applyAlignment="1">
      <alignment vertical="top"/>
    </xf>
    <xf numFmtId="0" fontId="64" fillId="0" borderId="1" xfId="22731" applyFont="1" applyBorder="1" applyAlignment="1">
      <alignment horizontal="justify" vertical="top" wrapText="1"/>
    </xf>
    <xf numFmtId="0" fontId="64" fillId="0" borderId="1" xfId="22731" applyFont="1" applyBorder="1" applyAlignment="1">
      <alignment horizontal="center" vertical="top" wrapText="1"/>
    </xf>
    <xf numFmtId="1" fontId="64" fillId="0" borderId="1" xfId="22731" applyNumberFormat="1" applyFont="1" applyBorder="1" applyAlignment="1">
      <alignment horizontal="center" vertical="top" wrapText="1"/>
    </xf>
    <xf numFmtId="2" fontId="64" fillId="0" borderId="1" xfId="22731" applyNumberFormat="1" applyFont="1" applyBorder="1" applyAlignment="1">
      <alignment horizontal="center" vertical="top"/>
    </xf>
    <xf numFmtId="0" fontId="64" fillId="0" borderId="1" xfId="22731" applyFont="1" applyBorder="1" applyAlignment="1">
      <alignment horizontal="center" vertical="top"/>
    </xf>
    <xf numFmtId="168" fontId="124" fillId="0" borderId="0" xfId="0" applyNumberFormat="1" applyFont="1" applyAlignment="1">
      <alignment vertical="top"/>
    </xf>
    <xf numFmtId="171" fontId="63" fillId="0" borderId="1" xfId="0" applyNumberFormat="1" applyFont="1" applyBorder="1" applyAlignment="1">
      <alignment horizontal="center" vertical="top"/>
    </xf>
    <xf numFmtId="0" fontId="63" fillId="0" borderId="1" xfId="0" applyFont="1" applyBorder="1" applyAlignment="1">
      <alignment vertical="top"/>
    </xf>
    <xf numFmtId="0" fontId="64" fillId="0" borderId="1" xfId="0" applyFont="1" applyBorder="1" applyAlignment="1">
      <alignment vertical="top"/>
    </xf>
    <xf numFmtId="1" fontId="124" fillId="0" borderId="1" xfId="0" applyNumberFormat="1" applyFont="1" applyBorder="1" applyAlignment="1">
      <alignment horizontal="center" vertical="top"/>
    </xf>
    <xf numFmtId="2" fontId="124" fillId="0" borderId="1" xfId="0" applyNumberFormat="1" applyFont="1" applyBorder="1" applyAlignment="1">
      <alignment horizontal="center" vertical="top"/>
    </xf>
    <xf numFmtId="2" fontId="63" fillId="0" borderId="1" xfId="0" applyNumberFormat="1" applyFont="1" applyBorder="1" applyAlignment="1">
      <alignment horizontal="center" vertical="top"/>
    </xf>
    <xf numFmtId="2" fontId="63" fillId="0" borderId="1" xfId="0" applyNumberFormat="1" applyFont="1" applyBorder="1" applyAlignment="1">
      <alignment vertical="top"/>
    </xf>
    <xf numFmtId="2" fontId="63" fillId="0" borderId="1" xfId="0" applyNumberFormat="1" applyFont="1" applyBorder="1" applyAlignment="1">
      <alignment horizontal="right" vertical="top" wrapText="1"/>
    </xf>
    <xf numFmtId="0" fontId="127" fillId="0" borderId="1" xfId="0" applyFont="1" applyBorder="1" applyAlignment="1">
      <alignment horizontal="justify" vertical="top" wrapText="1"/>
    </xf>
    <xf numFmtId="2" fontId="128" fillId="0" borderId="54" xfId="0" applyNumberFormat="1" applyFont="1" applyBorder="1" applyAlignment="1">
      <alignment vertical="top"/>
    </xf>
    <xf numFmtId="0" fontId="128" fillId="0" borderId="55" xfId="0" applyFont="1" applyBorder="1" applyAlignment="1">
      <alignment horizontal="center" vertical="top"/>
    </xf>
    <xf numFmtId="2" fontId="128" fillId="3" borderId="55" xfId="0" applyNumberFormat="1" applyFont="1" applyFill="1" applyBorder="1" applyAlignment="1">
      <alignment horizontal="center" vertical="top"/>
    </xf>
    <xf numFmtId="2" fontId="128" fillId="0" borderId="1" xfId="0" applyNumberFormat="1" applyFont="1" applyBorder="1" applyAlignment="1">
      <alignment vertical="top"/>
    </xf>
    <xf numFmtId="2" fontId="128" fillId="3" borderId="1" xfId="0" applyNumberFormat="1" applyFont="1" applyFill="1" applyBorder="1" applyAlignment="1">
      <alignment vertical="top"/>
    </xf>
    <xf numFmtId="0" fontId="127" fillId="0" borderId="0" xfId="0" applyFont="1" applyAlignment="1">
      <alignment horizontal="justify" vertical="top" wrapText="1"/>
    </xf>
    <xf numFmtId="0" fontId="64" fillId="0" borderId="0" xfId="0" applyFont="1" applyAlignment="1">
      <alignment horizontal="center" vertical="top" wrapText="1"/>
    </xf>
    <xf numFmtId="2" fontId="64" fillId="0" borderId="0" xfId="0" applyNumberFormat="1" applyFont="1" applyAlignment="1">
      <alignment horizontal="center" vertical="top" wrapText="1"/>
    </xf>
    <xf numFmtId="0" fontId="64" fillId="0" borderId="0" xfId="0" applyFont="1" applyAlignment="1">
      <alignment horizontal="justify" vertical="top" wrapText="1"/>
    </xf>
    <xf numFmtId="0" fontId="64" fillId="0" borderId="0" xfId="6575" applyFont="1" applyAlignment="1">
      <alignment vertical="top"/>
    </xf>
    <xf numFmtId="0" fontId="64" fillId="0" borderId="0" xfId="0" applyFont="1" applyAlignment="1">
      <alignment vertical="top" wrapText="1"/>
    </xf>
    <xf numFmtId="0" fontId="129" fillId="0" borderId="0" xfId="30640" applyAlignment="1">
      <alignment horizontal="center"/>
    </xf>
    <xf numFmtId="0" fontId="129" fillId="0" borderId="0" xfId="30640" applyAlignment="1">
      <alignment vertical="top"/>
    </xf>
    <xf numFmtId="0" fontId="129" fillId="0" borderId="0" xfId="30640" applyAlignment="1">
      <alignment vertical="center"/>
    </xf>
    <xf numFmtId="0" fontId="129" fillId="0" borderId="0" xfId="30640" applyAlignment="1">
      <alignment vertical="center" wrapText="1"/>
    </xf>
    <xf numFmtId="0" fontId="130" fillId="0" borderId="0" xfId="30640" applyFont="1" applyAlignment="1">
      <alignment vertical="top"/>
    </xf>
    <xf numFmtId="0" fontId="131" fillId="0" borderId="0" xfId="0" applyFont="1" applyAlignment="1">
      <alignment vertical="center"/>
    </xf>
    <xf numFmtId="0" fontId="129" fillId="0" borderId="0" xfId="30640"/>
    <xf numFmtId="0" fontId="131" fillId="0" borderId="11" xfId="30640" applyFont="1" applyBorder="1" applyAlignment="1">
      <alignment horizontal="center" vertical="center" wrapText="1"/>
    </xf>
    <xf numFmtId="0" fontId="131" fillId="0" borderId="1" xfId="30640" applyFont="1" applyBorder="1" applyAlignment="1">
      <alignment horizontal="center" wrapText="1"/>
    </xf>
    <xf numFmtId="0" fontId="131" fillId="0" borderId="1" xfId="30640" applyFont="1" applyBorder="1" applyAlignment="1">
      <alignment horizontal="center" vertical="center"/>
    </xf>
    <xf numFmtId="0" fontId="131" fillId="0" borderId="1" xfId="30640" applyFont="1" applyBorder="1" applyAlignment="1">
      <alignment horizontal="center"/>
    </xf>
    <xf numFmtId="0" fontId="131" fillId="0" borderId="1" xfId="30640" applyFont="1" applyBorder="1"/>
    <xf numFmtId="0" fontId="131" fillId="0" borderId="2" xfId="30640" applyFont="1" applyBorder="1" applyAlignment="1">
      <alignment horizontal="center"/>
    </xf>
    <xf numFmtId="0" fontId="131" fillId="0" borderId="2" xfId="30640" applyFont="1" applyBorder="1"/>
    <xf numFmtId="0" fontId="131" fillId="0" borderId="1" xfId="30640" applyFont="1" applyBorder="1" applyAlignment="1">
      <alignment horizontal="center" vertical="top"/>
    </xf>
    <xf numFmtId="0" fontId="131" fillId="0" borderId="1" xfId="30640" applyFont="1" applyBorder="1" applyAlignment="1">
      <alignment vertical="top"/>
    </xf>
    <xf numFmtId="0" fontId="129" fillId="0" borderId="1" xfId="30640" applyBorder="1" applyAlignment="1">
      <alignment horizontal="center" vertical="center"/>
    </xf>
    <xf numFmtId="0" fontId="129" fillId="0" borderId="1" xfId="30640" applyBorder="1" applyAlignment="1">
      <alignment horizontal="left" vertical="center" wrapText="1"/>
    </xf>
    <xf numFmtId="2" fontId="129" fillId="0" borderId="1" xfId="30640" applyNumberFormat="1" applyBorder="1" applyAlignment="1">
      <alignment vertical="center"/>
    </xf>
    <xf numFmtId="2" fontId="129" fillId="0" borderId="1" xfId="30640" applyNumberFormat="1" applyBorder="1" applyAlignment="1">
      <alignment horizontal="right" vertical="center"/>
    </xf>
    <xf numFmtId="2" fontId="129" fillId="0" borderId="0" xfId="30640" applyNumberFormat="1" applyAlignment="1">
      <alignment vertical="center"/>
    </xf>
    <xf numFmtId="0" fontId="131" fillId="0" borderId="1" xfId="30640" applyFont="1" applyBorder="1" applyAlignment="1">
      <alignment horizontal="center" vertical="center" wrapText="1"/>
    </xf>
    <xf numFmtId="2" fontId="131" fillId="0" borderId="1" xfId="30640" applyNumberFormat="1" applyFont="1" applyBorder="1" applyAlignment="1">
      <alignment vertical="center" wrapText="1"/>
    </xf>
    <xf numFmtId="1" fontId="129" fillId="0" borderId="1" xfId="30640" applyNumberFormat="1" applyBorder="1" applyAlignment="1">
      <alignment horizontal="center" vertical="center"/>
    </xf>
    <xf numFmtId="171" fontId="129" fillId="0" borderId="1" xfId="30640" applyNumberFormat="1" applyBorder="1" applyAlignment="1">
      <alignment vertical="center"/>
    </xf>
    <xf numFmtId="0" fontId="131" fillId="0" borderId="1" xfId="30640" applyFont="1" applyBorder="1" applyAlignment="1">
      <alignment horizontal="left" vertical="center"/>
    </xf>
    <xf numFmtId="2" fontId="131" fillId="0" borderId="1" xfId="30640" applyNumberFormat="1" applyFont="1" applyBorder="1" applyAlignment="1">
      <alignment horizontal="right" vertical="center"/>
    </xf>
    <xf numFmtId="0" fontId="130" fillId="0" borderId="0" xfId="30640" applyFont="1" applyAlignment="1">
      <alignment horizontal="center" vertical="top"/>
    </xf>
    <xf numFmtId="0" fontId="130" fillId="0" borderId="0" xfId="30640" applyFont="1" applyAlignment="1">
      <alignment horizontal="left" vertical="top" wrapText="1"/>
    </xf>
    <xf numFmtId="0" fontId="129" fillId="0" borderId="0" xfId="30640" applyAlignment="1">
      <alignment horizontal="left" vertical="top" wrapText="1"/>
    </xf>
    <xf numFmtId="0" fontId="129" fillId="0" borderId="0" xfId="30640" applyAlignment="1">
      <alignment horizontal="center" vertical="top"/>
    </xf>
    <xf numFmtId="2" fontId="129" fillId="0" borderId="0" xfId="30640" applyNumberFormat="1" applyAlignment="1">
      <alignment vertical="top"/>
    </xf>
    <xf numFmtId="2" fontId="129" fillId="0" borderId="0" xfId="30640" applyNumberFormat="1" applyAlignment="1">
      <alignment horizontal="right" vertical="top"/>
    </xf>
    <xf numFmtId="0" fontId="131" fillId="0" borderId="0" xfId="0" applyFont="1" applyAlignment="1">
      <alignment horizontal="justify" vertical="center" wrapText="1"/>
    </xf>
    <xf numFmtId="0" fontId="131" fillId="0" borderId="0" xfId="0" applyFont="1" applyAlignment="1">
      <alignment horizontal="center" vertical="center" wrapText="1"/>
    </xf>
    <xf numFmtId="0" fontId="129" fillId="0" borderId="0" xfId="30640" applyAlignment="1">
      <alignment horizontal="center" vertical="center" wrapText="1"/>
    </xf>
    <xf numFmtId="0" fontId="129" fillId="0" borderId="0" xfId="30640" applyAlignment="1">
      <alignment horizontal="center" vertical="center"/>
    </xf>
    <xf numFmtId="0" fontId="129" fillId="0" borderId="0" xfId="30640" applyAlignment="1">
      <alignment horizontal="left" vertical="center" wrapText="1"/>
    </xf>
    <xf numFmtId="1" fontId="134" fillId="0" borderId="0" xfId="0" applyNumberFormat="1" applyFont="1" applyAlignment="1">
      <alignment vertical="center"/>
    </xf>
    <xf numFmtId="0" fontId="115" fillId="0" borderId="0" xfId="0" applyFont="1" applyAlignment="1">
      <alignment vertical="top"/>
    </xf>
    <xf numFmtId="0" fontId="115" fillId="7" borderId="0" xfId="0" applyFont="1" applyFill="1" applyAlignment="1">
      <alignment vertical="center"/>
    </xf>
    <xf numFmtId="176" fontId="115" fillId="0" borderId="0" xfId="0" applyNumberFormat="1" applyFont="1" applyAlignment="1">
      <alignment vertical="center"/>
    </xf>
    <xf numFmtId="0" fontId="115" fillId="0" borderId="1" xfId="0" applyFont="1" applyBorder="1" applyAlignment="1">
      <alignment horizontal="center" vertical="center"/>
    </xf>
    <xf numFmtId="0" fontId="115" fillId="0" borderId="1" xfId="0" applyFont="1" applyBorder="1" applyAlignment="1">
      <alignment horizontal="center" vertical="top"/>
    </xf>
    <xf numFmtId="2" fontId="117" fillId="0" borderId="1" xfId="0" applyNumberFormat="1" applyFont="1" applyBorder="1" applyAlignment="1">
      <alignment horizontal="center" vertical="top"/>
    </xf>
    <xf numFmtId="2" fontId="115" fillId="0" borderId="1" xfId="0" applyNumberFormat="1" applyFont="1" applyBorder="1" applyAlignment="1">
      <alignment vertical="top"/>
    </xf>
    <xf numFmtId="0" fontId="117" fillId="0" borderId="1" xfId="0" applyFont="1" applyBorder="1" applyAlignment="1">
      <alignment horizontal="center" vertical="center" wrapText="1"/>
    </xf>
    <xf numFmtId="0" fontId="117" fillId="0" borderId="1" xfId="0" applyFont="1" applyBorder="1" applyAlignment="1">
      <alignment horizontal="center" vertical="center"/>
    </xf>
    <xf numFmtId="0" fontId="116" fillId="0" borderId="1" xfId="0" applyFont="1" applyBorder="1" applyAlignment="1">
      <alignment horizontal="center" vertical="center"/>
    </xf>
    <xf numFmtId="0" fontId="116" fillId="0" borderId="1" xfId="0" applyFont="1" applyBorder="1" applyAlignment="1">
      <alignment horizontal="left" vertical="center"/>
    </xf>
    <xf numFmtId="1" fontId="115" fillId="0" borderId="1" xfId="0" applyNumberFormat="1" applyFont="1" applyBorder="1" applyAlignment="1">
      <alignment horizontal="center" vertical="top"/>
    </xf>
    <xf numFmtId="2" fontId="115" fillId="0" borderId="1" xfId="0" applyNumberFormat="1" applyFont="1" applyBorder="1" applyAlignment="1">
      <alignment vertical="center"/>
    </xf>
    <xf numFmtId="0" fontId="117" fillId="0" borderId="1" xfId="0" applyFont="1" applyBorder="1" applyAlignment="1">
      <alignment vertical="center"/>
    </xf>
    <xf numFmtId="2" fontId="117" fillId="0" borderId="1" xfId="0" applyNumberFormat="1" applyFont="1" applyBorder="1" applyAlignment="1">
      <alignment vertical="center"/>
    </xf>
    <xf numFmtId="2" fontId="115" fillId="0" borderId="1" xfId="0" applyNumberFormat="1" applyFont="1" applyBorder="1" applyAlignment="1">
      <alignment horizontal="center" vertical="center"/>
    </xf>
    <xf numFmtId="0" fontId="115" fillId="0" borderId="1" xfId="0" applyFont="1" applyBorder="1" applyAlignment="1">
      <alignment horizontal="left" vertical="center"/>
    </xf>
    <xf numFmtId="9" fontId="115" fillId="0" borderId="1" xfId="0" applyNumberFormat="1" applyFont="1" applyBorder="1" applyAlignment="1">
      <alignment horizontal="center" vertical="center"/>
    </xf>
    <xf numFmtId="2" fontId="115" fillId="0" borderId="1" xfId="0" applyNumberFormat="1" applyFont="1" applyBorder="1" applyAlignment="1">
      <alignment horizontal="left" vertical="center"/>
    </xf>
    <xf numFmtId="2" fontId="115" fillId="0" borderId="1" xfId="0" applyNumberFormat="1" applyFont="1" applyBorder="1" applyAlignment="1">
      <alignment horizontal="center" vertical="center" wrapText="1"/>
    </xf>
    <xf numFmtId="171" fontId="115" fillId="0" borderId="1" xfId="0" applyNumberFormat="1" applyFont="1" applyBorder="1" applyAlignment="1">
      <alignment horizontal="center" vertical="center"/>
    </xf>
    <xf numFmtId="0" fontId="117" fillId="0" borderId="1" xfId="0" applyFont="1" applyBorder="1" applyAlignment="1">
      <alignment horizontal="left" vertical="center"/>
    </xf>
    <xf numFmtId="185" fontId="115" fillId="0" borderId="1" xfId="0" applyNumberFormat="1" applyFont="1" applyBorder="1" applyAlignment="1">
      <alignment horizontal="center" vertical="center"/>
    </xf>
    <xf numFmtId="10" fontId="117" fillId="0" borderId="1" xfId="0" applyNumberFormat="1" applyFont="1" applyBorder="1" applyAlignment="1">
      <alignment horizontal="center" vertical="center"/>
    </xf>
    <xf numFmtId="0" fontId="115" fillId="0" borderId="1" xfId="0" applyFont="1" applyBorder="1" applyAlignment="1">
      <alignment horizontal="left" vertical="top"/>
    </xf>
    <xf numFmtId="0" fontId="117" fillId="0" borderId="1" xfId="0" applyFont="1" applyBorder="1" applyAlignment="1">
      <alignment horizontal="left" vertical="top"/>
    </xf>
    <xf numFmtId="176" fontId="117" fillId="0" borderId="1" xfId="0" applyNumberFormat="1" applyFont="1" applyBorder="1" applyAlignment="1">
      <alignment horizontal="center" vertical="center" wrapText="1"/>
    </xf>
    <xf numFmtId="2" fontId="115" fillId="0" borderId="1" xfId="0" applyNumberFormat="1" applyFont="1" applyBorder="1" applyAlignment="1">
      <alignment horizontal="right" vertical="center"/>
    </xf>
    <xf numFmtId="2" fontId="117" fillId="0" borderId="1" xfId="0" applyNumberFormat="1" applyFont="1" applyBorder="1" applyAlignment="1">
      <alignment horizontal="right" vertical="center"/>
    </xf>
    <xf numFmtId="2" fontId="116" fillId="0" borderId="1" xfId="0" applyNumberFormat="1" applyFont="1" applyBorder="1" applyAlignment="1">
      <alignment horizontal="right" vertical="center"/>
    </xf>
    <xf numFmtId="1" fontId="115" fillId="0" borderId="1" xfId="0" applyNumberFormat="1" applyFont="1" applyBorder="1" applyAlignment="1">
      <alignment horizontal="center" vertical="top" wrapText="1"/>
    </xf>
    <xf numFmtId="1" fontId="117" fillId="0" borderId="1" xfId="0" applyNumberFormat="1" applyFont="1" applyBorder="1" applyAlignment="1">
      <alignment vertical="center"/>
    </xf>
    <xf numFmtId="2" fontId="116" fillId="0" borderId="1" xfId="0" applyNumberFormat="1" applyFont="1" applyBorder="1" applyAlignment="1">
      <alignment vertical="center"/>
    </xf>
    <xf numFmtId="0" fontId="115" fillId="0" borderId="1" xfId="0" applyFont="1" applyBorder="1" applyAlignment="1">
      <alignment horizontal="left"/>
    </xf>
    <xf numFmtId="0" fontId="115" fillId="0" borderId="1" xfId="0" applyFont="1" applyBorder="1" applyAlignment="1" applyProtection="1">
      <alignment horizontal="center"/>
      <protection hidden="1"/>
    </xf>
    <xf numFmtId="0" fontId="117" fillId="0" borderId="1" xfId="0" applyFont="1" applyBorder="1" applyAlignment="1" applyProtection="1">
      <alignment horizontal="center" vertical="center"/>
      <protection hidden="1"/>
    </xf>
    <xf numFmtId="2" fontId="115" fillId="0" borderId="1" xfId="0" applyNumberFormat="1" applyFont="1" applyBorder="1" applyAlignment="1" applyProtection="1">
      <alignment horizontal="center"/>
      <protection hidden="1"/>
    </xf>
    <xf numFmtId="0" fontId="117" fillId="0" borderId="1" xfId="0" applyFont="1" applyBorder="1" applyAlignment="1" applyProtection="1">
      <alignment horizontal="center"/>
      <protection hidden="1"/>
    </xf>
    <xf numFmtId="0" fontId="117" fillId="0" borderId="1" xfId="0" applyFont="1" applyBorder="1" applyAlignment="1" applyProtection="1">
      <alignment horizontal="left" vertical="center"/>
      <protection hidden="1"/>
    </xf>
    <xf numFmtId="0" fontId="115" fillId="0" borderId="1" xfId="0" applyFont="1" applyBorder="1" applyAlignment="1" applyProtection="1">
      <alignment horizontal="left"/>
      <protection hidden="1"/>
    </xf>
    <xf numFmtId="2" fontId="115" fillId="0" borderId="1" xfId="0" applyNumberFormat="1" applyFont="1" applyBorder="1" applyAlignment="1" applyProtection="1">
      <alignment horizontal="left" vertical="center"/>
      <protection hidden="1"/>
    </xf>
    <xf numFmtId="2" fontId="115" fillId="0" borderId="1" xfId="0" applyNumberFormat="1" applyFont="1" applyBorder="1" applyAlignment="1" applyProtection="1">
      <alignment horizontal="center" vertical="top"/>
      <protection hidden="1"/>
    </xf>
    <xf numFmtId="2" fontId="115" fillId="0" borderId="1" xfId="0" applyNumberFormat="1" applyFont="1" applyBorder="1" applyAlignment="1" applyProtection="1">
      <alignment horizontal="left"/>
      <protection hidden="1"/>
    </xf>
    <xf numFmtId="0" fontId="115" fillId="0" borderId="1" xfId="0" applyFont="1" applyBorder="1" applyAlignment="1" applyProtection="1">
      <alignment horizontal="left" vertical="center"/>
      <protection hidden="1"/>
    </xf>
    <xf numFmtId="0" fontId="117" fillId="0" borderId="1" xfId="0" applyFont="1" applyBorder="1" applyAlignment="1" applyProtection="1">
      <alignment horizontal="left"/>
      <protection hidden="1"/>
    </xf>
    <xf numFmtId="2" fontId="115" fillId="0" borderId="1" xfId="0" applyNumberFormat="1" applyFont="1" applyBorder="1" applyAlignment="1" applyProtection="1">
      <alignment horizontal="left" vertical="top"/>
      <protection hidden="1"/>
    </xf>
    <xf numFmtId="0" fontId="117" fillId="0" borderId="1" xfId="0" applyFont="1" applyBorder="1" applyAlignment="1" applyProtection="1">
      <alignment horizontal="left" vertical="center" wrapText="1"/>
      <protection hidden="1"/>
    </xf>
    <xf numFmtId="0" fontId="117" fillId="3" borderId="1" xfId="0" applyFont="1" applyFill="1" applyBorder="1" applyAlignment="1">
      <alignment horizontal="left" vertical="center"/>
    </xf>
    <xf numFmtId="0" fontId="115" fillId="0" borderId="1" xfId="0" applyFont="1" applyBorder="1" applyAlignment="1" applyProtection="1">
      <alignment horizontal="right"/>
      <protection hidden="1"/>
    </xf>
    <xf numFmtId="2" fontId="115" fillId="0" borderId="1" xfId="0" applyNumberFormat="1" applyFont="1" applyBorder="1" applyAlignment="1" applyProtection="1">
      <alignment horizontal="right"/>
      <protection hidden="1"/>
    </xf>
    <xf numFmtId="2" fontId="117" fillId="0" borderId="1" xfId="0" applyNumberFormat="1" applyFont="1" applyBorder="1" applyAlignment="1" applyProtection="1">
      <alignment horizontal="center"/>
      <protection hidden="1"/>
    </xf>
    <xf numFmtId="2" fontId="117" fillId="0" borderId="1" xfId="0" applyNumberFormat="1" applyFont="1" applyBorder="1" applyAlignment="1" applyProtection="1">
      <alignment horizontal="right"/>
      <protection hidden="1"/>
    </xf>
    <xf numFmtId="2" fontId="117" fillId="0" borderId="1" xfId="0" applyNumberFormat="1" applyFont="1" applyBorder="1" applyAlignment="1" applyProtection="1">
      <alignment horizontal="center" vertical="top"/>
      <protection hidden="1"/>
    </xf>
    <xf numFmtId="2" fontId="117" fillId="0" borderId="1" xfId="0" applyNumberFormat="1" applyFont="1" applyBorder="1" applyAlignment="1" applyProtection="1">
      <alignment horizontal="right" vertical="top"/>
      <protection hidden="1"/>
    </xf>
    <xf numFmtId="0" fontId="115" fillId="0" borderId="1" xfId="0" applyFont="1" applyBorder="1" applyAlignment="1" applyProtection="1">
      <alignment horizontal="center" vertical="top"/>
      <protection hidden="1"/>
    </xf>
    <xf numFmtId="2" fontId="115" fillId="0" borderId="1" xfId="0" applyNumberFormat="1" applyFont="1" applyBorder="1" applyAlignment="1" applyProtection="1">
      <alignment horizontal="right" vertical="top"/>
      <protection hidden="1"/>
    </xf>
    <xf numFmtId="2" fontId="115" fillId="3" borderId="1" xfId="0" applyNumberFormat="1" applyFont="1" applyFill="1" applyBorder="1" applyAlignment="1">
      <alignment horizontal="right" vertical="center"/>
    </xf>
    <xf numFmtId="2" fontId="116" fillId="3" borderId="1" xfId="0" applyNumberFormat="1" applyFont="1" applyFill="1" applyBorder="1" applyAlignment="1">
      <alignment horizontal="right" vertical="center"/>
    </xf>
    <xf numFmtId="2" fontId="115" fillId="0" borderId="1" xfId="0" applyNumberFormat="1" applyFont="1" applyBorder="1" applyAlignment="1" applyProtection="1">
      <alignment horizontal="center" vertical="center"/>
      <protection hidden="1"/>
    </xf>
    <xf numFmtId="1" fontId="115" fillId="0" borderId="1" xfId="0" applyNumberFormat="1" applyFont="1" applyBorder="1" applyAlignment="1" applyProtection="1">
      <alignment horizontal="center" vertical="top" wrapText="1"/>
      <protection hidden="1"/>
    </xf>
    <xf numFmtId="0" fontId="115" fillId="0" borderId="1" xfId="0" applyFont="1" applyBorder="1" applyAlignment="1" applyProtection="1">
      <alignment horizontal="left" vertical="top"/>
      <protection hidden="1"/>
    </xf>
    <xf numFmtId="2" fontId="115" fillId="3" borderId="1" xfId="0" applyNumberFormat="1" applyFont="1" applyFill="1" applyBorder="1" applyAlignment="1">
      <alignment horizontal="center" vertical="center"/>
    </xf>
    <xf numFmtId="2" fontId="115" fillId="0" borderId="1" xfId="0" applyNumberFormat="1" applyFont="1" applyBorder="1" applyAlignment="1" applyProtection="1">
      <alignment horizontal="right" vertical="center"/>
      <protection hidden="1"/>
    </xf>
    <xf numFmtId="0" fontId="115" fillId="0" borderId="1" xfId="0" applyFont="1" applyBorder="1" applyAlignment="1" applyProtection="1">
      <alignment horizontal="center" vertical="center"/>
      <protection hidden="1"/>
    </xf>
    <xf numFmtId="2" fontId="117" fillId="0" borderId="1" xfId="0" applyNumberFormat="1" applyFont="1" applyBorder="1" applyAlignment="1">
      <alignment horizontal="center" vertical="center"/>
    </xf>
    <xf numFmtId="10" fontId="115" fillId="0" borderId="1" xfId="2" applyNumberFormat="1" applyFont="1" applyBorder="1" applyAlignment="1">
      <alignment horizontal="center" vertical="center"/>
    </xf>
    <xf numFmtId="9" fontId="115" fillId="0" borderId="1" xfId="0" applyNumberFormat="1" applyFont="1" applyBorder="1" applyAlignment="1">
      <alignment horizontal="left" vertical="center"/>
    </xf>
    <xf numFmtId="0" fontId="115" fillId="0" borderId="1" xfId="0" applyFont="1" applyBorder="1" applyAlignment="1">
      <alignment horizontal="right" vertical="center"/>
    </xf>
    <xf numFmtId="1" fontId="117" fillId="0" borderId="1" xfId="0" applyNumberFormat="1" applyFont="1" applyBorder="1" applyAlignment="1">
      <alignment horizontal="right" vertical="center"/>
    </xf>
    <xf numFmtId="2" fontId="116" fillId="0" borderId="1" xfId="0" applyNumberFormat="1" applyFont="1" applyBorder="1" applyAlignment="1">
      <alignment horizontal="center" vertical="center"/>
    </xf>
    <xf numFmtId="0" fontId="115" fillId="0" borderId="1" xfId="0" applyFont="1" applyBorder="1"/>
    <xf numFmtId="0" fontId="115" fillId="0" borderId="1" xfId="0" applyFont="1" applyBorder="1" applyAlignment="1">
      <alignment vertical="top"/>
    </xf>
    <xf numFmtId="171" fontId="115" fillId="0" borderId="1" xfId="0" applyNumberFormat="1" applyFont="1" applyBorder="1" applyAlignment="1" applyProtection="1">
      <alignment horizontal="center" vertical="top"/>
      <protection hidden="1"/>
    </xf>
    <xf numFmtId="2" fontId="115" fillId="3" borderId="1" xfId="0" applyNumberFormat="1" applyFont="1" applyFill="1" applyBorder="1" applyAlignment="1" applyProtection="1">
      <alignment horizontal="center" vertical="top"/>
      <protection hidden="1"/>
    </xf>
    <xf numFmtId="0" fontId="115" fillId="3" borderId="1" xfId="0" applyFont="1" applyFill="1" applyBorder="1" applyAlignment="1" applyProtection="1">
      <alignment horizontal="left" vertical="top"/>
      <protection hidden="1"/>
    </xf>
    <xf numFmtId="168" fontId="115" fillId="0" borderId="1" xfId="0" applyNumberFormat="1" applyFont="1" applyBorder="1" applyAlignment="1">
      <alignment horizontal="center" vertical="center"/>
    </xf>
    <xf numFmtId="0" fontId="115" fillId="0" borderId="1" xfId="0" applyFont="1" applyBorder="1" applyAlignment="1" applyProtection="1">
      <alignment horizontal="left" vertical="top"/>
      <protection locked="0"/>
    </xf>
    <xf numFmtId="4" fontId="115" fillId="0" borderId="1" xfId="0" applyNumberFormat="1" applyFont="1" applyBorder="1" applyAlignment="1" applyProtection="1">
      <alignment horizontal="center" vertical="top"/>
      <protection locked="0"/>
    </xf>
    <xf numFmtId="4" fontId="117" fillId="0" borderId="1" xfId="0" applyNumberFormat="1" applyFont="1" applyBorder="1" applyAlignment="1" applyProtection="1">
      <alignment horizontal="center" vertical="top"/>
      <protection locked="0"/>
    </xf>
    <xf numFmtId="0" fontId="117" fillId="0" borderId="1" xfId="0" applyFont="1" applyBorder="1" applyAlignment="1" applyProtection="1">
      <alignment horizontal="left" vertical="top"/>
      <protection locked="0"/>
    </xf>
    <xf numFmtId="191" fontId="115" fillId="0" borderId="1" xfId="0" applyNumberFormat="1" applyFont="1" applyBorder="1" applyAlignment="1" applyProtection="1">
      <alignment horizontal="center" vertical="top"/>
      <protection locked="0"/>
    </xf>
    <xf numFmtId="191" fontId="117" fillId="0" borderId="1" xfId="0" applyNumberFormat="1" applyFont="1" applyBorder="1" applyAlignment="1" applyProtection="1">
      <alignment horizontal="center" vertical="top"/>
      <protection locked="0"/>
    </xf>
    <xf numFmtId="200" fontId="117" fillId="0" borderId="1" xfId="0" applyNumberFormat="1" applyFont="1" applyBorder="1" applyAlignment="1" applyProtection="1">
      <alignment horizontal="center" vertical="top"/>
      <protection locked="0"/>
    </xf>
    <xf numFmtId="176" fontId="115" fillId="0" borderId="1" xfId="0" applyNumberFormat="1" applyFont="1" applyBorder="1" applyAlignment="1">
      <alignment vertical="center"/>
    </xf>
    <xf numFmtId="3" fontId="115" fillId="0" borderId="1" xfId="0" applyNumberFormat="1" applyFont="1" applyBorder="1" applyAlignment="1" applyProtection="1">
      <alignment horizontal="right" vertical="top"/>
      <protection locked="0"/>
    </xf>
    <xf numFmtId="4" fontId="115" fillId="0" borderId="1" xfId="0" applyNumberFormat="1" applyFont="1" applyBorder="1" applyAlignment="1" applyProtection="1">
      <alignment horizontal="right" vertical="top"/>
      <protection locked="0"/>
    </xf>
    <xf numFmtId="3" fontId="117" fillId="0" borderId="1" xfId="0" applyNumberFormat="1" applyFont="1" applyBorder="1" applyAlignment="1" applyProtection="1">
      <alignment horizontal="left" vertical="top"/>
      <protection locked="0"/>
    </xf>
    <xf numFmtId="3" fontId="115" fillId="0" borderId="1" xfId="0" applyNumberFormat="1" applyFont="1" applyBorder="1" applyAlignment="1" applyProtection="1">
      <alignment horizontal="center" vertical="center"/>
      <protection locked="0"/>
    </xf>
    <xf numFmtId="191" fontId="115" fillId="0" borderId="1" xfId="817" applyNumberFormat="1" applyFont="1" applyBorder="1" applyAlignment="1" applyProtection="1">
      <alignment horizontal="center" vertical="top"/>
      <protection locked="0"/>
    </xf>
    <xf numFmtId="9" fontId="115" fillId="0" borderId="1" xfId="0" applyNumberFormat="1" applyFont="1" applyBorder="1" applyAlignment="1" applyProtection="1">
      <alignment horizontal="center" vertical="top" wrapText="1"/>
      <protection locked="0"/>
    </xf>
    <xf numFmtId="4" fontId="115" fillId="0" borderId="1" xfId="0" applyNumberFormat="1" applyFont="1" applyBorder="1" applyAlignment="1" applyProtection="1">
      <alignment horizontal="center" vertical="top" wrapText="1"/>
      <protection locked="0"/>
    </xf>
    <xf numFmtId="0" fontId="115" fillId="0" borderId="1" xfId="0" applyFont="1" applyBorder="1" applyAlignment="1" applyProtection="1">
      <alignment horizontal="center" vertical="top"/>
      <protection locked="0"/>
    </xf>
    <xf numFmtId="200" fontId="115" fillId="0" borderId="1" xfId="0" applyNumberFormat="1" applyFont="1" applyBorder="1" applyAlignment="1" applyProtection="1">
      <alignment horizontal="center" vertical="top"/>
      <protection locked="0"/>
    </xf>
    <xf numFmtId="185" fontId="115" fillId="0" borderId="1" xfId="0" applyNumberFormat="1" applyFont="1" applyBorder="1" applyAlignment="1">
      <alignment horizontal="center" vertical="top"/>
    </xf>
    <xf numFmtId="2" fontId="115" fillId="0" borderId="0" xfId="0" applyNumberFormat="1" applyFont="1" applyAlignment="1">
      <alignment vertical="center"/>
    </xf>
    <xf numFmtId="4" fontId="117" fillId="0" borderId="1" xfId="0" applyNumberFormat="1" applyFont="1" applyBorder="1" applyAlignment="1" applyProtection="1">
      <alignment horizontal="right" vertical="top"/>
      <protection locked="0"/>
    </xf>
    <xf numFmtId="3" fontId="115" fillId="0" borderId="1" xfId="0" applyNumberFormat="1" applyFont="1" applyBorder="1" applyAlignment="1" applyProtection="1">
      <alignment horizontal="center" vertical="top" wrapText="1"/>
      <protection locked="0"/>
    </xf>
    <xf numFmtId="0" fontId="115" fillId="0" borderId="1" xfId="0" applyFont="1" applyBorder="1" applyAlignment="1" applyProtection="1">
      <alignment horizontal="right" vertical="top"/>
      <protection locked="0"/>
    </xf>
    <xf numFmtId="171" fontId="0" fillId="0" borderId="12" xfId="0" applyNumberFormat="1" applyBorder="1" applyAlignment="1">
      <alignment horizontal="center" vertical="center" wrapText="1"/>
    </xf>
    <xf numFmtId="3" fontId="59" fillId="0" borderId="2" xfId="0" applyNumberFormat="1" applyFont="1" applyBorder="1" applyAlignment="1">
      <alignment horizontal="justify" vertical="center"/>
    </xf>
    <xf numFmtId="0" fontId="129" fillId="0" borderId="0" xfId="7063" applyFont="1" applyAlignment="1">
      <alignment vertical="center"/>
    </xf>
    <xf numFmtId="0" fontId="129" fillId="0" borderId="0" xfId="7063" applyFont="1" applyAlignment="1">
      <alignment horizontal="center" vertical="top" wrapText="1"/>
    </xf>
    <xf numFmtId="184" fontId="129" fillId="0" borderId="0" xfId="7063" applyNumberFormat="1" applyFont="1" applyAlignment="1">
      <alignment horizontal="center" vertical="top" wrapText="1"/>
    </xf>
    <xf numFmtId="0" fontId="129" fillId="3" borderId="0" xfId="7063" applyFont="1" applyFill="1" applyAlignment="1">
      <alignment vertical="top"/>
    </xf>
    <xf numFmtId="0" fontId="129" fillId="0" borderId="0" xfId="7063" applyFont="1" applyAlignment="1">
      <alignment horizontal="center" vertical="top"/>
    </xf>
    <xf numFmtId="0" fontId="129" fillId="0" borderId="0" xfId="7063" applyFont="1" applyAlignment="1">
      <alignment horizontal="center" vertical="center"/>
    </xf>
    <xf numFmtId="184" fontId="131" fillId="0" borderId="0" xfId="7063" applyNumberFormat="1" applyFont="1" applyAlignment="1">
      <alignment horizontal="center" vertical="top" wrapText="1"/>
    </xf>
    <xf numFmtId="0" fontId="129" fillId="0" borderId="0" xfId="7063" applyFont="1" applyAlignment="1">
      <alignment horizontal="justify" vertical="top" wrapText="1"/>
    </xf>
    <xf numFmtId="183" fontId="129" fillId="0" borderId="0" xfId="7063" applyNumberFormat="1" applyFont="1" applyAlignment="1">
      <alignment horizontal="center" vertical="top" wrapText="1"/>
    </xf>
    <xf numFmtId="0" fontId="129" fillId="0" borderId="0" xfId="7063" applyFont="1" applyAlignment="1">
      <alignment vertical="top"/>
    </xf>
    <xf numFmtId="184" fontId="129" fillId="0" borderId="1" xfId="7063" applyNumberFormat="1" applyFont="1" applyBorder="1" applyAlignment="1">
      <alignment horizontal="center" vertical="top" wrapText="1"/>
    </xf>
    <xf numFmtId="0" fontId="135" fillId="0" borderId="1" xfId="7063" applyFont="1" applyBorder="1" applyAlignment="1">
      <alignment horizontal="center" vertical="top" wrapText="1"/>
    </xf>
    <xf numFmtId="0" fontId="129" fillId="0" borderId="1" xfId="7063" applyFont="1" applyBorder="1" applyAlignment="1">
      <alignment horizontal="center" vertical="top" wrapText="1"/>
    </xf>
    <xf numFmtId="0" fontId="131" fillId="0" borderId="12" xfId="7063" applyFont="1" applyBorder="1" applyAlignment="1">
      <alignment horizontal="center" vertical="top"/>
    </xf>
    <xf numFmtId="187" fontId="131" fillId="11" borderId="12" xfId="7063" applyNumberFormat="1" applyFont="1" applyFill="1" applyBorder="1" applyAlignment="1">
      <alignment horizontal="center" vertical="top" wrapText="1"/>
    </xf>
    <xf numFmtId="0" fontId="131" fillId="0" borderId="12" xfId="7063" applyFont="1" applyBorder="1" applyAlignment="1">
      <alignment horizontal="center" vertical="top" wrapText="1"/>
    </xf>
    <xf numFmtId="0" fontId="131" fillId="0" borderId="12" xfId="7063" applyFont="1" applyBorder="1" applyAlignment="1">
      <alignment horizontal="justify" vertical="top" wrapText="1"/>
    </xf>
    <xf numFmtId="0" fontId="129" fillId="0" borderId="12" xfId="7063" applyFont="1" applyBorder="1" applyAlignment="1">
      <alignment horizontal="center" vertical="top"/>
    </xf>
    <xf numFmtId="183" fontId="129" fillId="0" borderId="12" xfId="7063" applyNumberFormat="1" applyFont="1" applyBorder="1" applyAlignment="1">
      <alignment horizontal="center" vertical="top" wrapText="1"/>
    </xf>
    <xf numFmtId="0" fontId="129" fillId="0" borderId="12" xfId="7063" applyFont="1" applyBorder="1" applyAlignment="1">
      <alignment horizontal="center" vertical="top" wrapText="1"/>
    </xf>
    <xf numFmtId="184" fontId="131" fillId="0" borderId="12" xfId="7063" applyNumberFormat="1" applyFont="1" applyBorder="1" applyAlignment="1">
      <alignment horizontal="center" vertical="top" wrapText="1"/>
    </xf>
    <xf numFmtId="2" fontId="129" fillId="0" borderId="12" xfId="6367" applyNumberFormat="1" applyBorder="1" applyAlignment="1">
      <alignment horizontal="justify" vertical="top" wrapText="1"/>
    </xf>
    <xf numFmtId="2" fontId="131" fillId="0" borderId="12" xfId="7063" applyNumberFormat="1" applyFont="1" applyBorder="1" applyAlignment="1">
      <alignment horizontal="justify" vertical="top" wrapText="1"/>
    </xf>
    <xf numFmtId="2" fontId="129" fillId="0" borderId="12" xfId="7063" applyNumberFormat="1" applyFont="1" applyBorder="1" applyAlignment="1">
      <alignment horizontal="justify" vertical="top" wrapText="1"/>
    </xf>
    <xf numFmtId="2" fontId="129" fillId="0" borderId="12" xfId="7063" applyNumberFormat="1" applyFont="1" applyBorder="1" applyAlignment="1">
      <alignment horizontal="center" vertical="top"/>
    </xf>
    <xf numFmtId="2" fontId="129" fillId="0" borderId="12" xfId="2752" applyNumberFormat="1" applyFont="1" applyBorder="1" applyAlignment="1">
      <alignment horizontal="right" vertical="top"/>
    </xf>
    <xf numFmtId="177" fontId="131" fillId="0" borderId="12" xfId="7063" applyNumberFormat="1" applyFont="1" applyBorder="1" applyAlignment="1">
      <alignment horizontal="right" vertical="top" wrapText="1"/>
    </xf>
    <xf numFmtId="0" fontId="129" fillId="0" borderId="12" xfId="7063" applyFont="1" applyBorder="1" applyAlignment="1">
      <alignment horizontal="right" vertical="top" wrapText="1"/>
    </xf>
    <xf numFmtId="0" fontId="129" fillId="0" borderId="12" xfId="6367" applyBorder="1" applyAlignment="1">
      <alignment vertical="top" wrapText="1"/>
    </xf>
    <xf numFmtId="189" fontId="129" fillId="0" borderId="12" xfId="6367" applyNumberFormat="1" applyBorder="1" applyAlignment="1">
      <alignment horizontal="center" vertical="top"/>
    </xf>
    <xf numFmtId="2" fontId="129" fillId="0" borderId="12" xfId="7063" applyNumberFormat="1" applyFont="1" applyBorder="1" applyAlignment="1">
      <alignment horizontal="center" vertical="top" wrapText="1"/>
    </xf>
    <xf numFmtId="10" fontId="129" fillId="0" borderId="12" xfId="31403" applyNumberFormat="1" applyFont="1" applyBorder="1" applyAlignment="1">
      <alignment horizontal="center" vertical="top" wrapText="1"/>
    </xf>
    <xf numFmtId="188" fontId="129" fillId="0" borderId="12" xfId="6367" applyNumberFormat="1" applyBorder="1" applyAlignment="1">
      <alignment horizontal="center" vertical="top" wrapText="1"/>
    </xf>
    <xf numFmtId="4" fontId="131" fillId="0" borderId="12" xfId="6367" applyNumberFormat="1" applyFont="1" applyBorder="1" applyAlignment="1">
      <alignment horizontal="right" vertical="top" wrapText="1"/>
    </xf>
    <xf numFmtId="0" fontId="131" fillId="0" borderId="12" xfId="6367" applyFont="1" applyBorder="1" applyAlignment="1">
      <alignment vertical="top" wrapText="1"/>
    </xf>
    <xf numFmtId="0" fontId="131" fillId="0" borderId="12" xfId="0" applyFont="1" applyBorder="1" applyAlignment="1">
      <alignment horizontal="center" vertical="top"/>
    </xf>
    <xf numFmtId="0" fontId="131" fillId="0" borderId="12" xfId="0" applyFont="1" applyBorder="1" applyAlignment="1">
      <alignment horizontal="left" vertical="top"/>
    </xf>
    <xf numFmtId="0" fontId="129" fillId="0" borderId="12" xfId="0" applyFont="1" applyBorder="1" applyAlignment="1">
      <alignment horizontal="left" vertical="top"/>
    </xf>
    <xf numFmtId="2" fontId="131" fillId="0" borderId="12" xfId="0" applyNumberFormat="1" applyFont="1" applyBorder="1" applyAlignment="1">
      <alignment horizontal="right" vertical="top"/>
    </xf>
    <xf numFmtId="185" fontId="129" fillId="0" borderId="12" xfId="31403" applyNumberFormat="1" applyFont="1" applyBorder="1" applyAlignment="1">
      <alignment horizontal="center" vertical="top" wrapText="1"/>
    </xf>
    <xf numFmtId="2" fontId="129" fillId="0" borderId="12" xfId="0" applyNumberFormat="1" applyFont="1" applyBorder="1" applyAlignment="1">
      <alignment horizontal="left" vertical="top"/>
    </xf>
    <xf numFmtId="2" fontId="129" fillId="0" borderId="12" xfId="0" applyNumberFormat="1" applyFont="1" applyBorder="1" applyAlignment="1">
      <alignment vertical="top" wrapText="1"/>
    </xf>
    <xf numFmtId="2" fontId="129" fillId="0" borderId="12" xfId="0" applyNumberFormat="1" applyFont="1" applyBorder="1" applyAlignment="1">
      <alignment horizontal="right" vertical="top"/>
    </xf>
    <xf numFmtId="0" fontId="129" fillId="0" borderId="12" xfId="0" applyFont="1" applyBorder="1" applyAlignment="1">
      <alignment vertical="center"/>
    </xf>
    <xf numFmtId="2" fontId="129" fillId="0" borderId="12" xfId="0" applyNumberFormat="1" applyFont="1" applyBorder="1" applyAlignment="1">
      <alignment horizontal="right" vertical="center"/>
    </xf>
    <xf numFmtId="0" fontId="129" fillId="0" borderId="12" xfId="0" applyFont="1" applyBorder="1" applyAlignment="1">
      <alignment vertical="top"/>
    </xf>
    <xf numFmtId="0" fontId="129" fillId="3" borderId="12" xfId="7063" applyFont="1" applyFill="1" applyBorder="1" applyAlignment="1">
      <alignment horizontal="center" vertical="top"/>
    </xf>
    <xf numFmtId="2" fontId="129" fillId="3" borderId="12" xfId="0" applyNumberFormat="1" applyFont="1" applyFill="1" applyBorder="1" applyAlignment="1">
      <alignment horizontal="center" vertical="top"/>
    </xf>
    <xf numFmtId="2" fontId="129" fillId="3" borderId="12" xfId="0" applyNumberFormat="1" applyFont="1" applyFill="1" applyBorder="1" applyAlignment="1">
      <alignment horizontal="left" vertical="top"/>
    </xf>
    <xf numFmtId="0" fontId="131" fillId="3" borderId="12" xfId="0" applyFont="1" applyFill="1" applyBorder="1" applyAlignment="1">
      <alignment vertical="top"/>
    </xf>
    <xf numFmtId="2" fontId="131" fillId="3" borderId="12" xfId="0" applyNumberFormat="1" applyFont="1" applyFill="1" applyBorder="1" applyAlignment="1">
      <alignment horizontal="right" vertical="top"/>
    </xf>
    <xf numFmtId="176" fontId="131" fillId="0" borderId="12" xfId="7063" applyNumberFormat="1" applyFont="1" applyBorder="1" applyAlignment="1">
      <alignment horizontal="justify" vertical="top" wrapText="1"/>
    </xf>
    <xf numFmtId="0" fontId="129" fillId="0" borderId="12" xfId="7063" applyFont="1" applyBorder="1" applyAlignment="1">
      <alignment horizontal="justify" vertical="top" wrapText="1"/>
    </xf>
    <xf numFmtId="0" fontId="129" fillId="0" borderId="2" xfId="7063" applyFont="1" applyBorder="1" applyAlignment="1">
      <alignment horizontal="center" vertical="top"/>
    </xf>
    <xf numFmtId="0" fontId="131" fillId="0" borderId="2" xfId="0" applyFont="1" applyBorder="1" applyAlignment="1">
      <alignment horizontal="center" vertical="top"/>
    </xf>
    <xf numFmtId="0" fontId="131" fillId="0" borderId="2" xfId="0" applyFont="1" applyBorder="1" applyAlignment="1">
      <alignment horizontal="left" vertical="top"/>
    </xf>
    <xf numFmtId="0" fontId="129" fillId="0" borderId="2" xfId="0" applyFont="1" applyBorder="1" applyAlignment="1">
      <alignment horizontal="left" vertical="top"/>
    </xf>
    <xf numFmtId="2" fontId="131" fillId="0" borderId="2" xfId="0" applyNumberFormat="1" applyFont="1" applyBorder="1" applyAlignment="1">
      <alignment horizontal="right" vertical="top"/>
    </xf>
    <xf numFmtId="187" fontId="131" fillId="0" borderId="12" xfId="7063" applyNumberFormat="1" applyFont="1" applyBorder="1" applyAlignment="1">
      <alignment horizontal="center" vertical="top" wrapText="1"/>
    </xf>
    <xf numFmtId="0" fontId="131" fillId="0" borderId="12" xfId="6367" applyFont="1" applyBorder="1" applyAlignment="1">
      <alignment horizontal="justify" vertical="top" wrapText="1"/>
    </xf>
    <xf numFmtId="188" fontId="129" fillId="0" borderId="12" xfId="6367" applyNumberFormat="1" applyBorder="1" applyAlignment="1">
      <alignment horizontal="right" vertical="top" wrapText="1"/>
    </xf>
    <xf numFmtId="0" fontId="129" fillId="0" borderId="12" xfId="6367" applyBorder="1" applyAlignment="1">
      <alignment horizontal="justify" vertical="top" wrapText="1"/>
    </xf>
    <xf numFmtId="0" fontId="136" fillId="0" borderId="12" xfId="6367" applyFont="1" applyBorder="1" applyAlignment="1">
      <alignment horizontal="justify" vertical="top" wrapText="1"/>
    </xf>
    <xf numFmtId="0" fontId="129" fillId="0" borderId="12" xfId="6367" applyBorder="1" applyAlignment="1">
      <alignment horizontal="left" vertical="top" wrapText="1"/>
    </xf>
    <xf numFmtId="2" fontId="131" fillId="0" borderId="12" xfId="7063" applyNumberFormat="1" applyFont="1" applyBorder="1" applyAlignment="1">
      <alignment horizontal="right" vertical="top" wrapText="1"/>
    </xf>
    <xf numFmtId="0" fontId="129" fillId="3" borderId="12" xfId="6367" applyFill="1" applyBorder="1" applyAlignment="1">
      <alignment horizontal="left" vertical="top" wrapText="1"/>
    </xf>
    <xf numFmtId="184" fontId="131" fillId="0" borderId="2" xfId="7063" applyNumberFormat="1" applyFont="1" applyBorder="1" applyAlignment="1">
      <alignment horizontal="center" vertical="top" wrapText="1"/>
    </xf>
    <xf numFmtId="0" fontId="129" fillId="0" borderId="2" xfId="6367" applyBorder="1" applyAlignment="1">
      <alignment horizontal="left" vertical="top" wrapText="1"/>
    </xf>
    <xf numFmtId="0" fontId="129" fillId="0" borderId="2" xfId="7063" applyFont="1" applyBorder="1" applyAlignment="1">
      <alignment horizontal="center" vertical="top" wrapText="1"/>
    </xf>
    <xf numFmtId="188" fontId="129" fillId="0" borderId="2" xfId="6367" applyNumberFormat="1" applyBorder="1" applyAlignment="1">
      <alignment horizontal="center" vertical="top" wrapText="1"/>
    </xf>
    <xf numFmtId="2" fontId="131" fillId="0" borderId="2" xfId="7063" applyNumberFormat="1" applyFont="1" applyBorder="1" applyAlignment="1">
      <alignment horizontal="right" vertical="top" wrapText="1"/>
    </xf>
    <xf numFmtId="189" fontId="129" fillId="0" borderId="12" xfId="6367" applyNumberFormat="1" applyBorder="1" applyAlignment="1">
      <alignment horizontal="right" vertical="top"/>
    </xf>
    <xf numFmtId="2" fontId="129" fillId="0" borderId="12" xfId="7063" applyNumberFormat="1" applyFont="1" applyBorder="1" applyAlignment="1">
      <alignment horizontal="right" vertical="top" wrapText="1"/>
    </xf>
    <xf numFmtId="9" fontId="129" fillId="0" borderId="12" xfId="7063" applyNumberFormat="1" applyFont="1" applyBorder="1" applyAlignment="1">
      <alignment horizontal="center" vertical="top" wrapText="1"/>
    </xf>
    <xf numFmtId="188" fontId="129" fillId="0" borderId="12" xfId="6367" applyNumberFormat="1" applyBorder="1" applyAlignment="1">
      <alignment horizontal="center" vertical="top"/>
    </xf>
    <xf numFmtId="2" fontId="131" fillId="0" borderId="12" xfId="2752" applyNumberFormat="1" applyFont="1" applyBorder="1" applyAlignment="1">
      <alignment horizontal="right" vertical="top"/>
    </xf>
    <xf numFmtId="0" fontId="131" fillId="0" borderId="12" xfId="6367" applyFont="1" applyBorder="1" applyAlignment="1">
      <alignment horizontal="left" vertical="top"/>
    </xf>
    <xf numFmtId="2" fontId="129" fillId="3" borderId="2" xfId="0" applyNumberFormat="1" applyFont="1" applyFill="1" applyBorder="1" applyAlignment="1">
      <alignment horizontal="center" vertical="top"/>
    </xf>
    <xf numFmtId="2" fontId="129" fillId="3" borderId="2" xfId="0" applyNumberFormat="1" applyFont="1" applyFill="1" applyBorder="1" applyAlignment="1">
      <alignment horizontal="left" vertical="top"/>
    </xf>
    <xf numFmtId="0" fontId="131" fillId="3" borderId="2" xfId="0" applyFont="1" applyFill="1" applyBorder="1" applyAlignment="1">
      <alignment vertical="top"/>
    </xf>
    <xf numFmtId="2" fontId="131" fillId="3" borderId="2" xfId="0" applyNumberFormat="1" applyFont="1" applyFill="1" applyBorder="1" applyAlignment="1">
      <alignment horizontal="right" vertical="top"/>
    </xf>
    <xf numFmtId="0" fontId="131" fillId="0" borderId="0" xfId="6367" applyFont="1" applyAlignment="1">
      <alignment horizontal="justify" vertical="top" wrapText="1"/>
    </xf>
    <xf numFmtId="2" fontId="131" fillId="0" borderId="0" xfId="7063" applyNumberFormat="1" applyFont="1" applyAlignment="1">
      <alignment horizontal="justify" vertical="top" wrapText="1"/>
    </xf>
    <xf numFmtId="0" fontId="137" fillId="0" borderId="0" xfId="7063" applyFont="1" applyAlignment="1">
      <alignment horizontal="center" vertical="top" wrapText="1"/>
    </xf>
    <xf numFmtId="0" fontId="131" fillId="0" borderId="0" xfId="7063" applyFont="1" applyAlignment="1">
      <alignment horizontal="center" vertical="top" wrapText="1"/>
    </xf>
    <xf numFmtId="0" fontId="138" fillId="0" borderId="0" xfId="7063" applyFont="1" applyAlignment="1">
      <alignment horizontal="center" vertical="top" wrapText="1"/>
    </xf>
    <xf numFmtId="0" fontId="139" fillId="0" borderId="0" xfId="7063" applyFont="1" applyAlignment="1">
      <alignment horizontal="center" vertical="top" wrapText="1"/>
    </xf>
    <xf numFmtId="184" fontId="129" fillId="0" borderId="0" xfId="7063" applyNumberFormat="1" applyFont="1" applyAlignment="1">
      <alignment horizontal="center" vertical="center" wrapText="1"/>
    </xf>
    <xf numFmtId="0" fontId="129" fillId="0" borderId="0" xfId="7063" applyFont="1" applyAlignment="1">
      <alignment horizontal="center" vertical="center" wrapText="1"/>
    </xf>
    <xf numFmtId="0" fontId="3" fillId="0" borderId="0" xfId="2752" applyAlignment="1">
      <alignment horizontal="center" vertical="center" wrapText="1"/>
    </xf>
    <xf numFmtId="0" fontId="3" fillId="18" borderId="0" xfId="2752" applyFill="1" applyAlignment="1">
      <alignment vertical="center" wrapText="1"/>
    </xf>
    <xf numFmtId="0" fontId="3" fillId="0" borderId="0" xfId="2752" applyAlignment="1">
      <alignment horizontal="center" wrapText="1"/>
    </xf>
    <xf numFmtId="0" fontId="131" fillId="0" borderId="0" xfId="2752" applyFont="1" applyAlignment="1">
      <alignment horizontal="center" vertical="center" wrapText="1"/>
    </xf>
    <xf numFmtId="0" fontId="3" fillId="0" borderId="0" xfId="2752" applyAlignment="1">
      <alignment vertical="center" wrapText="1"/>
    </xf>
    <xf numFmtId="2" fontId="3" fillId="0" borderId="0" xfId="2752" applyNumberFormat="1" applyAlignment="1">
      <alignment horizontal="center" vertical="center" wrapText="1"/>
    </xf>
    <xf numFmtId="2" fontId="140" fillId="0" borderId="0" xfId="2752" applyNumberFormat="1" applyFont="1" applyAlignment="1">
      <alignment horizontal="center" vertical="center" wrapText="1"/>
    </xf>
    <xf numFmtId="2" fontId="3" fillId="0" borderId="0" xfId="2752" applyNumberFormat="1" applyAlignment="1">
      <alignment horizontal="right" vertical="center" wrapText="1"/>
    </xf>
    <xf numFmtId="0" fontId="142" fillId="0" borderId="1" xfId="2752" applyFont="1" applyBorder="1" applyAlignment="1">
      <alignment horizontal="center" vertical="center" wrapText="1"/>
    </xf>
    <xf numFmtId="2" fontId="143" fillId="0" borderId="1" xfId="2752" applyNumberFormat="1" applyFont="1" applyBorder="1" applyAlignment="1">
      <alignment horizontal="center" vertical="center" wrapText="1"/>
    </xf>
    <xf numFmtId="0" fontId="3" fillId="0" borderId="1" xfId="2752" applyBorder="1" applyAlignment="1">
      <alignment vertical="center" wrapText="1"/>
    </xf>
    <xf numFmtId="0" fontId="3" fillId="0" borderId="1" xfId="2752" applyBorder="1"/>
    <xf numFmtId="0" fontId="143" fillId="0" borderId="1" xfId="2752" applyFont="1" applyBorder="1" applyAlignment="1">
      <alignment horizontal="center" vertical="center" wrapText="1"/>
    </xf>
    <xf numFmtId="0" fontId="144" fillId="0" borderId="1" xfId="2752" applyFont="1" applyBorder="1" applyAlignment="1">
      <alignment horizontal="center" vertical="center" wrapText="1"/>
    </xf>
    <xf numFmtId="0" fontId="131" fillId="0" borderId="1" xfId="2752" applyFont="1" applyBorder="1"/>
    <xf numFmtId="2" fontId="145" fillId="0" borderId="1" xfId="2752" applyNumberFormat="1" applyFont="1" applyBorder="1"/>
    <xf numFmtId="0" fontId="129" fillId="0" borderId="1" xfId="2752" applyFont="1" applyBorder="1"/>
    <xf numFmtId="1" fontId="147" fillId="0" borderId="1" xfId="2752" applyNumberFormat="1" applyFont="1" applyBorder="1"/>
    <xf numFmtId="0" fontId="131" fillId="0" borderId="1" xfId="2752" applyFont="1" applyBorder="1" applyAlignment="1">
      <alignment horizontal="center"/>
    </xf>
    <xf numFmtId="1" fontId="145" fillId="0" borderId="1" xfId="2752" applyNumberFormat="1" applyFont="1" applyBorder="1"/>
    <xf numFmtId="0" fontId="131" fillId="19" borderId="1" xfId="2752" applyFont="1" applyFill="1" applyBorder="1"/>
    <xf numFmtId="0" fontId="131" fillId="19" borderId="1" xfId="2752" applyFont="1" applyFill="1" applyBorder="1" applyAlignment="1">
      <alignment horizontal="center" vertical="center" wrapText="1"/>
    </xf>
    <xf numFmtId="0" fontId="3" fillId="19" borderId="1" xfId="2752" applyFill="1" applyBorder="1" applyAlignment="1">
      <alignment horizontal="center" vertical="center" wrapText="1"/>
    </xf>
    <xf numFmtId="1" fontId="3" fillId="19" borderId="1" xfId="2752" applyNumberFormat="1" applyFill="1" applyBorder="1" applyAlignment="1">
      <alignment horizontal="center" vertical="center" wrapText="1"/>
    </xf>
    <xf numFmtId="0" fontId="131" fillId="0" borderId="1" xfId="2752" applyFont="1" applyBorder="1" applyAlignment="1">
      <alignment horizontal="center" vertical="center" wrapText="1"/>
    </xf>
    <xf numFmtId="0" fontId="142" fillId="0" borderId="1" xfId="2752" applyFont="1" applyBorder="1" applyAlignment="1">
      <alignment horizontal="left" vertical="center" wrapText="1"/>
    </xf>
    <xf numFmtId="2" fontId="3" fillId="0" borderId="1" xfId="2752" applyNumberFormat="1" applyBorder="1" applyAlignment="1">
      <alignment horizontal="center" vertical="center" wrapText="1"/>
    </xf>
    <xf numFmtId="0" fontId="142" fillId="0" borderId="1" xfId="2752" applyFont="1" applyBorder="1" applyAlignment="1">
      <alignment vertical="center" wrapText="1"/>
    </xf>
    <xf numFmtId="0" fontId="3" fillId="0" borderId="1" xfId="2752" applyBorder="1" applyAlignment="1">
      <alignment horizontal="center" vertical="center" wrapText="1"/>
    </xf>
    <xf numFmtId="1" fontId="3" fillId="0" borderId="1" xfId="2752" applyNumberFormat="1" applyBorder="1" applyAlignment="1">
      <alignment horizontal="center" vertical="center" wrapText="1"/>
    </xf>
    <xf numFmtId="176" fontId="3" fillId="0" borderId="1" xfId="2752" applyNumberFormat="1" applyBorder="1" applyAlignment="1">
      <alignment horizontal="center" vertical="center" wrapText="1"/>
    </xf>
    <xf numFmtId="0" fontId="0" fillId="0" borderId="1" xfId="2752" applyFont="1" applyBorder="1" applyAlignment="1">
      <alignment horizontal="center" vertical="center" wrapText="1"/>
    </xf>
    <xf numFmtId="171" fontId="3" fillId="0" borderId="1" xfId="2752" applyNumberFormat="1" applyBorder="1" applyAlignment="1">
      <alignment horizontal="center" vertical="center" wrapText="1"/>
    </xf>
    <xf numFmtId="0" fontId="148" fillId="0" borderId="1" xfId="2752" applyFont="1" applyBorder="1" applyAlignment="1">
      <alignment horizontal="left" vertical="top" wrapText="1"/>
    </xf>
    <xf numFmtId="0" fontId="149" fillId="0" borderId="1" xfId="2752" applyFont="1" applyBorder="1" applyAlignment="1">
      <alignment vertical="center" wrapText="1"/>
    </xf>
    <xf numFmtId="0" fontId="131" fillId="0" borderId="1" xfId="2752" applyFont="1" applyBorder="1" applyAlignment="1">
      <alignment vertical="center" wrapText="1"/>
    </xf>
    <xf numFmtId="176" fontId="148" fillId="11" borderId="1" xfId="2752" applyNumberFormat="1" applyFont="1" applyFill="1" applyBorder="1" applyAlignment="1">
      <alignment horizontal="center" vertical="center" wrapText="1"/>
    </xf>
    <xf numFmtId="176" fontId="148" fillId="0" borderId="1" xfId="2752" applyNumberFormat="1" applyFont="1" applyBorder="1" applyAlignment="1">
      <alignment horizontal="center" vertical="center" wrapText="1"/>
    </xf>
    <xf numFmtId="0" fontId="131" fillId="18" borderId="1" xfId="2752" applyFont="1" applyFill="1" applyBorder="1" applyAlignment="1">
      <alignment horizontal="center" vertical="center" wrapText="1"/>
    </xf>
    <xf numFmtId="0" fontId="10" fillId="18" borderId="1" xfId="2752" applyFont="1" applyFill="1" applyBorder="1" applyAlignment="1">
      <alignment vertical="center" wrapText="1"/>
    </xf>
    <xf numFmtId="0" fontId="142" fillId="18" borderId="1" xfId="2752" applyFont="1" applyFill="1" applyBorder="1" applyAlignment="1">
      <alignment horizontal="center" vertical="center" wrapText="1"/>
    </xf>
    <xf numFmtId="0" fontId="3" fillId="18" borderId="1" xfId="2752" applyFill="1" applyBorder="1" applyAlignment="1">
      <alignment horizontal="center" vertical="center" wrapText="1"/>
    </xf>
    <xf numFmtId="176" fontId="130" fillId="18" borderId="1" xfId="2752" applyNumberFormat="1" applyFont="1" applyFill="1" applyBorder="1" applyAlignment="1">
      <alignment horizontal="center" vertical="center" wrapText="1"/>
    </xf>
    <xf numFmtId="0" fontId="10" fillId="0" borderId="1" xfId="2752" applyFont="1" applyBorder="1" applyAlignment="1">
      <alignment horizontal="left" vertical="center" wrapText="1"/>
    </xf>
    <xf numFmtId="2" fontId="150" fillId="0" borderId="1" xfId="2752" applyNumberFormat="1" applyFont="1" applyBorder="1" applyAlignment="1">
      <alignment horizontal="center" vertical="center" wrapText="1"/>
    </xf>
    <xf numFmtId="0" fontId="129" fillId="18" borderId="1" xfId="2752" applyFont="1" applyFill="1" applyBorder="1" applyAlignment="1">
      <alignment horizontal="center" vertical="center" wrapText="1"/>
    </xf>
    <xf numFmtId="2" fontId="130" fillId="11" borderId="1" xfId="2752" applyNumberFormat="1" applyFont="1" applyFill="1" applyBorder="1" applyAlignment="1">
      <alignment horizontal="center" vertical="center" wrapText="1"/>
    </xf>
    <xf numFmtId="0" fontId="151" fillId="0" borderId="1" xfId="2752" applyFont="1" applyBorder="1" applyAlignment="1">
      <alignment horizontal="left" vertical="center" wrapText="1"/>
    </xf>
    <xf numFmtId="0" fontId="130" fillId="0" borderId="1" xfId="2752" applyFont="1" applyBorder="1" applyAlignment="1">
      <alignment horizontal="center" vertical="center" wrapText="1"/>
    </xf>
    <xf numFmtId="0" fontId="151" fillId="0" borderId="1" xfId="2752" applyFont="1" applyBorder="1" applyAlignment="1">
      <alignment horizontal="center" vertical="center" wrapText="1"/>
    </xf>
    <xf numFmtId="0" fontId="3" fillId="0" borderId="1" xfId="2752" applyBorder="1" applyAlignment="1">
      <alignment horizontal="left" vertical="center" wrapText="1"/>
    </xf>
    <xf numFmtId="0" fontId="148" fillId="0" borderId="0" xfId="2752" applyFont="1" applyAlignment="1">
      <alignment vertical="center" wrapText="1"/>
    </xf>
    <xf numFmtId="0" fontId="152" fillId="0" borderId="1" xfId="2752" applyFont="1" applyBorder="1" applyAlignment="1">
      <alignment horizontal="center" vertical="center" wrapText="1"/>
    </xf>
    <xf numFmtId="0" fontId="153" fillId="0" borderId="1" xfId="2752" applyFont="1" applyBorder="1" applyAlignment="1">
      <alignment horizontal="center" vertical="center" wrapText="1"/>
    </xf>
    <xf numFmtId="2" fontId="154" fillId="0" borderId="1" xfId="2752" applyNumberFormat="1" applyFont="1" applyBorder="1" applyAlignment="1">
      <alignment horizontal="center" vertical="center" wrapText="1"/>
    </xf>
    <xf numFmtId="2" fontId="155" fillId="0" borderId="1" xfId="2752" applyNumberFormat="1" applyFont="1" applyBorder="1" applyAlignment="1">
      <alignment horizontal="right" vertical="center" wrapText="1"/>
    </xf>
    <xf numFmtId="0" fontId="148" fillId="0" borderId="13" xfId="2752" applyFont="1" applyBorder="1" applyAlignment="1">
      <alignment vertical="center" wrapText="1"/>
    </xf>
    <xf numFmtId="2" fontId="154" fillId="18" borderId="1" xfId="2752" applyNumberFormat="1" applyFont="1" applyFill="1" applyBorder="1" applyAlignment="1">
      <alignment horizontal="center" vertical="center" wrapText="1"/>
    </xf>
    <xf numFmtId="2" fontId="156" fillId="3" borderId="1" xfId="2752" applyNumberFormat="1" applyFont="1" applyFill="1" applyBorder="1" applyAlignment="1">
      <alignment horizontal="right" vertical="center" wrapText="1"/>
    </xf>
    <xf numFmtId="0" fontId="131" fillId="0" borderId="1" xfId="2752" applyFont="1" applyBorder="1" applyAlignment="1">
      <alignment horizontal="left"/>
    </xf>
    <xf numFmtId="0" fontId="142" fillId="18" borderId="1" xfId="2752" applyFont="1" applyFill="1" applyBorder="1" applyAlignment="1">
      <alignment horizontal="center" vertical="top" wrapText="1"/>
    </xf>
    <xf numFmtId="0" fontId="3" fillId="0" borderId="1" xfId="2752" applyBorder="1" applyAlignment="1">
      <alignment horizontal="center" vertical="top" wrapText="1"/>
    </xf>
    <xf numFmtId="2" fontId="3" fillId="3" borderId="1" xfId="2752" applyNumberFormat="1" applyFill="1" applyBorder="1" applyAlignment="1">
      <alignment horizontal="center" vertical="top" wrapText="1"/>
    </xf>
    <xf numFmtId="201" fontId="145" fillId="11" borderId="1" xfId="2752" applyNumberFormat="1" applyFont="1" applyFill="1" applyBorder="1" applyAlignment="1">
      <alignment horizontal="center" vertical="top" wrapText="1"/>
    </xf>
    <xf numFmtId="2" fontId="134" fillId="0" borderId="1" xfId="2752" applyNumberFormat="1" applyFont="1" applyBorder="1" applyAlignment="1">
      <alignment horizontal="center"/>
    </xf>
    <xf numFmtId="1" fontId="157" fillId="0" borderId="1" xfId="2752" applyNumberFormat="1" applyFont="1" applyBorder="1" applyAlignment="1">
      <alignment horizontal="center"/>
    </xf>
    <xf numFmtId="2" fontId="3" fillId="0" borderId="1" xfId="2752" applyNumberFormat="1" applyBorder="1" applyAlignment="1">
      <alignment horizontal="center" vertical="top" wrapText="1"/>
    </xf>
    <xf numFmtId="1" fontId="134" fillId="0" borderId="1" xfId="2752" applyNumberFormat="1" applyFont="1" applyBorder="1" applyAlignment="1">
      <alignment horizontal="center"/>
    </xf>
    <xf numFmtId="2" fontId="33" fillId="19" borderId="1" xfId="2752" applyNumberFormat="1" applyFont="1" applyFill="1" applyBorder="1" applyAlignment="1">
      <alignment horizontal="center" vertical="center" wrapText="1"/>
    </xf>
    <xf numFmtId="2" fontId="142" fillId="19" borderId="1" xfId="2752" applyNumberFormat="1" applyFont="1" applyFill="1" applyBorder="1" applyAlignment="1">
      <alignment horizontal="right" vertical="center" wrapText="1"/>
    </xf>
    <xf numFmtId="1" fontId="3" fillId="19" borderId="1" xfId="2752" applyNumberFormat="1" applyFill="1" applyBorder="1" applyAlignment="1">
      <alignment horizontal="right" vertical="center" wrapText="1"/>
    </xf>
    <xf numFmtId="2" fontId="140" fillId="0" borderId="1" xfId="2752" applyNumberFormat="1" applyFont="1" applyBorder="1" applyAlignment="1">
      <alignment horizontal="center" vertical="center" wrapText="1"/>
    </xf>
    <xf numFmtId="2" fontId="3" fillId="0" borderId="1" xfId="2752" applyNumberFormat="1" applyBorder="1" applyAlignment="1">
      <alignment horizontal="right" vertical="center" wrapText="1"/>
    </xf>
    <xf numFmtId="0" fontId="129" fillId="0" borderId="5" xfId="2752" applyFont="1" applyBorder="1" applyAlignment="1">
      <alignment horizontal="right" vertical="center" wrapText="1"/>
    </xf>
    <xf numFmtId="0" fontId="131" fillId="0" borderId="2" xfId="2752" applyFont="1" applyBorder="1" applyAlignment="1">
      <alignment horizontal="center" vertical="center" wrapText="1"/>
    </xf>
    <xf numFmtId="2" fontId="140" fillId="20" borderId="1" xfId="2752" applyNumberFormat="1" applyFont="1" applyFill="1" applyBorder="1" applyAlignment="1">
      <alignment horizontal="center" vertical="center" wrapText="1"/>
    </xf>
    <xf numFmtId="2" fontId="129" fillId="0" borderId="1" xfId="2752" applyNumberFormat="1" applyFont="1" applyBorder="1" applyAlignment="1">
      <alignment horizontal="center" vertical="center" wrapText="1"/>
    </xf>
    <xf numFmtId="0" fontId="129" fillId="0" borderId="1" xfId="2752" applyFont="1" applyBorder="1" applyAlignment="1">
      <alignment horizontal="center" vertical="center" wrapText="1"/>
    </xf>
    <xf numFmtId="2" fontId="159" fillId="20" borderId="1" xfId="2752" applyNumberFormat="1" applyFont="1" applyFill="1" applyBorder="1" applyAlignment="1">
      <alignment horizontal="center" vertical="center" wrapText="1"/>
    </xf>
    <xf numFmtId="2" fontId="3" fillId="0" borderId="1" xfId="2752" applyNumberFormat="1" applyBorder="1" applyAlignment="1">
      <alignment horizontal="center" vertical="center"/>
    </xf>
    <xf numFmtId="0" fontId="3" fillId="0" borderId="1" xfId="2752" applyBorder="1" applyAlignment="1">
      <alignment horizontal="center" vertical="center"/>
    </xf>
    <xf numFmtId="2" fontId="3" fillId="0" borderId="1" xfId="2752" applyNumberFormat="1" applyBorder="1" applyAlignment="1">
      <alignment horizontal="right" vertical="center"/>
    </xf>
    <xf numFmtId="2" fontId="159" fillId="0" borderId="1" xfId="2752" applyNumberFormat="1" applyFont="1" applyBorder="1" applyAlignment="1">
      <alignment horizontal="center" vertical="center" wrapText="1"/>
    </xf>
    <xf numFmtId="2" fontId="142" fillId="0" borderId="1" xfId="2752" applyNumberFormat="1" applyFont="1" applyBorder="1" applyAlignment="1">
      <alignment horizontal="right" vertical="center" wrapText="1"/>
    </xf>
    <xf numFmtId="2" fontId="0" fillId="0" borderId="1" xfId="2752" applyNumberFormat="1" applyFont="1" applyBorder="1" applyAlignment="1">
      <alignment horizontal="right" vertical="center" wrapText="1"/>
    </xf>
    <xf numFmtId="0" fontId="130" fillId="18" borderId="1" xfId="2752" applyFont="1" applyFill="1" applyBorder="1" applyAlignment="1">
      <alignment horizontal="center" vertical="center" wrapText="1"/>
    </xf>
    <xf numFmtId="2" fontId="140" fillId="18" borderId="1" xfId="2752" applyNumberFormat="1" applyFont="1" applyFill="1" applyBorder="1" applyAlignment="1">
      <alignment horizontal="center" vertical="center" wrapText="1"/>
    </xf>
    <xf numFmtId="0" fontId="160" fillId="0" borderId="0" xfId="2752" applyFont="1" applyAlignment="1">
      <alignment horizontal="center" vertical="center" wrapText="1"/>
    </xf>
    <xf numFmtId="171" fontId="131" fillId="0" borderId="0" xfId="2752" applyNumberFormat="1" applyFont="1" applyAlignment="1">
      <alignment horizontal="center" vertical="center" wrapText="1"/>
    </xf>
    <xf numFmtId="0" fontId="131" fillId="0" borderId="0" xfId="2752" applyFont="1" applyAlignment="1">
      <alignment horizontal="right" vertical="center"/>
    </xf>
    <xf numFmtId="0" fontId="131" fillId="0" borderId="55" xfId="2752" applyFont="1" applyBorder="1" applyAlignment="1">
      <alignment horizontal="center" vertical="center" wrapText="1"/>
    </xf>
    <xf numFmtId="2" fontId="131" fillId="0" borderId="0" xfId="2752" applyNumberFormat="1" applyFont="1" applyAlignment="1">
      <alignment horizontal="center" vertical="center" wrapText="1"/>
    </xf>
    <xf numFmtId="1" fontId="131" fillId="0" borderId="55" xfId="2752" applyNumberFormat="1" applyFont="1" applyBorder="1" applyAlignment="1">
      <alignment horizontal="center" vertical="center" wrapText="1"/>
    </xf>
    <xf numFmtId="0" fontId="131" fillId="0" borderId="1" xfId="2752" applyFont="1" applyBorder="1" applyAlignment="1">
      <alignment horizontal="left" vertical="center" wrapText="1"/>
    </xf>
    <xf numFmtId="176" fontId="10" fillId="0" borderId="1" xfId="2752" applyNumberFormat="1" applyFont="1" applyBorder="1" applyAlignment="1">
      <alignment horizontal="center" vertical="center" wrapText="1"/>
    </xf>
    <xf numFmtId="2" fontId="0" fillId="0" borderId="1" xfId="2752" applyNumberFormat="1" applyFont="1" applyBorder="1" applyAlignment="1">
      <alignment horizontal="center" vertical="center" wrapText="1"/>
    </xf>
    <xf numFmtId="2" fontId="163" fillId="0" borderId="1" xfId="2752" applyNumberFormat="1" applyFont="1" applyBorder="1" applyAlignment="1">
      <alignment horizontal="center" vertical="center" wrapText="1"/>
    </xf>
    <xf numFmtId="2" fontId="149" fillId="0" borderId="1" xfId="2752" applyNumberFormat="1" applyFont="1" applyBorder="1" applyAlignment="1">
      <alignment horizontal="right" vertical="center" wrapText="1"/>
    </xf>
    <xf numFmtId="2" fontId="129" fillId="0" borderId="1" xfId="2752" applyNumberFormat="1" applyFont="1" applyBorder="1" applyAlignment="1">
      <alignment horizontal="center" wrapText="1"/>
    </xf>
    <xf numFmtId="0" fontId="129" fillId="0" borderId="0" xfId="2752" applyFont="1" applyAlignment="1">
      <alignment horizontal="center" vertical="center" wrapText="1"/>
    </xf>
    <xf numFmtId="0" fontId="4" fillId="0" borderId="0" xfId="30636" applyFont="1" applyAlignment="1">
      <alignment vertical="top"/>
    </xf>
    <xf numFmtId="0" fontId="3" fillId="0" borderId="0" xfId="30636" applyAlignment="1">
      <alignment vertical="top"/>
    </xf>
    <xf numFmtId="0" fontId="3" fillId="0" borderId="1" xfId="30636" applyBorder="1" applyAlignment="1">
      <alignment horizontal="center" vertical="top"/>
    </xf>
    <xf numFmtId="0" fontId="4" fillId="0" borderId="1" xfId="30636" applyFont="1" applyBorder="1" applyAlignment="1">
      <alignment horizontal="center" vertical="top"/>
    </xf>
    <xf numFmtId="202" fontId="165" fillId="0" borderId="1" xfId="30636" applyNumberFormat="1" applyFont="1" applyBorder="1" applyAlignment="1">
      <alignment horizontal="center" vertical="top"/>
    </xf>
    <xf numFmtId="173" fontId="52" fillId="11" borderId="1" xfId="30636" applyNumberFormat="1" applyFont="1" applyFill="1" applyBorder="1" applyAlignment="1">
      <alignment horizontal="center" vertical="top"/>
    </xf>
    <xf numFmtId="173" fontId="165" fillId="0" borderId="1" xfId="30636" applyNumberFormat="1" applyFont="1" applyBorder="1" applyAlignment="1">
      <alignment horizontal="center" vertical="top"/>
    </xf>
    <xf numFmtId="0" fontId="50" fillId="0" borderId="1" xfId="30636" applyFont="1" applyBorder="1" applyAlignment="1">
      <alignment vertical="top" wrapText="1"/>
    </xf>
    <xf numFmtId="0" fontId="3" fillId="0" borderId="1" xfId="30636" applyBorder="1" applyAlignment="1">
      <alignment vertical="top"/>
    </xf>
    <xf numFmtId="2" fontId="142" fillId="0" borderId="1" xfId="21421" applyNumberFormat="1" applyFont="1" applyBorder="1" applyAlignment="1">
      <alignment vertical="top" wrapText="1"/>
    </xf>
    <xf numFmtId="170" fontId="166" fillId="0" borderId="1" xfId="30636" applyNumberFormat="1" applyFont="1" applyBorder="1" applyAlignment="1">
      <alignment horizontal="center" vertical="top"/>
    </xf>
    <xf numFmtId="169" fontId="165" fillId="0" borderId="1" xfId="30636" applyNumberFormat="1" applyFont="1" applyBorder="1" applyAlignment="1">
      <alignment horizontal="center" vertical="top"/>
    </xf>
    <xf numFmtId="0" fontId="0" fillId="0" borderId="1" xfId="30636" applyFont="1" applyBorder="1" applyAlignment="1">
      <alignment horizontal="center" vertical="top"/>
    </xf>
    <xf numFmtId="0" fontId="0" fillId="0" borderId="1" xfId="30636" applyFont="1" applyBorder="1" applyAlignment="1">
      <alignment horizontal="center" vertical="top" wrapText="1"/>
    </xf>
    <xf numFmtId="0" fontId="165" fillId="0" borderId="0" xfId="30636" applyFont="1" applyAlignment="1">
      <alignment horizontal="center" vertical="top"/>
    </xf>
    <xf numFmtId="2" fontId="3" fillId="0" borderId="1" xfId="30636" applyNumberFormat="1" applyBorder="1" applyAlignment="1">
      <alignment horizontal="center" vertical="top"/>
    </xf>
    <xf numFmtId="10" fontId="0" fillId="0" borderId="1" xfId="31417" applyNumberFormat="1" applyFont="1" applyBorder="1" applyAlignment="1">
      <alignment horizontal="center" vertical="top"/>
    </xf>
    <xf numFmtId="1" fontId="3" fillId="0" borderId="1" xfId="30636" applyNumberFormat="1" applyBorder="1" applyAlignment="1">
      <alignment horizontal="center" vertical="top"/>
    </xf>
    <xf numFmtId="2" fontId="14" fillId="0" borderId="5" xfId="30636" applyNumberFormat="1" applyFont="1" applyBorder="1" applyAlignment="1">
      <alignment vertical="top"/>
    </xf>
    <xf numFmtId="2" fontId="3" fillId="0" borderId="0" xfId="30636" applyNumberFormat="1" applyAlignment="1">
      <alignment vertical="top"/>
    </xf>
    <xf numFmtId="0" fontId="4" fillId="0" borderId="1" xfId="30636" applyFont="1" applyBorder="1" applyAlignment="1">
      <alignment horizontal="right" vertical="top" wrapText="1"/>
    </xf>
    <xf numFmtId="2" fontId="4" fillId="0" borderId="1" xfId="30636" applyNumberFormat="1" applyFont="1" applyBorder="1" applyAlignment="1">
      <alignment horizontal="center" vertical="top"/>
    </xf>
    <xf numFmtId="10" fontId="4" fillId="0" borderId="1" xfId="31441" applyNumberFormat="1" applyFont="1" applyBorder="1" applyAlignment="1">
      <alignment horizontal="center" vertical="top"/>
    </xf>
    <xf numFmtId="2" fontId="165" fillId="0" borderId="1" xfId="30636" applyNumberFormat="1" applyFont="1" applyBorder="1" applyAlignment="1">
      <alignment horizontal="center" vertical="top"/>
    </xf>
    <xf numFmtId="2" fontId="14" fillId="0" borderId="1" xfId="30636" applyNumberFormat="1" applyFont="1" applyBorder="1" applyAlignment="1">
      <alignment horizontal="center" vertical="top"/>
    </xf>
    <xf numFmtId="10" fontId="0" fillId="0" borderId="5" xfId="31417" applyNumberFormat="1" applyFont="1" applyBorder="1" applyAlignment="1">
      <alignment horizontal="center" vertical="top"/>
    </xf>
    <xf numFmtId="0" fontId="4" fillId="0" borderId="1" xfId="30636" applyFont="1" applyBorder="1" applyAlignment="1">
      <alignment vertical="top"/>
    </xf>
    <xf numFmtId="0" fontId="167" fillId="0" borderId="1" xfId="30636" applyFont="1" applyBorder="1" applyAlignment="1">
      <alignment vertical="top"/>
    </xf>
    <xf numFmtId="0" fontId="0" fillId="0" borderId="1" xfId="30636" applyFont="1" applyBorder="1" applyAlignment="1">
      <alignment vertical="top"/>
    </xf>
    <xf numFmtId="10" fontId="4" fillId="0" borderId="0" xfId="31441" applyNumberFormat="1" applyFont="1" applyAlignment="1">
      <alignment vertical="top"/>
    </xf>
    <xf numFmtId="10" fontId="3" fillId="0" borderId="0" xfId="30636" applyNumberFormat="1" applyAlignment="1">
      <alignment vertical="top"/>
    </xf>
    <xf numFmtId="0" fontId="4" fillId="0" borderId="0" xfId="30655" applyFont="1"/>
    <xf numFmtId="0" fontId="168" fillId="0" borderId="0" xfId="30655" applyFont="1"/>
    <xf numFmtId="0" fontId="3" fillId="0" borderId="0" xfId="30655"/>
    <xf numFmtId="0" fontId="169" fillId="0" borderId="0" xfId="30655" applyFont="1" applyAlignment="1">
      <alignment horizontal="center" vertical="center"/>
    </xf>
    <xf numFmtId="0" fontId="171" fillId="0" borderId="0" xfId="30655" applyFont="1" applyAlignment="1">
      <alignment horizontal="center" vertical="center" wrapText="1"/>
    </xf>
    <xf numFmtId="0" fontId="172" fillId="0" borderId="0" xfId="30655" applyFont="1" applyAlignment="1">
      <alignment horizontal="center" vertical="center" wrapText="1"/>
    </xf>
    <xf numFmtId="0" fontId="174" fillId="0" borderId="0" xfId="30655" applyFont="1" applyAlignment="1">
      <alignment horizontal="center" vertical="top" wrapText="1"/>
    </xf>
    <xf numFmtId="0" fontId="174" fillId="0" borderId="0" xfId="30655" applyFont="1" applyAlignment="1">
      <alignment vertical="top" wrapText="1"/>
    </xf>
    <xf numFmtId="0" fontId="174" fillId="0" borderId="0" xfId="30655" applyFont="1" applyAlignment="1">
      <alignment vertical="top"/>
    </xf>
    <xf numFmtId="0" fontId="175" fillId="0" borderId="0" xfId="30655" applyFont="1" applyAlignment="1">
      <alignment vertical="top" wrapText="1"/>
    </xf>
    <xf numFmtId="0" fontId="176" fillId="0" borderId="0" xfId="30655" applyFont="1" applyAlignment="1">
      <alignment vertical="top"/>
    </xf>
    <xf numFmtId="0" fontId="176" fillId="0" borderId="0" xfId="30655" applyFont="1" applyAlignment="1">
      <alignment vertical="top" wrapText="1"/>
    </xf>
    <xf numFmtId="0" fontId="0" fillId="0" borderId="0" xfId="30655" applyFont="1"/>
    <xf numFmtId="0" fontId="177" fillId="0" borderId="0" xfId="30655" applyFont="1" applyAlignment="1">
      <alignment horizontal="center" vertical="center" wrapText="1"/>
    </xf>
    <xf numFmtId="0" fontId="2" fillId="0" borderId="0" xfId="30655" applyFont="1" applyAlignment="1">
      <alignment horizontal="right"/>
    </xf>
    <xf numFmtId="0" fontId="178" fillId="0" borderId="0" xfId="30655" applyFont="1" applyAlignment="1">
      <alignment horizontal="centerContinuous" vertical="center" wrapText="1"/>
    </xf>
    <xf numFmtId="0" fontId="37" fillId="0" borderId="0" xfId="30655" applyFont="1" applyAlignment="1">
      <alignment horizontal="center" vertical="center"/>
    </xf>
    <xf numFmtId="0" fontId="179" fillId="0" borderId="0" xfId="30655" applyFont="1" applyAlignment="1">
      <alignment horizontal="left" vertical="center"/>
    </xf>
    <xf numFmtId="0" fontId="179" fillId="0" borderId="0" xfId="30655" applyFont="1" applyAlignment="1">
      <alignment horizontal="center" vertical="center"/>
    </xf>
    <xf numFmtId="0" fontId="180" fillId="0" borderId="0" xfId="30655" applyFont="1" applyAlignment="1">
      <alignment horizontal="center" vertical="center"/>
    </xf>
    <xf numFmtId="171" fontId="3" fillId="0" borderId="0" xfId="30655" applyNumberFormat="1"/>
    <xf numFmtId="0" fontId="181" fillId="0" borderId="0" xfId="30655" applyFont="1" applyAlignment="1">
      <alignment horizontal="center" vertical="center"/>
    </xf>
    <xf numFmtId="0" fontId="49" fillId="0" borderId="0" xfId="30655" applyFont="1" applyAlignment="1">
      <alignment horizontal="center" vertical="center" wrapText="1"/>
    </xf>
    <xf numFmtId="0" fontId="173" fillId="0" borderId="0" xfId="30655" applyFont="1" applyAlignment="1">
      <alignment horizontal="center" vertical="center" wrapText="1"/>
    </xf>
    <xf numFmtId="0" fontId="41" fillId="0" borderId="0" xfId="30655" applyFont="1" applyAlignment="1">
      <alignment horizontal="center"/>
    </xf>
    <xf numFmtId="0" fontId="41" fillId="0" borderId="0" xfId="30655" applyFont="1"/>
    <xf numFmtId="0" fontId="177" fillId="0" borderId="0" xfId="30655" applyFont="1"/>
    <xf numFmtId="0" fontId="177" fillId="0" borderId="0" xfId="0" applyFont="1"/>
    <xf numFmtId="0" fontId="2" fillId="0" borderId="0" xfId="30655" applyFont="1" applyAlignment="1">
      <alignment horizontal="center"/>
    </xf>
    <xf numFmtId="0" fontId="2" fillId="0" borderId="0" xfId="30655" applyFont="1" applyAlignment="1">
      <alignment horizontal="left"/>
    </xf>
    <xf numFmtId="0" fontId="178" fillId="0" borderId="0" xfId="30655" applyFont="1" applyAlignment="1">
      <alignment horizontal="centerContinuous" vertical="center"/>
    </xf>
    <xf numFmtId="0" fontId="182" fillId="0" borderId="0" xfId="30655" applyFont="1"/>
    <xf numFmtId="0" fontId="183" fillId="0" borderId="0" xfId="30655" applyFont="1"/>
    <xf numFmtId="0" fontId="184" fillId="0" borderId="0" xfId="30655" applyFont="1" applyAlignment="1">
      <alignment horizontal="center" vertical="center" wrapText="1"/>
    </xf>
    <xf numFmtId="0" fontId="185" fillId="0" borderId="0" xfId="30655" applyFont="1" applyAlignment="1">
      <alignment horizontal="center" vertical="center" wrapText="1"/>
    </xf>
    <xf numFmtId="0" fontId="186" fillId="0" borderId="0" xfId="30655" applyFont="1" applyAlignment="1">
      <alignment horizontal="center" vertical="center" wrapText="1"/>
    </xf>
    <xf numFmtId="0" fontId="187" fillId="0" borderId="0" xfId="30655" applyFont="1" applyAlignment="1">
      <alignment horizontal="center" vertical="center" wrapText="1"/>
    </xf>
    <xf numFmtId="0" fontId="188" fillId="0" borderId="0" xfId="30655" applyFont="1" applyAlignment="1">
      <alignment horizontal="left"/>
    </xf>
    <xf numFmtId="0" fontId="189" fillId="0" borderId="0" xfId="30655" applyFont="1" applyAlignment="1">
      <alignment horizontal="centerContinuous" vertical="center"/>
    </xf>
    <xf numFmtId="0" fontId="0" fillId="0" borderId="0" xfId="6532" applyFont="1" applyAlignment="1">
      <alignment horizontal="center" vertical="top" shrinkToFit="1"/>
    </xf>
    <xf numFmtId="0" fontId="1" fillId="0" borderId="0" xfId="7647"/>
    <xf numFmtId="0" fontId="1" fillId="0" borderId="56" xfId="7647" applyBorder="1" applyAlignment="1">
      <alignment horizontal="center" vertical="center"/>
    </xf>
    <xf numFmtId="0" fontId="142" fillId="0" borderId="36" xfId="7647" applyFont="1" applyBorder="1" applyAlignment="1">
      <alignment horizontal="center" vertical="center"/>
    </xf>
    <xf numFmtId="0" fontId="142" fillId="0" borderId="57" xfId="7647" applyFont="1" applyBorder="1" applyAlignment="1">
      <alignment horizontal="center" vertical="center"/>
    </xf>
    <xf numFmtId="0" fontId="142" fillId="0" borderId="58" xfId="7647" applyFont="1" applyBorder="1" applyAlignment="1">
      <alignment horizontal="center" vertical="center"/>
    </xf>
    <xf numFmtId="0" fontId="142" fillId="0" borderId="59" xfId="7647" applyFont="1" applyBorder="1" applyAlignment="1">
      <alignment horizontal="center" vertical="center"/>
    </xf>
    <xf numFmtId="0" fontId="1" fillId="0" borderId="25" xfId="7647" applyBorder="1" applyAlignment="1">
      <alignment horizontal="center" vertical="center"/>
    </xf>
    <xf numFmtId="0" fontId="1" fillId="0" borderId="2" xfId="7647" applyBorder="1" applyAlignment="1">
      <alignment horizontal="center" vertical="center"/>
    </xf>
    <xf numFmtId="0" fontId="142" fillId="0" borderId="60" xfId="7647" applyFont="1" applyBorder="1" applyAlignment="1">
      <alignment horizontal="center" vertical="center"/>
    </xf>
    <xf numFmtId="0" fontId="1" fillId="0" borderId="5" xfId="7647" applyBorder="1" applyAlignment="1">
      <alignment horizontal="center" vertical="center"/>
    </xf>
    <xf numFmtId="0" fontId="1" fillId="0" borderId="1" xfId="7647" applyBorder="1" applyAlignment="1">
      <alignment horizontal="center" vertical="center"/>
    </xf>
    <xf numFmtId="0" fontId="142" fillId="0" borderId="61" xfId="7647" applyFont="1" applyBorder="1" applyAlignment="1">
      <alignment horizontal="center" vertical="center"/>
    </xf>
    <xf numFmtId="0" fontId="1" fillId="0" borderId="0" xfId="7648" applyAlignment="1">
      <alignment horizontal="center" vertical="center" wrapText="1"/>
    </xf>
    <xf numFmtId="0" fontId="1" fillId="18" borderId="0" xfId="7648" applyFill="1"/>
    <xf numFmtId="2" fontId="1" fillId="0" borderId="0" xfId="7648" applyNumberFormat="1"/>
    <xf numFmtId="0" fontId="1" fillId="0" borderId="0" xfId="7648"/>
    <xf numFmtId="0" fontId="1" fillId="0" borderId="0" xfId="7648" applyAlignment="1">
      <alignment horizontal="center"/>
    </xf>
    <xf numFmtId="0" fontId="142" fillId="0" borderId="1" xfId="7648" applyFont="1" applyBorder="1" applyAlignment="1">
      <alignment horizontal="center" vertical="center"/>
    </xf>
    <xf numFmtId="1" fontId="1" fillId="21" borderId="1" xfId="7648" applyNumberFormat="1" applyFill="1" applyBorder="1" applyAlignment="1">
      <alignment horizontal="center" vertical="center"/>
    </xf>
    <xf numFmtId="0" fontId="1" fillId="21" borderId="1" xfId="7648" applyFill="1" applyBorder="1" applyAlignment="1">
      <alignment horizontal="center" vertical="center"/>
    </xf>
    <xf numFmtId="0" fontId="1" fillId="18" borderId="0" xfId="7648" applyFill="1" applyAlignment="1">
      <alignment horizontal="center" vertical="center"/>
    </xf>
    <xf numFmtId="0" fontId="1" fillId="0" borderId="0" xfId="7648" applyAlignment="1">
      <alignment horizontal="center" vertical="center"/>
    </xf>
    <xf numFmtId="0" fontId="1" fillId="0" borderId="1" xfId="7648" applyBorder="1" applyAlignment="1">
      <alignment horizontal="center" vertical="center"/>
    </xf>
    <xf numFmtId="0" fontId="1" fillId="0" borderId="1" xfId="7648" applyBorder="1" applyAlignment="1">
      <alignment horizontal="center"/>
    </xf>
    <xf numFmtId="176" fontId="1" fillId="0" borderId="0" xfId="7648" applyNumberFormat="1"/>
    <xf numFmtId="2" fontId="1" fillId="0" borderId="1" xfId="7648" applyNumberFormat="1" applyBorder="1" applyAlignment="1">
      <alignment horizontal="center" vertical="center"/>
    </xf>
    <xf numFmtId="0" fontId="1" fillId="0" borderId="5" xfId="7648" applyBorder="1" applyAlignment="1">
      <alignment horizontal="center" vertical="center"/>
    </xf>
    <xf numFmtId="171" fontId="1" fillId="21" borderId="5" xfId="7648" applyNumberFormat="1" applyFill="1" applyBorder="1" applyAlignment="1">
      <alignment horizontal="center" vertical="center"/>
    </xf>
    <xf numFmtId="171" fontId="1" fillId="21" borderId="1" xfId="7648" applyNumberFormat="1" applyFill="1" applyBorder="1" applyAlignment="1">
      <alignment horizontal="center" vertical="center"/>
    </xf>
    <xf numFmtId="2" fontId="1" fillId="0" borderId="5" xfId="7648" applyNumberFormat="1" applyBorder="1" applyAlignment="1">
      <alignment horizontal="center" vertical="center"/>
    </xf>
    <xf numFmtId="0" fontId="190" fillId="0" borderId="0" xfId="3" applyAlignment="1" applyProtection="1"/>
    <xf numFmtId="0" fontId="1" fillId="0" borderId="29" xfId="7648" applyBorder="1" applyAlignment="1">
      <alignment horizontal="center" vertical="center"/>
    </xf>
    <xf numFmtId="0" fontId="1" fillId="22" borderId="28" xfId="7648" applyFill="1" applyBorder="1" applyAlignment="1">
      <alignment horizontal="center" vertical="center"/>
    </xf>
    <xf numFmtId="0" fontId="162" fillId="0" borderId="1" xfId="7648" applyFont="1" applyBorder="1" applyAlignment="1">
      <alignment horizontal="center" vertical="center"/>
    </xf>
    <xf numFmtId="0" fontId="191" fillId="23" borderId="5" xfId="7648" applyFont="1" applyFill="1" applyBorder="1" applyAlignment="1">
      <alignment horizontal="center" vertical="center"/>
    </xf>
    <xf numFmtId="0" fontId="191" fillId="25" borderId="5" xfId="7648" applyFont="1" applyFill="1" applyBorder="1" applyAlignment="1">
      <alignment horizontal="center" vertical="center"/>
    </xf>
    <xf numFmtId="0" fontId="191" fillId="26" borderId="5" xfId="7648" applyFont="1" applyFill="1" applyBorder="1" applyAlignment="1">
      <alignment horizontal="center" vertical="center"/>
    </xf>
    <xf numFmtId="0" fontId="191" fillId="27" borderId="5" xfId="7648" applyFont="1" applyFill="1" applyBorder="1" applyAlignment="1">
      <alignment horizontal="center" vertical="center"/>
    </xf>
    <xf numFmtId="0" fontId="191" fillId="0" borderId="5" xfId="7648" applyFont="1" applyBorder="1" applyAlignment="1">
      <alignment horizontal="center" vertical="center"/>
    </xf>
    <xf numFmtId="0" fontId="192" fillId="0" borderId="28" xfId="7648" applyFont="1" applyBorder="1"/>
    <xf numFmtId="0" fontId="1" fillId="21" borderId="1" xfId="7648" applyFill="1" applyBorder="1" applyAlignment="1">
      <alignment horizontal="center"/>
    </xf>
    <xf numFmtId="176" fontId="1" fillId="28" borderId="1" xfId="7648" applyNumberFormat="1" applyFill="1" applyBorder="1" applyAlignment="1">
      <alignment horizontal="center"/>
    </xf>
    <xf numFmtId="176" fontId="1" fillId="0" borderId="1" xfId="7648" applyNumberFormat="1" applyBorder="1" applyAlignment="1">
      <alignment horizontal="center"/>
    </xf>
    <xf numFmtId="168" fontId="1" fillId="0" borderId="1" xfId="7648" applyNumberFormat="1" applyBorder="1" applyAlignment="1">
      <alignment horizontal="center"/>
    </xf>
    <xf numFmtId="176" fontId="1" fillId="0" borderId="0" xfId="7648" applyNumberFormat="1" applyAlignment="1">
      <alignment horizontal="center"/>
    </xf>
    <xf numFmtId="2" fontId="1" fillId="0" borderId="0" xfId="7648" applyNumberFormat="1" applyAlignment="1">
      <alignment horizontal="center" vertical="center"/>
    </xf>
    <xf numFmtId="2" fontId="1" fillId="0" borderId="1" xfId="7648" applyNumberFormat="1" applyBorder="1"/>
    <xf numFmtId="2" fontId="1" fillId="0" borderId="1" xfId="7648" applyNumberFormat="1" applyBorder="1" applyAlignment="1">
      <alignment horizontal="center"/>
    </xf>
    <xf numFmtId="0" fontId="1" fillId="0" borderId="0" xfId="7648" applyAlignment="1">
      <alignment horizontal="right"/>
    </xf>
    <xf numFmtId="0" fontId="149" fillId="0" borderId="1" xfId="7648" applyFont="1" applyBorder="1"/>
    <xf numFmtId="0" fontId="194" fillId="28" borderId="14" xfId="7648" applyFont="1" applyFill="1" applyBorder="1" applyAlignment="1">
      <alignment horizontal="right"/>
    </xf>
    <xf numFmtId="0" fontId="194" fillId="28" borderId="5" xfId="7648" applyFont="1" applyFill="1" applyBorder="1" applyAlignment="1">
      <alignment horizontal="left"/>
    </xf>
    <xf numFmtId="0" fontId="155" fillId="0" borderId="1" xfId="7648" applyFont="1" applyBorder="1" applyAlignment="1">
      <alignment horizontal="center" vertical="center" wrapText="1"/>
    </xf>
    <xf numFmtId="0" fontId="194" fillId="28" borderId="14" xfId="7648" applyFont="1" applyFill="1" applyBorder="1" applyAlignment="1">
      <alignment horizontal="right" vertical="center"/>
    </xf>
    <xf numFmtId="0" fontId="194" fillId="28" borderId="5" xfId="7648" applyFont="1" applyFill="1" applyBorder="1" applyAlignment="1">
      <alignment horizontal="left" vertical="center"/>
    </xf>
    <xf numFmtId="0" fontId="1" fillId="0" borderId="32" xfId="7648" applyBorder="1"/>
    <xf numFmtId="0" fontId="1" fillId="0" borderId="41" xfId="7648" applyBorder="1"/>
    <xf numFmtId="0" fontId="1" fillId="0" borderId="33" xfId="7648" applyBorder="1"/>
    <xf numFmtId="0" fontId="1" fillId="0" borderId="42" xfId="7648" applyBorder="1" applyAlignment="1">
      <alignment horizontal="center" vertical="center"/>
    </xf>
    <xf numFmtId="0" fontId="1" fillId="0" borderId="35" xfId="7648" applyBorder="1"/>
    <xf numFmtId="0" fontId="64" fillId="0" borderId="0" xfId="30634" applyFont="1" applyAlignment="1">
      <alignment vertical="top"/>
    </xf>
    <xf numFmtId="0" fontId="36" fillId="7" borderId="0" xfId="30644" applyFont="1" applyFill="1" applyAlignment="1">
      <alignment horizontal="center" vertical="center"/>
    </xf>
    <xf numFmtId="0" fontId="32" fillId="0" borderId="0" xfId="30634" applyFont="1" applyAlignment="1">
      <alignment horizontal="center" vertical="top"/>
    </xf>
    <xf numFmtId="0" fontId="32" fillId="0" borderId="0" xfId="30634" applyFont="1" applyAlignment="1">
      <alignment vertical="top"/>
    </xf>
    <xf numFmtId="0" fontId="64" fillId="0" borderId="12" xfId="30634" applyFont="1" applyBorder="1" applyAlignment="1">
      <alignment horizontal="center" vertical="top"/>
    </xf>
    <xf numFmtId="0" fontId="199" fillId="0" borderId="10" xfId="30634" applyFont="1" applyBorder="1" applyAlignment="1">
      <alignment horizontal="left" vertical="top"/>
    </xf>
    <xf numFmtId="0" fontId="201" fillId="7" borderId="21" xfId="30634" applyFont="1" applyFill="1" applyBorder="1" applyAlignment="1">
      <alignment vertical="center"/>
    </xf>
    <xf numFmtId="0" fontId="201" fillId="7" borderId="22" xfId="30634" applyFont="1" applyFill="1" applyBorder="1" applyAlignment="1">
      <alignment vertical="center"/>
    </xf>
    <xf numFmtId="0" fontId="201" fillId="7" borderId="10" xfId="30634" applyFont="1" applyFill="1" applyBorder="1" applyAlignment="1">
      <alignment vertical="center"/>
    </xf>
    <xf numFmtId="0" fontId="201" fillId="7" borderId="0" xfId="30634" applyFont="1" applyFill="1" applyAlignment="1">
      <alignment vertical="center"/>
    </xf>
    <xf numFmtId="0" fontId="201" fillId="7" borderId="3" xfId="30634" applyFont="1" applyFill="1" applyBorder="1" applyAlignment="1">
      <alignment vertical="center"/>
    </xf>
    <xf numFmtId="0" fontId="201" fillId="7" borderId="13" xfId="30634" applyFont="1" applyFill="1" applyBorder="1" applyAlignment="1">
      <alignment vertical="center"/>
    </xf>
    <xf numFmtId="0" fontId="36" fillId="7" borderId="1" xfId="30644" applyFont="1" applyFill="1" applyBorder="1" applyAlignment="1">
      <alignment horizontal="center" vertical="center"/>
    </xf>
    <xf numFmtId="0" fontId="202" fillId="0" borderId="1" xfId="0" applyFont="1" applyBorder="1" applyAlignment="1">
      <alignment horizontal="center" vertical="center" wrapText="1"/>
    </xf>
    <xf numFmtId="0" fontId="202" fillId="0" borderId="1" xfId="0" applyFont="1" applyBorder="1" applyAlignment="1">
      <alignment vertical="center" wrapText="1"/>
    </xf>
    <xf numFmtId="0" fontId="132" fillId="0" borderId="1" xfId="0" applyFont="1" applyBorder="1" applyAlignment="1">
      <alignment vertical="center" wrapText="1"/>
    </xf>
    <xf numFmtId="0" fontId="202" fillId="0" borderId="1" xfId="0" applyFont="1" applyBorder="1" applyAlignment="1">
      <alignment vertical="center"/>
    </xf>
    <xf numFmtId="0" fontId="202" fillId="0" borderId="4" xfId="0" applyFont="1" applyBorder="1" applyAlignment="1">
      <alignment vertical="center" wrapText="1"/>
    </xf>
    <xf numFmtId="0" fontId="132" fillId="0" borderId="4" xfId="0" applyFont="1" applyBorder="1" applyAlignment="1">
      <alignment vertical="center" wrapText="1"/>
    </xf>
    <xf numFmtId="0" fontId="4" fillId="7" borderId="1" xfId="30644" applyFont="1" applyFill="1" applyBorder="1" applyAlignment="1">
      <alignment vertical="center" wrapText="1"/>
    </xf>
    <xf numFmtId="0" fontId="64" fillId="0" borderId="5" xfId="30634" applyFont="1" applyBorder="1" applyAlignment="1">
      <alignment horizontal="center" vertical="top" wrapText="1"/>
    </xf>
    <xf numFmtId="0" fontId="203" fillId="0" borderId="1" xfId="30634" applyFont="1" applyBorder="1" applyAlignment="1">
      <alignment horizontal="left" vertical="top"/>
    </xf>
    <xf numFmtId="0" fontId="64" fillId="0" borderId="11" xfId="30634" applyFont="1" applyBorder="1" applyAlignment="1">
      <alignment vertical="top" wrapText="1"/>
    </xf>
    <xf numFmtId="208" fontId="203" fillId="0" borderId="21" xfId="30634" applyNumberFormat="1" applyFont="1" applyBorder="1" applyAlignment="1">
      <alignment horizontal="left" vertical="top"/>
    </xf>
    <xf numFmtId="0" fontId="63" fillId="0" borderId="11" xfId="30634" applyFont="1" applyBorder="1" applyAlignment="1">
      <alignment horizontal="left" vertical="top"/>
    </xf>
    <xf numFmtId="0" fontId="32" fillId="0" borderId="0" xfId="30634" applyFont="1" applyAlignment="1">
      <alignment horizontal="center" vertical="top" wrapText="1"/>
    </xf>
    <xf numFmtId="1" fontId="32" fillId="0" borderId="0" xfId="30634" applyNumberFormat="1" applyFont="1" applyAlignment="1">
      <alignment horizontal="center" vertical="top"/>
    </xf>
    <xf numFmtId="9" fontId="32" fillId="0" borderId="0" xfId="30634" applyNumberFormat="1" applyFont="1" applyAlignment="1">
      <alignment horizontal="center" vertical="top"/>
    </xf>
    <xf numFmtId="0" fontId="70" fillId="0" borderId="0" xfId="30634" applyFont="1" applyAlignment="1">
      <alignment horizontal="center" vertical="top" wrapText="1"/>
    </xf>
    <xf numFmtId="0" fontId="0" fillId="0" borderId="14" xfId="30643" applyFont="1" applyBorder="1" applyAlignment="1">
      <alignment horizontal="left" vertical="justify"/>
    </xf>
    <xf numFmtId="0" fontId="7" fillId="0" borderId="14" xfId="30643" applyFont="1" applyBorder="1" applyAlignment="1">
      <alignment horizontal="left" vertical="justify"/>
    </xf>
    <xf numFmtId="0" fontId="7" fillId="0" borderId="14" xfId="30643" applyFont="1" applyBorder="1" applyAlignment="1">
      <alignment horizontal="center" vertical="justify"/>
    </xf>
    <xf numFmtId="0" fontId="201" fillId="7" borderId="34" xfId="30634" applyFont="1" applyFill="1" applyBorder="1" applyAlignment="1">
      <alignment vertical="center"/>
    </xf>
    <xf numFmtId="0" fontId="201" fillId="7" borderId="20" xfId="30634" applyFont="1" applyFill="1" applyBorder="1" applyAlignment="1">
      <alignment vertical="center"/>
    </xf>
    <xf numFmtId="0" fontId="201" fillId="7" borderId="25" xfId="30634" applyFont="1" applyFill="1" applyBorder="1" applyAlignment="1">
      <alignment vertical="center"/>
    </xf>
    <xf numFmtId="0" fontId="132" fillId="0" borderId="22" xfId="0" applyFont="1" applyBorder="1" applyAlignment="1">
      <alignment vertical="center" wrapText="1"/>
    </xf>
    <xf numFmtId="0" fontId="202" fillId="0" borderId="5" xfId="0" applyFont="1" applyBorder="1" applyAlignment="1">
      <alignment vertical="center" wrapText="1"/>
    </xf>
    <xf numFmtId="0" fontId="202" fillId="0" borderId="14" xfId="0" applyFont="1" applyBorder="1" applyAlignment="1">
      <alignment vertical="center" wrapText="1"/>
    </xf>
    <xf numFmtId="0" fontId="132" fillId="0" borderId="14" xfId="0" applyFont="1" applyBorder="1" applyAlignment="1">
      <alignment vertical="center" wrapText="1"/>
    </xf>
    <xf numFmtId="0" fontId="132" fillId="0" borderId="5" xfId="0" applyFont="1" applyBorder="1" applyAlignment="1">
      <alignment vertical="center" wrapText="1"/>
    </xf>
    <xf numFmtId="0" fontId="4" fillId="7" borderId="4" xfId="30644" applyFont="1" applyFill="1" applyBorder="1" applyAlignment="1">
      <alignment vertical="center" wrapText="1"/>
    </xf>
    <xf numFmtId="0" fontId="4" fillId="7" borderId="14" xfId="30644" applyFont="1" applyFill="1" applyBorder="1" applyAlignment="1">
      <alignment vertical="center" wrapText="1"/>
    </xf>
    <xf numFmtId="0" fontId="0" fillId="0" borderId="14" xfId="30643" applyFont="1" applyBorder="1" applyAlignment="1">
      <alignment horizontal="center" vertical="justify"/>
    </xf>
    <xf numFmtId="0" fontId="132" fillId="0" borderId="34" xfId="0" applyFont="1" applyBorder="1" applyAlignment="1">
      <alignment vertical="center" wrapText="1"/>
    </xf>
    <xf numFmtId="0" fontId="36" fillId="7" borderId="0" xfId="30644" applyFont="1" applyFill="1" applyAlignment="1">
      <alignment vertical="center" wrapText="1"/>
    </xf>
    <xf numFmtId="0" fontId="4" fillId="7" borderId="5" xfId="30644" applyFont="1" applyFill="1" applyBorder="1" applyAlignment="1">
      <alignment vertical="center" wrapText="1"/>
    </xf>
    <xf numFmtId="0" fontId="70" fillId="0" borderId="0" xfId="6532" applyFont="1" applyAlignment="1">
      <alignment horizontal="left" vertical="top" wrapText="1"/>
    </xf>
    <xf numFmtId="0" fontId="204" fillId="0" borderId="1" xfId="30634" applyFont="1" applyBorder="1" applyAlignment="1">
      <alignment horizontal="center" vertical="top"/>
    </xf>
    <xf numFmtId="2" fontId="204" fillId="0" borderId="1" xfId="30634" applyNumberFormat="1" applyFont="1" applyBorder="1" applyAlignment="1">
      <alignment horizontal="right" vertical="top"/>
    </xf>
    <xf numFmtId="2" fontId="204" fillId="0" borderId="4" xfId="30634" applyNumberFormat="1" applyFont="1" applyBorder="1" applyAlignment="1">
      <alignment vertical="top"/>
    </xf>
    <xf numFmtId="0" fontId="1" fillId="0" borderId="21" xfId="30634" applyFont="1" applyBorder="1" applyAlignment="1">
      <alignment horizontal="center" vertical="top"/>
    </xf>
    <xf numFmtId="0" fontId="198" fillId="0" borderId="22" xfId="30634" applyFont="1" applyBorder="1" applyAlignment="1">
      <alignment vertical="top" wrapText="1"/>
    </xf>
    <xf numFmtId="2" fontId="198" fillId="0" borderId="22" xfId="30634" applyNumberFormat="1" applyFont="1" applyBorder="1" applyAlignment="1">
      <alignment vertical="top" wrapText="1"/>
    </xf>
    <xf numFmtId="1" fontId="198" fillId="0" borderId="22" xfId="30634" applyNumberFormat="1" applyFont="1" applyBorder="1" applyAlignment="1">
      <alignment horizontal="center" vertical="top"/>
    </xf>
    <xf numFmtId="0" fontId="1" fillId="0" borderId="0" xfId="30634" applyFont="1" applyAlignment="1">
      <alignment horizontal="center" vertical="top"/>
    </xf>
    <xf numFmtId="2" fontId="198" fillId="0" borderId="0" xfId="30634" applyNumberFormat="1" applyFont="1" applyAlignment="1">
      <alignment horizontal="right" vertical="top" wrapText="1"/>
    </xf>
    <xf numFmtId="1" fontId="198" fillId="0" borderId="0" xfId="30634" applyNumberFormat="1" applyFont="1" applyAlignment="1">
      <alignment horizontal="center" vertical="top"/>
    </xf>
    <xf numFmtId="1" fontId="198" fillId="0" borderId="0" xfId="30634" applyNumberFormat="1" applyFont="1" applyAlignment="1">
      <alignment horizontal="right" vertical="top"/>
    </xf>
    <xf numFmtId="2" fontId="198" fillId="0" borderId="55" xfId="30634" applyNumberFormat="1" applyFont="1" applyBorder="1" applyAlignment="1">
      <alignment horizontal="right" vertical="top" wrapText="1"/>
    </xf>
    <xf numFmtId="0" fontId="1" fillId="0" borderId="10" xfId="30634" applyFont="1" applyBorder="1" applyAlignment="1">
      <alignment horizontal="center" vertical="top"/>
    </xf>
    <xf numFmtId="2" fontId="0" fillId="0" borderId="1" xfId="6532" applyNumberFormat="1" applyFont="1" applyBorder="1" applyAlignment="1">
      <alignment horizontal="center" vertical="center" shrinkToFit="1"/>
    </xf>
    <xf numFmtId="43" fontId="198" fillId="0" borderId="22" xfId="2054" applyFont="1" applyBorder="1" applyAlignment="1">
      <alignment vertical="top" wrapText="1"/>
    </xf>
    <xf numFmtId="43" fontId="198" fillId="0" borderId="34" xfId="2054" applyFont="1" applyBorder="1" applyAlignment="1">
      <alignment vertical="top" wrapText="1"/>
    </xf>
    <xf numFmtId="43" fontId="1" fillId="0" borderId="0" xfId="30634" applyNumberFormat="1" applyFont="1" applyAlignment="1">
      <alignment vertical="top" wrapText="1"/>
    </xf>
    <xf numFmtId="43" fontId="198" fillId="0" borderId="0" xfId="2054" applyFont="1" applyBorder="1" applyAlignment="1">
      <alignment horizontal="right" vertical="top" wrapText="1"/>
    </xf>
    <xf numFmtId="0" fontId="70" fillId="0" borderId="0" xfId="30634" applyFont="1" applyAlignment="1">
      <alignment horizontal="center" vertical="top"/>
    </xf>
    <xf numFmtId="0" fontId="70" fillId="0" borderId="0" xfId="30634" applyFont="1" applyAlignment="1">
      <alignment horizontal="justify" vertical="top" wrapText="1"/>
    </xf>
    <xf numFmtId="0" fontId="204" fillId="0" borderId="0" xfId="6532" applyFont="1" applyAlignment="1">
      <alignment vertical="top"/>
    </xf>
    <xf numFmtId="0" fontId="205" fillId="0" borderId="0" xfId="6532" applyFont="1" applyAlignment="1">
      <alignment vertical="top"/>
    </xf>
    <xf numFmtId="0" fontId="117" fillId="0" borderId="0" xfId="0" applyFont="1" applyAlignment="1" applyProtection="1">
      <alignment horizontal="center" vertical="center"/>
      <protection locked="0"/>
    </xf>
    <xf numFmtId="0" fontId="117" fillId="0" borderId="0" xfId="0" applyFont="1" applyAlignment="1" applyProtection="1">
      <alignment vertical="center"/>
      <protection locked="0"/>
    </xf>
    <xf numFmtId="0" fontId="117" fillId="0" borderId="1" xfId="0" applyFont="1" applyBorder="1" applyAlignment="1" applyProtection="1">
      <alignment horizontal="center" vertical="center"/>
      <protection locked="0"/>
    </xf>
    <xf numFmtId="0" fontId="207" fillId="0" borderId="1" xfId="30655" applyFont="1" applyBorder="1" applyAlignment="1" applyProtection="1">
      <alignment vertical="center"/>
      <protection locked="0"/>
    </xf>
    <xf numFmtId="0" fontId="208" fillId="3" borderId="1" xfId="30656" applyFont="1" applyFill="1" applyBorder="1" applyAlignment="1" applyProtection="1">
      <alignment vertical="center"/>
      <protection locked="0"/>
    </xf>
    <xf numFmtId="0" fontId="209" fillId="3" borderId="1" xfId="0" applyFont="1" applyFill="1" applyBorder="1" applyAlignment="1">
      <alignment horizontal="center" vertical="center"/>
    </xf>
    <xf numFmtId="0" fontId="117" fillId="0" borderId="0" xfId="0" applyFont="1" applyAlignment="1" applyProtection="1">
      <alignment horizontal="left" vertical="center" wrapText="1"/>
      <protection locked="0"/>
    </xf>
    <xf numFmtId="0" fontId="115" fillId="0" borderId="1" xfId="30655" applyFont="1" applyBorder="1" applyAlignment="1" applyProtection="1">
      <alignment vertical="center" wrapText="1"/>
      <protection locked="0"/>
    </xf>
    <xf numFmtId="0" fontId="210" fillId="0" borderId="1" xfId="0" applyFont="1" applyBorder="1" applyAlignment="1" applyProtection="1">
      <alignment horizontal="center" vertical="center" wrapText="1"/>
      <protection locked="0"/>
    </xf>
    <xf numFmtId="0" fontId="208" fillId="3" borderId="1" xfId="0" applyFont="1" applyFill="1" applyBorder="1" applyAlignment="1" applyProtection="1">
      <alignment horizontal="left"/>
      <protection locked="0"/>
    </xf>
    <xf numFmtId="0" fontId="211" fillId="0" borderId="1" xfId="0" applyFont="1" applyBorder="1" applyAlignment="1" applyProtection="1">
      <alignment horizontal="center" vertical="center"/>
      <protection locked="0"/>
    </xf>
    <xf numFmtId="0" fontId="117" fillId="0" borderId="1" xfId="0" applyFont="1" applyBorder="1" applyAlignment="1" applyProtection="1">
      <alignment horizontal="left"/>
      <protection locked="0"/>
    </xf>
    <xf numFmtId="0" fontId="206" fillId="3" borderId="1" xfId="0" applyFont="1" applyFill="1" applyBorder="1" applyAlignment="1" applyProtection="1">
      <alignment horizontal="left" vertical="center"/>
      <protection locked="0"/>
    </xf>
    <xf numFmtId="0" fontId="115" fillId="34" borderId="1" xfId="0" applyFont="1" applyFill="1" applyBorder="1" applyProtection="1">
      <protection locked="0"/>
    </xf>
    <xf numFmtId="211" fontId="212" fillId="34" borderId="1" xfId="2752" applyNumberFormat="1" applyFont="1" applyFill="1" applyBorder="1" applyAlignment="1" applyProtection="1">
      <alignment horizontal="center"/>
      <protection locked="0"/>
    </xf>
    <xf numFmtId="211" fontId="213" fillId="7" borderId="1" xfId="2752" applyNumberFormat="1" applyFont="1" applyFill="1" applyBorder="1" applyAlignment="1" applyProtection="1">
      <alignment horizontal="center"/>
      <protection locked="0"/>
    </xf>
    <xf numFmtId="211" fontId="214" fillId="7" borderId="1" xfId="2752" applyNumberFormat="1" applyFont="1" applyFill="1" applyBorder="1" applyAlignment="1" applyProtection="1">
      <alignment horizontal="center"/>
      <protection locked="0"/>
    </xf>
    <xf numFmtId="0" fontId="115" fillId="0" borderId="1" xfId="0" applyFont="1" applyBorder="1" applyAlignment="1">
      <alignment horizontal="center"/>
    </xf>
    <xf numFmtId="0" fontId="206" fillId="3" borderId="1" xfId="0" applyFont="1" applyFill="1" applyBorder="1" applyAlignment="1">
      <alignment horizontal="left" vertical="center"/>
    </xf>
    <xf numFmtId="14" fontId="215" fillId="0" borderId="0" xfId="2752" applyNumberFormat="1" applyFont="1" applyAlignment="1" applyProtection="1">
      <alignment horizontal="center"/>
      <protection locked="0"/>
    </xf>
    <xf numFmtId="0" fontId="115" fillId="0" borderId="1" xfId="0" applyFont="1" applyBorder="1" applyAlignment="1" applyProtection="1">
      <alignment horizontal="left" wrapText="1"/>
      <protection locked="0"/>
    </xf>
    <xf numFmtId="0" fontId="206" fillId="3" borderId="1" xfId="0" applyFont="1" applyFill="1" applyBorder="1" applyAlignment="1" applyProtection="1">
      <alignment horizontal="left" vertical="center" wrapText="1"/>
      <protection locked="0"/>
    </xf>
    <xf numFmtId="14" fontId="115" fillId="0" borderId="1" xfId="2752" applyNumberFormat="1" applyFont="1" applyBorder="1" applyAlignment="1" applyProtection="1">
      <alignment horizontal="center" vertical="center"/>
      <protection locked="0"/>
    </xf>
    <xf numFmtId="14" fontId="115" fillId="0" borderId="0" xfId="2752" applyNumberFormat="1" applyFont="1" applyAlignment="1" applyProtection="1">
      <alignment horizontal="center"/>
      <protection locked="0"/>
    </xf>
    <xf numFmtId="0" fontId="206" fillId="0" borderId="1" xfId="0" applyFont="1" applyBorder="1" applyAlignment="1" applyProtection="1">
      <alignment horizontal="left"/>
      <protection locked="0"/>
    </xf>
    <xf numFmtId="9" fontId="208" fillId="0" borderId="1" xfId="0" applyNumberFormat="1" applyFont="1" applyBorder="1" applyAlignment="1" applyProtection="1">
      <alignment horizontal="center"/>
      <protection locked="0"/>
    </xf>
    <xf numFmtId="0" fontId="117" fillId="0" borderId="2" xfId="0" applyFont="1" applyBorder="1" applyAlignment="1" applyProtection="1">
      <alignment horizontal="center"/>
      <protection locked="0"/>
    </xf>
    <xf numFmtId="0" fontId="115" fillId="0" borderId="1" xfId="0" applyFont="1" applyBorder="1" applyAlignment="1">
      <alignment vertical="center" wrapText="1"/>
    </xf>
    <xf numFmtId="185" fontId="208" fillId="0" borderId="1" xfId="0" applyNumberFormat="1" applyFont="1" applyBorder="1" applyAlignment="1">
      <alignment horizontal="center" vertical="center"/>
    </xf>
    <xf numFmtId="10" fontId="208" fillId="0" borderId="1" xfId="0" applyNumberFormat="1" applyFont="1" applyBorder="1" applyAlignment="1">
      <alignment horizontal="center" vertical="center"/>
    </xf>
    <xf numFmtId="0" fontId="213" fillId="0" borderId="1" xfId="0" applyFont="1" applyBorder="1" applyAlignment="1" applyProtection="1">
      <alignment horizontal="left" vertical="center" wrapText="1"/>
      <protection locked="0"/>
    </xf>
    <xf numFmtId="9" fontId="117" fillId="7" borderId="1" xfId="0" applyNumberFormat="1" applyFont="1" applyFill="1" applyBorder="1" applyAlignment="1" applyProtection="1">
      <alignment horizontal="center" vertical="center"/>
      <protection locked="0"/>
    </xf>
    <xf numFmtId="185" fontId="117" fillId="0" borderId="0" xfId="0" applyNumberFormat="1" applyFont="1" applyAlignment="1" applyProtection="1">
      <alignment horizontal="center" vertical="center"/>
      <protection locked="0"/>
    </xf>
    <xf numFmtId="2" fontId="115" fillId="0" borderId="0" xfId="0" applyNumberFormat="1" applyFont="1"/>
    <xf numFmtId="1" fontId="9" fillId="0" borderId="1" xfId="0" applyNumberFormat="1" applyFont="1" applyBorder="1" applyAlignment="1" applyProtection="1">
      <alignment horizontal="center" vertical="center"/>
      <protection locked="0"/>
    </xf>
    <xf numFmtId="1" fontId="9" fillId="7" borderId="1" xfId="0" applyNumberFormat="1" applyFont="1" applyFill="1" applyBorder="1" applyAlignment="1" applyProtection="1">
      <alignment horizontal="center" vertical="center"/>
      <protection locked="0"/>
    </xf>
    <xf numFmtId="1" fontId="9" fillId="3" borderId="1" xfId="0" applyNumberFormat="1" applyFont="1" applyFill="1" applyBorder="1" applyAlignment="1" applyProtection="1">
      <alignment horizontal="center" vertical="center"/>
      <protection locked="0"/>
    </xf>
    <xf numFmtId="0" fontId="115" fillId="0" borderId="1" xfId="30655" applyFont="1" applyBorder="1" applyAlignment="1" applyProtection="1">
      <alignment horizontal="center" vertical="center"/>
      <protection locked="0"/>
    </xf>
    <xf numFmtId="2" fontId="117" fillId="3" borderId="1" xfId="0" applyNumberFormat="1" applyFont="1" applyFill="1" applyBorder="1" applyAlignment="1" applyProtection="1">
      <alignment horizontal="center" vertical="center" wrapText="1"/>
      <protection locked="0"/>
    </xf>
    <xf numFmtId="2" fontId="117" fillId="0" borderId="1" xfId="0" applyNumberFormat="1" applyFont="1" applyBorder="1" applyAlignment="1" applyProtection="1">
      <alignment horizontal="center" vertical="center"/>
      <protection locked="0"/>
    </xf>
    <xf numFmtId="171" fontId="206" fillId="3" borderId="1" xfId="0" applyNumberFormat="1" applyFont="1" applyFill="1" applyBorder="1" applyAlignment="1" applyProtection="1">
      <alignment horizontal="center" vertical="center"/>
      <protection locked="0"/>
    </xf>
    <xf numFmtId="1" fontId="206" fillId="0" borderId="1" xfId="0" applyNumberFormat="1" applyFont="1" applyBorder="1" applyAlignment="1" applyProtection="1">
      <alignment horizontal="left" vertical="center"/>
      <protection locked="0"/>
    </xf>
    <xf numFmtId="0" fontId="206" fillId="0" borderId="1" xfId="30655" applyFont="1" applyBorder="1" applyAlignment="1" applyProtection="1">
      <alignment horizontal="center" vertical="center"/>
      <protection locked="0"/>
    </xf>
    <xf numFmtId="171" fontId="216" fillId="0" borderId="11" xfId="0" applyNumberFormat="1" applyFont="1" applyBorder="1" applyAlignment="1" applyProtection="1">
      <alignment horizontal="left" vertical="center"/>
      <protection locked="0"/>
    </xf>
    <xf numFmtId="2" fontId="117" fillId="0" borderId="11" xfId="0" applyNumberFormat="1" applyFont="1" applyBorder="1" applyAlignment="1" applyProtection="1">
      <alignment horizontal="center" vertical="center" wrapText="1"/>
      <protection locked="0"/>
    </xf>
    <xf numFmtId="1" fontId="206" fillId="0" borderId="11" xfId="0" applyNumberFormat="1" applyFont="1" applyBorder="1" applyAlignment="1" applyProtection="1">
      <alignment horizontal="center" vertical="center"/>
      <protection locked="0"/>
    </xf>
    <xf numFmtId="0" fontId="206" fillId="3" borderId="1" xfId="30634" applyFont="1" applyFill="1" applyBorder="1" applyAlignment="1">
      <alignment vertical="top"/>
    </xf>
    <xf numFmtId="1" fontId="206" fillId="3" borderId="14" xfId="0" applyNumberFormat="1" applyFont="1" applyFill="1" applyBorder="1" applyAlignment="1" applyProtection="1">
      <alignment horizontal="center" vertical="center"/>
      <protection locked="0"/>
    </xf>
    <xf numFmtId="1" fontId="206" fillId="3" borderId="5" xfId="0" applyNumberFormat="1" applyFont="1" applyFill="1" applyBorder="1" applyAlignment="1" applyProtection="1">
      <alignment horizontal="center" vertical="center"/>
      <protection locked="0"/>
    </xf>
    <xf numFmtId="0" fontId="117" fillId="0" borderId="1" xfId="30634" applyFont="1" applyBorder="1" applyAlignment="1">
      <alignment vertical="top"/>
    </xf>
    <xf numFmtId="0" fontId="207" fillId="0" borderId="0" xfId="30655" applyFont="1" applyAlignment="1">
      <alignment vertical="center"/>
    </xf>
    <xf numFmtId="0" fontId="208" fillId="0" borderId="2" xfId="0" applyFont="1" applyBorder="1" applyAlignment="1" applyProtection="1">
      <alignment horizontal="center" vertical="center" wrapText="1"/>
      <protection locked="0"/>
    </xf>
    <xf numFmtId="0" fontId="206" fillId="0" borderId="1" xfId="30634" applyFont="1" applyBorder="1" applyAlignment="1">
      <alignment vertical="top"/>
    </xf>
    <xf numFmtId="0" fontId="208" fillId="0" borderId="0" xfId="0" applyFont="1" applyAlignment="1" applyProtection="1">
      <alignment horizontal="center" vertical="center"/>
      <protection locked="0"/>
    </xf>
    <xf numFmtId="2" fontId="209" fillId="34" borderId="1" xfId="0" applyNumberFormat="1" applyFont="1" applyFill="1" applyBorder="1" applyAlignment="1" applyProtection="1">
      <alignment horizontal="center"/>
      <protection locked="0"/>
    </xf>
    <xf numFmtId="0" fontId="115" fillId="7" borderId="1" xfId="0" applyFont="1" applyFill="1" applyBorder="1" applyProtection="1">
      <protection locked="0"/>
    </xf>
    <xf numFmtId="2" fontId="208" fillId="7" borderId="1" xfId="0" applyNumberFormat="1" applyFont="1" applyFill="1" applyBorder="1" applyAlignment="1" applyProtection="1">
      <alignment horizontal="center"/>
      <protection locked="0"/>
    </xf>
    <xf numFmtId="2" fontId="208" fillId="0" borderId="0" xfId="0" applyNumberFormat="1" applyFont="1" applyAlignment="1" applyProtection="1">
      <alignment horizontal="center"/>
      <protection locked="0"/>
    </xf>
    <xf numFmtId="2" fontId="215" fillId="0" borderId="0" xfId="0" applyNumberFormat="1" applyFont="1" applyAlignment="1" applyProtection="1">
      <alignment horizontal="center"/>
      <protection locked="0"/>
    </xf>
    <xf numFmtId="17" fontId="209" fillId="0" borderId="1" xfId="0" applyNumberFormat="1" applyFont="1" applyBorder="1" applyAlignment="1" applyProtection="1">
      <alignment horizontal="center" vertical="center"/>
      <protection locked="0"/>
    </xf>
    <xf numFmtId="2" fontId="215" fillId="0" borderId="0" xfId="0" applyNumberFormat="1" applyFont="1" applyAlignment="1" applyProtection="1">
      <alignment horizontal="center" wrapText="1"/>
      <protection locked="0"/>
    </xf>
    <xf numFmtId="0" fontId="120" fillId="0" borderId="0" xfId="0" applyFont="1"/>
    <xf numFmtId="0" fontId="206" fillId="0" borderId="0" xfId="0" applyFont="1" applyProtection="1">
      <protection locked="0"/>
    </xf>
    <xf numFmtId="2" fontId="217" fillId="0" borderId="1" xfId="0" applyNumberFormat="1" applyFont="1" applyBorder="1" applyAlignment="1" applyProtection="1">
      <alignment horizontal="center" vertical="center"/>
      <protection locked="0"/>
    </xf>
    <xf numFmtId="0" fontId="120" fillId="0" borderId="0" xfId="0" applyFont="1" applyAlignment="1" applyProtection="1">
      <alignment vertical="center"/>
      <protection locked="0"/>
    </xf>
    <xf numFmtId="0" fontId="117" fillId="0" borderId="0" xfId="0" applyFont="1" applyAlignment="1">
      <alignment horizontal="center" vertical="center"/>
    </xf>
    <xf numFmtId="14" fontId="115" fillId="0" borderId="0" xfId="0" applyNumberFormat="1" applyFont="1" applyAlignment="1">
      <alignment vertical="center"/>
    </xf>
    <xf numFmtId="0" fontId="3" fillId="0" borderId="0" xfId="6145" applyAlignment="1">
      <alignment horizontal="center"/>
    </xf>
    <xf numFmtId="0" fontId="2" fillId="2" borderId="1" xfId="6145" applyFont="1" applyFill="1" applyBorder="1" applyAlignment="1">
      <alignment horizontal="right" vertical="center" wrapText="1"/>
    </xf>
    <xf numFmtId="2" fontId="2" fillId="2" borderId="1" xfId="6145" applyNumberFormat="1" applyFont="1" applyFill="1" applyBorder="1" applyAlignment="1">
      <alignment horizontal="center" vertical="center" wrapText="1"/>
    </xf>
    <xf numFmtId="0" fontId="2" fillId="0" borderId="2" xfId="6145" applyFont="1" applyBorder="1" applyAlignment="1">
      <alignment horizontal="right" wrapText="1"/>
    </xf>
    <xf numFmtId="2" fontId="218" fillId="2" borderId="2" xfId="6145" applyNumberFormat="1" applyFont="1" applyFill="1" applyBorder="1"/>
    <xf numFmtId="0" fontId="3" fillId="0" borderId="0" xfId="6145" applyAlignment="1">
      <alignment horizontal="center" wrapText="1"/>
    </xf>
    <xf numFmtId="4" fontId="8" fillId="0" borderId="0" xfId="6145" applyNumberFormat="1" applyFont="1" applyAlignment="1">
      <alignment horizontal="center" vertical="center" wrapText="1"/>
    </xf>
    <xf numFmtId="4" fontId="6" fillId="0" borderId="0" xfId="6145" applyNumberFormat="1" applyFont="1" applyAlignment="1">
      <alignment horizontal="center" vertical="center" wrapText="1"/>
    </xf>
    <xf numFmtId="4" fontId="3" fillId="0" borderId="0" xfId="6145" applyNumberFormat="1" applyAlignment="1">
      <alignment wrapText="1"/>
    </xf>
    <xf numFmtId="0" fontId="4" fillId="0" borderId="0" xfId="6145" applyFont="1" applyAlignment="1">
      <alignment vertical="center" wrapText="1"/>
    </xf>
    <xf numFmtId="1" fontId="219" fillId="0" borderId="0" xfId="6145" applyNumberFormat="1" applyFont="1" applyAlignment="1">
      <alignment horizontal="center" vertical="center" wrapText="1"/>
    </xf>
    <xf numFmtId="4" fontId="4" fillId="3" borderId="0" xfId="6145" applyNumberFormat="1" applyFont="1" applyFill="1" applyAlignment="1">
      <alignment vertical="center" wrapText="1"/>
    </xf>
    <xf numFmtId="0" fontId="10" fillId="0" borderId="0" xfId="6145" applyFont="1" applyAlignment="1">
      <alignment vertical="center" wrapText="1"/>
    </xf>
    <xf numFmtId="1" fontId="6" fillId="0" borderId="0" xfId="6145" applyNumberFormat="1" applyFont="1" applyAlignment="1">
      <alignment horizontal="center" wrapText="1"/>
    </xf>
    <xf numFmtId="181" fontId="4" fillId="0" borderId="1" xfId="6145" applyNumberFormat="1" applyFont="1" applyBorder="1" applyAlignment="1">
      <alignment horizontal="center" vertical="center" wrapText="1"/>
    </xf>
    <xf numFmtId="2" fontId="4" fillId="0" borderId="1" xfId="6145" applyNumberFormat="1" applyFont="1" applyBorder="1" applyAlignment="1">
      <alignment horizontal="center" vertical="center" wrapText="1"/>
    </xf>
    <xf numFmtId="2" fontId="3" fillId="0" borderId="1" xfId="6145" applyNumberFormat="1" applyBorder="1" applyAlignment="1">
      <alignment horizontal="center" vertical="center" wrapText="1"/>
    </xf>
    <xf numFmtId="0" fontId="195" fillId="0" borderId="0" xfId="6145" applyFont="1"/>
    <xf numFmtId="43" fontId="6" fillId="0" borderId="0" xfId="1125" applyFont="1" applyAlignment="1">
      <alignment horizontal="center"/>
    </xf>
    <xf numFmtId="43" fontId="8" fillId="0" borderId="1" xfId="1125" applyFont="1" applyBorder="1" applyAlignment="1">
      <alignment horizontal="center"/>
    </xf>
    <xf numFmtId="1" fontId="3" fillId="0" borderId="0" xfId="6145" applyNumberFormat="1" applyAlignment="1">
      <alignment horizontal="center"/>
    </xf>
    <xf numFmtId="0" fontId="3" fillId="0" borderId="1" xfId="6145" applyBorder="1" applyAlignment="1">
      <alignment horizontal="left"/>
    </xf>
    <xf numFmtId="0" fontId="51" fillId="0" borderId="93" xfId="0" applyFont="1" applyBorder="1"/>
    <xf numFmtId="0" fontId="36" fillId="0" borderId="93" xfId="0" applyFont="1" applyBorder="1" applyAlignment="1">
      <alignment vertical="center"/>
    </xf>
    <xf numFmtId="0" fontId="220" fillId="3" borderId="93" xfId="0" applyFont="1" applyFill="1" applyBorder="1" applyAlignment="1">
      <alignment vertical="center"/>
    </xf>
    <xf numFmtId="0" fontId="51" fillId="0" borderId="93" xfId="0" applyFont="1" applyBorder="1" applyAlignment="1">
      <alignment horizontal="left" vertical="center"/>
    </xf>
    <xf numFmtId="0" fontId="51" fillId="0" borderId="93" xfId="0" applyFont="1" applyBorder="1" applyAlignment="1">
      <alignment vertical="center"/>
    </xf>
    <xf numFmtId="176" fontId="51" fillId="0" borderId="93" xfId="0" applyNumberFormat="1" applyFont="1" applyBorder="1" applyAlignment="1">
      <alignment vertical="center"/>
    </xf>
    <xf numFmtId="2" fontId="112" fillId="0" borderId="93" xfId="0" applyNumberFormat="1" applyFont="1" applyBorder="1" applyAlignment="1">
      <alignment horizontal="left" vertical="center"/>
    </xf>
    <xf numFmtId="2" fontId="51" fillId="0" borderId="93" xfId="0" applyNumberFormat="1" applyFont="1" applyBorder="1" applyAlignment="1">
      <alignment vertical="center"/>
    </xf>
    <xf numFmtId="2" fontId="51" fillId="0" borderId="93" xfId="0" applyNumberFormat="1" applyFont="1" applyBorder="1" applyAlignment="1">
      <alignment horizontal="left" vertical="center"/>
    </xf>
    <xf numFmtId="0" fontId="51" fillId="0" borderId="1" xfId="0" applyFont="1" applyBorder="1" applyAlignment="1">
      <alignment horizontal="left" vertical="center"/>
    </xf>
    <xf numFmtId="0" fontId="58" fillId="0" borderId="93" xfId="0" applyFont="1" applyBorder="1" applyAlignment="1" applyProtection="1">
      <alignment horizontal="left" vertical="top"/>
      <protection hidden="1"/>
    </xf>
    <xf numFmtId="0" fontId="51" fillId="0" borderId="93" xfId="0" applyFont="1" applyBorder="1" applyAlignment="1" applyProtection="1">
      <alignment horizontal="left" vertical="top"/>
      <protection hidden="1"/>
    </xf>
    <xf numFmtId="0" fontId="51" fillId="0" borderId="93" xfId="0" applyFont="1" applyBorder="1" applyAlignment="1" applyProtection="1">
      <alignment horizontal="center"/>
      <protection hidden="1"/>
    </xf>
    <xf numFmtId="0" fontId="112" fillId="0" borderId="93" xfId="0" applyFont="1" applyBorder="1" applyAlignment="1" applyProtection="1">
      <alignment horizontal="left" vertical="center"/>
      <protection hidden="1"/>
    </xf>
    <xf numFmtId="2" fontId="112" fillId="0" borderId="95" xfId="0" applyNumberFormat="1" applyFont="1" applyBorder="1" applyAlignment="1" applyProtection="1">
      <alignment vertical="center"/>
      <protection hidden="1"/>
    </xf>
    <xf numFmtId="2" fontId="112" fillId="0" borderId="96" xfId="0" applyNumberFormat="1" applyFont="1" applyBorder="1" applyAlignment="1" applyProtection="1">
      <alignment vertical="center"/>
      <protection hidden="1"/>
    </xf>
    <xf numFmtId="2" fontId="112" fillId="0" borderId="97" xfId="0" applyNumberFormat="1" applyFont="1" applyBorder="1" applyAlignment="1" applyProtection="1">
      <alignment vertical="center"/>
      <protection hidden="1"/>
    </xf>
    <xf numFmtId="2" fontId="51" fillId="0" borderId="93" xfId="0" applyNumberFormat="1" applyFont="1" applyBorder="1" applyAlignment="1" applyProtection="1">
      <alignment horizontal="center"/>
      <protection hidden="1"/>
    </xf>
    <xf numFmtId="0" fontId="112" fillId="0" borderId="93" xfId="0" applyFont="1" applyBorder="1" applyAlignment="1" applyProtection="1">
      <alignment horizontal="center"/>
      <protection hidden="1"/>
    </xf>
    <xf numFmtId="171" fontId="51" fillId="0" borderId="93" xfId="0" applyNumberFormat="1" applyFont="1" applyBorder="1" applyAlignment="1" applyProtection="1">
      <alignment horizontal="center"/>
      <protection hidden="1"/>
    </xf>
    <xf numFmtId="2" fontId="51" fillId="0" borderId="93" xfId="0" applyNumberFormat="1" applyFont="1" applyBorder="1" applyAlignment="1" applyProtection="1">
      <alignment horizontal="left" vertical="center"/>
      <protection hidden="1"/>
    </xf>
    <xf numFmtId="2" fontId="51" fillId="0" borderId="93" xfId="0" applyNumberFormat="1" applyFont="1" applyBorder="1" applyAlignment="1">
      <alignment horizontal="center" vertical="center"/>
    </xf>
    <xf numFmtId="9" fontId="51" fillId="0" borderId="93" xfId="0" applyNumberFormat="1" applyFont="1" applyBorder="1" applyAlignment="1">
      <alignment horizontal="right" vertical="center"/>
    </xf>
    <xf numFmtId="0" fontId="222" fillId="0" borderId="93" xfId="0" applyFont="1" applyBorder="1" applyAlignment="1" applyProtection="1">
      <alignment horizontal="left" vertical="center"/>
      <protection hidden="1"/>
    </xf>
    <xf numFmtId="2" fontId="36" fillId="0" borderId="93" xfId="0" applyNumberFormat="1" applyFont="1" applyBorder="1" applyAlignment="1" applyProtection="1">
      <alignment horizontal="left" vertical="center" wrapText="1"/>
      <protection hidden="1"/>
    </xf>
    <xf numFmtId="2" fontId="51" fillId="0" borderId="93" xfId="0" applyNumberFormat="1" applyFont="1" applyBorder="1" applyAlignment="1">
      <alignment horizontal="right" vertical="center"/>
    </xf>
    <xf numFmtId="10" fontId="51" fillId="0" borderId="93" xfId="0" applyNumberFormat="1" applyFont="1" applyBorder="1" applyAlignment="1">
      <alignment horizontal="right" vertical="center"/>
    </xf>
    <xf numFmtId="2" fontId="51" fillId="0" borderId="93" xfId="0" applyNumberFormat="1" applyFont="1" applyBorder="1" applyAlignment="1" applyProtection="1">
      <alignment horizontal="center" vertical="top"/>
      <protection hidden="1"/>
    </xf>
    <xf numFmtId="2" fontId="223" fillId="0" borderId="93" xfId="0" applyNumberFormat="1" applyFont="1" applyBorder="1" applyAlignment="1" applyProtection="1">
      <alignment horizontal="center" vertical="top"/>
      <protection hidden="1"/>
    </xf>
    <xf numFmtId="0" fontId="51" fillId="0" borderId="93" xfId="0" applyFont="1" applyBorder="1" applyAlignment="1" applyProtection="1">
      <alignment horizontal="left" vertical="center"/>
      <protection hidden="1"/>
    </xf>
    <xf numFmtId="0" fontId="51" fillId="0" borderId="93" xfId="0" applyFont="1" applyBorder="1" applyAlignment="1">
      <alignment horizontal="left" vertical="top"/>
    </xf>
    <xf numFmtId="0" fontId="112" fillId="0" borderId="93" xfId="0" applyFont="1" applyBorder="1" applyAlignment="1">
      <alignment horizontal="left" vertical="top"/>
    </xf>
    <xf numFmtId="0" fontId="112" fillId="0" borderId="93" xfId="0" applyFont="1" applyBorder="1" applyAlignment="1">
      <alignment horizontal="center" vertical="center"/>
    </xf>
    <xf numFmtId="0" fontId="112" fillId="0" borderId="93" xfId="0" applyFont="1" applyBorder="1" applyAlignment="1">
      <alignment horizontal="left" vertical="center"/>
    </xf>
    <xf numFmtId="0" fontId="112" fillId="0" borderId="93" xfId="0" applyFont="1" applyBorder="1" applyAlignment="1">
      <alignment horizontal="center" vertical="center" wrapText="1"/>
    </xf>
    <xf numFmtId="0" fontId="112" fillId="0" borderId="93" xfId="0" applyFont="1" applyBorder="1" applyAlignment="1">
      <alignment horizontal="right" vertical="center"/>
    </xf>
    <xf numFmtId="0" fontId="51" fillId="0" borderId="93" xfId="0" applyFont="1" applyBorder="1" applyAlignment="1">
      <alignment horizontal="center" vertical="center"/>
    </xf>
    <xf numFmtId="2" fontId="51" fillId="0" borderId="93" xfId="0" applyNumberFormat="1" applyFont="1" applyBorder="1" applyAlignment="1">
      <alignment horizontal="right" vertical="center" wrapText="1"/>
    </xf>
    <xf numFmtId="2" fontId="51" fillId="0" borderId="93" xfId="0" applyNumberFormat="1" applyFont="1" applyBorder="1" applyAlignment="1">
      <alignment horizontal="left" vertical="center" wrapText="1"/>
    </xf>
    <xf numFmtId="2" fontId="51" fillId="0" borderId="93" xfId="0" applyNumberFormat="1" applyFont="1" applyBorder="1" applyAlignment="1">
      <alignment horizontal="center" vertical="center" wrapText="1"/>
    </xf>
    <xf numFmtId="0" fontId="51" fillId="0" borderId="93" xfId="0" applyFont="1" applyBorder="1" applyAlignment="1">
      <alignment horizontal="left" vertical="center" wrapText="1"/>
    </xf>
    <xf numFmtId="0" fontId="112" fillId="0" borderId="93" xfId="0" applyFont="1" applyBorder="1" applyAlignment="1">
      <alignment horizontal="center" vertical="top"/>
    </xf>
    <xf numFmtId="2" fontId="112" fillId="0" borderId="93" xfId="0" applyNumberFormat="1" applyFont="1" applyBorder="1" applyAlignment="1">
      <alignment vertical="center"/>
    </xf>
    <xf numFmtId="176" fontId="112" fillId="0" borderId="1" xfId="0" applyNumberFormat="1" applyFont="1" applyBorder="1" applyAlignment="1">
      <alignment horizontal="center" vertical="center" wrapText="1"/>
    </xf>
    <xf numFmtId="0" fontId="51" fillId="0" borderId="97" xfId="0" applyFont="1" applyBorder="1" applyAlignment="1">
      <alignment vertical="center"/>
    </xf>
    <xf numFmtId="0" fontId="51" fillId="0" borderId="93" xfId="0" applyFont="1" applyBorder="1" applyAlignment="1" applyProtection="1">
      <alignment horizontal="right"/>
      <protection hidden="1"/>
    </xf>
    <xf numFmtId="2" fontId="51" fillId="0" borderId="93" xfId="0" applyNumberFormat="1" applyFont="1" applyBorder="1" applyAlignment="1" applyProtection="1">
      <alignment horizontal="right"/>
      <protection hidden="1"/>
    </xf>
    <xf numFmtId="2" fontId="112" fillId="0" borderId="93" xfId="0" applyNumberFormat="1" applyFont="1" applyBorder="1" applyAlignment="1" applyProtection="1">
      <alignment horizontal="center"/>
      <protection hidden="1"/>
    </xf>
    <xf numFmtId="2" fontId="112" fillId="0" borderId="93" xfId="0" applyNumberFormat="1" applyFont="1" applyBorder="1" applyAlignment="1" applyProtection="1">
      <alignment horizontal="right"/>
      <protection hidden="1"/>
    </xf>
    <xf numFmtId="0" fontId="51" fillId="0" borderId="93" xfId="0" applyFont="1" applyBorder="1" applyAlignment="1" applyProtection="1">
      <alignment horizontal="center" vertical="top"/>
      <protection hidden="1"/>
    </xf>
    <xf numFmtId="2" fontId="51" fillId="0" borderId="93" xfId="0" applyNumberFormat="1" applyFont="1" applyBorder="1" applyAlignment="1" applyProtection="1">
      <alignment horizontal="right" vertical="top"/>
      <protection hidden="1"/>
    </xf>
    <xf numFmtId="2" fontId="112" fillId="0" borderId="93" xfId="0" applyNumberFormat="1" applyFont="1" applyBorder="1" applyAlignment="1" applyProtection="1">
      <alignment horizontal="right" vertical="top"/>
      <protection hidden="1"/>
    </xf>
    <xf numFmtId="0" fontId="112" fillId="0" borderId="93" xfId="0" applyFont="1" applyBorder="1" applyAlignment="1">
      <alignment horizontal="right" vertical="center" wrapText="1"/>
    </xf>
    <xf numFmtId="2" fontId="112" fillId="0" borderId="93" xfId="0" applyNumberFormat="1" applyFont="1" applyBorder="1" applyAlignment="1">
      <alignment horizontal="right" vertical="center"/>
    </xf>
    <xf numFmtId="0" fontId="51" fillId="0" borderId="93" xfId="0" applyFont="1" applyBorder="1" applyAlignment="1">
      <alignment horizontal="right" vertical="center"/>
    </xf>
    <xf numFmtId="2" fontId="51" fillId="0" borderId="93" xfId="0" applyNumberFormat="1" applyFont="1" applyBorder="1" applyAlignment="1">
      <alignment horizontal="right"/>
    </xf>
    <xf numFmtId="2" fontId="113" fillId="0" borderId="93" xfId="0" applyNumberFormat="1" applyFont="1" applyBorder="1" applyAlignment="1">
      <alignment horizontal="right" vertical="center"/>
    </xf>
    <xf numFmtId="1" fontId="112" fillId="0" borderId="93" xfId="0" applyNumberFormat="1" applyFont="1" applyBorder="1" applyAlignment="1">
      <alignment horizontal="right" vertical="center"/>
    </xf>
    <xf numFmtId="2" fontId="220" fillId="0" borderId="93" xfId="0" applyNumberFormat="1" applyFont="1" applyBorder="1" applyAlignment="1">
      <alignment horizontal="center" vertical="center"/>
    </xf>
    <xf numFmtId="2" fontId="220" fillId="0" borderId="93" xfId="0" applyNumberFormat="1" applyFont="1" applyBorder="1" applyAlignment="1">
      <alignment horizontal="right" vertical="center"/>
    </xf>
    <xf numFmtId="2" fontId="51" fillId="0" borderId="96" xfId="0" applyNumberFormat="1" applyFont="1" applyBorder="1" applyAlignment="1">
      <alignment horizontal="center" vertical="center"/>
    </xf>
    <xf numFmtId="2" fontId="112" fillId="0" borderId="93" xfId="0" applyNumberFormat="1" applyFont="1" applyBorder="1" applyAlignment="1">
      <alignment horizontal="center" vertical="center"/>
    </xf>
    <xf numFmtId="2" fontId="113" fillId="0" borderId="93" xfId="0" applyNumberFormat="1" applyFont="1" applyBorder="1" applyAlignment="1">
      <alignment horizontal="center" vertical="center"/>
    </xf>
    <xf numFmtId="212" fontId="51" fillId="0" borderId="93" xfId="0" applyNumberFormat="1" applyFont="1" applyBorder="1" applyAlignment="1">
      <alignment horizontal="right" vertical="center"/>
    </xf>
    <xf numFmtId="0" fontId="36" fillId="0" borderId="93" xfId="0" applyFont="1" applyBorder="1" applyAlignment="1">
      <alignment horizontal="left" vertical="top"/>
    </xf>
    <xf numFmtId="0" fontId="36" fillId="0" borderId="93" xfId="0" applyFont="1" applyBorder="1" applyAlignment="1">
      <alignment horizontal="left" vertical="center"/>
    </xf>
    <xf numFmtId="2" fontId="36" fillId="0" borderId="93" xfId="0" applyNumberFormat="1" applyFont="1" applyBorder="1" applyAlignment="1">
      <alignment vertical="center"/>
    </xf>
    <xf numFmtId="0" fontId="2" fillId="0" borderId="93" xfId="0" applyFont="1" applyBorder="1" applyAlignment="1">
      <alignment horizontal="left" vertical="center"/>
    </xf>
    <xf numFmtId="2" fontId="197" fillId="0" borderId="93" xfId="0" applyNumberFormat="1" applyFont="1" applyBorder="1" applyAlignment="1">
      <alignment vertical="center"/>
    </xf>
    <xf numFmtId="0" fontId="2" fillId="0" borderId="93" xfId="0" applyFont="1" applyBorder="1" applyAlignment="1">
      <alignment horizontal="right" vertical="center"/>
    </xf>
    <xf numFmtId="2" fontId="2" fillId="0" borderId="93" xfId="0" applyNumberFormat="1" applyFont="1" applyBorder="1" applyAlignment="1">
      <alignment vertical="center"/>
    </xf>
    <xf numFmtId="2" fontId="36" fillId="0" borderId="93" xfId="0" applyNumberFormat="1" applyFont="1" applyBorder="1" applyAlignment="1">
      <alignment horizontal="right" vertical="center"/>
    </xf>
    <xf numFmtId="2" fontId="36" fillId="0" borderId="93" xfId="0" applyNumberFormat="1" applyFont="1" applyBorder="1" applyAlignment="1">
      <alignment horizontal="center" vertical="center"/>
    </xf>
    <xf numFmtId="9" fontId="36" fillId="0" borderId="93" xfId="0" applyNumberFormat="1" applyFont="1" applyBorder="1" applyAlignment="1">
      <alignment horizontal="right" vertical="center"/>
    </xf>
    <xf numFmtId="2" fontId="36" fillId="0" borderId="93" xfId="0" applyNumberFormat="1" applyFont="1" applyBorder="1" applyAlignment="1">
      <alignment horizontal="left" vertical="center"/>
    </xf>
    <xf numFmtId="212" fontId="36" fillId="0" borderId="93" xfId="0" applyNumberFormat="1" applyFont="1" applyBorder="1" applyAlignment="1">
      <alignment horizontal="right" vertical="center"/>
    </xf>
    <xf numFmtId="0" fontId="36" fillId="0" borderId="93" xfId="0" applyFont="1" applyBorder="1" applyAlignment="1">
      <alignment horizontal="center" vertical="center"/>
    </xf>
    <xf numFmtId="2" fontId="2" fillId="0" borderId="93" xfId="0" applyNumberFormat="1" applyFont="1" applyBorder="1" applyAlignment="1">
      <alignment horizontal="center" vertical="center"/>
    </xf>
    <xf numFmtId="2" fontId="197" fillId="0" borderId="93" xfId="0" applyNumberFormat="1" applyFont="1" applyBorder="1" applyAlignment="1">
      <alignment horizontal="center" vertical="center"/>
    </xf>
    <xf numFmtId="0" fontId="51" fillId="0" borderId="93" xfId="0" applyFont="1" applyBorder="1" applyAlignment="1">
      <alignment horizontal="left" vertical="top" wrapText="1"/>
    </xf>
    <xf numFmtId="2" fontId="51" fillId="0" borderId="93" xfId="0" applyNumberFormat="1" applyFont="1" applyBorder="1" applyAlignment="1">
      <alignment vertical="center" shrinkToFit="1"/>
    </xf>
    <xf numFmtId="0" fontId="51" fillId="3" borderId="93" xfId="0" applyFont="1" applyFill="1" applyBorder="1" applyAlignment="1">
      <alignment horizontal="left" vertical="center"/>
    </xf>
    <xf numFmtId="0" fontId="51" fillId="3" borderId="93" xfId="0" applyFont="1" applyFill="1" applyBorder="1" applyAlignment="1">
      <alignment vertical="center"/>
    </xf>
    <xf numFmtId="2" fontId="51" fillId="3" borderId="93" xfId="0" applyNumberFormat="1" applyFont="1" applyFill="1" applyBorder="1" applyAlignment="1">
      <alignment vertical="center"/>
    </xf>
    <xf numFmtId="2" fontId="51" fillId="3" borderId="93" xfId="0" applyNumberFormat="1" applyFont="1" applyFill="1" applyBorder="1" applyAlignment="1">
      <alignment horizontal="center" vertical="center"/>
    </xf>
    <xf numFmtId="2" fontId="112" fillId="3" borderId="93" xfId="0" applyNumberFormat="1" applyFont="1" applyFill="1" applyBorder="1" applyAlignment="1">
      <alignment horizontal="center" vertical="center"/>
    </xf>
    <xf numFmtId="171" fontId="51" fillId="0" borderId="93" xfId="0" applyNumberFormat="1" applyFont="1" applyBorder="1" applyAlignment="1">
      <alignment horizontal="right" vertical="center"/>
    </xf>
    <xf numFmtId="0" fontId="51" fillId="0" borderId="95" xfId="0" applyFont="1" applyBorder="1" applyAlignment="1">
      <alignment vertical="center"/>
    </xf>
    <xf numFmtId="0" fontId="51" fillId="0" borderId="96" xfId="0" applyFont="1" applyBorder="1" applyAlignment="1">
      <alignment vertical="center"/>
    </xf>
    <xf numFmtId="2" fontId="51" fillId="0" borderId="96" xfId="0" applyNumberFormat="1" applyFont="1" applyBorder="1" applyAlignment="1">
      <alignment vertical="center"/>
    </xf>
    <xf numFmtId="1" fontId="112" fillId="0" borderId="93" xfId="0" applyNumberFormat="1" applyFont="1" applyBorder="1" applyAlignment="1">
      <alignment horizontal="center" vertical="center"/>
    </xf>
    <xf numFmtId="2" fontId="112" fillId="0" borderId="97" xfId="0" applyNumberFormat="1" applyFont="1" applyBorder="1" applyAlignment="1">
      <alignment horizontal="center" vertical="center"/>
    </xf>
    <xf numFmtId="0" fontId="220" fillId="0" borderId="93" xfId="0" applyFont="1" applyBorder="1" applyAlignment="1">
      <alignment horizontal="left" vertical="center"/>
    </xf>
    <xf numFmtId="0" fontId="51" fillId="0" borderId="93" xfId="0" applyFont="1" applyBorder="1" applyAlignment="1">
      <alignment horizontal="left"/>
    </xf>
    <xf numFmtId="0" fontId="112" fillId="0" borderId="93" xfId="0" applyFont="1" applyBorder="1" applyAlignment="1" applyProtection="1">
      <alignment horizontal="center" vertical="center"/>
      <protection hidden="1"/>
    </xf>
    <xf numFmtId="2" fontId="112" fillId="0" borderId="93" xfId="0" applyNumberFormat="1" applyFont="1" applyBorder="1" applyAlignment="1" applyProtection="1">
      <alignment horizontal="left" vertical="center"/>
      <protection hidden="1"/>
    </xf>
    <xf numFmtId="0" fontId="51" fillId="0" borderId="93" xfId="0" applyFont="1" applyBorder="1" applyAlignment="1" applyProtection="1">
      <alignment horizontal="left"/>
      <protection hidden="1"/>
    </xf>
    <xf numFmtId="2" fontId="51" fillId="0" borderId="93" xfId="0" applyNumberFormat="1" applyFont="1" applyBorder="1" applyAlignment="1" applyProtection="1">
      <alignment horizontal="left"/>
      <protection hidden="1"/>
    </xf>
    <xf numFmtId="0" fontId="112" fillId="0" borderId="93" xfId="0" applyFont="1" applyBorder="1" applyAlignment="1" applyProtection="1">
      <alignment horizontal="left"/>
      <protection hidden="1"/>
    </xf>
    <xf numFmtId="2" fontId="51" fillId="0" borderId="93" xfId="0" applyNumberFormat="1" applyFont="1" applyBorder="1" applyAlignment="1" applyProtection="1">
      <alignment horizontal="left" vertical="top"/>
      <protection hidden="1"/>
    </xf>
    <xf numFmtId="2" fontId="51" fillId="0" borderId="95" xfId="0" applyNumberFormat="1" applyFont="1" applyBorder="1" applyAlignment="1" applyProtection="1">
      <alignment horizontal="center"/>
      <protection hidden="1"/>
    </xf>
    <xf numFmtId="2" fontId="51" fillId="0" borderId="96" xfId="0" applyNumberFormat="1" applyFont="1" applyBorder="1" applyAlignment="1" applyProtection="1">
      <alignment horizontal="center"/>
      <protection hidden="1"/>
    </xf>
    <xf numFmtId="0" fontId="112" fillId="0" borderId="96" xfId="0" applyFont="1" applyBorder="1" applyAlignment="1" applyProtection="1">
      <alignment horizontal="center" vertical="center"/>
      <protection hidden="1"/>
    </xf>
    <xf numFmtId="2" fontId="51" fillId="0" borderId="96" xfId="0" applyNumberFormat="1" applyFont="1" applyBorder="1" applyAlignment="1" applyProtection="1">
      <alignment horizontal="center" vertical="top"/>
      <protection hidden="1"/>
    </xf>
    <xf numFmtId="0" fontId="36" fillId="0" borderId="93" xfId="0" applyFont="1" applyBorder="1" applyAlignment="1" applyProtection="1">
      <alignment horizontal="left" vertical="top" wrapText="1"/>
      <protection hidden="1"/>
    </xf>
    <xf numFmtId="0" fontId="36" fillId="0" borderId="93" xfId="0" applyFont="1" applyBorder="1" applyAlignment="1" applyProtection="1">
      <alignment horizontal="left" vertical="top"/>
      <protection hidden="1"/>
    </xf>
    <xf numFmtId="0" fontId="36" fillId="0" borderId="93" xfId="0" applyFont="1" applyBorder="1" applyAlignment="1" applyProtection="1">
      <alignment horizontal="center"/>
      <protection hidden="1"/>
    </xf>
    <xf numFmtId="0" fontId="2" fillId="0" borderId="93" xfId="0" applyFont="1" applyBorder="1" applyAlignment="1" applyProtection="1">
      <alignment horizontal="left" vertical="center"/>
      <protection hidden="1"/>
    </xf>
    <xf numFmtId="2" fontId="2" fillId="0" borderId="93" xfId="0" applyNumberFormat="1" applyFont="1" applyBorder="1" applyAlignment="1" applyProtection="1">
      <alignment horizontal="left" vertical="center"/>
      <protection hidden="1"/>
    </xf>
    <xf numFmtId="2" fontId="112" fillId="0" borderId="93" xfId="0" applyNumberFormat="1" applyFont="1" applyBorder="1" applyAlignment="1" applyProtection="1">
      <alignment horizontal="center" vertical="top"/>
      <protection hidden="1"/>
    </xf>
    <xf numFmtId="2" fontId="112" fillId="0" borderId="97" xfId="0" applyNumberFormat="1" applyFont="1" applyBorder="1" applyAlignment="1" applyProtection="1">
      <alignment horizontal="right"/>
      <protection hidden="1"/>
    </xf>
    <xf numFmtId="0" fontId="2" fillId="0" borderId="93" xfId="0" applyFont="1" applyBorder="1" applyAlignment="1" applyProtection="1">
      <alignment horizontal="center"/>
      <protection hidden="1"/>
    </xf>
    <xf numFmtId="2" fontId="2" fillId="0" borderId="93" xfId="0" applyNumberFormat="1" applyFont="1" applyBorder="1" applyAlignment="1" applyProtection="1">
      <alignment horizontal="right"/>
      <protection hidden="1"/>
    </xf>
    <xf numFmtId="0" fontId="36" fillId="0" borderId="93" xfId="0" applyFont="1" applyBorder="1" applyAlignment="1" applyProtection="1">
      <alignment horizontal="right"/>
      <protection hidden="1"/>
    </xf>
    <xf numFmtId="9" fontId="112" fillId="0" borderId="93" xfId="0" applyNumberFormat="1" applyFont="1" applyBorder="1" applyAlignment="1">
      <alignment horizontal="right" vertical="center"/>
    </xf>
    <xf numFmtId="2" fontId="51" fillId="0" borderId="93" xfId="0" applyNumberFormat="1" applyFont="1" applyBorder="1" applyAlignment="1">
      <alignment horizontal="left" vertical="top"/>
    </xf>
    <xf numFmtId="0" fontId="51" fillId="0" borderId="93" xfId="0" applyFont="1" applyBorder="1" applyAlignment="1" applyProtection="1">
      <alignment horizontal="left" vertical="top" wrapText="1"/>
      <protection hidden="1"/>
    </xf>
    <xf numFmtId="0" fontId="220" fillId="0" borderId="93" xfId="0" applyFont="1" applyBorder="1" applyAlignment="1" applyProtection="1">
      <alignment horizontal="center"/>
      <protection hidden="1"/>
    </xf>
    <xf numFmtId="0" fontId="220" fillId="0" borderId="93" xfId="0" applyFont="1" applyBorder="1" applyAlignment="1" applyProtection="1">
      <alignment horizontal="right"/>
      <protection hidden="1"/>
    </xf>
    <xf numFmtId="2" fontId="51" fillId="35" borderId="93" xfId="0" applyNumberFormat="1" applyFont="1" applyFill="1" applyBorder="1" applyAlignment="1" applyProtection="1">
      <alignment horizontal="center"/>
      <protection hidden="1"/>
    </xf>
    <xf numFmtId="2" fontId="51" fillId="35" borderId="93" xfId="0" applyNumberFormat="1" applyFont="1" applyFill="1" applyBorder="1" applyAlignment="1" applyProtection="1">
      <alignment horizontal="center" vertical="top"/>
      <protection hidden="1"/>
    </xf>
    <xf numFmtId="2" fontId="112" fillId="35" borderId="93" xfId="0" applyNumberFormat="1" applyFont="1" applyFill="1" applyBorder="1" applyAlignment="1" applyProtection="1">
      <alignment horizontal="right"/>
      <protection hidden="1"/>
    </xf>
    <xf numFmtId="0" fontId="112" fillId="0" borderId="93" xfId="0" applyFont="1" applyBorder="1" applyAlignment="1" applyProtection="1">
      <alignment horizontal="left" vertical="top"/>
      <protection hidden="1"/>
    </xf>
    <xf numFmtId="176" fontId="223" fillId="0" borderId="93" xfId="0" applyNumberFormat="1" applyFont="1" applyBorder="1" applyAlignment="1" applyProtection="1">
      <alignment horizontal="center" vertical="top"/>
      <protection hidden="1"/>
    </xf>
    <xf numFmtId="0" fontId="223" fillId="0" borderId="93" xfId="0" applyFont="1" applyBorder="1" applyAlignment="1" applyProtection="1">
      <alignment horizontal="left" vertical="center" wrapText="1"/>
      <protection hidden="1"/>
    </xf>
    <xf numFmtId="2" fontId="222" fillId="0" borderId="93" xfId="0" applyNumberFormat="1" applyFont="1" applyBorder="1" applyAlignment="1" applyProtection="1">
      <alignment horizontal="left" vertical="center"/>
      <protection hidden="1"/>
    </xf>
    <xf numFmtId="2" fontId="112" fillId="0" borderId="98" xfId="0" applyNumberFormat="1" applyFont="1" applyBorder="1" applyAlignment="1" applyProtection="1">
      <alignment horizontal="center"/>
      <protection hidden="1"/>
    </xf>
    <xf numFmtId="0" fontId="112" fillId="0" borderId="95" xfId="0" applyFont="1" applyBorder="1" applyAlignment="1" applyProtection="1">
      <alignment vertical="center"/>
      <protection hidden="1"/>
    </xf>
    <xf numFmtId="0" fontId="112" fillId="0" borderId="96" xfId="0" applyFont="1" applyBorder="1" applyAlignment="1" applyProtection="1">
      <alignment vertical="center"/>
      <protection hidden="1"/>
    </xf>
    <xf numFmtId="0" fontId="112" fillId="0" borderId="97" xfId="0" applyFont="1" applyBorder="1" applyAlignment="1" applyProtection="1">
      <alignment vertical="center"/>
      <protection hidden="1"/>
    </xf>
    <xf numFmtId="0" fontId="112" fillId="0" borderId="93" xfId="0" applyFont="1" applyBorder="1" applyAlignment="1" applyProtection="1">
      <alignment horizontal="center" vertical="top"/>
      <protection hidden="1"/>
    </xf>
    <xf numFmtId="168" fontId="51" fillId="0" borderId="93" xfId="0" applyNumberFormat="1" applyFont="1" applyBorder="1" applyAlignment="1" applyProtection="1">
      <alignment horizontal="center"/>
      <protection hidden="1"/>
    </xf>
    <xf numFmtId="0" fontId="222" fillId="0" borderId="95" xfId="0" applyFont="1" applyBorder="1" applyAlignment="1" applyProtection="1">
      <alignment vertical="center"/>
      <protection hidden="1"/>
    </xf>
    <xf numFmtId="0" fontId="222" fillId="0" borderId="96" xfId="0" applyFont="1" applyBorder="1" applyAlignment="1" applyProtection="1">
      <alignment vertical="center"/>
      <protection hidden="1"/>
    </xf>
    <xf numFmtId="0" fontId="222" fillId="0" borderId="97" xfId="0" applyFont="1" applyBorder="1" applyAlignment="1" applyProtection="1">
      <alignment vertical="center"/>
      <protection hidden="1"/>
    </xf>
    <xf numFmtId="0" fontId="112" fillId="0" borderId="95" xfId="0" applyFont="1" applyBorder="1" applyProtection="1">
      <protection hidden="1"/>
    </xf>
    <xf numFmtId="0" fontId="112" fillId="0" borderId="96" xfId="0" applyFont="1" applyBorder="1" applyProtection="1">
      <protection hidden="1"/>
    </xf>
    <xf numFmtId="0" fontId="112" fillId="0" borderId="97" xfId="0" applyFont="1" applyBorder="1" applyProtection="1">
      <protection hidden="1"/>
    </xf>
    <xf numFmtId="171" fontId="220" fillId="0" borderId="93" xfId="0" applyNumberFormat="1" applyFont="1" applyBorder="1" applyAlignment="1">
      <alignment horizontal="right" vertical="center"/>
    </xf>
    <xf numFmtId="2" fontId="220" fillId="0" borderId="93" xfId="0" applyNumberFormat="1" applyFont="1" applyBorder="1" applyAlignment="1">
      <alignment horizontal="center" vertical="center" wrapText="1"/>
    </xf>
    <xf numFmtId="0" fontId="3" fillId="0" borderId="2" xfId="6145" quotePrefix="1" applyBorder="1" applyAlignment="1">
      <alignment horizontal="center" wrapText="1"/>
    </xf>
    <xf numFmtId="2" fontId="293" fillId="3" borderId="1" xfId="0" applyNumberFormat="1" applyFont="1" applyFill="1" applyBorder="1" applyAlignment="1" applyProtection="1">
      <alignment horizontal="center" vertical="center"/>
      <protection locked="0"/>
    </xf>
    <xf numFmtId="171" fontId="293" fillId="3" borderId="1" xfId="0" applyNumberFormat="1" applyFont="1" applyFill="1" applyBorder="1" applyAlignment="1" applyProtection="1">
      <alignment horizontal="center" vertical="center"/>
      <protection locked="0"/>
    </xf>
    <xf numFmtId="0" fontId="294" fillId="0" borderId="0" xfId="30655" applyFont="1"/>
    <xf numFmtId="0" fontId="295" fillId="0" borderId="0" xfId="30655" applyFont="1" applyAlignment="1">
      <alignment horizontal="center" vertical="center"/>
    </xf>
    <xf numFmtId="0" fontId="294" fillId="0" borderId="0" xfId="30655" applyFont="1" applyAlignment="1">
      <alignment wrapText="1"/>
    </xf>
    <xf numFmtId="0" fontId="297" fillId="0" borderId="0" xfId="30655" applyFont="1" applyAlignment="1">
      <alignment horizontal="center" vertical="center" wrapText="1"/>
    </xf>
    <xf numFmtId="0" fontId="298" fillId="0" borderId="0" xfId="30655" applyFont="1" applyAlignment="1">
      <alignment horizontal="center" vertical="top" wrapText="1"/>
    </xf>
    <xf numFmtId="0" fontId="298" fillId="0" borderId="0" xfId="30655" applyFont="1" applyAlignment="1">
      <alignment vertical="top" wrapText="1"/>
    </xf>
    <xf numFmtId="0" fontId="298" fillId="0" borderId="0" xfId="30655" applyFont="1" applyAlignment="1">
      <alignment vertical="top"/>
    </xf>
    <xf numFmtId="0" fontId="299" fillId="0" borderId="0" xfId="30655" applyFont="1" applyAlignment="1">
      <alignment vertical="top" wrapText="1"/>
    </xf>
    <xf numFmtId="0" fontId="299" fillId="0" borderId="0" xfId="30655" applyFont="1" applyAlignment="1">
      <alignment vertical="top"/>
    </xf>
    <xf numFmtId="0" fontId="294" fillId="0" borderId="0" xfId="0" applyFont="1"/>
    <xf numFmtId="0" fontId="296" fillId="0" borderId="0" xfId="30655" applyFont="1" applyAlignment="1">
      <alignment horizontal="center" vertical="center" wrapText="1"/>
    </xf>
    <xf numFmtId="0" fontId="300" fillId="0" borderId="0" xfId="30655" applyFont="1"/>
    <xf numFmtId="0" fontId="301" fillId="0" borderId="0" xfId="30655" applyFont="1" applyAlignment="1">
      <alignment horizontal="center"/>
    </xf>
    <xf numFmtId="0" fontId="301" fillId="0" borderId="0" xfId="30655" applyFont="1"/>
    <xf numFmtId="0" fontId="302" fillId="0" borderId="0" xfId="30655" applyFont="1"/>
    <xf numFmtId="0" fontId="302" fillId="0" borderId="0" xfId="0" applyFont="1"/>
    <xf numFmtId="0" fontId="298" fillId="0" borderId="0" xfId="30655" applyFont="1" applyAlignment="1">
      <alignment horizontal="center" vertical="center" wrapText="1"/>
    </xf>
    <xf numFmtId="0" fontId="302" fillId="0" borderId="0" xfId="30655" applyFont="1" applyAlignment="1">
      <alignment horizontal="center" vertical="center" wrapText="1"/>
    </xf>
    <xf numFmtId="0" fontId="303" fillId="0" borderId="0" xfId="30655" applyFont="1" applyAlignment="1">
      <alignment horizontal="right"/>
    </xf>
    <xf numFmtId="0" fontId="303" fillId="0" borderId="0" xfId="30655" applyFont="1" applyAlignment="1">
      <alignment horizontal="center"/>
    </xf>
    <xf numFmtId="0" fontId="303" fillId="0" borderId="0" xfId="30655" applyFont="1" applyAlignment="1">
      <alignment horizontal="left"/>
    </xf>
    <xf numFmtId="0" fontId="304" fillId="0" borderId="0" xfId="30655" applyFont="1" applyAlignment="1">
      <alignment horizontal="center" vertical="center"/>
    </xf>
    <xf numFmtId="0" fontId="305" fillId="0" borderId="0" xfId="30655" applyFont="1" applyAlignment="1">
      <alignment horizontal="center" vertical="center"/>
    </xf>
    <xf numFmtId="0" fontId="306" fillId="0" borderId="0" xfId="30655" applyFont="1"/>
    <xf numFmtId="0" fontId="304" fillId="0" borderId="0" xfId="30655" applyFont="1" applyAlignment="1">
      <alignment horizontal="left" vertical="center"/>
    </xf>
    <xf numFmtId="171" fontId="294" fillId="0" borderId="0" xfId="30655" applyNumberFormat="1" applyFont="1"/>
    <xf numFmtId="0" fontId="307" fillId="0" borderId="0" xfId="0" applyFont="1"/>
    <xf numFmtId="0" fontId="308" fillId="0" borderId="0" xfId="0" applyFont="1"/>
    <xf numFmtId="0" fontId="309" fillId="0" borderId="0" xfId="0" applyFont="1" applyAlignment="1">
      <alignment horizontal="center"/>
    </xf>
    <xf numFmtId="0" fontId="308" fillId="0" borderId="0" xfId="0" applyFont="1" applyAlignment="1">
      <alignment horizontal="center"/>
    </xf>
    <xf numFmtId="0" fontId="308" fillId="0" borderId="0" xfId="0" applyFont="1" applyAlignment="1">
      <alignment vertical="center"/>
    </xf>
    <xf numFmtId="0" fontId="310" fillId="0" borderId="0" xfId="0" applyFont="1" applyAlignment="1">
      <alignment horizontal="center" vertical="center"/>
    </xf>
    <xf numFmtId="0" fontId="308" fillId="0" borderId="0" xfId="0" applyFont="1" applyAlignment="1">
      <alignment vertical="top"/>
    </xf>
    <xf numFmtId="0" fontId="310" fillId="0" borderId="0" xfId="0" applyFont="1" applyAlignment="1">
      <alignment horizontal="center" vertical="top"/>
    </xf>
    <xf numFmtId="0" fontId="308" fillId="0" borderId="0" xfId="0" applyFont="1" applyAlignment="1">
      <alignment horizontal="center" vertical="top"/>
    </xf>
    <xf numFmtId="0" fontId="310" fillId="0" borderId="0" xfId="0" applyFont="1" applyAlignment="1">
      <alignment horizontal="center"/>
    </xf>
    <xf numFmtId="2" fontId="308" fillId="0" borderId="0" xfId="0" applyNumberFormat="1" applyFont="1" applyAlignment="1">
      <alignment horizontal="center"/>
    </xf>
    <xf numFmtId="2" fontId="308" fillId="0" borderId="0" xfId="0" applyNumberFormat="1" applyFont="1" applyAlignment="1">
      <alignment horizontal="left"/>
    </xf>
    <xf numFmtId="0" fontId="308" fillId="0" borderId="0" xfId="0" applyFont="1" applyAlignment="1">
      <alignment vertical="top" wrapText="1"/>
    </xf>
    <xf numFmtId="0" fontId="310" fillId="0" borderId="0" xfId="0" applyFont="1" applyAlignment="1">
      <alignment horizontal="center" vertical="top" wrapText="1"/>
    </xf>
    <xf numFmtId="0" fontId="311" fillId="0" borderId="0" xfId="6607" applyFont="1" applyAlignment="1">
      <alignment horizontal="left" vertical="center"/>
    </xf>
    <xf numFmtId="0" fontId="310" fillId="0" borderId="1" xfId="6607" applyFont="1" applyBorder="1" applyAlignment="1">
      <alignment horizontal="center" vertical="center" wrapText="1"/>
    </xf>
    <xf numFmtId="0" fontId="312" fillId="0" borderId="0" xfId="6607" applyFont="1"/>
    <xf numFmtId="0" fontId="311" fillId="0" borderId="1" xfId="6607" applyFont="1" applyBorder="1" applyAlignment="1">
      <alignment horizontal="center" vertical="center" wrapText="1"/>
    </xf>
    <xf numFmtId="0" fontId="311" fillId="0" borderId="1" xfId="6607" applyFont="1" applyBorder="1" applyAlignment="1">
      <alignment vertical="center" wrapText="1"/>
    </xf>
    <xf numFmtId="0" fontId="311" fillId="0" borderId="0" xfId="6607" applyFont="1" applyAlignment="1">
      <alignment horizontal="center" vertical="center"/>
    </xf>
    <xf numFmtId="0" fontId="313" fillId="0" borderId="1" xfId="6607" applyFont="1" applyBorder="1" applyAlignment="1">
      <alignment vertical="center" wrapText="1"/>
    </xf>
    <xf numFmtId="0" fontId="294" fillId="0" borderId="1" xfId="6607" applyFont="1" applyBorder="1"/>
    <xf numFmtId="0" fontId="312" fillId="0" borderId="1" xfId="6607" applyFont="1" applyBorder="1"/>
    <xf numFmtId="0" fontId="308" fillId="0" borderId="0" xfId="0" applyFont="1" applyAlignment="1">
      <alignment horizontal="center" vertical="center"/>
    </xf>
    <xf numFmtId="0" fontId="314" fillId="0" borderId="11" xfId="30634" applyFont="1" applyBorder="1" applyAlignment="1">
      <alignment horizontal="center" vertical="top"/>
    </xf>
    <xf numFmtId="0" fontId="314" fillId="0" borderId="0" xfId="30634" applyFont="1" applyAlignment="1">
      <alignment vertical="top" wrapText="1"/>
    </xf>
    <xf numFmtId="0" fontId="316" fillId="0" borderId="0" xfId="30634" applyFont="1" applyAlignment="1">
      <alignment vertical="top"/>
    </xf>
    <xf numFmtId="0" fontId="314" fillId="0" borderId="0" xfId="30634" applyFont="1" applyAlignment="1">
      <alignment vertical="top"/>
    </xf>
    <xf numFmtId="0" fontId="315" fillId="0" borderId="4" xfId="30634" applyFont="1" applyBorder="1" applyAlignment="1">
      <alignment vertical="top"/>
    </xf>
    <xf numFmtId="0" fontId="314" fillId="0" borderId="14" xfId="30634" applyFont="1" applyBorder="1" applyAlignment="1">
      <alignment vertical="top"/>
    </xf>
    <xf numFmtId="0" fontId="315" fillId="0" borderId="5" xfId="30634" applyFont="1" applyBorder="1" applyAlignment="1">
      <alignment vertical="top"/>
    </xf>
    <xf numFmtId="0" fontId="314" fillId="0" borderId="12" xfId="30634" applyFont="1" applyBorder="1" applyAlignment="1">
      <alignment horizontal="center" vertical="top"/>
    </xf>
    <xf numFmtId="14" fontId="318" fillId="0" borderId="12" xfId="30634" applyNumberFormat="1" applyFont="1" applyBorder="1" applyAlignment="1">
      <alignment vertical="top"/>
    </xf>
    <xf numFmtId="0" fontId="314" fillId="0" borderId="2" xfId="30634" applyFont="1" applyBorder="1" applyAlignment="1">
      <alignment vertical="top"/>
    </xf>
    <xf numFmtId="14" fontId="318" fillId="0" borderId="2" xfId="30634" applyNumberFormat="1" applyFont="1" applyBorder="1" applyAlignment="1">
      <alignment vertical="top"/>
    </xf>
    <xf numFmtId="0" fontId="315" fillId="0" borderId="5" xfId="30634" applyFont="1" applyBorder="1" applyAlignment="1">
      <alignment vertical="top" wrapText="1"/>
    </xf>
    <xf numFmtId="0" fontId="314" fillId="0" borderId="90" xfId="30634" applyFont="1" applyBorder="1" applyAlignment="1">
      <alignment horizontal="center" vertical="top" wrapText="1"/>
    </xf>
    <xf numFmtId="0" fontId="319" fillId="0" borderId="29" xfId="4497" applyFont="1" applyBorder="1" applyAlignment="1">
      <alignment horizontal="left" vertical="top"/>
    </xf>
    <xf numFmtId="0" fontId="314" fillId="0" borderId="24" xfId="30634" applyFont="1" applyBorder="1" applyAlignment="1">
      <alignment vertical="top"/>
    </xf>
    <xf numFmtId="0" fontId="314" fillId="0" borderId="31" xfId="30634" applyFont="1" applyBorder="1" applyAlignment="1">
      <alignment vertical="top"/>
    </xf>
    <xf numFmtId="0" fontId="314" fillId="0" borderId="37" xfId="30634" applyFont="1" applyBorder="1" applyAlignment="1">
      <alignment vertical="top"/>
    </xf>
    <xf numFmtId="0" fontId="314" fillId="0" borderId="5" xfId="30634" applyFont="1" applyBorder="1" applyAlignment="1">
      <alignment horizontal="center" vertical="top" wrapText="1"/>
    </xf>
    <xf numFmtId="207" fontId="319" fillId="0" borderId="2" xfId="30634" applyNumberFormat="1" applyFont="1" applyBorder="1" applyAlignment="1">
      <alignment horizontal="left" vertical="top"/>
    </xf>
    <xf numFmtId="0" fontId="315" fillId="0" borderId="2" xfId="30634" applyFont="1" applyBorder="1" applyAlignment="1">
      <alignment horizontal="center" vertical="top"/>
    </xf>
    <xf numFmtId="0" fontId="319" fillId="0" borderId="1" xfId="30634" applyFont="1" applyBorder="1" applyAlignment="1">
      <alignment vertical="top"/>
    </xf>
    <xf numFmtId="0" fontId="318" fillId="0" borderId="1" xfId="30634" applyFont="1" applyBorder="1" applyAlignment="1">
      <alignment horizontal="center" vertical="top"/>
    </xf>
    <xf numFmtId="1" fontId="319" fillId="0" borderId="1" xfId="30634" applyNumberFormat="1" applyFont="1" applyBorder="1" applyAlignment="1">
      <alignment horizontal="center" vertical="top"/>
    </xf>
    <xf numFmtId="0" fontId="319" fillId="0" borderId="1" xfId="30634" applyFont="1" applyBorder="1" applyAlignment="1">
      <alignment horizontal="left" vertical="top"/>
    </xf>
    <xf numFmtId="0" fontId="314" fillId="0" borderId="1" xfId="30634" applyFont="1" applyBorder="1" applyAlignment="1">
      <alignment vertical="top" wrapText="1"/>
    </xf>
    <xf numFmtId="208" fontId="319" fillId="0" borderId="4" xfId="30634" applyNumberFormat="1" applyFont="1" applyBorder="1" applyAlignment="1">
      <alignment horizontal="left" vertical="top"/>
    </xf>
    <xf numFmtId="0" fontId="314" fillId="0" borderId="1" xfId="30634" applyFont="1" applyBorder="1" applyAlignment="1">
      <alignment horizontal="center" vertical="top" wrapText="1"/>
    </xf>
    <xf numFmtId="0" fontId="314" fillId="0" borderId="11" xfId="30634" applyFont="1" applyBorder="1" applyAlignment="1">
      <alignment vertical="top" wrapText="1"/>
    </xf>
    <xf numFmtId="209" fontId="319" fillId="0" borderId="21" xfId="30634" applyNumberFormat="1" applyFont="1" applyBorder="1" applyAlignment="1">
      <alignment horizontal="left" vertical="top"/>
    </xf>
    <xf numFmtId="0" fontId="319" fillId="0" borderId="11" xfId="30634" applyFont="1" applyBorder="1" applyAlignment="1">
      <alignment vertical="top"/>
    </xf>
    <xf numFmtId="0" fontId="314" fillId="0" borderId="11" xfId="30634" applyFont="1" applyBorder="1" applyAlignment="1">
      <alignment vertical="top"/>
    </xf>
    <xf numFmtId="0" fontId="318" fillId="0" borderId="11" xfId="30634" applyFont="1" applyBorder="1" applyAlignment="1">
      <alignment vertical="top"/>
    </xf>
    <xf numFmtId="0" fontId="319" fillId="0" borderId="4" xfId="30634" applyFont="1" applyBorder="1" applyAlignment="1">
      <alignment horizontal="left" vertical="top"/>
    </xf>
    <xf numFmtId="0" fontId="317" fillId="0" borderId="21" xfId="6532" applyFont="1" applyBorder="1" applyAlignment="1">
      <alignment horizontal="right" vertical="top" wrapText="1"/>
    </xf>
    <xf numFmtId="0" fontId="318" fillId="0" borderId="22" xfId="30634" applyFont="1" applyBorder="1" applyAlignment="1">
      <alignment vertical="top"/>
    </xf>
    <xf numFmtId="0" fontId="317" fillId="0" borderId="22" xfId="6532" applyFont="1" applyBorder="1" applyAlignment="1">
      <alignment vertical="top" wrapText="1"/>
    </xf>
    <xf numFmtId="0" fontId="314" fillId="0" borderId="22" xfId="30634" applyFont="1" applyBorder="1" applyAlignment="1">
      <alignment vertical="top"/>
    </xf>
    <xf numFmtId="0" fontId="318" fillId="0" borderId="0" xfId="30634" applyFont="1" applyAlignment="1">
      <alignment vertical="top"/>
    </xf>
    <xf numFmtId="0" fontId="315" fillId="0" borderId="2" xfId="30634" applyFont="1" applyBorder="1" applyAlignment="1">
      <alignment horizontal="left" vertical="top"/>
    </xf>
    <xf numFmtId="207" fontId="319" fillId="0" borderId="4" xfId="30634" applyNumberFormat="1" applyFont="1" applyBorder="1" applyAlignment="1">
      <alignment horizontal="center" vertical="top"/>
    </xf>
    <xf numFmtId="0" fontId="315" fillId="0" borderId="10" xfId="30634" applyFont="1" applyBorder="1" applyAlignment="1">
      <alignment horizontal="right" vertical="top"/>
    </xf>
    <xf numFmtId="0" fontId="320" fillId="0" borderId="0" xfId="30634" applyFont="1" applyAlignment="1">
      <alignment vertical="top" wrapText="1"/>
    </xf>
    <xf numFmtId="0" fontId="315" fillId="0" borderId="1" xfId="30634" applyFont="1" applyBorder="1" applyAlignment="1">
      <alignment horizontal="center" vertical="top"/>
    </xf>
    <xf numFmtId="0" fontId="315" fillId="0" borderId="5" xfId="30634" applyFont="1" applyBorder="1" applyAlignment="1">
      <alignment horizontal="center" vertical="top" wrapText="1"/>
    </xf>
    <xf numFmtId="2" fontId="319" fillId="3" borderId="4" xfId="30634" applyNumberFormat="1" applyFont="1" applyFill="1" applyBorder="1" applyAlignment="1">
      <alignment horizontal="center" vertical="top"/>
    </xf>
    <xf numFmtId="0" fontId="315" fillId="0" borderId="10" xfId="30634" applyFont="1" applyBorder="1" applyAlignment="1">
      <alignment vertical="top"/>
    </xf>
    <xf numFmtId="0" fontId="318" fillId="0" borderId="0" xfId="30634" applyFont="1" applyAlignment="1">
      <alignment horizontal="center" vertical="top"/>
    </xf>
    <xf numFmtId="0" fontId="315" fillId="0" borderId="0" xfId="30634" applyFont="1" applyAlignment="1">
      <alignment vertical="top"/>
    </xf>
    <xf numFmtId="0" fontId="315" fillId="0" borderId="1" xfId="30634" applyFont="1" applyBorder="1" applyAlignment="1">
      <alignment horizontal="center" vertical="top" wrapText="1"/>
    </xf>
    <xf numFmtId="2" fontId="319" fillId="0" borderId="4" xfId="30634" applyNumberFormat="1" applyFont="1" applyBorder="1" applyAlignment="1">
      <alignment horizontal="center" vertical="top"/>
    </xf>
    <xf numFmtId="2" fontId="321" fillId="0" borderId="1" xfId="30634" applyNumberFormat="1" applyFont="1" applyBorder="1" applyAlignment="1">
      <alignment horizontal="center" vertical="top"/>
    </xf>
    <xf numFmtId="0" fontId="321" fillId="0" borderId="0" xfId="30634" applyFont="1" applyAlignment="1">
      <alignment vertical="top"/>
    </xf>
    <xf numFmtId="0" fontId="310" fillId="0" borderId="0" xfId="30634" applyFont="1" applyAlignment="1">
      <alignment vertical="top" wrapText="1"/>
    </xf>
    <xf numFmtId="2" fontId="322" fillId="0" borderId="0" xfId="30634" applyNumberFormat="1" applyFont="1" applyAlignment="1">
      <alignment horizontal="center" vertical="top"/>
    </xf>
    <xf numFmtId="0" fontId="320" fillId="0" borderId="1" xfId="30634" applyFont="1" applyBorder="1" applyAlignment="1">
      <alignment horizontal="center" vertical="top"/>
    </xf>
    <xf numFmtId="2" fontId="323" fillId="0" borderId="0" xfId="30634" applyNumberFormat="1" applyFont="1" applyAlignment="1">
      <alignment vertical="top" wrapText="1"/>
    </xf>
    <xf numFmtId="4" fontId="316" fillId="0" borderId="0" xfId="6179" applyNumberFormat="1" applyFont="1" applyAlignment="1">
      <alignment horizontal="center" vertical="center" wrapText="1"/>
    </xf>
    <xf numFmtId="0" fontId="314" fillId="0" borderId="0" xfId="30634" applyFont="1" applyAlignment="1">
      <alignment horizontal="center" vertical="top" wrapText="1"/>
    </xf>
    <xf numFmtId="0" fontId="314" fillId="0" borderId="0" xfId="30634" applyFont="1" applyAlignment="1">
      <alignment horizontal="center" vertical="top"/>
    </xf>
    <xf numFmtId="0" fontId="308" fillId="0" borderId="0" xfId="6532" applyFont="1" applyAlignment="1">
      <alignment vertical="top" wrapText="1"/>
    </xf>
    <xf numFmtId="0" fontId="315" fillId="0" borderId="11" xfId="30634" applyFont="1" applyBorder="1" applyAlignment="1">
      <alignment horizontal="center" vertical="top"/>
    </xf>
    <xf numFmtId="0" fontId="319" fillId="0" borderId="0" xfId="30634" applyFont="1" applyAlignment="1">
      <alignment horizontal="center" vertical="top" wrapText="1"/>
    </xf>
    <xf numFmtId="0" fontId="324" fillId="3" borderId="4" xfId="30634" applyFont="1" applyFill="1" applyBorder="1" applyAlignment="1">
      <alignment horizontal="left" vertical="top"/>
    </xf>
    <xf numFmtId="0" fontId="318" fillId="3" borderId="1" xfId="30634" applyFont="1" applyFill="1" applyBorder="1" applyAlignment="1">
      <alignment horizontal="left" vertical="top"/>
    </xf>
    <xf numFmtId="0" fontId="318" fillId="3" borderId="4" xfId="30634" applyFont="1" applyFill="1" applyBorder="1" applyAlignment="1">
      <alignment horizontal="left" vertical="top"/>
    </xf>
    <xf numFmtId="0" fontId="318" fillId="3" borderId="14" xfId="30634" applyFont="1" applyFill="1" applyBorder="1" applyAlignment="1">
      <alignment horizontal="left" vertical="top"/>
    </xf>
    <xf numFmtId="0" fontId="314" fillId="3" borderId="1" xfId="30634" applyFont="1" applyFill="1" applyBorder="1" applyAlignment="1">
      <alignment horizontal="left" vertical="top"/>
    </xf>
    <xf numFmtId="0" fontId="315" fillId="0" borderId="5" xfId="30634" applyFont="1" applyBorder="1" applyAlignment="1">
      <alignment horizontal="left" vertical="top"/>
    </xf>
    <xf numFmtId="0" fontId="314" fillId="0" borderId="4" xfId="30634" applyFont="1" applyBorder="1" applyAlignment="1">
      <alignment horizontal="left" vertical="top"/>
    </xf>
    <xf numFmtId="0" fontId="314" fillId="0" borderId="14" xfId="30634" applyFont="1" applyBorder="1" applyAlignment="1">
      <alignment horizontal="left" vertical="top"/>
    </xf>
    <xf numFmtId="0" fontId="314" fillId="0" borderId="5" xfId="30634" applyFont="1" applyBorder="1" applyAlignment="1">
      <alignment horizontal="left" vertical="top"/>
    </xf>
    <xf numFmtId="0" fontId="314" fillId="0" borderId="1" xfId="30643" applyFont="1" applyBorder="1" applyAlignment="1">
      <alignment horizontal="center" vertical="center" wrapText="1"/>
    </xf>
    <xf numFmtId="0" fontId="314" fillId="0" borderId="14" xfId="30652" applyFont="1" applyBorder="1" applyAlignment="1">
      <alignment horizontal="left" vertical="top" wrapText="1"/>
    </xf>
    <xf numFmtId="0" fontId="314" fillId="0" borderId="5" xfId="30652" applyFont="1" applyBorder="1" applyAlignment="1">
      <alignment horizontal="left" vertical="top" wrapText="1"/>
    </xf>
    <xf numFmtId="0" fontId="314" fillId="7" borderId="3" xfId="30634" applyFont="1" applyFill="1" applyBorder="1" applyAlignment="1">
      <alignment vertical="top" wrapText="1"/>
    </xf>
    <xf numFmtId="0" fontId="314" fillId="7" borderId="13" xfId="30634" applyFont="1" applyFill="1" applyBorder="1" applyAlignment="1">
      <alignment vertical="top" wrapText="1"/>
    </xf>
    <xf numFmtId="0" fontId="314" fillId="7" borderId="1" xfId="30634" applyFont="1" applyFill="1" applyBorder="1" applyAlignment="1">
      <alignment horizontal="center" vertical="top" wrapText="1"/>
    </xf>
    <xf numFmtId="0" fontId="314" fillId="0" borderId="1" xfId="30643" applyFont="1" applyBorder="1" applyAlignment="1">
      <alignment horizontal="left" vertical="center" wrapText="1"/>
    </xf>
    <xf numFmtId="0" fontId="314" fillId="7" borderId="1" xfId="30643" applyFont="1" applyFill="1" applyBorder="1" applyAlignment="1">
      <alignment horizontal="center" vertical="center" wrapText="1"/>
    </xf>
    <xf numFmtId="0" fontId="314" fillId="7" borderId="1" xfId="30634" applyFont="1" applyFill="1" applyBorder="1" applyAlignment="1">
      <alignment horizontal="center" vertical="center"/>
    </xf>
    <xf numFmtId="0" fontId="314" fillId="0" borderId="1" xfId="30643" applyFont="1" applyBorder="1" applyAlignment="1">
      <alignment horizontal="center" vertical="center"/>
    </xf>
    <xf numFmtId="0" fontId="314" fillId="0" borderId="1" xfId="30643" applyFont="1" applyBorder="1" applyAlignment="1">
      <alignment horizontal="left" vertical="center"/>
    </xf>
    <xf numFmtId="0" fontId="314" fillId="7" borderId="1" xfId="30643" applyFont="1" applyFill="1" applyBorder="1" applyAlignment="1">
      <alignment horizontal="center" vertical="center"/>
    </xf>
    <xf numFmtId="0" fontId="314" fillId="0" borderId="0" xfId="30643" applyFont="1" applyBorder="1" applyAlignment="1">
      <alignment horizontal="center" vertical="center"/>
    </xf>
    <xf numFmtId="0" fontId="314" fillId="0" borderId="0" xfId="30643" applyFont="1" applyBorder="1" applyAlignment="1">
      <alignment horizontal="left" vertical="center"/>
    </xf>
    <xf numFmtId="0" fontId="314" fillId="7" borderId="0" xfId="30643" applyFont="1" applyFill="1" applyBorder="1" applyAlignment="1">
      <alignment horizontal="center" vertical="center"/>
    </xf>
    <xf numFmtId="0" fontId="314" fillId="0" borderId="0" xfId="30652" applyFont="1" applyBorder="1" applyAlignment="1">
      <alignment horizontal="left" vertical="top" wrapText="1"/>
    </xf>
    <xf numFmtId="0" fontId="314" fillId="0" borderId="0" xfId="30643" applyFont="1" applyAlignment="1">
      <alignment horizontal="left" vertical="center"/>
    </xf>
    <xf numFmtId="0" fontId="315" fillId="7" borderId="1" xfId="30634" applyFont="1" applyFill="1" applyBorder="1" applyAlignment="1">
      <alignment horizontal="center" vertical="center"/>
    </xf>
    <xf numFmtId="0" fontId="314" fillId="7" borderId="1" xfId="30634" applyFont="1" applyFill="1" applyBorder="1" applyAlignment="1">
      <alignment horizontal="center" vertical="top"/>
    </xf>
    <xf numFmtId="0" fontId="315" fillId="0" borderId="0" xfId="30643" applyFont="1"/>
    <xf numFmtId="0" fontId="315" fillId="0" borderId="0" xfId="30643" applyFont="1" applyAlignment="1">
      <alignment wrapText="1"/>
    </xf>
    <xf numFmtId="0" fontId="314" fillId="0" borderId="0" xfId="6532" applyFont="1" applyAlignment="1">
      <alignment horizontal="left" vertical="top" wrapText="1"/>
    </xf>
    <xf numFmtId="0" fontId="314" fillId="7" borderId="1" xfId="30634" applyFont="1" applyFill="1" applyBorder="1" applyAlignment="1">
      <alignment horizontal="center" vertical="center" wrapText="1"/>
    </xf>
    <xf numFmtId="0" fontId="314" fillId="0" borderId="4" xfId="30643" applyFont="1" applyBorder="1" applyAlignment="1">
      <alignment vertical="center" wrapText="1"/>
    </xf>
    <xf numFmtId="0" fontId="314" fillId="0" borderId="14" xfId="30643" applyFont="1" applyBorder="1" applyAlignment="1">
      <alignment vertical="center" wrapText="1"/>
    </xf>
    <xf numFmtId="0" fontId="314" fillId="0" borderId="5" xfId="30643" applyFont="1" applyBorder="1" applyAlignment="1">
      <alignment vertical="center" wrapText="1"/>
    </xf>
    <xf numFmtId="0" fontId="315" fillId="7" borderId="1" xfId="30634" applyFont="1" applyFill="1" applyBorder="1" applyAlignment="1">
      <alignment horizontal="center" vertical="top"/>
    </xf>
    <xf numFmtId="0" fontId="314" fillId="0" borderId="1" xfId="30643" applyFont="1" applyBorder="1" applyAlignment="1">
      <alignment horizontal="left" vertical="justify"/>
    </xf>
    <xf numFmtId="0" fontId="318" fillId="7" borderId="3" xfId="30634" applyFont="1" applyFill="1" applyBorder="1" applyAlignment="1">
      <alignment horizontal="center" vertical="center"/>
    </xf>
    <xf numFmtId="0" fontId="318" fillId="7" borderId="4" xfId="30634" applyFont="1" applyFill="1" applyBorder="1" applyAlignment="1">
      <alignment vertical="center"/>
    </xf>
    <xf numFmtId="0" fontId="318" fillId="7" borderId="14" xfId="30634" applyFont="1" applyFill="1" applyBorder="1" applyAlignment="1">
      <alignment vertical="center"/>
    </xf>
    <xf numFmtId="0" fontId="318" fillId="7" borderId="1" xfId="30634" applyFont="1" applyFill="1" applyBorder="1" applyAlignment="1">
      <alignment vertical="center"/>
    </xf>
    <xf numFmtId="3" fontId="318" fillId="7" borderId="1" xfId="30634" applyNumberFormat="1" applyFont="1" applyFill="1" applyBorder="1" applyAlignment="1">
      <alignment vertical="center"/>
    </xf>
    <xf numFmtId="0" fontId="314" fillId="0" borderId="14" xfId="30643" applyFont="1" applyBorder="1" applyAlignment="1">
      <alignment horizontal="left" vertical="justify"/>
    </xf>
    <xf numFmtId="0" fontId="315" fillId="0" borderId="14" xfId="30643" applyFont="1" applyBorder="1" applyAlignment="1">
      <alignment horizontal="left" vertical="justify"/>
    </xf>
    <xf numFmtId="0" fontId="315" fillId="0" borderId="14" xfId="30643" applyFont="1" applyBorder="1" applyAlignment="1">
      <alignment horizontal="center" vertical="justify"/>
    </xf>
    <xf numFmtId="0" fontId="314" fillId="0" borderId="14" xfId="30643" applyFont="1" applyBorder="1" applyAlignment="1">
      <alignment horizontal="center" vertical="justify"/>
    </xf>
    <xf numFmtId="0" fontId="315" fillId="7" borderId="3" xfId="30634" applyFont="1" applyFill="1" applyBorder="1" applyAlignment="1">
      <alignment horizontal="center" vertical="center"/>
    </xf>
    <xf numFmtId="0" fontId="314" fillId="3" borderId="5" xfId="30643" applyFont="1" applyFill="1" applyBorder="1" applyAlignment="1">
      <alignment horizontal="center" vertical="center" wrapText="1"/>
    </xf>
    <xf numFmtId="0" fontId="325" fillId="3" borderId="1" xfId="30643" applyFont="1" applyFill="1" applyBorder="1" applyAlignment="1">
      <alignment horizontal="center" vertical="center" wrapText="1"/>
    </xf>
    <xf numFmtId="0" fontId="326" fillId="3" borderId="1" xfId="30643" applyFont="1" applyFill="1" applyBorder="1" applyAlignment="1">
      <alignment horizontal="center" vertical="center" wrapText="1"/>
    </xf>
    <xf numFmtId="0" fontId="314" fillId="3" borderId="1" xfId="30643" applyFont="1" applyFill="1" applyBorder="1" applyAlignment="1">
      <alignment horizontal="center" vertical="center" wrapText="1"/>
    </xf>
    <xf numFmtId="0" fontId="317" fillId="3" borderId="1" xfId="30643" applyFont="1" applyFill="1" applyBorder="1" applyAlignment="1">
      <alignment horizontal="center" vertical="center" wrapText="1"/>
    </xf>
    <xf numFmtId="0" fontId="314" fillId="7" borderId="4" xfId="30634" applyFont="1" applyFill="1" applyBorder="1" applyAlignment="1">
      <alignment horizontal="center" vertical="center" wrapText="1"/>
    </xf>
    <xf numFmtId="0" fontId="315" fillId="0" borderId="4" xfId="30634" applyFont="1" applyBorder="1" applyAlignment="1">
      <alignment horizontal="left" vertical="center"/>
    </xf>
    <xf numFmtId="0" fontId="314" fillId="0" borderId="0" xfId="30634" applyFont="1" applyAlignment="1">
      <alignment horizontal="center" vertical="center" wrapText="1"/>
    </xf>
    <xf numFmtId="0" fontId="314" fillId="0" borderId="0" xfId="30634" applyFont="1" applyAlignment="1">
      <alignment vertical="center"/>
    </xf>
    <xf numFmtId="0" fontId="310" fillId="0" borderId="1" xfId="30634" applyFont="1" applyBorder="1" applyAlignment="1">
      <alignment horizontal="center" vertical="center"/>
    </xf>
    <xf numFmtId="0" fontId="310" fillId="0" borderId="1" xfId="30634" applyFont="1" applyBorder="1" applyAlignment="1">
      <alignment horizontal="center" vertical="center" wrapText="1"/>
    </xf>
    <xf numFmtId="0" fontId="314" fillId="0" borderId="1" xfId="6532" applyFont="1" applyBorder="1" applyAlignment="1">
      <alignment horizontal="center" vertical="top" shrinkToFit="1"/>
    </xf>
    <xf numFmtId="2" fontId="314" fillId="0" borderId="1" xfId="6532" applyNumberFormat="1" applyFont="1" applyBorder="1" applyAlignment="1">
      <alignment horizontal="center" vertical="center" shrinkToFit="1"/>
    </xf>
    <xf numFmtId="0" fontId="308" fillId="0" borderId="1" xfId="30634" applyFont="1" applyBorder="1" applyAlignment="1">
      <alignment horizontal="center" vertical="top"/>
    </xf>
    <xf numFmtId="2" fontId="308" fillId="0" borderId="1" xfId="30634" applyNumberFormat="1" applyFont="1" applyBorder="1" applyAlignment="1">
      <alignment horizontal="right" vertical="center"/>
    </xf>
    <xf numFmtId="2" fontId="308" fillId="0" borderId="1" xfId="30634" applyNumberFormat="1" applyFont="1" applyBorder="1" applyAlignment="1">
      <alignment vertical="center"/>
    </xf>
    <xf numFmtId="0" fontId="314" fillId="0" borderId="0" xfId="6532" applyFont="1" applyAlignment="1">
      <alignment horizontal="center" vertical="top" shrinkToFit="1"/>
    </xf>
    <xf numFmtId="0" fontId="311" fillId="0" borderId="1" xfId="30634" applyFont="1" applyBorder="1" applyAlignment="1">
      <alignment horizontal="center" vertical="top"/>
    </xf>
    <xf numFmtId="2" fontId="311" fillId="0" borderId="1" xfId="30634" applyNumberFormat="1" applyFont="1" applyBorder="1" applyAlignment="1">
      <alignment horizontal="right" vertical="top"/>
    </xf>
    <xf numFmtId="2" fontId="311" fillId="0" borderId="4" xfId="30634" applyNumberFormat="1" applyFont="1" applyBorder="1" applyAlignment="1">
      <alignment vertical="top"/>
    </xf>
    <xf numFmtId="0" fontId="294" fillId="0" borderId="0" xfId="6532" applyFont="1" applyAlignment="1">
      <alignment horizontal="center" vertical="top" shrinkToFit="1"/>
    </xf>
    <xf numFmtId="2" fontId="294" fillId="0" borderId="1" xfId="6532" applyNumberFormat="1" applyFont="1" applyBorder="1" applyAlignment="1">
      <alignment horizontal="center" vertical="center" shrinkToFit="1"/>
    </xf>
    <xf numFmtId="0" fontId="294" fillId="0" borderId="0" xfId="30634" applyFont="1" applyAlignment="1">
      <alignment vertical="top"/>
    </xf>
    <xf numFmtId="0" fontId="308" fillId="0" borderId="1" xfId="30634" applyFont="1" applyBorder="1" applyAlignment="1">
      <alignment horizontal="center" vertical="center"/>
    </xf>
    <xf numFmtId="2" fontId="308" fillId="0" borderId="1" xfId="30634" applyNumberFormat="1" applyFont="1" applyBorder="1" applyAlignment="1">
      <alignment horizontal="right" vertical="top"/>
    </xf>
    <xf numFmtId="2" fontId="310" fillId="0" borderId="1" xfId="30634" applyNumberFormat="1" applyFont="1" applyBorder="1" applyAlignment="1">
      <alignment vertical="center"/>
    </xf>
    <xf numFmtId="0" fontId="310" fillId="0" borderId="1" xfId="30634" applyFont="1" applyBorder="1" applyAlignment="1">
      <alignment vertical="center" wrapText="1"/>
    </xf>
    <xf numFmtId="1" fontId="308" fillId="0" borderId="4" xfId="30634" applyNumberFormat="1" applyFont="1" applyBorder="1" applyAlignment="1">
      <alignment vertical="top" wrapText="1"/>
    </xf>
    <xf numFmtId="2" fontId="308" fillId="0" borderId="4" xfId="30634" applyNumberFormat="1" applyFont="1" applyBorder="1" applyAlignment="1">
      <alignment vertical="top"/>
    </xf>
    <xf numFmtId="0" fontId="308" fillId="3" borderId="1" xfId="6532" applyFont="1" applyFill="1" applyBorder="1" applyAlignment="1">
      <alignment horizontal="center" vertical="top" wrapText="1"/>
    </xf>
    <xf numFmtId="2" fontId="308" fillId="3" borderId="1" xfId="6532" applyNumberFormat="1" applyFont="1" applyFill="1" applyBorder="1" applyAlignment="1">
      <alignment horizontal="center" vertical="top" wrapText="1"/>
    </xf>
    <xf numFmtId="0" fontId="314" fillId="0" borderId="0" xfId="30634" applyFont="1" applyAlignment="1">
      <alignment vertical="center" wrapText="1"/>
    </xf>
    <xf numFmtId="0" fontId="308" fillId="3" borderId="1" xfId="6532" applyFont="1" applyFill="1" applyBorder="1" applyAlignment="1">
      <alignment horizontal="center" vertical="center" wrapText="1"/>
    </xf>
    <xf numFmtId="2" fontId="308" fillId="3" borderId="1" xfId="6532" applyNumberFormat="1" applyFont="1" applyFill="1" applyBorder="1" applyAlignment="1">
      <alignment horizontal="center" vertical="center" wrapText="1"/>
    </xf>
    <xf numFmtId="0" fontId="308" fillId="0" borderId="1" xfId="30634" applyFont="1" applyBorder="1" applyAlignment="1">
      <alignment vertical="center" wrapText="1"/>
    </xf>
    <xf numFmtId="1" fontId="308" fillId="0" borderId="1" xfId="30634" applyNumberFormat="1" applyFont="1" applyBorder="1" applyAlignment="1">
      <alignment vertical="center"/>
    </xf>
    <xf numFmtId="1" fontId="310" fillId="0" borderId="1" xfId="30634" applyNumberFormat="1" applyFont="1" applyBorder="1" applyAlignment="1">
      <alignment vertical="center"/>
    </xf>
    <xf numFmtId="0" fontId="310" fillId="0" borderId="21" xfId="30634" applyFont="1" applyBorder="1" applyAlignment="1">
      <alignment horizontal="center" vertical="center" wrapText="1"/>
    </xf>
    <xf numFmtId="0" fontId="310" fillId="0" borderId="34" xfId="30634" applyFont="1" applyBorder="1" applyAlignment="1">
      <alignment horizontal="center" vertical="center" wrapText="1"/>
    </xf>
    <xf numFmtId="2" fontId="319" fillId="0" borderId="0" xfId="30634" applyNumberFormat="1" applyFont="1" applyAlignment="1">
      <alignment horizontal="center" vertical="top" wrapText="1"/>
    </xf>
    <xf numFmtId="2" fontId="310" fillId="0" borderId="1" xfId="2054" applyNumberFormat="1" applyFont="1" applyBorder="1" applyAlignment="1">
      <alignment horizontal="right" vertical="center" wrapText="1"/>
    </xf>
    <xf numFmtId="43" fontId="310" fillId="0" borderId="1" xfId="2054" applyFont="1" applyBorder="1" applyAlignment="1">
      <alignment vertical="center" wrapText="1"/>
    </xf>
    <xf numFmtId="43" fontId="308" fillId="0" borderId="0" xfId="30634" applyNumberFormat="1" applyFont="1" applyAlignment="1">
      <alignment vertical="top" wrapText="1"/>
    </xf>
    <xf numFmtId="0" fontId="314" fillId="0" borderId="21" xfId="30634" applyFont="1" applyBorder="1" applyAlignment="1">
      <alignment horizontal="center" vertical="top"/>
    </xf>
    <xf numFmtId="0" fontId="310" fillId="0" borderId="34" xfId="30634" applyFont="1" applyBorder="1" applyAlignment="1">
      <alignment horizontal="center" vertical="top" wrapText="1"/>
    </xf>
    <xf numFmtId="0" fontId="314" fillId="0" borderId="3" xfId="30634" applyFont="1" applyBorder="1" applyAlignment="1">
      <alignment horizontal="center" vertical="top"/>
    </xf>
    <xf numFmtId="0" fontId="310" fillId="0" borderId="25" xfId="30634" applyFont="1" applyBorder="1" applyAlignment="1">
      <alignment horizontal="center" vertical="top" wrapText="1"/>
    </xf>
    <xf numFmtId="0" fontId="315" fillId="0" borderId="4" xfId="30634" applyFont="1" applyBorder="1" applyAlignment="1">
      <alignment horizontal="center" vertical="center"/>
    </xf>
    <xf numFmtId="0" fontId="315" fillId="0" borderId="14" xfId="30634" applyFont="1" applyBorder="1" applyAlignment="1">
      <alignment vertical="center"/>
    </xf>
    <xf numFmtId="0" fontId="310" fillId="0" borderId="5" xfId="30634" applyFont="1" applyBorder="1" applyAlignment="1">
      <alignment horizontal="center" vertical="center" wrapText="1"/>
    </xf>
    <xf numFmtId="0" fontId="315" fillId="0" borderId="1" xfId="30634" applyFont="1" applyBorder="1" applyAlignment="1">
      <alignment vertical="top" wrapText="1"/>
    </xf>
    <xf numFmtId="0" fontId="314" fillId="0" borderId="1" xfId="6532" applyFont="1" applyBorder="1" applyAlignment="1">
      <alignment vertical="center"/>
    </xf>
    <xf numFmtId="0" fontId="316" fillId="0" borderId="1" xfId="6532" applyFont="1" applyBorder="1" applyAlignment="1">
      <alignment vertical="center"/>
    </xf>
    <xf numFmtId="0" fontId="319" fillId="0" borderId="1" xfId="6532" applyFont="1" applyBorder="1" applyAlignment="1">
      <alignment horizontal="center" vertical="center"/>
    </xf>
    <xf numFmtId="0" fontId="321" fillId="0" borderId="0" xfId="0" applyFont="1" applyAlignment="1" applyProtection="1">
      <alignment horizontal="left"/>
      <protection locked="0"/>
    </xf>
    <xf numFmtId="0" fontId="321" fillId="0" borderId="0" xfId="0" applyFont="1" applyAlignment="1" applyProtection="1">
      <alignment horizontal="center" vertical="center"/>
      <protection locked="0"/>
    </xf>
    <xf numFmtId="0" fontId="327" fillId="0" borderId="0" xfId="3892" applyFont="1" applyAlignment="1">
      <alignment horizontal="center" vertical="center"/>
    </xf>
    <xf numFmtId="0" fontId="314" fillId="0" borderId="1" xfId="30634" applyFont="1" applyBorder="1" applyAlignment="1">
      <alignment horizontal="center" vertical="top"/>
    </xf>
    <xf numFmtId="49" fontId="314" fillId="0" borderId="1" xfId="30634" applyNumberFormat="1" applyFont="1" applyBorder="1" applyAlignment="1">
      <alignment horizontal="center" vertical="top"/>
    </xf>
    <xf numFmtId="0" fontId="318" fillId="0" borderId="0" xfId="0" applyFont="1" applyAlignment="1" applyProtection="1">
      <alignment horizontal="left" vertical="center"/>
      <protection locked="0"/>
    </xf>
    <xf numFmtId="210" fontId="316" fillId="0" borderId="1" xfId="30634" applyNumberFormat="1" applyFont="1" applyBorder="1" applyAlignment="1">
      <alignment horizontal="center" vertical="top"/>
    </xf>
    <xf numFmtId="0" fontId="318" fillId="0" borderId="0" xfId="0" applyFont="1" applyAlignment="1">
      <alignment horizontal="left" vertical="center"/>
    </xf>
    <xf numFmtId="0" fontId="318" fillId="0" borderId="0" xfId="0" applyFont="1" applyAlignment="1" applyProtection="1">
      <alignment horizontal="left" vertical="center" wrapText="1"/>
      <protection locked="0"/>
    </xf>
    <xf numFmtId="0" fontId="314" fillId="0" borderId="1" xfId="6532" applyFont="1" applyBorder="1" applyAlignment="1">
      <alignment vertical="center" wrapText="1"/>
    </xf>
    <xf numFmtId="9" fontId="319" fillId="0" borderId="1" xfId="6532" applyNumberFormat="1" applyFont="1" applyBorder="1" applyAlignment="1">
      <alignment horizontal="center" vertical="center"/>
    </xf>
    <xf numFmtId="0" fontId="315" fillId="0" borderId="0" xfId="3892" applyFont="1" applyAlignment="1">
      <alignment vertical="center" wrapText="1"/>
    </xf>
    <xf numFmtId="0" fontId="318" fillId="0" borderId="0" xfId="3892" applyFont="1" applyAlignment="1">
      <alignment horizontal="center" vertical="center"/>
    </xf>
    <xf numFmtId="0" fontId="315" fillId="0" borderId="0" xfId="3892" applyFont="1" applyAlignment="1">
      <alignment vertical="center"/>
    </xf>
    <xf numFmtId="0" fontId="314" fillId="0" borderId="0" xfId="6532" applyFont="1" applyAlignment="1">
      <alignment vertical="center" wrapText="1"/>
    </xf>
    <xf numFmtId="0" fontId="318" fillId="0" borderId="0" xfId="6532" applyFont="1" applyAlignment="1">
      <alignment horizontal="center" vertical="center"/>
    </xf>
    <xf numFmtId="0" fontId="314" fillId="0" borderId="1" xfId="30634" applyFont="1" applyBorder="1" applyAlignment="1">
      <alignment vertical="top"/>
    </xf>
    <xf numFmtId="0" fontId="314" fillId="0" borderId="0" xfId="30635" applyFont="1" applyAlignment="1">
      <alignment horizontal="center" vertical="top"/>
    </xf>
    <xf numFmtId="208" fontId="319" fillId="0" borderId="1" xfId="30634" applyNumberFormat="1" applyFont="1" applyBorder="1" applyAlignment="1">
      <alignment vertical="top"/>
    </xf>
    <xf numFmtId="0" fontId="314" fillId="7" borderId="0" xfId="30635" applyFont="1" applyFill="1" applyAlignment="1">
      <alignment horizontal="center" vertical="top"/>
    </xf>
    <xf numFmtId="0" fontId="314" fillId="3" borderId="0" xfId="30634" applyFont="1" applyFill="1" applyAlignment="1">
      <alignment vertical="top"/>
    </xf>
    <xf numFmtId="0" fontId="317" fillId="0" borderId="0" xfId="30634" applyFont="1" applyAlignment="1">
      <alignment vertical="top"/>
    </xf>
    <xf numFmtId="0" fontId="314" fillId="0" borderId="0" xfId="30634" applyFont="1" applyAlignment="1">
      <alignment horizontal="justify" vertical="top" wrapText="1"/>
    </xf>
    <xf numFmtId="2" fontId="315" fillId="0" borderId="0" xfId="30634" applyNumberFormat="1" applyFont="1" applyAlignment="1">
      <alignment vertical="top" wrapText="1"/>
    </xf>
    <xf numFmtId="2" fontId="314" fillId="0" borderId="0" xfId="30634" applyNumberFormat="1" applyFont="1" applyAlignment="1">
      <alignment vertical="top" wrapText="1"/>
    </xf>
    <xf numFmtId="0" fontId="315" fillId="0" borderId="1" xfId="30634" applyFont="1" applyBorder="1" applyAlignment="1">
      <alignment horizontal="center" vertical="center" wrapText="1"/>
    </xf>
    <xf numFmtId="0" fontId="315" fillId="0" borderId="0" xfId="30634" applyFont="1" applyAlignment="1">
      <alignment vertical="top" wrapText="1"/>
    </xf>
    <xf numFmtId="0" fontId="314" fillId="0" borderId="1" xfId="30634" applyFont="1" applyBorder="1" applyAlignment="1">
      <alignment horizontal="center" vertical="center" wrapText="1"/>
    </xf>
    <xf numFmtId="2" fontId="314" fillId="0" borderId="0" xfId="30634" applyNumberFormat="1" applyFont="1" applyAlignment="1">
      <alignment vertical="top"/>
    </xf>
    <xf numFmtId="2" fontId="315" fillId="0" borderId="0" xfId="30634" applyNumberFormat="1" applyFont="1" applyAlignment="1">
      <alignment vertical="top"/>
    </xf>
    <xf numFmtId="0" fontId="314" fillId="0" borderId="4" xfId="30634" applyFont="1" applyBorder="1" applyAlignment="1">
      <alignment vertical="top" wrapText="1"/>
    </xf>
    <xf numFmtId="0" fontId="314" fillId="0" borderId="4" xfId="30634" applyFont="1" applyBorder="1" applyAlignment="1">
      <alignment horizontal="center" vertical="top" wrapText="1"/>
    </xf>
    <xf numFmtId="49" fontId="308" fillId="0" borderId="1" xfId="30634" applyNumberFormat="1" applyFont="1" applyBorder="1" applyAlignment="1">
      <alignment horizontal="center" vertical="top" wrapText="1"/>
    </xf>
    <xf numFmtId="2" fontId="314" fillId="0" borderId="4" xfId="30634" applyNumberFormat="1" applyFont="1" applyBorder="1" applyAlignment="1">
      <alignment vertical="top"/>
    </xf>
    <xf numFmtId="2" fontId="314" fillId="0" borderId="1" xfId="30634" applyNumberFormat="1" applyFont="1" applyBorder="1" applyAlignment="1">
      <alignment vertical="top"/>
    </xf>
    <xf numFmtId="43" fontId="314" fillId="0" borderId="4" xfId="2054" applyFont="1" applyBorder="1" applyAlignment="1">
      <alignment horizontal="center" textRotation="90"/>
    </xf>
    <xf numFmtId="0" fontId="314" fillId="0" borderId="0" xfId="30634" applyFont="1" applyAlignment="1">
      <alignment horizontal="left" vertical="top" wrapText="1"/>
    </xf>
    <xf numFmtId="0" fontId="308" fillId="0" borderId="0" xfId="6532" applyFont="1"/>
    <xf numFmtId="0" fontId="308" fillId="0" borderId="0" xfId="6532" applyFont="1" applyAlignment="1">
      <alignment vertical="top"/>
    </xf>
    <xf numFmtId="0" fontId="310" fillId="0" borderId="0" xfId="6532" applyFont="1" applyAlignment="1">
      <alignment horizontal="right" vertical="top"/>
    </xf>
    <xf numFmtId="0" fontId="308" fillId="0" borderId="0" xfId="6532" applyFont="1" applyAlignment="1">
      <alignment horizontal="center" vertical="center"/>
    </xf>
    <xf numFmtId="2" fontId="319" fillId="0" borderId="0" xfId="30634" applyNumberFormat="1" applyFont="1" applyAlignment="1">
      <alignment horizontal="center" vertical="top"/>
    </xf>
    <xf numFmtId="0" fontId="308" fillId="0" borderId="0" xfId="6532" applyFont="1" applyAlignment="1">
      <alignment horizontal="right" vertical="top"/>
    </xf>
    <xf numFmtId="0" fontId="308" fillId="0" borderId="0" xfId="6532" applyFont="1" applyAlignment="1">
      <alignment horizontal="justify" vertical="top" wrapText="1"/>
    </xf>
    <xf numFmtId="0" fontId="328" fillId="0" borderId="0" xfId="6532" applyFont="1" applyAlignment="1">
      <alignment horizontal="center" vertical="top" wrapText="1"/>
    </xf>
    <xf numFmtId="0" fontId="310" fillId="0" borderId="0" xfId="6532" applyFont="1" applyAlignment="1">
      <alignment horizontal="center" vertical="top"/>
    </xf>
    <xf numFmtId="0" fontId="324" fillId="0" borderId="0" xfId="30634" applyFont="1" applyAlignment="1">
      <alignment horizontal="center" vertical="top"/>
    </xf>
    <xf numFmtId="0" fontId="314" fillId="0" borderId="0" xfId="6532" applyFont="1" applyAlignment="1">
      <alignment vertical="top"/>
    </xf>
    <xf numFmtId="0" fontId="324" fillId="0" borderId="0" xfId="30634" applyFont="1" applyAlignment="1">
      <alignment vertical="top"/>
    </xf>
    <xf numFmtId="0" fontId="324" fillId="0" borderId="0" xfId="6532" applyFont="1" applyAlignment="1">
      <alignment vertical="top"/>
    </xf>
    <xf numFmtId="0" fontId="308" fillId="0" borderId="0" xfId="30634" applyFont="1" applyAlignment="1">
      <alignment horizontal="center" vertical="top"/>
    </xf>
    <xf numFmtId="0" fontId="315" fillId="0" borderId="0" xfId="6532" applyFont="1" applyAlignment="1">
      <alignment vertical="top"/>
    </xf>
    <xf numFmtId="0" fontId="328" fillId="0" borderId="0" xfId="6532" applyFont="1" applyAlignment="1">
      <alignment horizontal="center" vertical="top"/>
    </xf>
    <xf numFmtId="0" fontId="308" fillId="0" borderId="0" xfId="30634" applyFont="1" applyAlignment="1">
      <alignment vertical="top"/>
    </xf>
    <xf numFmtId="0" fontId="326" fillId="0" borderId="0" xfId="30634" applyFont="1" applyAlignment="1">
      <alignment vertical="top"/>
    </xf>
    <xf numFmtId="0" fontId="308" fillId="0" borderId="0" xfId="30634" applyFont="1" applyAlignment="1">
      <alignment vertical="top" wrapText="1"/>
    </xf>
    <xf numFmtId="0" fontId="306" fillId="0" borderId="0" xfId="0" applyFont="1" applyAlignment="1">
      <alignment vertical="center"/>
    </xf>
    <xf numFmtId="0" fontId="306" fillId="0" borderId="1" xfId="0" applyFont="1" applyBorder="1" applyAlignment="1">
      <alignment vertical="center"/>
    </xf>
    <xf numFmtId="0" fontId="306" fillId="0" borderId="1" xfId="0" applyFont="1" applyBorder="1" applyAlignment="1">
      <alignment vertical="center" wrapText="1"/>
    </xf>
    <xf numFmtId="1" fontId="301" fillId="0" borderId="1" xfId="0" applyNumberFormat="1" applyFont="1" applyBorder="1" applyAlignment="1">
      <alignment horizontal="right" vertical="center" wrapText="1"/>
    </xf>
    <xf numFmtId="0" fontId="301" fillId="0" borderId="1" xfId="0" applyFont="1" applyBorder="1" applyAlignment="1">
      <alignment horizontal="left" vertical="center" wrapText="1"/>
    </xf>
    <xf numFmtId="0" fontId="306" fillId="0" borderId="1" xfId="0" applyFont="1" applyBorder="1" applyAlignment="1">
      <alignment horizontal="center" vertical="center"/>
    </xf>
    <xf numFmtId="0" fontId="306" fillId="0" borderId="0" xfId="0" applyFont="1" applyAlignment="1">
      <alignment horizontal="center" vertical="center"/>
    </xf>
    <xf numFmtId="0" fontId="301" fillId="0" borderId="1" xfId="0" applyFont="1" applyBorder="1" applyAlignment="1">
      <alignment horizontal="left" vertical="center"/>
    </xf>
    <xf numFmtId="0" fontId="301" fillId="0" borderId="1" xfId="0" applyFont="1" applyBorder="1" applyAlignment="1">
      <alignment horizontal="center" vertical="center"/>
    </xf>
    <xf numFmtId="0" fontId="306" fillId="0" borderId="0" xfId="2752" applyFont="1" applyAlignment="1">
      <alignment horizontal="left" vertical="top" wrapText="1"/>
    </xf>
    <xf numFmtId="171" fontId="306" fillId="0" borderId="1" xfId="0" applyNumberFormat="1" applyFont="1" applyBorder="1" applyAlignment="1">
      <alignment horizontal="center" vertical="center"/>
    </xf>
    <xf numFmtId="188" fontId="306" fillId="0" borderId="1" xfId="1" applyNumberFormat="1" applyFont="1" applyBorder="1" applyAlignment="1">
      <alignment horizontal="right" vertical="center"/>
    </xf>
    <xf numFmtId="1" fontId="306" fillId="0" borderId="1" xfId="0" applyNumberFormat="1" applyFont="1" applyBorder="1" applyAlignment="1">
      <alignment vertical="center"/>
    </xf>
    <xf numFmtId="0" fontId="306" fillId="0" borderId="0" xfId="2752" applyFont="1" applyAlignment="1">
      <alignment vertical="top" wrapText="1"/>
    </xf>
    <xf numFmtId="188" fontId="306" fillId="7" borderId="1" xfId="1" applyNumberFormat="1" applyFont="1" applyFill="1" applyBorder="1" applyAlignment="1">
      <alignment horizontal="right" vertical="center"/>
    </xf>
    <xf numFmtId="203" fontId="329" fillId="0" borderId="5" xfId="0" applyNumberFormat="1" applyFont="1" applyBorder="1" applyAlignment="1">
      <alignment vertical="center"/>
    </xf>
    <xf numFmtId="4" fontId="330" fillId="0" borderId="1" xfId="0" applyNumberFormat="1" applyFont="1" applyBorder="1" applyAlignment="1">
      <alignment horizontal="center" vertical="center"/>
    </xf>
    <xf numFmtId="203" fontId="306" fillId="0" borderId="0" xfId="0" applyNumberFormat="1" applyFont="1" applyAlignment="1">
      <alignment vertical="center"/>
    </xf>
    <xf numFmtId="0" fontId="301" fillId="0" borderId="1" xfId="0" applyFont="1" applyBorder="1" applyAlignment="1">
      <alignment horizontal="right" vertical="center"/>
    </xf>
    <xf numFmtId="0" fontId="301" fillId="0" borderId="1" xfId="0" applyFont="1" applyBorder="1" applyAlignment="1">
      <alignment vertical="center"/>
    </xf>
    <xf numFmtId="188" fontId="301" fillId="7" borderId="1" xfId="1" applyNumberFormat="1" applyFont="1" applyFill="1" applyBorder="1" applyAlignment="1">
      <alignment horizontal="right" vertical="center"/>
    </xf>
    <xf numFmtId="2" fontId="306" fillId="0" borderId="1" xfId="0" applyNumberFormat="1" applyFont="1" applyBorder="1" applyAlignment="1">
      <alignment horizontal="center" vertical="center"/>
    </xf>
    <xf numFmtId="0" fontId="306" fillId="0" borderId="1" xfId="2752" applyFont="1" applyBorder="1" applyAlignment="1">
      <alignment horizontal="left" vertical="top" wrapText="1"/>
    </xf>
    <xf numFmtId="1" fontId="306" fillId="0" borderId="0" xfId="0" applyNumberFormat="1" applyFont="1" applyAlignment="1">
      <alignment vertical="center"/>
    </xf>
    <xf numFmtId="0" fontId="306" fillId="7" borderId="1" xfId="0" applyFont="1" applyFill="1" applyBorder="1" applyAlignment="1">
      <alignment horizontal="center" vertical="center"/>
    </xf>
    <xf numFmtId="0" fontId="306" fillId="7" borderId="1" xfId="0" applyFont="1" applyFill="1" applyBorder="1" applyAlignment="1">
      <alignment vertical="center" wrapText="1"/>
    </xf>
    <xf numFmtId="2" fontId="306" fillId="7" borderId="1" xfId="0" applyNumberFormat="1" applyFont="1" applyFill="1" applyBorder="1" applyAlignment="1">
      <alignment horizontal="center" vertical="center"/>
    </xf>
    <xf numFmtId="1" fontId="306" fillId="7" borderId="0" xfId="0" applyNumberFormat="1" applyFont="1" applyFill="1" applyAlignment="1">
      <alignment vertical="center"/>
    </xf>
    <xf numFmtId="0" fontId="306" fillId="7" borderId="1" xfId="2752" applyFont="1" applyFill="1" applyBorder="1" applyAlignment="1">
      <alignment horizontal="left" vertical="top" wrapText="1"/>
    </xf>
    <xf numFmtId="0" fontId="306" fillId="7" borderId="0" xfId="0" applyFont="1" applyFill="1" applyAlignment="1">
      <alignment vertical="center"/>
    </xf>
    <xf numFmtId="188" fontId="306" fillId="0" borderId="1" xfId="1" applyNumberFormat="1" applyFont="1" applyFill="1" applyBorder="1" applyAlignment="1">
      <alignment horizontal="right" vertical="center"/>
    </xf>
    <xf numFmtId="2" fontId="306" fillId="0" borderId="1" xfId="1" applyNumberFormat="1" applyFont="1" applyBorder="1" applyAlignment="1">
      <alignment horizontal="right" vertical="center"/>
    </xf>
    <xf numFmtId="204" fontId="306" fillId="0" borderId="0" xfId="1" applyNumberFormat="1" applyFont="1" applyFill="1" applyBorder="1" applyAlignment="1">
      <alignment horizontal="right" vertical="center"/>
    </xf>
    <xf numFmtId="188" fontId="306" fillId="0" borderId="0" xfId="0" applyNumberFormat="1" applyFont="1" applyAlignment="1">
      <alignment vertical="center"/>
    </xf>
    <xf numFmtId="188" fontId="301" fillId="0" borderId="1" xfId="1" applyNumberFormat="1" applyFont="1" applyBorder="1" applyAlignment="1">
      <alignment horizontal="right" vertical="center"/>
    </xf>
    <xf numFmtId="205" fontId="306" fillId="33" borderId="67" xfId="2752" applyNumberFormat="1" applyFont="1" applyFill="1" applyBorder="1" applyAlignment="1">
      <alignment horizontal="left" vertical="top" wrapText="1"/>
    </xf>
    <xf numFmtId="203" fontId="306" fillId="0" borderId="0" xfId="2752" applyNumberFormat="1" applyFont="1" applyAlignment="1">
      <alignment horizontal="left" vertical="top" wrapText="1"/>
    </xf>
    <xf numFmtId="206" fontId="306" fillId="0" borderId="0" xfId="2752" applyNumberFormat="1" applyFont="1" applyAlignment="1">
      <alignment horizontal="left" vertical="top" wrapText="1"/>
    </xf>
    <xf numFmtId="0" fontId="306" fillId="0" borderId="0" xfId="0" applyFont="1" applyAlignment="1">
      <alignment horizontal="justify" vertical="center" wrapText="1"/>
    </xf>
    <xf numFmtId="0" fontId="306" fillId="0" borderId="0" xfId="6367" applyFont="1" applyAlignment="1">
      <alignment horizontal="justify"/>
    </xf>
    <xf numFmtId="2" fontId="306" fillId="0" borderId="0" xfId="6367" applyNumberFormat="1" applyFont="1" applyAlignment="1">
      <alignment horizontal="justify"/>
    </xf>
    <xf numFmtId="0" fontId="331" fillId="0" borderId="0" xfId="0" applyFont="1" applyAlignment="1">
      <alignment vertical="center"/>
    </xf>
    <xf numFmtId="0" fontId="306" fillId="0" borderId="0" xfId="0" applyFont="1" applyAlignment="1">
      <alignment horizontal="center" vertical="center" wrapText="1"/>
    </xf>
    <xf numFmtId="1" fontId="330" fillId="0" borderId="0" xfId="0" applyNumberFormat="1" applyFont="1" applyAlignment="1">
      <alignment vertical="center"/>
    </xf>
    <xf numFmtId="0" fontId="330" fillId="0" borderId="0" xfId="0" applyFont="1" applyAlignment="1">
      <alignment horizontal="center" vertical="center"/>
    </xf>
    <xf numFmtId="0" fontId="306" fillId="0" borderId="0" xfId="0" applyFont="1" applyAlignment="1">
      <alignment horizontal="right" vertical="center"/>
    </xf>
    <xf numFmtId="0" fontId="301" fillId="0" borderId="0" xfId="30636" applyFont="1" applyAlignment="1">
      <alignment horizontal="center" vertical="top"/>
    </xf>
    <xf numFmtId="1" fontId="306" fillId="0" borderId="0" xfId="0" applyNumberFormat="1" applyFont="1" applyAlignment="1">
      <alignment horizontal="center" vertical="center"/>
    </xf>
    <xf numFmtId="0" fontId="332" fillId="0" borderId="0" xfId="0" applyFont="1" applyAlignment="1">
      <alignment vertical="center"/>
    </xf>
    <xf numFmtId="0" fontId="331" fillId="0" borderId="0" xfId="0" applyFont="1" applyAlignment="1">
      <alignment horizontal="center" vertical="center"/>
    </xf>
    <xf numFmtId="0" fontId="331" fillId="0" borderId="0" xfId="0" applyFont="1" applyAlignment="1">
      <alignment horizontal="right" vertical="center"/>
    </xf>
    <xf numFmtId="0" fontId="301" fillId="0" borderId="0" xfId="0" applyFont="1" applyAlignment="1">
      <alignment vertical="center"/>
    </xf>
    <xf numFmtId="0" fontId="308" fillId="0" borderId="0" xfId="7647" applyFont="1" applyProtection="1">
      <protection locked="0"/>
    </xf>
    <xf numFmtId="0" fontId="333" fillId="0" borderId="1" xfId="7647" applyFont="1" applyBorder="1" applyAlignment="1" applyProtection="1">
      <alignment horizontal="center" vertical="center"/>
      <protection locked="0"/>
    </xf>
    <xf numFmtId="0" fontId="333" fillId="0" borderId="0" xfId="7647" applyFont="1" applyProtection="1">
      <protection locked="0"/>
    </xf>
    <xf numFmtId="0" fontId="333" fillId="0" borderId="11" xfId="7647" applyFont="1" applyBorder="1" applyAlignment="1" applyProtection="1">
      <alignment horizontal="center" vertical="center"/>
      <protection locked="0"/>
    </xf>
    <xf numFmtId="0" fontId="308" fillId="0" borderId="0" xfId="7647" applyFont="1" applyAlignment="1" applyProtection="1">
      <alignment horizontal="center" vertical="center"/>
      <protection locked="0"/>
    </xf>
    <xf numFmtId="0" fontId="333" fillId="0" borderId="54" xfId="7647" applyFont="1" applyBorder="1" applyAlignment="1" applyProtection="1">
      <alignment horizontal="center" vertical="center"/>
      <protection locked="0"/>
    </xf>
    <xf numFmtId="0" fontId="308" fillId="0" borderId="30" xfId="7647" applyFont="1" applyBorder="1" applyProtection="1">
      <protection locked="0"/>
    </xf>
    <xf numFmtId="0" fontId="308" fillId="0" borderId="31" xfId="7647" applyFont="1" applyBorder="1" applyAlignment="1" applyProtection="1">
      <alignment horizontal="center" vertical="center"/>
      <protection locked="0"/>
    </xf>
    <xf numFmtId="0" fontId="308" fillId="0" borderId="31" xfId="7647" applyFont="1" applyBorder="1" applyProtection="1">
      <protection locked="0"/>
    </xf>
    <xf numFmtId="0" fontId="308" fillId="0" borderId="30" xfId="7647" applyFont="1" applyBorder="1"/>
    <xf numFmtId="0" fontId="308" fillId="0" borderId="31" xfId="7647" applyFont="1" applyBorder="1"/>
    <xf numFmtId="0" fontId="308" fillId="0" borderId="37" xfId="7647" applyFont="1" applyBorder="1"/>
    <xf numFmtId="0" fontId="308" fillId="0" borderId="32" xfId="7647" applyFont="1" applyBorder="1" applyProtection="1">
      <protection locked="0"/>
    </xf>
    <xf numFmtId="0" fontId="333" fillId="22" borderId="28" xfId="7647" applyFont="1" applyFill="1" applyBorder="1" applyAlignment="1" applyProtection="1">
      <alignment horizontal="center" vertical="center"/>
      <protection locked="0"/>
    </xf>
    <xf numFmtId="0" fontId="308" fillId="0" borderId="32" xfId="7647" applyFont="1" applyBorder="1"/>
    <xf numFmtId="0" fontId="333" fillId="28" borderId="28" xfId="7647" applyFont="1" applyFill="1" applyBorder="1" applyAlignment="1">
      <alignment horizontal="center" vertical="center"/>
    </xf>
    <xf numFmtId="0" fontId="308" fillId="0" borderId="0" xfId="7647" applyFont="1"/>
    <xf numFmtId="0" fontId="308" fillId="0" borderId="41" xfId="7647" applyFont="1" applyBorder="1"/>
    <xf numFmtId="0" fontId="333" fillId="0" borderId="28" xfId="7647" applyFont="1" applyBorder="1" applyAlignment="1">
      <alignment horizontal="center" vertical="center"/>
    </xf>
    <xf numFmtId="0" fontId="333" fillId="0" borderId="40" xfId="7647" applyFont="1" applyBorder="1" applyAlignment="1">
      <alignment horizontal="center" vertical="center"/>
    </xf>
    <xf numFmtId="0" fontId="333" fillId="0" borderId="0" xfId="7647" applyFont="1" applyAlignment="1" applyProtection="1">
      <alignment horizontal="center" wrapText="1"/>
      <protection locked="0"/>
    </xf>
    <xf numFmtId="2" fontId="308" fillId="28" borderId="40" xfId="7647" applyNumberFormat="1" applyFont="1" applyFill="1" applyBorder="1" applyAlignment="1">
      <alignment horizontal="center" vertical="center"/>
    </xf>
    <xf numFmtId="2" fontId="308" fillId="28" borderId="28" xfId="7647" applyNumberFormat="1" applyFont="1" applyFill="1" applyBorder="1"/>
    <xf numFmtId="1" fontId="308" fillId="22" borderId="65" xfId="7647" applyNumberFormat="1" applyFont="1" applyFill="1" applyBorder="1" applyAlignment="1" applyProtection="1">
      <alignment horizontal="center" vertical="center"/>
      <protection locked="0"/>
    </xf>
    <xf numFmtId="0" fontId="308" fillId="0" borderId="82" xfId="7647" applyFont="1" applyBorder="1" applyProtection="1">
      <protection locked="0"/>
    </xf>
    <xf numFmtId="0" fontId="308" fillId="0" borderId="0" xfId="7647" applyFont="1" applyAlignment="1" applyProtection="1">
      <alignment horizontal="center"/>
      <protection locked="0"/>
    </xf>
    <xf numFmtId="1" fontId="308" fillId="22" borderId="28" xfId="7647" applyNumberFormat="1" applyFont="1" applyFill="1" applyBorder="1" applyAlignment="1" applyProtection="1">
      <alignment horizontal="center" vertical="center"/>
      <protection locked="0"/>
    </xf>
    <xf numFmtId="0" fontId="308" fillId="0" borderId="62" xfId="7647" applyFont="1" applyBorder="1" applyProtection="1">
      <protection locked="0"/>
    </xf>
    <xf numFmtId="0" fontId="333" fillId="0" borderId="4" xfId="7647" applyFont="1" applyBorder="1" applyAlignment="1" applyProtection="1">
      <alignment horizontal="center" vertical="center"/>
      <protection locked="0"/>
    </xf>
    <xf numFmtId="1" fontId="308" fillId="22" borderId="28" xfId="7647" applyNumberFormat="1" applyFont="1" applyFill="1" applyBorder="1" applyAlignment="1" applyProtection="1">
      <alignment horizontal="center" vertical="center" wrapText="1"/>
      <protection locked="0"/>
    </xf>
    <xf numFmtId="171" fontId="308" fillId="22" borderId="65" xfId="7647" applyNumberFormat="1" applyFont="1" applyFill="1" applyBorder="1" applyAlignment="1" applyProtection="1">
      <alignment horizontal="center" vertical="center"/>
      <protection locked="0"/>
    </xf>
    <xf numFmtId="0" fontId="308" fillId="18" borderId="0" xfId="7647" applyFont="1" applyFill="1" applyAlignment="1" applyProtection="1">
      <alignment horizontal="center"/>
      <protection locked="0"/>
    </xf>
    <xf numFmtId="171" fontId="308" fillId="22" borderId="28" xfId="7647" applyNumberFormat="1" applyFont="1" applyFill="1" applyBorder="1" applyAlignment="1" applyProtection="1">
      <alignment horizontal="center" vertical="center"/>
      <protection locked="0"/>
    </xf>
    <xf numFmtId="171" fontId="308" fillId="18" borderId="32" xfId="7647" applyNumberFormat="1" applyFont="1" applyFill="1" applyBorder="1" applyAlignment="1" applyProtection="1">
      <alignment horizontal="center" vertical="center"/>
      <protection locked="0"/>
    </xf>
    <xf numFmtId="176" fontId="308" fillId="28" borderId="28" xfId="7647" applyNumberFormat="1" applyFont="1" applyFill="1" applyBorder="1" applyAlignment="1">
      <alignment horizontal="center" vertical="center"/>
    </xf>
    <xf numFmtId="171" fontId="308" fillId="22" borderId="67" xfId="7647" applyNumberFormat="1" applyFont="1" applyFill="1" applyBorder="1" applyAlignment="1" applyProtection="1">
      <alignment horizontal="center" vertical="center"/>
      <protection locked="0"/>
    </xf>
    <xf numFmtId="0" fontId="308" fillId="0" borderId="0" xfId="7647" applyFont="1" applyAlignment="1">
      <alignment horizontal="center" vertical="center"/>
    </xf>
    <xf numFmtId="176" fontId="308" fillId="0" borderId="0" xfId="7647" applyNumberFormat="1" applyFont="1" applyAlignment="1">
      <alignment horizontal="center"/>
    </xf>
    <xf numFmtId="0" fontId="308" fillId="22" borderId="65" xfId="7647" applyFont="1" applyFill="1" applyBorder="1" applyAlignment="1" applyProtection="1">
      <alignment horizontal="center"/>
      <protection locked="0"/>
    </xf>
    <xf numFmtId="3" fontId="308" fillId="28" borderId="28" xfId="7647" applyNumberFormat="1" applyFont="1" applyFill="1" applyBorder="1" applyAlignment="1">
      <alignment horizontal="center" vertical="center"/>
    </xf>
    <xf numFmtId="0" fontId="308" fillId="22" borderId="28" xfId="7647" applyFont="1" applyFill="1" applyBorder="1" applyAlignment="1" applyProtection="1">
      <alignment horizontal="center"/>
      <protection locked="0"/>
    </xf>
    <xf numFmtId="0" fontId="308" fillId="18" borderId="32" xfId="7647" applyFont="1" applyFill="1" applyBorder="1" applyAlignment="1" applyProtection="1">
      <alignment horizontal="center"/>
      <protection locked="0"/>
    </xf>
    <xf numFmtId="0" fontId="333" fillId="28" borderId="29" xfId="7647" applyFont="1" applyFill="1" applyBorder="1" applyAlignment="1">
      <alignment horizontal="right" vertical="center"/>
    </xf>
    <xf numFmtId="0" fontId="334" fillId="28" borderId="5" xfId="7647" applyFont="1" applyFill="1" applyBorder="1" applyAlignment="1">
      <alignment horizontal="left"/>
    </xf>
    <xf numFmtId="0" fontId="335" fillId="18" borderId="0" xfId="7647" applyFont="1" applyFill="1" applyAlignment="1">
      <alignment horizontal="center" vertical="center"/>
    </xf>
    <xf numFmtId="0" fontId="308" fillId="18" borderId="0" xfId="7647" applyFont="1" applyFill="1" applyAlignment="1">
      <alignment horizontal="center" vertical="center"/>
    </xf>
    <xf numFmtId="1" fontId="308" fillId="22" borderId="67" xfId="7647" applyNumberFormat="1" applyFont="1" applyFill="1" applyBorder="1" applyAlignment="1" applyProtection="1">
      <alignment horizontal="center" vertical="center"/>
      <protection locked="0"/>
    </xf>
    <xf numFmtId="0" fontId="336" fillId="0" borderId="0" xfId="7647" applyFont="1"/>
    <xf numFmtId="0" fontId="337" fillId="0" borderId="1" xfId="7647" applyFont="1" applyBorder="1" applyAlignment="1">
      <alignment horizontal="center" vertical="center"/>
    </xf>
    <xf numFmtId="0" fontId="333" fillId="0" borderId="0" xfId="7647" applyFont="1" applyAlignment="1" applyProtection="1">
      <alignment vertical="center" wrapText="1"/>
      <protection locked="0"/>
    </xf>
    <xf numFmtId="0" fontId="337" fillId="26" borderId="1" xfId="7647" applyFont="1" applyFill="1" applyBorder="1" applyAlignment="1">
      <alignment horizontal="center" vertical="center"/>
    </xf>
    <xf numFmtId="0" fontId="310" fillId="0" borderId="0" xfId="7647" applyFont="1" applyProtection="1">
      <protection locked="0"/>
    </xf>
    <xf numFmtId="0" fontId="333" fillId="0" borderId="0" xfId="7647" applyFont="1" applyAlignment="1" applyProtection="1">
      <alignment horizontal="center" vertical="center" wrapText="1"/>
      <protection locked="0"/>
    </xf>
    <xf numFmtId="0" fontId="333" fillId="0" borderId="0" xfId="7647" applyFont="1" applyAlignment="1" applyProtection="1">
      <alignment horizontal="center" vertical="center"/>
      <protection locked="0"/>
    </xf>
    <xf numFmtId="0" fontId="308" fillId="18" borderId="0" xfId="7647" applyFont="1" applyFill="1" applyAlignment="1" applyProtection="1">
      <alignment horizontal="center" vertical="center"/>
      <protection locked="0"/>
    </xf>
    <xf numFmtId="0" fontId="337" fillId="23" borderId="1" xfId="7647" applyFont="1" applyFill="1" applyBorder="1" applyAlignment="1">
      <alignment horizontal="center" vertical="center"/>
    </xf>
    <xf numFmtId="0" fontId="337" fillId="25" borderId="1" xfId="7647" applyFont="1" applyFill="1" applyBorder="1" applyAlignment="1">
      <alignment horizontal="center" vertical="center"/>
    </xf>
    <xf numFmtId="0" fontId="308" fillId="22" borderId="65" xfId="7647" applyFont="1" applyFill="1" applyBorder="1" applyAlignment="1" applyProtection="1">
      <alignment horizontal="center" vertical="center"/>
      <protection locked="0"/>
    </xf>
    <xf numFmtId="0" fontId="337" fillId="27" borderId="1" xfId="7647" applyFont="1" applyFill="1" applyBorder="1" applyAlignment="1">
      <alignment horizontal="center" vertical="center"/>
    </xf>
    <xf numFmtId="0" fontId="308" fillId="22" borderId="67" xfId="7647" applyFont="1" applyFill="1" applyBorder="1" applyAlignment="1" applyProtection="1">
      <alignment horizontal="center"/>
      <protection locked="0"/>
    </xf>
    <xf numFmtId="0" fontId="337" fillId="0" borderId="0" xfId="7647" applyFont="1" applyAlignment="1">
      <alignment horizontal="center" vertical="center"/>
    </xf>
    <xf numFmtId="0" fontId="333" fillId="28" borderId="1" xfId="7647" applyFont="1" applyFill="1" applyBorder="1" applyAlignment="1">
      <alignment horizontal="center" vertical="center"/>
    </xf>
    <xf numFmtId="0" fontId="308" fillId="0" borderId="33" xfId="7647" applyFont="1" applyBorder="1" applyProtection="1">
      <protection locked="0"/>
    </xf>
    <xf numFmtId="0" fontId="308" fillId="0" borderId="23" xfId="7647" applyFont="1" applyBorder="1" applyProtection="1">
      <protection locked="0"/>
    </xf>
    <xf numFmtId="0" fontId="308" fillId="0" borderId="23" xfId="7647" applyFont="1" applyBorder="1" applyAlignment="1" applyProtection="1">
      <alignment horizontal="center" vertical="center"/>
      <protection locked="0"/>
    </xf>
    <xf numFmtId="0" fontId="308" fillId="0" borderId="33" xfId="7647" applyFont="1" applyBorder="1"/>
    <xf numFmtId="0" fontId="308" fillId="0" borderId="23" xfId="7647" applyFont="1" applyBorder="1"/>
    <xf numFmtId="0" fontId="308" fillId="0" borderId="35" xfId="7647" applyFont="1" applyBorder="1"/>
    <xf numFmtId="0" fontId="339" fillId="0" borderId="0" xfId="3524" applyFont="1" applyAlignment="1" applyProtection="1">
      <alignment horizontal="center" vertical="center" textRotation="90" wrapText="1"/>
      <protection locked="0"/>
    </xf>
    <xf numFmtId="0" fontId="294" fillId="0" borderId="0" xfId="3524" applyFont="1" applyProtection="1">
      <protection locked="0"/>
    </xf>
    <xf numFmtId="0" fontId="294" fillId="18" borderId="0" xfId="3524" applyFont="1" applyFill="1" applyProtection="1">
      <protection locked="0"/>
    </xf>
    <xf numFmtId="0" fontId="340" fillId="18" borderId="0" xfId="3524" applyFont="1" applyFill="1" applyAlignment="1" applyProtection="1">
      <alignment horizontal="center" vertical="top"/>
      <protection locked="0"/>
    </xf>
    <xf numFmtId="0" fontId="340" fillId="18" borderId="0" xfId="30633" applyFont="1" applyFill="1" applyBorder="1" applyProtection="1">
      <alignment vertical="center" wrapText="1" shrinkToFit="1"/>
      <protection locked="0"/>
    </xf>
    <xf numFmtId="2" fontId="340" fillId="18" borderId="0" xfId="30633" applyNumberFormat="1" applyFont="1" applyFill="1" applyBorder="1" applyProtection="1">
      <alignment vertical="center" wrapText="1" shrinkToFit="1"/>
      <protection locked="0"/>
    </xf>
    <xf numFmtId="0" fontId="294" fillId="18" borderId="0" xfId="30633" applyFont="1" applyFill="1" applyBorder="1" applyAlignment="1" applyProtection="1">
      <alignment horizontal="center" vertical="center" wrapText="1" shrinkToFit="1"/>
      <protection locked="0"/>
    </xf>
    <xf numFmtId="2" fontId="340" fillId="18" borderId="0" xfId="30633" applyNumberFormat="1" applyFont="1" applyFill="1" applyBorder="1" applyAlignment="1" applyProtection="1">
      <alignment horizontal="center" vertical="center" wrapText="1" shrinkToFit="1"/>
      <protection locked="0"/>
    </xf>
    <xf numFmtId="0" fontId="340" fillId="18" borderId="0" xfId="3524" applyFont="1" applyFill="1" applyAlignment="1" applyProtection="1">
      <alignment horizontal="left" vertical="top" indent="4"/>
      <protection locked="0"/>
    </xf>
    <xf numFmtId="0" fontId="339" fillId="18" borderId="0" xfId="3524" applyFont="1" applyFill="1" applyAlignment="1" applyProtection="1">
      <alignment horizontal="center" vertical="center" textRotation="90" wrapText="1"/>
      <protection locked="0"/>
    </xf>
    <xf numFmtId="0" fontId="341" fillId="18" borderId="0" xfId="3524" applyFont="1" applyFill="1" applyProtection="1">
      <protection locked="0"/>
    </xf>
    <xf numFmtId="0" fontId="342" fillId="18" borderId="0" xfId="3524" applyFont="1" applyFill="1" applyAlignment="1" applyProtection="1">
      <alignment horizontal="center" vertical="top"/>
      <protection locked="0"/>
    </xf>
    <xf numFmtId="0" fontId="342" fillId="18" borderId="0" xfId="3524" applyFont="1" applyFill="1" applyAlignment="1" applyProtection="1">
      <alignment vertical="top"/>
      <protection locked="0"/>
    </xf>
    <xf numFmtId="0" fontId="342" fillId="18" borderId="0" xfId="3524" applyFont="1" applyFill="1" applyAlignment="1" applyProtection="1">
      <alignment horizontal="center" vertical="center"/>
      <protection locked="0"/>
    </xf>
    <xf numFmtId="2" fontId="342" fillId="18" borderId="0" xfId="30633" applyNumberFormat="1" applyFont="1" applyFill="1" applyBorder="1" applyProtection="1">
      <alignment vertical="center" wrapText="1" shrinkToFit="1"/>
      <protection locked="0"/>
    </xf>
    <xf numFmtId="0" fontId="342" fillId="18" borderId="0" xfId="3524" applyFont="1" applyFill="1" applyAlignment="1" applyProtection="1">
      <alignment horizontal="right" vertical="top"/>
      <protection locked="0"/>
    </xf>
    <xf numFmtId="2" fontId="342" fillId="18" borderId="0" xfId="30633" applyNumberFormat="1" applyFont="1" applyFill="1" applyBorder="1" applyAlignment="1" applyProtection="1">
      <alignment horizontal="center" vertical="center" wrapText="1" shrinkToFit="1"/>
      <protection locked="0"/>
    </xf>
    <xf numFmtId="0" fontId="342" fillId="18" borderId="0" xfId="3524" applyFont="1" applyFill="1" applyAlignment="1" applyProtection="1">
      <alignment horizontal="left" vertical="top" indent="5"/>
      <protection locked="0"/>
    </xf>
    <xf numFmtId="2" fontId="341" fillId="18" borderId="0" xfId="3524" applyNumberFormat="1" applyFont="1" applyFill="1" applyAlignment="1" applyProtection="1">
      <alignment horizontal="center"/>
      <protection locked="0"/>
    </xf>
    <xf numFmtId="0" fontId="341" fillId="0" borderId="0" xfId="3524" applyFont="1" applyProtection="1">
      <protection locked="0"/>
    </xf>
    <xf numFmtId="0" fontId="294" fillId="0" borderId="0" xfId="2778" applyFont="1"/>
    <xf numFmtId="0" fontId="344" fillId="0" borderId="1" xfId="2778" applyFont="1" applyBorder="1" applyAlignment="1">
      <alignment horizontal="center" vertical="center" wrapText="1"/>
    </xf>
    <xf numFmtId="0" fontId="345" fillId="0" borderId="0" xfId="2778" applyFont="1"/>
    <xf numFmtId="0" fontId="346" fillId="0" borderId="0" xfId="2778" applyFont="1" applyAlignment="1">
      <alignment horizontal="center" vertical="top" wrapText="1"/>
    </xf>
    <xf numFmtId="0" fontId="345" fillId="0" borderId="1" xfId="2778" applyFont="1" applyBorder="1"/>
    <xf numFmtId="1" fontId="345" fillId="0" borderId="1" xfId="2778" applyNumberFormat="1" applyFont="1" applyBorder="1"/>
    <xf numFmtId="1" fontId="345" fillId="0" borderId="1" xfId="2778" applyNumberFormat="1" applyFont="1" applyBorder="1" applyAlignment="1">
      <alignment horizontal="center" vertical="center" wrapText="1"/>
    </xf>
    <xf numFmtId="0" fontId="347" fillId="0" borderId="1" xfId="2778" applyFont="1" applyBorder="1" applyAlignment="1">
      <alignment horizontal="center" vertical="center" wrapText="1"/>
    </xf>
    <xf numFmtId="1" fontId="294" fillId="0" borderId="1" xfId="2778" applyNumberFormat="1" applyFont="1" applyBorder="1" applyAlignment="1">
      <alignment horizontal="center"/>
    </xf>
    <xf numFmtId="3" fontId="348" fillId="0" borderId="0" xfId="2778" applyNumberFormat="1" applyFont="1"/>
    <xf numFmtId="0" fontId="294" fillId="0" borderId="1" xfId="2778" applyFont="1" applyBorder="1" applyAlignment="1">
      <alignment horizontal="center" vertical="center"/>
    </xf>
    <xf numFmtId="1" fontId="341" fillId="0" borderId="1" xfId="2778" applyNumberFormat="1" applyFont="1" applyBorder="1" applyAlignment="1">
      <alignment horizontal="center"/>
    </xf>
    <xf numFmtId="0" fontId="294" fillId="0" borderId="1" xfId="2778" applyFont="1" applyBorder="1"/>
    <xf numFmtId="0" fontId="300" fillId="0" borderId="1" xfId="2778" applyFont="1" applyBorder="1" applyAlignment="1">
      <alignment horizontal="center" vertical="center" wrapText="1"/>
    </xf>
    <xf numFmtId="1" fontId="300" fillId="0" borderId="1" xfId="2778" applyNumberFormat="1" applyFont="1" applyBorder="1" applyAlignment="1">
      <alignment horizontal="center" vertical="center"/>
    </xf>
    <xf numFmtId="1" fontId="349" fillId="0" borderId="1" xfId="2778" applyNumberFormat="1" applyFont="1" applyBorder="1" applyAlignment="1">
      <alignment horizontal="center" vertical="center"/>
    </xf>
    <xf numFmtId="2" fontId="300" fillId="0" borderId="0" xfId="2778" applyNumberFormat="1" applyFont="1" applyAlignment="1">
      <alignment vertical="center"/>
    </xf>
    <xf numFmtId="0" fontId="300" fillId="0" borderId="0" xfId="2778" applyFont="1" applyAlignment="1">
      <alignment vertical="center"/>
    </xf>
    <xf numFmtId="0" fontId="300" fillId="0" borderId="0" xfId="2778" applyFont="1"/>
    <xf numFmtId="0" fontId="300" fillId="0" borderId="0" xfId="2778" applyFont="1" applyAlignment="1">
      <alignment horizontal="center"/>
    </xf>
    <xf numFmtId="1" fontId="300" fillId="0" borderId="0" xfId="2778" applyNumberFormat="1" applyFont="1" applyAlignment="1">
      <alignment horizontal="center"/>
    </xf>
    <xf numFmtId="0" fontId="300" fillId="0" borderId="0" xfId="2778" applyFont="1" applyAlignment="1">
      <alignment horizontal="left"/>
    </xf>
    <xf numFmtId="1" fontId="346" fillId="0" borderId="0" xfId="2778" applyNumberFormat="1" applyFont="1" applyAlignment="1">
      <alignment horizontal="center"/>
    </xf>
    <xf numFmtId="0" fontId="300" fillId="11" borderId="0" xfId="2778" applyFont="1" applyFill="1" applyAlignment="1">
      <alignment vertical="center"/>
    </xf>
    <xf numFmtId="0" fontId="294" fillId="0" borderId="0" xfId="2778" applyFont="1" applyAlignment="1">
      <alignment horizontal="center"/>
    </xf>
    <xf numFmtId="0" fontId="300" fillId="22" borderId="0" xfId="2778" applyFont="1" applyFill="1" applyAlignment="1">
      <alignment vertical="center"/>
    </xf>
    <xf numFmtId="0" fontId="294" fillId="0" borderId="0" xfId="2778" applyFont="1" applyAlignment="1">
      <alignment horizontal="left"/>
    </xf>
    <xf numFmtId="1" fontId="350" fillId="0" borderId="0" xfId="2778" applyNumberFormat="1" applyFont="1" applyAlignment="1">
      <alignment horizontal="center"/>
    </xf>
    <xf numFmtId="0" fontId="346" fillId="0" borderId="0" xfId="2778" applyFont="1" applyAlignment="1">
      <alignment horizontal="center"/>
    </xf>
    <xf numFmtId="2" fontId="300" fillId="0" borderId="0" xfId="2778" applyNumberFormat="1" applyFont="1" applyAlignment="1">
      <alignment horizontal="center"/>
    </xf>
    <xf numFmtId="0" fontId="339" fillId="0" borderId="0" xfId="2778" applyFont="1" applyAlignment="1">
      <alignment horizontal="center" vertical="center" textRotation="90" wrapText="1"/>
    </xf>
    <xf numFmtId="0" fontId="294" fillId="0" borderId="0" xfId="2778" applyFont="1" applyAlignment="1">
      <alignment wrapText="1"/>
    </xf>
    <xf numFmtId="0" fontId="339" fillId="0" borderId="0" xfId="2778" applyFont="1"/>
    <xf numFmtId="0" fontId="294" fillId="0" borderId="0" xfId="2778" applyFont="1" applyAlignment="1">
      <alignment horizontal="right"/>
    </xf>
    <xf numFmtId="0" fontId="353" fillId="0" borderId="0" xfId="2778" applyFont="1"/>
    <xf numFmtId="0" fontId="354" fillId="0" borderId="1" xfId="2778" applyFont="1" applyBorder="1" applyAlignment="1">
      <alignment horizontal="center"/>
    </xf>
    <xf numFmtId="0" fontId="355" fillId="0" borderId="0" xfId="2778" applyFont="1"/>
    <xf numFmtId="0" fontId="294" fillId="0" borderId="1" xfId="2778" applyFont="1" applyBorder="1" applyAlignment="1">
      <alignment horizontal="center"/>
    </xf>
    <xf numFmtId="0" fontId="300" fillId="7" borderId="0" xfId="2778" applyFont="1" applyFill="1" applyAlignment="1">
      <alignment horizontal="left"/>
    </xf>
    <xf numFmtId="0" fontId="294" fillId="7" borderId="0" xfId="2778" applyFont="1" applyFill="1"/>
    <xf numFmtId="0" fontId="294" fillId="18" borderId="10" xfId="2778" applyFont="1" applyFill="1" applyBorder="1"/>
    <xf numFmtId="0" fontId="340" fillId="18" borderId="0" xfId="2778" applyFont="1" applyFill="1" applyAlignment="1">
      <alignment horizontal="center" vertical="top"/>
    </xf>
    <xf numFmtId="0" fontId="340" fillId="18" borderId="20" xfId="30633" applyFont="1" applyFill="1" applyBorder="1">
      <alignment vertical="center" wrapText="1" shrinkToFit="1"/>
    </xf>
    <xf numFmtId="2" fontId="294" fillId="18" borderId="10" xfId="30633" applyNumberFormat="1" applyFont="1" applyFill="1" applyBorder="1">
      <alignment vertical="center" wrapText="1" shrinkToFit="1"/>
    </xf>
    <xf numFmtId="0" fontId="340" fillId="18" borderId="0" xfId="2778" applyFont="1" applyFill="1" applyAlignment="1">
      <alignment vertical="top"/>
    </xf>
    <xf numFmtId="2" fontId="340" fillId="18" borderId="20" xfId="30633" applyNumberFormat="1" applyFont="1" applyFill="1" applyBorder="1">
      <alignment vertical="center" wrapText="1" shrinkToFit="1"/>
    </xf>
    <xf numFmtId="0" fontId="294" fillId="18" borderId="10" xfId="30633" applyFont="1" applyFill="1" applyBorder="1" applyAlignment="1">
      <alignment horizontal="center" vertical="center" wrapText="1" shrinkToFit="1"/>
    </xf>
    <xf numFmtId="2" fontId="340" fillId="18" borderId="0" xfId="30633" applyNumberFormat="1" applyFont="1" applyFill="1" applyBorder="1" applyAlignment="1">
      <alignment horizontal="center" vertical="center" wrapText="1" shrinkToFit="1"/>
    </xf>
    <xf numFmtId="0" fontId="340" fillId="18" borderId="32" xfId="2778" applyFont="1" applyFill="1" applyBorder="1" applyAlignment="1">
      <alignment horizontal="left" vertical="top" indent="4"/>
    </xf>
    <xf numFmtId="0" fontId="294" fillId="18" borderId="0" xfId="2778" applyFont="1" applyFill="1"/>
    <xf numFmtId="0" fontId="339" fillId="18" borderId="41" xfId="2778" applyFont="1" applyFill="1" applyBorder="1" applyAlignment="1">
      <alignment horizontal="center" vertical="center" textRotation="90" wrapText="1"/>
    </xf>
    <xf numFmtId="0" fontId="294" fillId="18" borderId="3" xfId="2778" applyFont="1" applyFill="1" applyBorder="1"/>
    <xf numFmtId="0" fontId="340" fillId="18" borderId="13" xfId="2778" applyFont="1" applyFill="1" applyBorder="1" applyAlignment="1">
      <alignment horizontal="center" vertical="top"/>
    </xf>
    <xf numFmtId="0" fontId="340" fillId="18" borderId="25" xfId="2778" applyFont="1" applyFill="1" applyBorder="1" applyAlignment="1">
      <alignment vertical="top"/>
    </xf>
    <xf numFmtId="0" fontId="340" fillId="18" borderId="3" xfId="2778" applyFont="1" applyFill="1" applyBorder="1" applyAlignment="1">
      <alignment horizontal="right" vertical="top"/>
    </xf>
    <xf numFmtId="0" fontId="340" fillId="18" borderId="13" xfId="2778" applyFont="1" applyFill="1" applyBorder="1" applyAlignment="1">
      <alignment horizontal="left" vertical="top" indent="1"/>
    </xf>
    <xf numFmtId="2" fontId="340" fillId="18" borderId="25" xfId="30633" applyNumberFormat="1" applyFont="1" applyFill="1" applyBorder="1">
      <alignment vertical="center" wrapText="1" shrinkToFit="1"/>
    </xf>
    <xf numFmtId="2" fontId="340" fillId="18" borderId="13" xfId="30633" applyNumberFormat="1" applyFont="1" applyFill="1" applyBorder="1" applyAlignment="1">
      <alignment horizontal="center" vertical="center" wrapText="1" shrinkToFit="1"/>
    </xf>
    <xf numFmtId="0" fontId="340" fillId="18" borderId="33" xfId="2778" applyFont="1" applyFill="1" applyBorder="1" applyAlignment="1">
      <alignment horizontal="left" vertical="top" indent="5"/>
    </xf>
    <xf numFmtId="2" fontId="294" fillId="18" borderId="23" xfId="2778" applyNumberFormat="1" applyFont="1" applyFill="1" applyBorder="1"/>
    <xf numFmtId="0" fontId="294" fillId="18" borderId="23" xfId="2778" applyFont="1" applyFill="1" applyBorder="1"/>
    <xf numFmtId="0" fontId="294" fillId="18" borderId="35" xfId="2778" applyFont="1" applyFill="1" applyBorder="1"/>
    <xf numFmtId="0" fontId="341" fillId="0" borderId="0" xfId="2778" applyFont="1"/>
    <xf numFmtId="0" fontId="346" fillId="0" borderId="0" xfId="2778" applyFont="1" applyAlignment="1">
      <alignment vertical="center"/>
    </xf>
    <xf numFmtId="0" fontId="314" fillId="0" borderId="0" xfId="30645" applyFont="1"/>
    <xf numFmtId="0" fontId="294" fillId="0" borderId="0" xfId="30645" applyFont="1"/>
    <xf numFmtId="0" fontId="314" fillId="0" borderId="0" xfId="30645" applyFont="1" applyAlignment="1">
      <alignment vertical="center"/>
    </xf>
    <xf numFmtId="0" fontId="294" fillId="0" borderId="0" xfId="30645" applyFont="1" applyAlignment="1">
      <alignment vertical="center"/>
    </xf>
    <xf numFmtId="0" fontId="315" fillId="0" borderId="0" xfId="30645" applyFont="1" applyAlignment="1">
      <alignment vertical="center"/>
    </xf>
    <xf numFmtId="2" fontId="315" fillId="0" borderId="0" xfId="30645" applyNumberFormat="1" applyFont="1" applyAlignment="1">
      <alignment vertical="center"/>
    </xf>
    <xf numFmtId="0" fontId="294" fillId="0" borderId="0" xfId="30645" applyFont="1" applyAlignment="1">
      <alignment horizontal="justify" vertical="justify" wrapText="1"/>
    </xf>
    <xf numFmtId="0" fontId="300" fillId="0" borderId="0" xfId="30645" applyFont="1" applyAlignment="1">
      <alignment horizontal="center"/>
    </xf>
    <xf numFmtId="0" fontId="294" fillId="0" borderId="0" xfId="30645" applyFont="1" applyAlignment="1">
      <alignment horizontal="justify" vertical="top" wrapText="1"/>
    </xf>
    <xf numFmtId="0" fontId="294" fillId="0" borderId="0" xfId="30645" applyFont="1" applyAlignment="1">
      <alignment horizontal="left" wrapText="1"/>
    </xf>
    <xf numFmtId="0" fontId="294" fillId="0" borderId="0" xfId="30645" applyFont="1" applyAlignment="1">
      <alignment horizontal="left" vertical="center"/>
    </xf>
    <xf numFmtId="0" fontId="294" fillId="0" borderId="76" xfId="30645" applyFont="1" applyBorder="1" applyAlignment="1">
      <alignment horizontal="center" vertical="center"/>
    </xf>
    <xf numFmtId="0" fontId="294" fillId="0" borderId="0" xfId="6407" applyFont="1"/>
    <xf numFmtId="0" fontId="294" fillId="0" borderId="0" xfId="30645" applyFont="1" applyAlignment="1">
      <alignment horizontal="left" vertical="top" wrapText="1"/>
    </xf>
    <xf numFmtId="0" fontId="294" fillId="0" borderId="76" xfId="30645" applyFont="1" applyBorder="1" applyAlignment="1">
      <alignment horizontal="center" vertical="center" wrapText="1"/>
    </xf>
    <xf numFmtId="0" fontId="294" fillId="0" borderId="0" xfId="30645" applyFont="1" applyAlignment="1">
      <alignment horizontal="center" vertical="center"/>
    </xf>
    <xf numFmtId="0" fontId="294" fillId="0" borderId="1" xfId="30645" applyFont="1" applyBorder="1" applyAlignment="1">
      <alignment horizontal="center" vertical="center"/>
    </xf>
    <xf numFmtId="0" fontId="294" fillId="0" borderId="0" xfId="30645" applyFont="1" applyAlignment="1">
      <alignment horizontal="center" vertical="center" wrapText="1"/>
    </xf>
    <xf numFmtId="0" fontId="300" fillId="0" borderId="0" xfId="30645" applyFont="1"/>
    <xf numFmtId="0" fontId="294" fillId="0" borderId="0" xfId="30645" applyFont="1" applyAlignment="1">
      <alignment horizontal="center"/>
    </xf>
    <xf numFmtId="0" fontId="294" fillId="0" borderId="0" xfId="6407" applyFont="1" applyAlignment="1">
      <alignment horizontal="center" vertical="center" wrapText="1"/>
    </xf>
    <xf numFmtId="0" fontId="294" fillId="0" borderId="76" xfId="6407" applyFont="1" applyBorder="1" applyAlignment="1">
      <alignment horizontal="center" vertical="center"/>
    </xf>
    <xf numFmtId="0" fontId="294" fillId="0" borderId="76" xfId="6407" applyFont="1" applyBorder="1" applyAlignment="1">
      <alignment horizontal="center" vertical="center" wrapText="1"/>
    </xf>
    <xf numFmtId="1" fontId="294" fillId="0" borderId="76" xfId="6407" applyNumberFormat="1" applyFont="1" applyBorder="1" applyAlignment="1">
      <alignment horizontal="center" vertical="center" wrapText="1"/>
    </xf>
    <xf numFmtId="1" fontId="294" fillId="0" borderId="76" xfId="6407" applyNumberFormat="1" applyFont="1" applyBorder="1"/>
    <xf numFmtId="0" fontId="341" fillId="3" borderId="76" xfId="6407" applyFont="1" applyFill="1" applyBorder="1" applyAlignment="1">
      <alignment horizontal="center" vertical="center" wrapText="1"/>
    </xf>
    <xf numFmtId="1" fontId="350" fillId="0" borderId="76" xfId="6407" applyNumberFormat="1" applyFont="1" applyBorder="1" applyAlignment="1">
      <alignment horizontal="center" vertical="center"/>
    </xf>
    <xf numFmtId="0" fontId="300" fillId="0" borderId="0" xfId="6407" applyFont="1" applyAlignment="1">
      <alignment horizontal="center" vertical="center" wrapText="1"/>
    </xf>
    <xf numFmtId="1" fontId="294" fillId="0" borderId="0" xfId="6407" applyNumberFormat="1" applyFont="1"/>
    <xf numFmtId="1" fontId="294" fillId="0" borderId="0" xfId="6407" applyNumberFormat="1" applyFont="1" applyAlignment="1">
      <alignment horizontal="center" vertical="center" wrapText="1"/>
    </xf>
    <xf numFmtId="0" fontId="300" fillId="0" borderId="0" xfId="30645" applyFont="1" applyAlignment="1">
      <alignment horizontal="center" vertical="center"/>
    </xf>
    <xf numFmtId="0" fontId="294" fillId="0" borderId="1" xfId="30645" applyFont="1" applyBorder="1" applyAlignment="1">
      <alignment horizontal="center" vertical="center" wrapText="1"/>
    </xf>
    <xf numFmtId="9" fontId="294" fillId="0" borderId="11" xfId="32257" applyNumberFormat="1" applyFont="1" applyFill="1" applyBorder="1" applyAlignment="1" applyProtection="1">
      <alignment vertical="center" wrapText="1"/>
    </xf>
    <xf numFmtId="0" fontId="294" fillId="0" borderId="0" xfId="30645" applyFont="1" applyAlignment="1">
      <alignment vertical="top"/>
    </xf>
    <xf numFmtId="0" fontId="351" fillId="0" borderId="0" xfId="30645" applyFont="1" applyAlignment="1">
      <alignment horizontal="center" vertical="top" wrapText="1"/>
    </xf>
    <xf numFmtId="1" fontId="294" fillId="0" borderId="0" xfId="30645" applyNumberFormat="1" applyFont="1" applyAlignment="1">
      <alignment horizontal="center" vertical="top"/>
    </xf>
    <xf numFmtId="0" fontId="294" fillId="0" borderId="0" xfId="30645" applyFont="1" applyAlignment="1">
      <alignment horizontal="center" vertical="top"/>
    </xf>
    <xf numFmtId="0" fontId="351" fillId="0" borderId="0" xfId="30645" applyFont="1" applyAlignment="1">
      <alignment horizontal="left" vertical="top" wrapText="1"/>
    </xf>
    <xf numFmtId="0" fontId="300" fillId="0" borderId="0" xfId="30645" applyFont="1" applyAlignment="1">
      <alignment vertical="center"/>
    </xf>
    <xf numFmtId="0" fontId="294" fillId="0" borderId="1" xfId="30645" applyFont="1" applyBorder="1" applyAlignment="1">
      <alignment horizontal="center" vertical="top"/>
    </xf>
    <xf numFmtId="0" fontId="294" fillId="0" borderId="1" xfId="30645" applyFont="1" applyFill="1" applyBorder="1" applyAlignment="1">
      <alignment horizontal="center" vertical="top" wrapText="1"/>
    </xf>
    <xf numFmtId="0" fontId="294" fillId="0" borderId="1" xfId="30645" applyFont="1" applyFill="1" applyBorder="1" applyAlignment="1">
      <alignment horizontal="center" vertical="center" wrapText="1"/>
    </xf>
    <xf numFmtId="0" fontId="294" fillId="3" borderId="1" xfId="30645" applyFont="1" applyFill="1" applyBorder="1" applyAlignment="1">
      <alignment horizontal="center" vertical="center" wrapText="1"/>
    </xf>
    <xf numFmtId="0" fontId="300" fillId="0" borderId="1" xfId="30645" applyFont="1" applyBorder="1" applyAlignment="1">
      <alignment horizontal="center" vertical="center"/>
    </xf>
    <xf numFmtId="0" fontId="300" fillId="0" borderId="1" xfId="30645" applyFont="1" applyBorder="1" applyAlignment="1">
      <alignment horizontal="center" vertical="center" wrapText="1"/>
    </xf>
    <xf numFmtId="0" fontId="300" fillId="0" borderId="0" xfId="30645" applyFont="1" applyBorder="1" applyAlignment="1">
      <alignment horizontal="center" vertical="center"/>
    </xf>
    <xf numFmtId="0" fontId="300" fillId="0" borderId="0" xfId="30645" applyFont="1" applyBorder="1" applyAlignment="1">
      <alignment horizontal="center" vertical="center" wrapText="1"/>
    </xf>
    <xf numFmtId="0" fontId="294" fillId="0" borderId="0" xfId="30645" applyFont="1" applyAlignment="1">
      <alignment horizontal="justify" vertical="top"/>
    </xf>
    <xf numFmtId="0" fontId="294" fillId="0" borderId="0" xfId="30645" applyFont="1" applyAlignment="1">
      <alignment vertical="top" wrapText="1"/>
    </xf>
    <xf numFmtId="0" fontId="294" fillId="0" borderId="0" xfId="30630" applyFont="1" applyAlignment="1">
      <alignment horizontal="left" vertical="top" wrapText="1"/>
    </xf>
    <xf numFmtId="0" fontId="294" fillId="0" borderId="0" xfId="30645" applyFont="1" applyAlignment="1">
      <alignment horizontal="left" vertical="top"/>
    </xf>
    <xf numFmtId="0" fontId="300" fillId="0" borderId="0" xfId="30645" applyFont="1" applyAlignment="1">
      <alignment horizontal="center" vertical="top"/>
    </xf>
    <xf numFmtId="0" fontId="294" fillId="0" borderId="0" xfId="30645" applyFont="1" applyAlignment="1">
      <alignment horizontal="right" vertical="top"/>
    </xf>
    <xf numFmtId="0" fontId="314" fillId="0" borderId="0" xfId="30645" applyFont="1" applyAlignment="1">
      <alignment horizontal="justify" vertical="top" wrapText="1"/>
    </xf>
    <xf numFmtId="0" fontId="300" fillId="18" borderId="0" xfId="3524" applyFont="1" applyFill="1"/>
    <xf numFmtId="0" fontId="300" fillId="0" borderId="0" xfId="3524" applyFont="1"/>
    <xf numFmtId="0" fontId="346" fillId="18" borderId="0" xfId="3524" applyFont="1" applyFill="1"/>
    <xf numFmtId="0" fontId="346" fillId="0" borderId="0" xfId="3524" applyFont="1"/>
    <xf numFmtId="0" fontId="294" fillId="0" borderId="0" xfId="0" applyFont="1" applyBorder="1"/>
    <xf numFmtId="0" fontId="294" fillId="0" borderId="20" xfId="0" applyFont="1" applyBorder="1"/>
    <xf numFmtId="0" fontId="300" fillId="0" borderId="0" xfId="0" applyFont="1" applyBorder="1"/>
    <xf numFmtId="0" fontId="300" fillId="0" borderId="0" xfId="0" applyFont="1"/>
    <xf numFmtId="0" fontId="300" fillId="0" borderId="0" xfId="0" applyFont="1" applyBorder="1" applyAlignment="1">
      <alignment horizontal="center" vertical="center"/>
    </xf>
    <xf numFmtId="0" fontId="300" fillId="0" borderId="0" xfId="0" applyFont="1" applyAlignment="1">
      <alignment horizontal="left" vertical="center" wrapText="1"/>
    </xf>
    <xf numFmtId="0" fontId="300" fillId="0" borderId="20" xfId="0" applyFont="1" applyBorder="1" applyAlignment="1">
      <alignment horizontal="left" vertical="center" wrapText="1"/>
    </xf>
    <xf numFmtId="0" fontId="294" fillId="0" borderId="0" xfId="0" applyFont="1" applyBorder="1" applyAlignment="1">
      <alignment vertical="center"/>
    </xf>
    <xf numFmtId="0" fontId="300" fillId="0" borderId="0" xfId="0" applyFont="1" applyBorder="1" applyAlignment="1"/>
    <xf numFmtId="0" fontId="300" fillId="0" borderId="0" xfId="0" applyFont="1" applyBorder="1" applyAlignment="1">
      <alignment textRotation="45"/>
    </xf>
    <xf numFmtId="0" fontId="345" fillId="7" borderId="0" xfId="0" applyFont="1" applyFill="1" applyBorder="1" applyAlignment="1">
      <alignment vertical="center" textRotation="255" wrapText="1"/>
    </xf>
    <xf numFmtId="0" fontId="294" fillId="0" borderId="0" xfId="0" applyFont="1" applyBorder="1" applyAlignment="1"/>
    <xf numFmtId="0" fontId="294" fillId="0" borderId="41" xfId="0" applyFont="1" applyBorder="1" applyAlignment="1"/>
    <xf numFmtId="0" fontId="294" fillId="0" borderId="13" xfId="0" applyFont="1" applyBorder="1"/>
    <xf numFmtId="0" fontId="294" fillId="0" borderId="25" xfId="0" applyFont="1" applyBorder="1"/>
    <xf numFmtId="0" fontId="314" fillId="0" borderId="0" xfId="0" applyFont="1" applyAlignment="1">
      <alignment vertical="center"/>
    </xf>
    <xf numFmtId="0" fontId="314" fillId="0" borderId="1" xfId="0" applyFont="1" applyBorder="1" applyAlignment="1">
      <alignment horizontal="center" vertical="top" wrapText="1"/>
    </xf>
    <xf numFmtId="0" fontId="314" fillId="0" borderId="1" xfId="0" applyFont="1" applyBorder="1" applyAlignment="1">
      <alignment horizontal="center" vertical="center" wrapText="1"/>
    </xf>
    <xf numFmtId="2" fontId="314" fillId="0" borderId="1" xfId="0" applyNumberFormat="1" applyFont="1" applyBorder="1" applyAlignment="1">
      <alignment horizontal="center" vertical="center"/>
    </xf>
    <xf numFmtId="0" fontId="314" fillId="0" borderId="1" xfId="0" applyFont="1" applyBorder="1" applyAlignment="1">
      <alignment horizontal="center" vertical="center"/>
    </xf>
    <xf numFmtId="0" fontId="314" fillId="0" borderId="0" xfId="0" applyFont="1" applyAlignment="1">
      <alignment horizontal="center" vertical="center"/>
    </xf>
    <xf numFmtId="0" fontId="314" fillId="7" borderId="1" xfId="0" applyFont="1" applyFill="1" applyBorder="1" applyAlignment="1">
      <alignment horizontal="center" vertical="top"/>
    </xf>
    <xf numFmtId="2" fontId="315" fillId="7" borderId="1" xfId="0" applyNumberFormat="1" applyFont="1" applyFill="1" applyBorder="1" applyAlignment="1">
      <alignment horizontal="right" vertical="top"/>
    </xf>
    <xf numFmtId="0" fontId="314" fillId="7" borderId="1" xfId="0" applyFont="1" applyFill="1" applyBorder="1" applyAlignment="1">
      <alignment horizontal="center" vertical="center"/>
    </xf>
    <xf numFmtId="0" fontId="314" fillId="7" borderId="1" xfId="0" applyFont="1" applyFill="1" applyBorder="1" applyAlignment="1">
      <alignment horizontal="center" vertical="center" wrapText="1"/>
    </xf>
    <xf numFmtId="0" fontId="314" fillId="7" borderId="1" xfId="7175" applyFont="1" applyFill="1" applyBorder="1" applyAlignment="1">
      <alignment horizontal="center" vertical="center" wrapText="1"/>
    </xf>
    <xf numFmtId="2" fontId="314" fillId="7" borderId="1" xfId="7175" applyNumberFormat="1" applyFont="1" applyFill="1" applyBorder="1" applyAlignment="1">
      <alignment horizontal="center" vertical="center" wrapText="1"/>
    </xf>
    <xf numFmtId="171" fontId="314" fillId="7" borderId="1" xfId="7175" applyNumberFormat="1" applyFont="1" applyFill="1" applyBorder="1" applyAlignment="1">
      <alignment horizontal="center" vertical="center" wrapText="1"/>
    </xf>
    <xf numFmtId="2" fontId="314" fillId="7" borderId="1" xfId="7175" applyNumberFormat="1" applyFont="1" applyFill="1" applyBorder="1" applyAlignment="1">
      <alignment horizontal="right" vertical="center" wrapText="1"/>
    </xf>
    <xf numFmtId="0" fontId="314" fillId="7" borderId="1" xfId="0" applyFont="1" applyFill="1" applyBorder="1" applyAlignment="1">
      <alignment horizontal="justify" vertical="center" wrapText="1"/>
    </xf>
    <xf numFmtId="2" fontId="315" fillId="7" borderId="1" xfId="0" applyNumberFormat="1" applyFont="1" applyFill="1" applyBorder="1" applyAlignment="1">
      <alignment horizontal="right" vertical="center"/>
    </xf>
    <xf numFmtId="0" fontId="314" fillId="7" borderId="1" xfId="7175" applyFont="1" applyFill="1" applyBorder="1" applyAlignment="1">
      <alignment horizontal="center" vertical="center" shrinkToFit="1"/>
    </xf>
    <xf numFmtId="9" fontId="314" fillId="7" borderId="1" xfId="2" applyFont="1" applyFill="1" applyBorder="1" applyAlignment="1">
      <alignment horizontal="center" vertical="center" wrapText="1"/>
    </xf>
    <xf numFmtId="2" fontId="315" fillId="7" borderId="1" xfId="0" applyNumberFormat="1" applyFont="1" applyFill="1" applyBorder="1" applyAlignment="1">
      <alignment horizontal="right" vertical="center" wrapText="1"/>
    </xf>
    <xf numFmtId="2" fontId="315" fillId="7" borderId="1" xfId="0" applyNumberFormat="1" applyFont="1" applyFill="1" applyBorder="1" applyAlignment="1">
      <alignment horizontal="center" vertical="center" wrapText="1"/>
    </xf>
    <xf numFmtId="0" fontId="314" fillId="7" borderId="1" xfId="0" applyFont="1" applyFill="1" applyBorder="1" applyAlignment="1">
      <alignment vertical="center"/>
    </xf>
    <xf numFmtId="0" fontId="314" fillId="7" borderId="1" xfId="0" applyFont="1" applyFill="1" applyBorder="1" applyAlignment="1">
      <alignment vertical="top"/>
    </xf>
    <xf numFmtId="0" fontId="314" fillId="7" borderId="1" xfId="7175" applyFont="1" applyFill="1" applyBorder="1" applyAlignment="1">
      <alignment horizontal="center" wrapText="1"/>
    </xf>
    <xf numFmtId="1" fontId="314" fillId="7" borderId="1" xfId="0" applyNumberFormat="1" applyFont="1" applyFill="1" applyBorder="1" applyAlignment="1">
      <alignment horizontal="center" wrapText="1"/>
    </xf>
    <xf numFmtId="2" fontId="314" fillId="7" borderId="1" xfId="0" applyNumberFormat="1" applyFont="1" applyFill="1" applyBorder="1" applyAlignment="1">
      <alignment horizontal="center" vertical="center" wrapText="1"/>
    </xf>
    <xf numFmtId="171" fontId="314" fillId="7" borderId="1" xfId="0" applyNumberFormat="1" applyFont="1" applyFill="1" applyBorder="1" applyAlignment="1">
      <alignment horizontal="center" vertical="center" wrapText="1"/>
    </xf>
    <xf numFmtId="0" fontId="314" fillId="7" borderId="1" xfId="0" applyFont="1" applyFill="1" applyBorder="1" applyAlignment="1">
      <alignment horizontal="justify" vertical="top" wrapText="1"/>
    </xf>
    <xf numFmtId="0" fontId="314" fillId="7" borderId="1" xfId="0" applyFont="1" applyFill="1" applyBorder="1" applyAlignment="1">
      <alignment horizontal="center" vertical="top" wrapText="1"/>
    </xf>
    <xf numFmtId="0" fontId="314" fillId="7" borderId="1" xfId="7175" applyFont="1" applyFill="1" applyBorder="1" applyAlignment="1">
      <alignment horizontal="center" shrinkToFit="1"/>
    </xf>
    <xf numFmtId="2" fontId="314" fillId="7" borderId="1" xfId="0" applyNumberFormat="1" applyFont="1" applyFill="1" applyBorder="1" applyAlignment="1">
      <alignment horizontal="center" wrapText="1"/>
    </xf>
    <xf numFmtId="171" fontId="314" fillId="7" borderId="1" xfId="0" applyNumberFormat="1" applyFont="1" applyFill="1" applyBorder="1" applyAlignment="1">
      <alignment horizontal="center" wrapText="1"/>
    </xf>
    <xf numFmtId="0" fontId="314" fillId="7" borderId="1" xfId="0" applyFont="1" applyFill="1" applyBorder="1"/>
    <xf numFmtId="0" fontId="314" fillId="7" borderId="1" xfId="0" applyFont="1" applyFill="1" applyBorder="1" applyAlignment="1">
      <alignment horizontal="left" wrapText="1"/>
    </xf>
    <xf numFmtId="0" fontId="314" fillId="7" borderId="1" xfId="0" applyFont="1" applyFill="1" applyBorder="1" applyAlignment="1">
      <alignment horizontal="center" wrapText="1"/>
    </xf>
    <xf numFmtId="0" fontId="314" fillId="7" borderId="1" xfId="0" applyFont="1" applyFill="1" applyBorder="1" applyAlignment="1">
      <alignment horizontal="center"/>
    </xf>
    <xf numFmtId="171" fontId="318" fillId="7" borderId="1" xfId="0" applyNumberFormat="1" applyFont="1" applyFill="1" applyBorder="1" applyAlignment="1">
      <alignment horizontal="right" wrapText="1"/>
    </xf>
    <xf numFmtId="2" fontId="315" fillId="7" borderId="1" xfId="0" applyNumberFormat="1" applyFont="1" applyFill="1" applyBorder="1" applyAlignment="1">
      <alignment horizontal="center" wrapText="1"/>
    </xf>
    <xf numFmtId="2" fontId="315" fillId="7" borderId="1" xfId="0" applyNumberFormat="1" applyFont="1" applyFill="1" applyBorder="1" applyAlignment="1">
      <alignment horizontal="right"/>
    </xf>
    <xf numFmtId="0" fontId="314" fillId="0" borderId="0" xfId="0" applyFont="1"/>
    <xf numFmtId="2" fontId="314" fillId="0" borderId="0" xfId="0" applyNumberFormat="1" applyFont="1" applyAlignment="1">
      <alignment vertical="center"/>
    </xf>
    <xf numFmtId="2" fontId="315" fillId="0" borderId="1" xfId="0" applyNumberFormat="1" applyFont="1" applyBorder="1" applyAlignment="1">
      <alignment horizontal="right" vertical="center"/>
    </xf>
    <xf numFmtId="2" fontId="316" fillId="7" borderId="1" xfId="7175" applyNumberFormat="1" applyFont="1" applyFill="1" applyBorder="1" applyAlignment="1">
      <alignment horizontal="center" vertical="center" wrapText="1"/>
    </xf>
    <xf numFmtId="2" fontId="314" fillId="7" borderId="1" xfId="7175" applyNumberFormat="1" applyFont="1" applyFill="1" applyBorder="1" applyAlignment="1">
      <alignment horizontal="center" vertical="center" shrinkToFit="1"/>
    </xf>
    <xf numFmtId="2" fontId="315" fillId="0" borderId="1" xfId="0" applyNumberFormat="1" applyFont="1" applyBorder="1" applyAlignment="1">
      <alignment horizontal="center" vertical="center" wrapText="1"/>
    </xf>
    <xf numFmtId="2" fontId="315" fillId="7" borderId="64" xfId="0" applyNumberFormat="1" applyFont="1" applyFill="1" applyBorder="1" applyAlignment="1">
      <alignment horizontal="center" vertical="center" wrapText="1"/>
    </xf>
    <xf numFmtId="2" fontId="324" fillId="7" borderId="1" xfId="7175" applyNumberFormat="1" applyFont="1" applyFill="1" applyBorder="1" applyAlignment="1">
      <alignment horizontal="center" wrapText="1"/>
    </xf>
    <xf numFmtId="171" fontId="314" fillId="7" borderId="1" xfId="7175" applyNumberFormat="1" applyFont="1" applyFill="1" applyBorder="1" applyAlignment="1">
      <alignment horizontal="center" wrapText="1"/>
    </xf>
    <xf numFmtId="2" fontId="314" fillId="7" borderId="1" xfId="7175" applyNumberFormat="1" applyFont="1" applyFill="1" applyBorder="1" applyAlignment="1">
      <alignment horizontal="right" wrapText="1"/>
    </xf>
    <xf numFmtId="0" fontId="314" fillId="7" borderId="1" xfId="0" applyFont="1" applyFill="1" applyBorder="1" applyAlignment="1">
      <alignment horizontal="justify" wrapText="1"/>
    </xf>
    <xf numFmtId="2" fontId="315" fillId="7" borderId="1" xfId="0" applyNumberFormat="1" applyFont="1" applyFill="1" applyBorder="1" applyAlignment="1">
      <alignment horizontal="right" wrapText="1"/>
    </xf>
    <xf numFmtId="1" fontId="314" fillId="7" borderId="1" xfId="0" applyNumberFormat="1" applyFont="1" applyFill="1" applyBorder="1" applyAlignment="1">
      <alignment horizontal="center" vertical="center" wrapText="1"/>
    </xf>
    <xf numFmtId="0" fontId="315" fillId="7" borderId="1" xfId="0" applyFont="1" applyFill="1" applyBorder="1" applyAlignment="1">
      <alignment horizontal="center" vertical="center" wrapText="1"/>
    </xf>
    <xf numFmtId="2" fontId="324" fillId="7" borderId="1" xfId="7175" applyNumberFormat="1" applyFont="1" applyFill="1" applyBorder="1" applyAlignment="1">
      <alignment horizontal="right" wrapText="1"/>
    </xf>
    <xf numFmtId="2" fontId="316" fillId="7" borderId="1" xfId="7175" applyNumberFormat="1" applyFont="1" applyFill="1" applyBorder="1" applyAlignment="1">
      <alignment horizontal="center" wrapText="1"/>
    </xf>
    <xf numFmtId="0" fontId="315" fillId="7" borderId="1" xfId="0" applyFont="1" applyFill="1" applyBorder="1" applyAlignment="1">
      <alignment horizontal="center" wrapText="1"/>
    </xf>
    <xf numFmtId="1" fontId="314" fillId="7" borderId="1" xfId="7175" applyNumberFormat="1" applyFont="1" applyFill="1" applyBorder="1" applyAlignment="1">
      <alignment horizontal="center" vertical="center"/>
    </xf>
    <xf numFmtId="0" fontId="314" fillId="7" borderId="1" xfId="30629" applyFont="1" applyFill="1" applyBorder="1" applyAlignment="1">
      <alignment horizontal="left" vertical="center" wrapText="1"/>
    </xf>
    <xf numFmtId="2" fontId="314" fillId="7" borderId="1" xfId="30629" applyNumberFormat="1" applyFont="1" applyFill="1" applyBorder="1" applyAlignment="1">
      <alignment vertical="center" wrapText="1"/>
    </xf>
    <xf numFmtId="2" fontId="314" fillId="0" borderId="0" xfId="7175" applyNumberFormat="1" applyFont="1" applyAlignment="1">
      <alignment horizontal="justify" vertical="center"/>
    </xf>
    <xf numFmtId="0" fontId="314" fillId="0" borderId="0" xfId="0" applyFont="1" applyAlignment="1">
      <alignment vertical="top"/>
    </xf>
    <xf numFmtId="0" fontId="315" fillId="0" borderId="0" xfId="0" applyFont="1" applyAlignment="1">
      <alignment horizontal="center" vertical="center"/>
    </xf>
    <xf numFmtId="0" fontId="314" fillId="0" borderId="0" xfId="3892" applyFont="1" applyAlignment="1">
      <alignment vertical="center" wrapText="1"/>
    </xf>
    <xf numFmtId="0" fontId="314" fillId="0" borderId="0" xfId="3892" applyFont="1" applyAlignment="1">
      <alignment horizontal="center" vertical="center" wrapText="1"/>
    </xf>
    <xf numFmtId="0" fontId="314" fillId="0" borderId="0" xfId="3892" applyFont="1" applyAlignment="1">
      <alignment horizontal="center" vertical="center"/>
    </xf>
    <xf numFmtId="0" fontId="314" fillId="0" borderId="1" xfId="3892" applyFont="1" applyBorder="1" applyAlignment="1">
      <alignment horizontal="center" vertical="center" wrapText="1"/>
    </xf>
    <xf numFmtId="0" fontId="314" fillId="0" borderId="1" xfId="3892" applyFont="1" applyBorder="1" applyAlignment="1">
      <alignment horizontal="center" vertical="top" wrapText="1"/>
    </xf>
    <xf numFmtId="0" fontId="314" fillId="0" borderId="0" xfId="3892" applyFont="1" applyAlignment="1">
      <alignment horizontal="center" vertical="top" wrapText="1"/>
    </xf>
    <xf numFmtId="0" fontId="314" fillId="0" borderId="1" xfId="3892" applyFont="1" applyBorder="1" applyAlignment="1">
      <alignment horizontal="justify" vertical="center" wrapText="1"/>
    </xf>
    <xf numFmtId="1" fontId="308" fillId="0" borderId="1" xfId="3892" applyNumberFormat="1" applyFont="1" applyBorder="1" applyAlignment="1">
      <alignment horizontal="center" vertical="top" wrapText="1"/>
    </xf>
    <xf numFmtId="2" fontId="314" fillId="0" borderId="1" xfId="3892" applyNumberFormat="1" applyFont="1" applyBorder="1" applyAlignment="1">
      <alignment horizontal="right" vertical="top" wrapText="1"/>
    </xf>
    <xf numFmtId="0" fontId="314" fillId="0" borderId="0" xfId="3892" applyFont="1" applyAlignment="1">
      <alignment horizontal="justify" vertical="top" wrapText="1"/>
    </xf>
    <xf numFmtId="1" fontId="361" fillId="0" borderId="0" xfId="3892" applyNumberFormat="1" applyFont="1" applyAlignment="1">
      <alignment horizontal="center" vertical="top" wrapText="1"/>
    </xf>
    <xf numFmtId="1" fontId="308" fillId="0" borderId="1" xfId="3892" applyNumberFormat="1" applyFont="1" applyBorder="1" applyAlignment="1">
      <alignment horizontal="center" vertical="center" wrapText="1"/>
    </xf>
    <xf numFmtId="2" fontId="314" fillId="0" borderId="1" xfId="3892" applyNumberFormat="1" applyFont="1" applyBorder="1" applyAlignment="1">
      <alignment horizontal="right" vertical="center" wrapText="1"/>
    </xf>
    <xf numFmtId="0" fontId="314" fillId="0" borderId="0" xfId="3892" applyFont="1" applyAlignment="1">
      <alignment horizontal="justify" vertical="center" wrapText="1"/>
    </xf>
    <xf numFmtId="1" fontId="361" fillId="0" borderId="0" xfId="3892" applyNumberFormat="1" applyFont="1" applyAlignment="1">
      <alignment horizontal="center" vertical="center" wrapText="1"/>
    </xf>
    <xf numFmtId="1" fontId="361" fillId="0" borderId="1" xfId="3892" applyNumberFormat="1" applyFont="1" applyBorder="1" applyAlignment="1">
      <alignment horizontal="center" vertical="center" wrapText="1"/>
    </xf>
    <xf numFmtId="0" fontId="314" fillId="0" borderId="1" xfId="3892" applyFont="1" applyBorder="1" applyAlignment="1">
      <alignment horizontal="justify" vertical="top" wrapText="1"/>
    </xf>
    <xf numFmtId="1" fontId="361" fillId="0" borderId="1" xfId="3892" applyNumberFormat="1" applyFont="1" applyBorder="1" applyAlignment="1">
      <alignment horizontal="center" vertical="top" wrapText="1"/>
    </xf>
    <xf numFmtId="1" fontId="314" fillId="0" borderId="0" xfId="3892" applyNumberFormat="1" applyFont="1" applyAlignment="1">
      <alignment horizontal="center" vertical="top" wrapText="1"/>
    </xf>
    <xf numFmtId="0" fontId="361" fillId="0" borderId="1" xfId="3892" applyFont="1" applyBorder="1" applyAlignment="1">
      <alignment horizontal="center" vertical="center" wrapText="1"/>
    </xf>
    <xf numFmtId="0" fontId="315" fillId="0" borderId="1" xfId="3892" applyFont="1" applyBorder="1" applyAlignment="1">
      <alignment horizontal="right" vertical="center" wrapText="1"/>
    </xf>
    <xf numFmtId="1" fontId="315" fillId="0" borderId="1" xfId="3892" applyNumberFormat="1" applyFont="1" applyBorder="1" applyAlignment="1">
      <alignment horizontal="center" vertical="center" wrapText="1"/>
    </xf>
    <xf numFmtId="0" fontId="315" fillId="0" borderId="1" xfId="3892" applyFont="1" applyBorder="1" applyAlignment="1">
      <alignment horizontal="justify" vertical="center" wrapText="1"/>
    </xf>
    <xf numFmtId="2" fontId="315" fillId="0" borderId="1" xfId="3892" applyNumberFormat="1" applyFont="1" applyBorder="1" applyAlignment="1">
      <alignment horizontal="right" vertical="center" wrapText="1"/>
    </xf>
    <xf numFmtId="2" fontId="361" fillId="0" borderId="0" xfId="3892" applyNumberFormat="1" applyFont="1" applyAlignment="1">
      <alignment vertical="center" wrapText="1"/>
    </xf>
    <xf numFmtId="0" fontId="361" fillId="0" borderId="0" xfId="3892" applyFont="1" applyAlignment="1">
      <alignment horizontal="justify" vertical="center" wrapText="1"/>
    </xf>
    <xf numFmtId="0" fontId="315" fillId="18" borderId="0" xfId="3524" applyFont="1" applyFill="1" applyAlignment="1" applyProtection="1">
      <alignment horizontal="left" vertical="top"/>
      <protection locked="0"/>
    </xf>
    <xf numFmtId="0" fontId="315" fillId="18" borderId="0" xfId="3524" applyFont="1" applyFill="1" applyAlignment="1" applyProtection="1">
      <alignment horizontal="center" vertical="top"/>
      <protection locked="0"/>
    </xf>
    <xf numFmtId="0" fontId="315" fillId="0" borderId="0" xfId="0" applyFont="1" applyProtection="1">
      <protection locked="0"/>
    </xf>
    <xf numFmtId="0" fontId="315" fillId="0" borderId="0" xfId="3892" applyFont="1" applyAlignment="1" applyProtection="1">
      <alignment horizontal="center" vertical="center"/>
      <protection locked="0"/>
    </xf>
    <xf numFmtId="0" fontId="315" fillId="0" borderId="0" xfId="0" applyFont="1" applyAlignment="1" applyProtection="1">
      <alignment horizontal="left" vertical="center"/>
      <protection locked="0"/>
    </xf>
    <xf numFmtId="0" fontId="315" fillId="0" borderId="0" xfId="0" applyFont="1" applyAlignment="1" applyProtection="1">
      <alignment horizontal="center" vertical="center"/>
      <protection locked="0"/>
    </xf>
    <xf numFmtId="1" fontId="317" fillId="0" borderId="0" xfId="0" applyNumberFormat="1" applyFont="1" applyAlignment="1">
      <alignment horizontal="center" vertical="center" wrapText="1"/>
    </xf>
    <xf numFmtId="0" fontId="315" fillId="0" borderId="1" xfId="0" applyFont="1" applyBorder="1" applyAlignment="1">
      <alignment horizontal="center" vertical="top" wrapText="1"/>
    </xf>
    <xf numFmtId="0" fontId="315" fillId="0" borderId="1" xfId="0" applyFont="1" applyBorder="1" applyAlignment="1">
      <alignment horizontal="center" vertical="center" wrapText="1"/>
    </xf>
    <xf numFmtId="2" fontId="315" fillId="0" borderId="1" xfId="0" applyNumberFormat="1" applyFont="1" applyBorder="1" applyAlignment="1">
      <alignment horizontal="center" vertical="center"/>
    </xf>
    <xf numFmtId="0" fontId="315" fillId="0" borderId="1" xfId="0" applyFont="1" applyBorder="1" applyAlignment="1">
      <alignment horizontal="center" vertical="center"/>
    </xf>
    <xf numFmtId="0" fontId="315" fillId="0" borderId="1" xfId="0" applyFont="1" applyBorder="1" applyAlignment="1">
      <alignment horizontal="center" vertical="top"/>
    </xf>
    <xf numFmtId="1" fontId="315" fillId="0" borderId="1" xfId="0" applyNumberFormat="1" applyFont="1" applyBorder="1" applyAlignment="1">
      <alignment horizontal="center" vertical="center"/>
    </xf>
    <xf numFmtId="0" fontId="314" fillId="0" borderId="11" xfId="0" applyFont="1" applyBorder="1" applyAlignment="1">
      <alignment horizontal="center" vertical="top"/>
    </xf>
    <xf numFmtId="3" fontId="315" fillId="0" borderId="11" xfId="0" applyNumberFormat="1" applyFont="1" applyBorder="1" applyAlignment="1">
      <alignment horizontal="justify" vertical="top"/>
    </xf>
    <xf numFmtId="0" fontId="314" fillId="0" borderId="12" xfId="0" applyFont="1" applyBorder="1" applyAlignment="1">
      <alignment horizontal="center" vertical="center"/>
    </xf>
    <xf numFmtId="0" fontId="314" fillId="0" borderId="12" xfId="30631" applyFont="1" applyBorder="1" applyAlignment="1">
      <alignment horizontal="left" vertical="center"/>
    </xf>
    <xf numFmtId="0" fontId="314" fillId="0" borderId="12" xfId="30631" applyFont="1" applyBorder="1" applyAlignment="1">
      <alignment horizontal="center" vertical="center"/>
    </xf>
    <xf numFmtId="2" fontId="314" fillId="0" borderId="12" xfId="30631" applyNumberFormat="1" applyFont="1" applyBorder="1" applyAlignment="1">
      <alignment horizontal="center" vertical="center"/>
    </xf>
    <xf numFmtId="0" fontId="314" fillId="0" borderId="12" xfId="0" applyFont="1" applyBorder="1" applyAlignment="1">
      <alignment horizontal="center" vertical="center" wrapText="1"/>
    </xf>
    <xf numFmtId="3" fontId="315" fillId="0" borderId="12" xfId="0" applyNumberFormat="1" applyFont="1" applyBorder="1" applyAlignment="1">
      <alignment horizontal="justify" vertical="center"/>
    </xf>
    <xf numFmtId="2" fontId="325" fillId="0" borderId="12" xfId="30631" applyNumberFormat="1" applyFont="1" applyBorder="1" applyAlignment="1">
      <alignment horizontal="center" vertical="center" wrapText="1"/>
    </xf>
    <xf numFmtId="0" fontId="314" fillId="0" borderId="12" xfId="0" applyFont="1" applyBorder="1" applyAlignment="1">
      <alignment horizontal="left" vertical="center" wrapText="1"/>
    </xf>
    <xf numFmtId="2" fontId="315" fillId="0" borderId="1" xfId="30637" applyNumberFormat="1" applyFont="1" applyBorder="1" applyAlignment="1">
      <alignment horizontal="center" vertical="center"/>
    </xf>
    <xf numFmtId="2" fontId="314" fillId="0" borderId="12" xfId="0" applyNumberFormat="1" applyFont="1" applyBorder="1" applyAlignment="1">
      <alignment horizontal="center" vertical="center" wrapText="1"/>
    </xf>
    <xf numFmtId="2" fontId="315" fillId="0" borderId="12" xfId="0" applyNumberFormat="1" applyFont="1" applyBorder="1" applyAlignment="1">
      <alignment horizontal="right" vertical="center"/>
    </xf>
    <xf numFmtId="2" fontId="315" fillId="0" borderId="12" xfId="0" applyNumberFormat="1" applyFont="1" applyBorder="1" applyAlignment="1">
      <alignment horizontal="center" vertical="center" wrapText="1"/>
    </xf>
    <xf numFmtId="0" fontId="314" fillId="0" borderId="12" xfId="0" applyFont="1" applyBorder="1" applyAlignment="1">
      <alignment horizontal="center" vertical="top"/>
    </xf>
    <xf numFmtId="2" fontId="315" fillId="0" borderId="12" xfId="0" applyNumberFormat="1" applyFont="1" applyBorder="1" applyAlignment="1">
      <alignment horizontal="justify" vertical="top"/>
    </xf>
    <xf numFmtId="0" fontId="314" fillId="0" borderId="12" xfId="0" applyFont="1" applyBorder="1" applyAlignment="1">
      <alignment horizontal="center"/>
    </xf>
    <xf numFmtId="0" fontId="314" fillId="0" borderId="12" xfId="0" applyFont="1" applyBorder="1" applyAlignment="1">
      <alignment horizontal="left" wrapText="1"/>
    </xf>
    <xf numFmtId="0" fontId="314" fillId="0" borderId="12" xfId="30642" applyFont="1" applyBorder="1" applyAlignment="1">
      <alignment horizontal="center" wrapText="1"/>
    </xf>
    <xf numFmtId="2" fontId="314" fillId="0" borderId="12" xfId="30642" applyNumberFormat="1" applyFont="1" applyBorder="1" applyAlignment="1">
      <alignment horizontal="center" wrapText="1"/>
    </xf>
    <xf numFmtId="0" fontId="314" fillId="0" borderId="12" xfId="0" applyFont="1" applyBorder="1" applyAlignment="1">
      <alignment horizontal="center" wrapText="1"/>
    </xf>
    <xf numFmtId="3" fontId="315" fillId="0" borderId="12" xfId="0" applyNumberFormat="1" applyFont="1" applyBorder="1" applyAlignment="1">
      <alignment horizontal="justify"/>
    </xf>
    <xf numFmtId="2" fontId="314" fillId="0" borderId="0" xfId="0" applyNumberFormat="1" applyFont="1"/>
    <xf numFmtId="0" fontId="314" fillId="0" borderId="12" xfId="0" applyFont="1" applyBorder="1" applyAlignment="1">
      <alignment horizontal="left" vertical="top" wrapText="1"/>
    </xf>
    <xf numFmtId="0" fontId="314" fillId="0" borderId="12" xfId="0" applyFont="1" applyBorder="1" applyAlignment="1">
      <alignment horizontal="center" vertical="top" wrapText="1"/>
    </xf>
    <xf numFmtId="2" fontId="315" fillId="0" borderId="12" xfId="0" applyNumberFormat="1" applyFont="1" applyBorder="1" applyAlignment="1">
      <alignment horizontal="justify" vertical="center"/>
    </xf>
    <xf numFmtId="0" fontId="314" fillId="0" borderId="12" xfId="30637" applyFont="1" applyBorder="1" applyAlignment="1">
      <alignment vertical="center"/>
    </xf>
    <xf numFmtId="0" fontId="314" fillId="0" borderId="12" xfId="30637" applyFont="1" applyBorder="1" applyAlignment="1">
      <alignment horizontal="center" vertical="center"/>
    </xf>
    <xf numFmtId="2" fontId="314" fillId="0" borderId="12" xfId="30637" applyNumberFormat="1" applyFont="1" applyBorder="1" applyAlignment="1">
      <alignment horizontal="center" vertical="center"/>
    </xf>
    <xf numFmtId="0" fontId="314" fillId="0" borderId="12" xfId="0" applyFont="1" applyBorder="1" applyAlignment="1">
      <alignment vertical="center"/>
    </xf>
    <xf numFmtId="0" fontId="314" fillId="0" borderId="12" xfId="30631" applyFont="1" applyBorder="1" applyAlignment="1">
      <alignment vertical="center"/>
    </xf>
    <xf numFmtId="0" fontId="314" fillId="0" borderId="0" xfId="30631" applyFont="1" applyAlignment="1">
      <alignment vertical="center"/>
    </xf>
    <xf numFmtId="0" fontId="314" fillId="0" borderId="12" xfId="30631" applyFont="1" applyBorder="1" applyAlignment="1">
      <alignment horizontal="left" vertical="center" wrapText="1"/>
    </xf>
    <xf numFmtId="0" fontId="314" fillId="0" borderId="12" xfId="30631" applyFont="1" applyBorder="1" applyAlignment="1">
      <alignment horizontal="center" vertical="center" wrapText="1"/>
    </xf>
    <xf numFmtId="171" fontId="314" fillId="0" borderId="12" xfId="30631" applyNumberFormat="1" applyFont="1" applyBorder="1" applyAlignment="1">
      <alignment horizontal="left" vertical="center"/>
    </xf>
    <xf numFmtId="171" fontId="314" fillId="0" borderId="12" xfId="30631" applyNumberFormat="1" applyFont="1" applyBorder="1" applyAlignment="1">
      <alignment horizontal="center" vertical="center"/>
    </xf>
    <xf numFmtId="171" fontId="314" fillId="0" borderId="12" xfId="30631" applyNumberFormat="1" applyFont="1" applyBorder="1" applyAlignment="1">
      <alignment horizontal="center" vertical="center" wrapText="1"/>
    </xf>
    <xf numFmtId="2" fontId="314" fillId="0" borderId="12" xfId="30631" applyNumberFormat="1" applyFont="1" applyBorder="1" applyAlignment="1">
      <alignment horizontal="center" vertical="center" wrapText="1"/>
    </xf>
    <xf numFmtId="0" fontId="314" fillId="0" borderId="12" xfId="30637" applyFont="1" applyBorder="1" applyAlignment="1">
      <alignment horizontal="left" vertical="center"/>
    </xf>
    <xf numFmtId="0" fontId="314" fillId="0" borderId="12" xfId="30631" applyFont="1" applyBorder="1" applyAlignment="1">
      <alignment vertical="center" wrapText="1"/>
    </xf>
    <xf numFmtId="0" fontId="314" fillId="0" borderId="0" xfId="30631" applyFont="1" applyAlignment="1">
      <alignment vertical="center" wrapText="1"/>
    </xf>
    <xf numFmtId="0" fontId="314" fillId="0" borderId="12" xfId="30642" applyFont="1" applyBorder="1" applyAlignment="1">
      <alignment horizontal="justify" wrapText="1"/>
    </xf>
    <xf numFmtId="0" fontId="314" fillId="0" borderId="12" xfId="30642" applyFont="1" applyBorder="1" applyAlignment="1">
      <alignment horizontal="center"/>
    </xf>
    <xf numFmtId="0" fontId="314" fillId="0" borderId="12" xfId="30642" applyFont="1" applyBorder="1"/>
    <xf numFmtId="2" fontId="314" fillId="0" borderId="0" xfId="30642" applyNumberFormat="1" applyFont="1" applyAlignment="1">
      <alignment horizontal="center"/>
    </xf>
    <xf numFmtId="0" fontId="314" fillId="0" borderId="0" xfId="30642" applyFont="1" applyAlignment="1">
      <alignment horizontal="justify" wrapText="1"/>
    </xf>
    <xf numFmtId="0" fontId="314" fillId="0" borderId="0" xfId="30642" applyFont="1"/>
    <xf numFmtId="0" fontId="314" fillId="0" borderId="12" xfId="30631" applyFont="1" applyBorder="1" applyAlignment="1">
      <alignment horizontal="left" vertical="top"/>
    </xf>
    <xf numFmtId="0" fontId="314" fillId="0" borderId="12" xfId="30631" applyFont="1" applyBorder="1" applyAlignment="1">
      <alignment horizontal="center" vertical="top"/>
    </xf>
    <xf numFmtId="2" fontId="314" fillId="0" borderId="12" xfId="30631" applyNumberFormat="1" applyFont="1" applyBorder="1" applyAlignment="1">
      <alignment horizontal="center" vertical="top"/>
    </xf>
    <xf numFmtId="2" fontId="325" fillId="0" borderId="12" xfId="30631" applyNumberFormat="1" applyFont="1" applyBorder="1" applyAlignment="1">
      <alignment horizontal="center" vertical="top" wrapText="1"/>
    </xf>
    <xf numFmtId="0" fontId="314" fillId="0" borderId="12" xfId="30642" applyFont="1" applyBorder="1" applyAlignment="1">
      <alignment horizontal="center" vertical="center" wrapText="1"/>
    </xf>
    <xf numFmtId="0" fontId="314" fillId="0" borderId="12" xfId="30642" applyFont="1" applyBorder="1" applyAlignment="1">
      <alignment horizontal="justify" vertical="center" wrapText="1"/>
    </xf>
    <xf numFmtId="2" fontId="314" fillId="0" borderId="12" xfId="30642" applyNumberFormat="1" applyFont="1" applyBorder="1" applyAlignment="1">
      <alignment horizontal="center" vertical="center" wrapText="1"/>
    </xf>
    <xf numFmtId="171" fontId="314" fillId="0" borderId="12" xfId="30642" applyNumberFormat="1" applyFont="1" applyBorder="1" applyAlignment="1">
      <alignment horizontal="center" vertical="center" wrapText="1"/>
    </xf>
    <xf numFmtId="0" fontId="314" fillId="0" borderId="12" xfId="30642" applyFont="1" applyBorder="1" applyAlignment="1">
      <alignment horizontal="center" vertical="center"/>
    </xf>
    <xf numFmtId="0" fontId="314" fillId="0" borderId="12" xfId="30642" applyFont="1" applyBorder="1" applyAlignment="1">
      <alignment vertical="center"/>
    </xf>
    <xf numFmtId="2" fontId="314" fillId="0" borderId="0" xfId="30642" applyNumberFormat="1" applyFont="1" applyAlignment="1">
      <alignment horizontal="center" vertical="center"/>
    </xf>
    <xf numFmtId="0" fontId="314" fillId="0" borderId="0" xfId="30642" applyFont="1" applyAlignment="1">
      <alignment horizontal="justify" vertical="center" wrapText="1"/>
    </xf>
    <xf numFmtId="0" fontId="314" fillId="0" borderId="0" xfId="30642" applyFont="1" applyAlignment="1">
      <alignment vertical="center"/>
    </xf>
    <xf numFmtId="0" fontId="314" fillId="7" borderId="12" xfId="0" applyFont="1" applyFill="1" applyBorder="1" applyAlignment="1">
      <alignment horizontal="center" vertical="top"/>
    </xf>
    <xf numFmtId="2" fontId="314" fillId="7" borderId="12" xfId="30637" applyNumberFormat="1" applyFont="1" applyFill="1" applyBorder="1" applyAlignment="1">
      <alignment horizontal="right" vertical="top"/>
    </xf>
    <xf numFmtId="0" fontId="314" fillId="7" borderId="0" xfId="0" applyFont="1" applyFill="1" applyAlignment="1">
      <alignment vertical="center"/>
    </xf>
    <xf numFmtId="0" fontId="314" fillId="0" borderId="12" xfId="30637" applyFont="1" applyBorder="1" applyAlignment="1">
      <alignment horizontal="left" vertical="center" wrapText="1"/>
    </xf>
    <xf numFmtId="2" fontId="314" fillId="0" borderId="12" xfId="30637" applyNumberFormat="1" applyFont="1" applyBorder="1" applyAlignment="1">
      <alignment horizontal="center" vertical="center" wrapText="1"/>
    </xf>
    <xf numFmtId="0" fontId="314" fillId="0" borderId="12" xfId="30637" applyFont="1" applyBorder="1" applyAlignment="1">
      <alignment horizontal="center" vertical="center" wrapText="1"/>
    </xf>
    <xf numFmtId="2" fontId="314" fillId="0" borderId="12" xfId="30637" applyNumberFormat="1" applyFont="1" applyBorder="1" applyAlignment="1">
      <alignment horizontal="right" vertical="top"/>
    </xf>
    <xf numFmtId="0" fontId="314" fillId="0" borderId="12" xfId="30631" applyFont="1" applyBorder="1" applyAlignment="1">
      <alignment vertical="top"/>
    </xf>
    <xf numFmtId="0" fontId="314" fillId="0" borderId="12" xfId="30637" applyFont="1" applyBorder="1" applyAlignment="1">
      <alignment horizontal="left" vertical="top" wrapText="1"/>
    </xf>
    <xf numFmtId="0" fontId="314" fillId="0" borderId="12" xfId="30637" applyFont="1" applyBorder="1" applyAlignment="1">
      <alignment horizontal="center" vertical="top"/>
    </xf>
    <xf numFmtId="2" fontId="314" fillId="0" borderId="12" xfId="30637" applyNumberFormat="1" applyFont="1" applyBorder="1" applyAlignment="1">
      <alignment horizontal="center" vertical="top" wrapText="1"/>
    </xf>
    <xf numFmtId="2" fontId="315" fillId="0" borderId="1" xfId="30637" applyNumberFormat="1" applyFont="1" applyBorder="1" applyAlignment="1">
      <alignment horizontal="center" vertical="top"/>
    </xf>
    <xf numFmtId="0" fontId="314" fillId="0" borderId="12" xfId="30637" applyFont="1" applyBorder="1" applyAlignment="1">
      <alignment horizontal="center" vertical="top" wrapText="1"/>
    </xf>
    <xf numFmtId="1" fontId="314" fillId="0" borderId="12" xfId="30637" applyNumberFormat="1" applyFont="1" applyBorder="1" applyAlignment="1">
      <alignment horizontal="right" vertical="center"/>
    </xf>
    <xf numFmtId="0" fontId="314" fillId="0" borderId="2" xfId="0" applyFont="1" applyBorder="1" applyAlignment="1">
      <alignment horizontal="center" vertical="center"/>
    </xf>
    <xf numFmtId="0" fontId="314" fillId="0" borderId="2" xfId="0" applyFont="1" applyBorder="1" applyAlignment="1">
      <alignment horizontal="left" vertical="center" wrapText="1"/>
    </xf>
    <xf numFmtId="0" fontId="314" fillId="0" borderId="2" xfId="0" applyFont="1" applyBorder="1" applyAlignment="1">
      <alignment horizontal="center" vertical="center" wrapText="1"/>
    </xf>
    <xf numFmtId="2" fontId="315" fillId="0" borderId="2" xfId="0" applyNumberFormat="1" applyFont="1" applyBorder="1" applyAlignment="1">
      <alignment horizontal="center" vertical="center" wrapText="1"/>
    </xf>
    <xf numFmtId="2" fontId="314" fillId="0" borderId="2" xfId="0" applyNumberFormat="1" applyFont="1" applyBorder="1" applyAlignment="1">
      <alignment horizontal="center" vertical="center" wrapText="1"/>
    </xf>
    <xf numFmtId="2" fontId="315" fillId="0" borderId="2" xfId="0" applyNumberFormat="1" applyFont="1" applyBorder="1" applyAlignment="1">
      <alignment horizontal="right" vertical="center"/>
    </xf>
    <xf numFmtId="0" fontId="314" fillId="0" borderId="3" xfId="0" applyFont="1" applyBorder="1" applyAlignment="1">
      <alignment horizontal="center" vertical="center"/>
    </xf>
    <xf numFmtId="0" fontId="315" fillId="0" borderId="2" xfId="0" applyFont="1" applyBorder="1" applyAlignment="1">
      <alignment horizontal="center" vertical="center"/>
    </xf>
    <xf numFmtId="2" fontId="315" fillId="0" borderId="2" xfId="0" applyNumberFormat="1" applyFont="1" applyBorder="1" applyAlignment="1">
      <alignment vertical="center"/>
    </xf>
    <xf numFmtId="3" fontId="315" fillId="0" borderId="0" xfId="0" applyNumberFormat="1" applyFont="1" applyAlignment="1">
      <alignment horizontal="center" vertical="center"/>
    </xf>
    <xf numFmtId="2" fontId="314" fillId="0" borderId="0" xfId="6437" applyNumberFormat="1" applyFont="1" applyAlignment="1">
      <alignment horizontal="justify" vertical="center"/>
    </xf>
    <xf numFmtId="1" fontId="315" fillId="0" borderId="1" xfId="6437" applyNumberFormat="1" applyFont="1" applyBorder="1" applyAlignment="1">
      <alignment horizontal="center" vertical="center"/>
    </xf>
    <xf numFmtId="2" fontId="315" fillId="0" borderId="1" xfId="6437" applyNumberFormat="1" applyFont="1" applyBorder="1" applyAlignment="1">
      <alignment horizontal="center" vertical="center"/>
    </xf>
    <xf numFmtId="2" fontId="315" fillId="0" borderId="0" xfId="6437" applyNumberFormat="1" applyFont="1" applyAlignment="1">
      <alignment horizontal="center" vertical="center"/>
    </xf>
    <xf numFmtId="1" fontId="315" fillId="0" borderId="11" xfId="6437" applyNumberFormat="1" applyFont="1" applyBorder="1" applyAlignment="1">
      <alignment horizontal="center" vertical="top" wrapText="1"/>
    </xf>
    <xf numFmtId="2" fontId="315" fillId="0" borderId="11" xfId="6437" applyNumberFormat="1" applyFont="1" applyBorder="1" applyAlignment="1">
      <alignment horizontal="right" vertical="center" wrapText="1"/>
    </xf>
    <xf numFmtId="2" fontId="315" fillId="0" borderId="0" xfId="6437" applyNumberFormat="1" applyFont="1" applyAlignment="1">
      <alignment horizontal="justify" vertical="center"/>
    </xf>
    <xf numFmtId="1" fontId="315" fillId="0" borderId="12" xfId="6437" applyNumberFormat="1" applyFont="1" applyBorder="1" applyAlignment="1">
      <alignment horizontal="center" vertical="center" wrapText="1"/>
    </xf>
    <xf numFmtId="0" fontId="314" fillId="0" borderId="12" xfId="6437" applyFont="1" applyBorder="1" applyAlignment="1">
      <alignment horizontal="justify" vertical="top" wrapText="1"/>
    </xf>
    <xf numFmtId="1" fontId="318" fillId="0" borderId="12" xfId="6437" applyNumberFormat="1" applyFont="1" applyBorder="1" applyAlignment="1">
      <alignment horizontal="center" vertical="center" wrapText="1"/>
    </xf>
    <xf numFmtId="2" fontId="314" fillId="0" borderId="12" xfId="6437" applyNumberFormat="1" applyFont="1" applyBorder="1" applyAlignment="1">
      <alignment horizontal="center" vertical="center" wrapText="1"/>
    </xf>
    <xf numFmtId="2" fontId="315" fillId="0" borderId="12" xfId="6437" applyNumberFormat="1" applyFont="1" applyBorder="1" applyAlignment="1">
      <alignment horizontal="center" vertical="center" wrapText="1"/>
    </xf>
    <xf numFmtId="176" fontId="314" fillId="0" borderId="12" xfId="6437" quotePrefix="1" applyNumberFormat="1" applyFont="1" applyBorder="1" applyAlignment="1">
      <alignment horizontal="center" vertical="center" wrapText="1"/>
    </xf>
    <xf numFmtId="2" fontId="315" fillId="0" borderId="12" xfId="6437" applyNumberFormat="1" applyFont="1" applyBorder="1" applyAlignment="1">
      <alignment horizontal="right" vertical="center"/>
    </xf>
    <xf numFmtId="1" fontId="315" fillId="0" borderId="12" xfId="6437" applyNumberFormat="1" applyFont="1" applyBorder="1" applyAlignment="1">
      <alignment horizontal="center" vertical="center"/>
    </xf>
    <xf numFmtId="2" fontId="314" fillId="0" borderId="12" xfId="6437" applyNumberFormat="1" applyFont="1" applyBorder="1" applyAlignment="1">
      <alignment horizontal="justify" vertical="top" wrapText="1"/>
    </xf>
    <xf numFmtId="1" fontId="314" fillId="0" borderId="0" xfId="6437" applyNumberFormat="1" applyFont="1" applyAlignment="1">
      <alignment horizontal="justify" vertical="center"/>
    </xf>
    <xf numFmtId="1" fontId="315" fillId="0" borderId="12" xfId="6437" applyNumberFormat="1" applyFont="1" applyBorder="1" applyAlignment="1">
      <alignment horizontal="center" vertical="top"/>
    </xf>
    <xf numFmtId="2" fontId="321" fillId="0" borderId="12" xfId="6437" applyNumberFormat="1" applyFont="1" applyBorder="1" applyAlignment="1">
      <alignment horizontal="justify" vertical="top"/>
    </xf>
    <xf numFmtId="1" fontId="321" fillId="0" borderId="12" xfId="6437" applyNumberFormat="1" applyFont="1" applyBorder="1" applyAlignment="1">
      <alignment horizontal="center" vertical="center" wrapText="1"/>
    </xf>
    <xf numFmtId="2" fontId="314" fillId="0" borderId="12" xfId="6437" applyNumberFormat="1" applyFont="1" applyBorder="1" applyAlignment="1">
      <alignment horizontal="right" vertical="center"/>
    </xf>
    <xf numFmtId="176" fontId="314" fillId="0" borderId="12" xfId="6437" applyNumberFormat="1" applyFont="1" applyBorder="1" applyAlignment="1">
      <alignment horizontal="center" vertical="center" wrapText="1"/>
    </xf>
    <xf numFmtId="2" fontId="314" fillId="0" borderId="12" xfId="6437" applyNumberFormat="1" applyFont="1" applyBorder="1" applyAlignment="1">
      <alignment horizontal="left" vertical="center"/>
    </xf>
    <xf numFmtId="2" fontId="315" fillId="0" borderId="12" xfId="6437" applyNumberFormat="1" applyFont="1" applyBorder="1" applyAlignment="1">
      <alignment horizontal="justify" vertical="top"/>
    </xf>
    <xf numFmtId="2" fontId="315" fillId="0" borderId="2" xfId="6437" applyNumberFormat="1" applyFont="1" applyBorder="1" applyAlignment="1">
      <alignment horizontal="center" vertical="center" wrapText="1"/>
    </xf>
    <xf numFmtId="176" fontId="314" fillId="0" borderId="2" xfId="6437" applyNumberFormat="1" applyFont="1" applyBorder="1" applyAlignment="1">
      <alignment horizontal="center" vertical="center" wrapText="1"/>
    </xf>
    <xf numFmtId="2" fontId="315" fillId="0" borderId="2" xfId="6437" applyNumberFormat="1" applyFont="1" applyBorder="1" applyAlignment="1">
      <alignment horizontal="right" vertical="center"/>
    </xf>
    <xf numFmtId="1" fontId="315" fillId="0" borderId="2" xfId="6437" applyNumberFormat="1" applyFont="1" applyBorder="1" applyAlignment="1">
      <alignment horizontal="center" vertical="center"/>
    </xf>
    <xf numFmtId="2" fontId="314" fillId="0" borderId="2" xfId="6437" applyNumberFormat="1" applyFont="1" applyBorder="1" applyAlignment="1">
      <alignment horizontal="justify" vertical="center"/>
    </xf>
    <xf numFmtId="2" fontId="321" fillId="0" borderId="2" xfId="6437" applyNumberFormat="1" applyFont="1" applyBorder="1" applyAlignment="1">
      <alignment horizontal="center" vertical="center"/>
    </xf>
    <xf numFmtId="2" fontId="315" fillId="0" borderId="2" xfId="6437" applyNumberFormat="1" applyFont="1" applyBorder="1" applyAlignment="1">
      <alignment horizontal="center" vertical="center"/>
    </xf>
    <xf numFmtId="2" fontId="315" fillId="0" borderId="2" xfId="6437" applyNumberFormat="1" applyFont="1" applyBorder="1" applyAlignment="1">
      <alignment horizontal="justify" vertical="center"/>
    </xf>
    <xf numFmtId="2" fontId="314" fillId="0" borderId="0" xfId="6437" applyNumberFormat="1" applyFont="1" applyAlignment="1">
      <alignment horizontal="left" vertical="center"/>
    </xf>
    <xf numFmtId="1" fontId="315" fillId="0" borderId="0" xfId="6437" applyNumberFormat="1" applyFont="1" applyAlignment="1">
      <alignment horizontal="center" vertical="center"/>
    </xf>
    <xf numFmtId="2" fontId="314" fillId="0" borderId="0" xfId="6437" applyNumberFormat="1" applyFont="1" applyAlignment="1">
      <alignment horizontal="justify" vertical="top"/>
    </xf>
    <xf numFmtId="2" fontId="361" fillId="0" borderId="0" xfId="6437" applyNumberFormat="1" applyFont="1" applyAlignment="1">
      <alignment horizontal="center" vertical="center"/>
    </xf>
    <xf numFmtId="2" fontId="314" fillId="0" borderId="0" xfId="6437" applyNumberFormat="1" applyFont="1" applyAlignment="1">
      <alignment horizontal="center" vertical="center"/>
    </xf>
    <xf numFmtId="2" fontId="314" fillId="0" borderId="0" xfId="6437" applyNumberFormat="1" applyFont="1" applyAlignment="1">
      <alignment horizontal="right" vertical="center"/>
    </xf>
    <xf numFmtId="0" fontId="314" fillId="0" borderId="0" xfId="6367" applyFont="1"/>
    <xf numFmtId="2" fontId="314" fillId="0" borderId="0" xfId="6367" applyNumberFormat="1" applyFont="1"/>
    <xf numFmtId="0" fontId="314" fillId="0" borderId="0" xfId="6437" applyFont="1" applyAlignment="1">
      <alignment vertical="top"/>
    </xf>
    <xf numFmtId="0" fontId="361" fillId="0" borderId="0" xfId="6437" applyFont="1" applyAlignment="1">
      <alignment vertical="center"/>
    </xf>
    <xf numFmtId="0" fontId="314" fillId="0" borderId="0" xfId="6437" applyFont="1" applyAlignment="1">
      <alignment horizontal="center" vertical="center"/>
    </xf>
    <xf numFmtId="1" fontId="314" fillId="0" borderId="0" xfId="6437" applyNumberFormat="1" applyFont="1" applyAlignment="1">
      <alignment vertical="top"/>
    </xf>
    <xf numFmtId="0" fontId="314" fillId="0" borderId="0" xfId="6437" applyFont="1" applyAlignment="1">
      <alignment vertical="center"/>
    </xf>
    <xf numFmtId="2" fontId="314" fillId="0" borderId="0" xfId="6437" applyNumberFormat="1" applyFont="1" applyAlignment="1">
      <alignment vertical="top"/>
    </xf>
    <xf numFmtId="0" fontId="314" fillId="0" borderId="0" xfId="6437" applyFont="1" applyAlignment="1">
      <alignment vertical="top" wrapText="1"/>
    </xf>
    <xf numFmtId="0" fontId="314" fillId="0" borderId="0" xfId="30621" applyFont="1"/>
    <xf numFmtId="2" fontId="315" fillId="0" borderId="1" xfId="17439" applyNumberFormat="1" applyFont="1" applyBorder="1" applyAlignment="1">
      <alignment horizontal="center" vertical="center"/>
    </xf>
    <xf numFmtId="1" fontId="315" fillId="0" borderId="1" xfId="17439" applyNumberFormat="1" applyFont="1" applyBorder="1" applyAlignment="1">
      <alignment horizontal="center" vertical="center"/>
    </xf>
    <xf numFmtId="1" fontId="315" fillId="0" borderId="1" xfId="17439" applyNumberFormat="1" applyFont="1" applyBorder="1" applyAlignment="1">
      <alignment horizontal="center" vertical="top"/>
    </xf>
    <xf numFmtId="0" fontId="314" fillId="0" borderId="1" xfId="17439" applyFont="1" applyBorder="1" applyAlignment="1">
      <alignment horizontal="center" vertical="top" wrapText="1"/>
    </xf>
    <xf numFmtId="0" fontId="314" fillId="0" borderId="1" xfId="17439" applyFont="1" applyBorder="1" applyAlignment="1">
      <alignment vertical="top" wrapText="1"/>
    </xf>
    <xf numFmtId="0" fontId="324" fillId="0" borderId="1" xfId="17439" applyFont="1" applyBorder="1" applyAlignment="1">
      <alignment horizontal="justify" vertical="top" wrapText="1"/>
    </xf>
    <xf numFmtId="0" fontId="314" fillId="0" borderId="1" xfId="17439" applyFont="1" applyBorder="1" applyAlignment="1">
      <alignment horizontal="justify" vertical="top" wrapText="1"/>
    </xf>
    <xf numFmtId="1" fontId="314" fillId="0" borderId="1" xfId="17439" applyNumberFormat="1" applyFont="1" applyBorder="1" applyAlignment="1">
      <alignment horizontal="center" vertical="top"/>
    </xf>
    <xf numFmtId="0" fontId="324" fillId="0" borderId="1" xfId="17439" applyFont="1" applyBorder="1" applyAlignment="1">
      <alignment vertical="center" wrapText="1"/>
    </xf>
    <xf numFmtId="0" fontId="318" fillId="0" borderId="1" xfId="17439" applyFont="1" applyBorder="1" applyAlignment="1">
      <alignment horizontal="center" vertical="center" wrapText="1"/>
    </xf>
    <xf numFmtId="0" fontId="324" fillId="0" borderId="1" xfId="17439" applyFont="1" applyBorder="1" applyAlignment="1">
      <alignment horizontal="center" vertical="center" wrapText="1"/>
    </xf>
    <xf numFmtId="2" fontId="324" fillId="0" borderId="1" xfId="17439" applyNumberFormat="1" applyFont="1" applyBorder="1" applyAlignment="1">
      <alignment horizontal="center" vertical="center" wrapText="1"/>
    </xf>
    <xf numFmtId="2" fontId="324" fillId="0" borderId="1" xfId="17439" applyNumberFormat="1" applyFont="1" applyBorder="1" applyAlignment="1">
      <alignment horizontal="center" vertical="center"/>
    </xf>
    <xf numFmtId="2" fontId="314" fillId="0" borderId="1" xfId="17439" applyNumberFormat="1" applyFont="1" applyBorder="1" applyAlignment="1">
      <alignment horizontal="center" vertical="center" wrapText="1"/>
    </xf>
    <xf numFmtId="1" fontId="314" fillId="0" borderId="1" xfId="17439" applyNumberFormat="1" applyFont="1" applyBorder="1" applyAlignment="1">
      <alignment horizontal="center" vertical="center" wrapText="1"/>
    </xf>
    <xf numFmtId="0" fontId="314" fillId="0" borderId="1" xfId="17439" applyFont="1" applyBorder="1" applyAlignment="1">
      <alignment horizontal="left" vertical="top" wrapText="1"/>
    </xf>
    <xf numFmtId="0" fontId="314" fillId="0" borderId="1" xfId="17439" applyFont="1" applyBorder="1" applyAlignment="1">
      <alignment vertical="center" wrapText="1"/>
    </xf>
    <xf numFmtId="1" fontId="324" fillId="0" borderId="1" xfId="17439" applyNumberFormat="1" applyFont="1" applyBorder="1" applyAlignment="1">
      <alignment horizontal="center" vertical="center" wrapText="1"/>
    </xf>
    <xf numFmtId="2" fontId="314" fillId="0" borderId="1" xfId="17439" applyNumberFormat="1" applyFont="1" applyBorder="1" applyAlignment="1">
      <alignment horizontal="center" vertical="top"/>
    </xf>
    <xf numFmtId="2" fontId="314" fillId="0" borderId="1" xfId="17439" applyNumberFormat="1" applyFont="1" applyBorder="1" applyAlignment="1">
      <alignment vertical="top"/>
    </xf>
    <xf numFmtId="0" fontId="315" fillId="0" borderId="1" xfId="17439" applyFont="1" applyBorder="1" applyAlignment="1">
      <alignment horizontal="justify" vertical="top" wrapText="1"/>
    </xf>
    <xf numFmtId="2" fontId="315" fillId="0" borderId="1" xfId="17439" applyNumberFormat="1" applyFont="1" applyBorder="1" applyAlignment="1">
      <alignment horizontal="center" vertical="top"/>
    </xf>
    <xf numFmtId="1" fontId="314" fillId="0" borderId="1" xfId="17439" applyNumberFormat="1" applyFont="1" applyBorder="1" applyAlignment="1">
      <alignment vertical="top"/>
    </xf>
    <xf numFmtId="2" fontId="314" fillId="0" borderId="1" xfId="17439" applyNumberFormat="1" applyFont="1" applyBorder="1" applyAlignment="1">
      <alignment horizontal="center" vertical="top" wrapText="1"/>
    </xf>
    <xf numFmtId="1" fontId="314" fillId="0" borderId="0" xfId="30621" applyNumberFormat="1" applyFont="1"/>
    <xf numFmtId="0" fontId="314" fillId="0" borderId="1" xfId="30621" applyFont="1" applyBorder="1"/>
    <xf numFmtId="9" fontId="314" fillId="0" borderId="1" xfId="17439" applyNumberFormat="1" applyFont="1" applyBorder="1" applyAlignment="1">
      <alignment horizontal="justify" vertical="top" wrapText="1"/>
    </xf>
    <xf numFmtId="2" fontId="314" fillId="0" borderId="1" xfId="17439" quotePrefix="1" applyNumberFormat="1" applyFont="1" applyBorder="1" applyAlignment="1">
      <alignment horizontal="center" vertical="top"/>
    </xf>
    <xf numFmtId="171" fontId="314" fillId="0" borderId="1" xfId="17439" applyNumberFormat="1" applyFont="1" applyBorder="1" applyAlignment="1">
      <alignment horizontal="center" vertical="center" wrapText="1"/>
    </xf>
    <xf numFmtId="2" fontId="315" fillId="0" borderId="1" xfId="17439" applyNumberFormat="1" applyFont="1" applyBorder="1" applyAlignment="1">
      <alignment vertical="top"/>
    </xf>
    <xf numFmtId="2" fontId="314" fillId="0" borderId="0" xfId="30621" applyNumberFormat="1" applyFont="1"/>
    <xf numFmtId="0" fontId="314" fillId="0" borderId="0" xfId="30621" applyFont="1" applyAlignment="1">
      <alignment horizontal="center"/>
    </xf>
    <xf numFmtId="0" fontId="362" fillId="0" borderId="0" xfId="3892" applyFont="1" applyAlignment="1">
      <alignment horizontal="center" vertical="center"/>
    </xf>
    <xf numFmtId="0" fontId="314" fillId="0" borderId="0" xfId="0" applyFont="1" applyAlignment="1">
      <alignment horizontal="center" vertical="top"/>
    </xf>
    <xf numFmtId="0" fontId="314" fillId="3" borderId="0" xfId="0" applyFont="1" applyFill="1" applyAlignment="1">
      <alignment vertical="center"/>
    </xf>
    <xf numFmtId="0" fontId="315" fillId="0" borderId="0" xfId="0" applyFont="1" applyAlignment="1">
      <alignment vertical="center"/>
    </xf>
    <xf numFmtId="0" fontId="314" fillId="0" borderId="0" xfId="30646" applyFont="1"/>
    <xf numFmtId="0" fontId="314" fillId="3" borderId="0" xfId="0" applyFont="1" applyFill="1"/>
    <xf numFmtId="0" fontId="314" fillId="0" borderId="0" xfId="30646" applyFont="1" applyAlignment="1">
      <alignment vertical="center"/>
    </xf>
    <xf numFmtId="171" fontId="314" fillId="0" borderId="0" xfId="30646" applyNumberFormat="1" applyFont="1"/>
    <xf numFmtId="176" fontId="314" fillId="0" borderId="0" xfId="30646" applyNumberFormat="1" applyFont="1"/>
    <xf numFmtId="2" fontId="314" fillId="0" borderId="0" xfId="30646" applyNumberFormat="1" applyFont="1"/>
    <xf numFmtId="0" fontId="314" fillId="3" borderId="0" xfId="30646" applyFont="1" applyFill="1"/>
    <xf numFmtId="176" fontId="314" fillId="0" borderId="0" xfId="0" applyNumberFormat="1" applyFont="1" applyAlignment="1">
      <alignment vertical="center"/>
    </xf>
    <xf numFmtId="0" fontId="315" fillId="0" borderId="0" xfId="0" applyFont="1" applyFill="1" applyAlignment="1">
      <alignment horizontal="center" vertical="center"/>
    </xf>
    <xf numFmtId="0" fontId="315" fillId="0" borderId="1" xfId="0" applyFont="1" applyFill="1" applyBorder="1" applyAlignment="1">
      <alignment horizontal="center" vertical="center"/>
    </xf>
    <xf numFmtId="2" fontId="315" fillId="0" borderId="1" xfId="0" applyNumberFormat="1" applyFont="1" applyFill="1" applyBorder="1" applyAlignment="1">
      <alignment horizontal="center" vertical="center" wrapText="1"/>
    </xf>
    <xf numFmtId="0" fontId="315" fillId="0" borderId="1" xfId="0" applyFont="1" applyFill="1" applyBorder="1" applyAlignment="1">
      <alignment horizontal="center" vertical="center" wrapText="1"/>
    </xf>
    <xf numFmtId="176" fontId="315" fillId="0" borderId="1" xfId="0" applyNumberFormat="1" applyFont="1" applyFill="1" applyBorder="1" applyAlignment="1">
      <alignment horizontal="center" vertical="center" wrapText="1"/>
    </xf>
    <xf numFmtId="0" fontId="315" fillId="0" borderId="1" xfId="0" applyFont="1" applyFill="1" applyBorder="1" applyAlignment="1">
      <alignment horizontal="center" vertical="top"/>
    </xf>
    <xf numFmtId="0" fontId="315" fillId="0" borderId="1" xfId="0" applyFont="1" applyFill="1" applyBorder="1" applyAlignment="1">
      <alignment horizontal="left" vertical="center"/>
    </xf>
    <xf numFmtId="189" fontId="314" fillId="0" borderId="1" xfId="0" applyNumberFormat="1" applyFont="1" applyFill="1" applyBorder="1" applyAlignment="1">
      <alignment horizontal="center" vertical="top"/>
    </xf>
    <xf numFmtId="2" fontId="314" fillId="0" borderId="1" xfId="0" applyNumberFormat="1" applyFont="1" applyFill="1" applyBorder="1" applyAlignment="1">
      <alignment horizontal="left" vertical="center"/>
    </xf>
    <xf numFmtId="0" fontId="314" fillId="0" borderId="1" xfId="0" applyFont="1" applyFill="1" applyBorder="1" applyAlignment="1">
      <alignment horizontal="left" vertical="center"/>
    </xf>
    <xf numFmtId="2" fontId="314" fillId="0" borderId="1" xfId="0" applyNumberFormat="1" applyFont="1" applyFill="1" applyBorder="1" applyAlignment="1">
      <alignment horizontal="center" vertical="center"/>
    </xf>
    <xf numFmtId="0" fontId="314" fillId="0" borderId="1" xfId="0" applyFont="1" applyFill="1" applyBorder="1" applyAlignment="1">
      <alignment horizontal="center" vertical="center"/>
    </xf>
    <xf numFmtId="2" fontId="314" fillId="0" borderId="1" xfId="0" applyNumberFormat="1" applyFont="1" applyFill="1" applyBorder="1" applyAlignment="1">
      <alignment horizontal="right" vertical="center"/>
    </xf>
    <xf numFmtId="9" fontId="314" fillId="0" borderId="1" xfId="0" applyNumberFormat="1" applyFont="1" applyFill="1" applyBorder="1" applyAlignment="1">
      <alignment horizontal="center" vertical="center"/>
    </xf>
    <xf numFmtId="0" fontId="314" fillId="0" borderId="1" xfId="0" applyFont="1" applyFill="1" applyBorder="1" applyAlignment="1">
      <alignment vertical="center"/>
    </xf>
    <xf numFmtId="0" fontId="314" fillId="0" borderId="1" xfId="0" applyFont="1" applyFill="1" applyBorder="1" applyAlignment="1">
      <alignment horizontal="right" vertical="center"/>
    </xf>
    <xf numFmtId="2" fontId="314" fillId="0" borderId="1" xfId="0" applyNumberFormat="1" applyFont="1" applyFill="1" applyBorder="1" applyAlignment="1">
      <alignment horizontal="center" vertical="center" wrapText="1"/>
    </xf>
    <xf numFmtId="2" fontId="314" fillId="0" borderId="1" xfId="0" applyNumberFormat="1" applyFont="1" applyFill="1" applyBorder="1" applyAlignment="1">
      <alignment horizontal="left" vertical="center" wrapText="1"/>
    </xf>
    <xf numFmtId="0" fontId="314" fillId="0" borderId="1" xfId="0" applyFont="1" applyFill="1" applyBorder="1" applyAlignment="1">
      <alignment horizontal="left" vertical="center" wrapText="1"/>
    </xf>
    <xf numFmtId="2" fontId="314" fillId="0" borderId="1" xfId="0" applyNumberFormat="1" applyFont="1" applyFill="1" applyBorder="1" applyAlignment="1">
      <alignment horizontal="right" vertical="center" wrapText="1"/>
    </xf>
    <xf numFmtId="2" fontId="315" fillId="0" borderId="1" xfId="0" applyNumberFormat="1" applyFont="1" applyFill="1" applyBorder="1" applyAlignment="1">
      <alignment horizontal="left" vertical="center"/>
    </xf>
    <xf numFmtId="185" fontId="315" fillId="0" borderId="1" xfId="0" applyNumberFormat="1" applyFont="1" applyFill="1" applyBorder="1" applyAlignment="1">
      <alignment horizontal="center" vertical="center"/>
    </xf>
    <xf numFmtId="0" fontId="314" fillId="0" borderId="1" xfId="0" applyFont="1" applyFill="1" applyBorder="1" applyAlignment="1">
      <alignment horizontal="left" vertical="top"/>
    </xf>
    <xf numFmtId="2" fontId="314" fillId="0" borderId="1" xfId="0" applyNumberFormat="1" applyFont="1" applyFill="1" applyBorder="1" applyAlignment="1">
      <alignment vertical="center"/>
    </xf>
    <xf numFmtId="2" fontId="314" fillId="0" borderId="1" xfId="0" applyNumberFormat="1" applyFont="1" applyFill="1" applyBorder="1" applyAlignment="1">
      <alignment horizontal="right" vertical="top"/>
    </xf>
    <xf numFmtId="2" fontId="315" fillId="0" borderId="1" xfId="0" applyNumberFormat="1" applyFont="1" applyFill="1" applyBorder="1" applyAlignment="1">
      <alignment horizontal="right" vertical="center"/>
    </xf>
    <xf numFmtId="1" fontId="315" fillId="0" borderId="1" xfId="0" applyNumberFormat="1" applyFont="1" applyFill="1" applyBorder="1" applyAlignment="1">
      <alignment horizontal="right" vertical="center"/>
    </xf>
    <xf numFmtId="0" fontId="315" fillId="0" borderId="1" xfId="0" applyFont="1" applyFill="1" applyBorder="1" applyAlignment="1" applyProtection="1">
      <alignment horizontal="center" vertical="top" wrapText="1"/>
      <protection hidden="1"/>
    </xf>
    <xf numFmtId="0" fontId="315" fillId="0" borderId="1" xfId="0" applyFont="1" applyFill="1" applyBorder="1" applyAlignment="1" applyProtection="1">
      <alignment horizontal="center" vertical="top"/>
      <protection hidden="1"/>
    </xf>
    <xf numFmtId="0" fontId="314" fillId="0" borderId="1" xfId="0" applyFont="1" applyFill="1" applyBorder="1" applyAlignment="1" applyProtection="1">
      <alignment horizontal="center"/>
      <protection hidden="1"/>
    </xf>
    <xf numFmtId="0" fontId="315" fillId="0" borderId="1" xfId="0" applyFont="1" applyFill="1" applyBorder="1" applyAlignment="1" applyProtection="1">
      <alignment horizontal="left" vertical="center"/>
      <protection hidden="1"/>
    </xf>
    <xf numFmtId="2" fontId="314" fillId="0" borderId="1" xfId="0" applyNumberFormat="1" applyFont="1" applyFill="1" applyBorder="1" applyAlignment="1" applyProtection="1">
      <alignment horizontal="center"/>
      <protection hidden="1"/>
    </xf>
    <xf numFmtId="0" fontId="314" fillId="0" borderId="1" xfId="0" applyFont="1" applyFill="1" applyBorder="1" applyAlignment="1" applyProtection="1">
      <alignment horizontal="right"/>
      <protection hidden="1"/>
    </xf>
    <xf numFmtId="0" fontId="315" fillId="0" borderId="1" xfId="0" applyFont="1" applyFill="1" applyBorder="1" applyAlignment="1" applyProtection="1">
      <alignment horizontal="left"/>
      <protection hidden="1"/>
    </xf>
    <xf numFmtId="0" fontId="315" fillId="0" borderId="1" xfId="0" applyFont="1" applyFill="1" applyBorder="1" applyAlignment="1" applyProtection="1">
      <alignment vertical="center"/>
      <protection hidden="1"/>
    </xf>
    <xf numFmtId="2" fontId="315" fillId="0" borderId="1" xfId="0" applyNumberFormat="1" applyFont="1" applyFill="1" applyBorder="1" applyAlignment="1" applyProtection="1">
      <alignment horizontal="left" vertical="center"/>
      <protection hidden="1"/>
    </xf>
    <xf numFmtId="0" fontId="315" fillId="0" borderId="1" xfId="0" applyFont="1" applyFill="1" applyBorder="1" applyAlignment="1" applyProtection="1">
      <alignment horizontal="center"/>
      <protection hidden="1"/>
    </xf>
    <xf numFmtId="171" fontId="314" fillId="0" borderId="1" xfId="0" applyNumberFormat="1" applyFont="1" applyFill="1" applyBorder="1" applyAlignment="1" applyProtection="1">
      <alignment horizontal="center"/>
      <protection hidden="1"/>
    </xf>
    <xf numFmtId="2" fontId="314" fillId="0" borderId="1" xfId="0" applyNumberFormat="1" applyFont="1" applyFill="1" applyBorder="1" applyAlignment="1" applyProtection="1">
      <alignment horizontal="left" vertical="center"/>
      <protection hidden="1"/>
    </xf>
    <xf numFmtId="2" fontId="314" fillId="0" borderId="1" xfId="0" applyNumberFormat="1" applyFont="1" applyFill="1" applyBorder="1" applyAlignment="1" applyProtection="1">
      <alignment horizontal="center" vertical="top"/>
      <protection hidden="1"/>
    </xf>
    <xf numFmtId="2" fontId="314" fillId="0" borderId="1" xfId="0" applyNumberFormat="1" applyFont="1" applyFill="1" applyBorder="1" applyAlignment="1" applyProtection="1">
      <alignment horizontal="right"/>
      <protection hidden="1"/>
    </xf>
    <xf numFmtId="0" fontId="314" fillId="0" borderId="1" xfId="0" applyFont="1" applyFill="1" applyBorder="1" applyAlignment="1" applyProtection="1">
      <alignment horizontal="left" vertical="center"/>
      <protection hidden="1"/>
    </xf>
    <xf numFmtId="2" fontId="315" fillId="0" borderId="1" xfId="0" applyNumberFormat="1" applyFont="1" applyFill="1" applyBorder="1" applyAlignment="1" applyProtection="1">
      <alignment horizontal="center"/>
      <protection hidden="1"/>
    </xf>
    <xf numFmtId="2" fontId="315" fillId="0" borderId="1" xfId="0" applyNumberFormat="1" applyFont="1" applyFill="1" applyBorder="1" applyAlignment="1" applyProtection="1">
      <alignment horizontal="right"/>
      <protection hidden="1"/>
    </xf>
    <xf numFmtId="185" fontId="314" fillId="0" borderId="1" xfId="0" applyNumberFormat="1" applyFont="1" applyFill="1" applyBorder="1" applyAlignment="1">
      <alignment horizontal="center" vertical="center"/>
    </xf>
    <xf numFmtId="0" fontId="314" fillId="0" borderId="1" xfId="0" applyFont="1" applyFill="1" applyBorder="1" applyAlignment="1" applyProtection="1">
      <alignment horizontal="center" vertical="top"/>
      <protection hidden="1"/>
    </xf>
    <xf numFmtId="2" fontId="314" fillId="0" borderId="1" xfId="0" applyNumberFormat="1" applyFont="1" applyFill="1" applyBorder="1" applyAlignment="1" applyProtection="1">
      <alignment horizontal="right" vertical="top"/>
      <protection hidden="1"/>
    </xf>
    <xf numFmtId="0" fontId="314" fillId="0" borderId="1" xfId="0" applyFont="1" applyFill="1" applyBorder="1" applyAlignment="1">
      <alignment horizontal="justify" vertical="top" wrapText="1"/>
    </xf>
    <xf numFmtId="0" fontId="317" fillId="0" borderId="1" xfId="0" applyFont="1" applyFill="1" applyBorder="1" applyAlignment="1">
      <alignment horizontal="justify" vertical="top" wrapText="1"/>
    </xf>
    <xf numFmtId="2" fontId="314" fillId="0" borderId="1" xfId="0" applyNumberFormat="1" applyFont="1" applyFill="1" applyBorder="1" applyAlignment="1">
      <alignment horizontal="justify" vertical="top" wrapText="1"/>
    </xf>
    <xf numFmtId="0" fontId="315" fillId="0" borderId="1" xfId="0" applyFont="1" applyFill="1" applyBorder="1" applyAlignment="1">
      <alignment horizontal="right" vertical="center"/>
    </xf>
    <xf numFmtId="0" fontId="315" fillId="0" borderId="1" xfId="0" applyFont="1" applyFill="1" applyBorder="1" applyAlignment="1">
      <alignment vertical="center"/>
    </xf>
    <xf numFmtId="2" fontId="315" fillId="0" borderId="1" xfId="0" applyNumberFormat="1" applyFont="1" applyFill="1" applyBorder="1" applyAlignment="1">
      <alignment vertical="center" shrinkToFit="1"/>
    </xf>
    <xf numFmtId="2" fontId="317" fillId="0" borderId="1" xfId="0" applyNumberFormat="1" applyFont="1" applyFill="1" applyBorder="1" applyAlignment="1">
      <alignment horizontal="right" vertical="center"/>
    </xf>
    <xf numFmtId="2" fontId="314" fillId="0" borderId="1" xfId="0" applyNumberFormat="1" applyFont="1" applyFill="1" applyBorder="1" applyAlignment="1">
      <alignment vertical="center" shrinkToFit="1"/>
    </xf>
    <xf numFmtId="0" fontId="315" fillId="0" borderId="1" xfId="0" applyFont="1" applyFill="1" applyBorder="1" applyAlignment="1">
      <alignment horizontal="center" vertical="top" wrapText="1"/>
    </xf>
    <xf numFmtId="10" fontId="315" fillId="0" borderId="1" xfId="0" applyNumberFormat="1" applyFont="1" applyFill="1" applyBorder="1" applyAlignment="1">
      <alignment horizontal="center" vertical="center"/>
    </xf>
    <xf numFmtId="176" fontId="314" fillId="0" borderId="1" xfId="0" applyNumberFormat="1" applyFont="1" applyFill="1" applyBorder="1" applyAlignment="1">
      <alignment vertical="center"/>
    </xf>
    <xf numFmtId="0" fontId="314" fillId="0" borderId="1" xfId="0" applyFont="1" applyFill="1" applyBorder="1"/>
    <xf numFmtId="0" fontId="315" fillId="0" borderId="1" xfId="0" applyFont="1" applyFill="1" applyBorder="1"/>
    <xf numFmtId="2" fontId="314" fillId="0" borderId="1" xfId="0" applyNumberFormat="1" applyFont="1" applyFill="1" applyBorder="1"/>
    <xf numFmtId="2" fontId="315" fillId="0" borderId="1" xfId="0" applyNumberFormat="1" applyFont="1" applyFill="1" applyBorder="1" applyAlignment="1">
      <alignment horizontal="right"/>
    </xf>
    <xf numFmtId="176" fontId="314" fillId="0" borderId="1" xfId="0" applyNumberFormat="1" applyFont="1" applyFill="1" applyBorder="1" applyAlignment="1">
      <alignment horizontal="right" vertical="center"/>
    </xf>
    <xf numFmtId="176" fontId="315" fillId="0" borderId="1" xfId="0" applyNumberFormat="1" applyFont="1" applyFill="1" applyBorder="1" applyAlignment="1">
      <alignment horizontal="right" vertical="center"/>
    </xf>
    <xf numFmtId="176" fontId="315" fillId="0" borderId="1" xfId="0" applyNumberFormat="1" applyFont="1" applyFill="1" applyBorder="1" applyAlignment="1">
      <alignment horizontal="center" vertical="center"/>
    </xf>
    <xf numFmtId="2" fontId="314" fillId="0" borderId="1" xfId="0" applyNumberFormat="1" applyFont="1" applyFill="1" applyBorder="1" applyAlignment="1">
      <alignment vertical="center" wrapText="1"/>
    </xf>
    <xf numFmtId="0" fontId="314" fillId="0" borderId="1" xfId="0" applyFont="1" applyFill="1" applyBorder="1" applyAlignment="1">
      <alignment vertical="center" wrapText="1"/>
    </xf>
    <xf numFmtId="2" fontId="315" fillId="0" borderId="1" xfId="0" applyNumberFormat="1" applyFont="1" applyFill="1" applyBorder="1" applyAlignment="1">
      <alignment horizontal="center" vertical="center"/>
    </xf>
    <xf numFmtId="0" fontId="314" fillId="0" borderId="1" xfId="0" applyFont="1" applyFill="1" applyBorder="1" applyAlignment="1">
      <alignment horizontal="justify" vertical="center" wrapText="1"/>
    </xf>
    <xf numFmtId="0" fontId="317" fillId="0" borderId="1" xfId="0" applyFont="1" applyFill="1" applyBorder="1" applyAlignment="1">
      <alignment horizontal="center" vertical="center"/>
    </xf>
    <xf numFmtId="0" fontId="317" fillId="0" borderId="1" xfId="0" applyFont="1" applyFill="1" applyBorder="1" applyAlignment="1">
      <alignment horizontal="left" vertical="center"/>
    </xf>
    <xf numFmtId="0" fontId="314" fillId="0" borderId="1" xfId="0" applyFont="1" applyFill="1" applyBorder="1" applyAlignment="1">
      <alignment horizontal="left" vertical="center" wrapText="1" shrinkToFit="1"/>
    </xf>
    <xf numFmtId="0" fontId="317" fillId="0" borderId="1" xfId="0" applyFont="1" applyFill="1" applyBorder="1" applyAlignment="1">
      <alignment vertical="center"/>
    </xf>
    <xf numFmtId="168" fontId="314" fillId="0" borderId="1" xfId="0" applyNumberFormat="1" applyFont="1" applyFill="1" applyBorder="1" applyAlignment="1">
      <alignment horizontal="center" vertical="center"/>
    </xf>
    <xf numFmtId="171" fontId="314" fillId="0" borderId="1" xfId="0" applyNumberFormat="1" applyFont="1" applyFill="1" applyBorder="1" applyAlignment="1">
      <alignment horizontal="center" vertical="center"/>
    </xf>
    <xf numFmtId="0" fontId="314" fillId="0" borderId="1" xfId="30646" applyFont="1" applyFill="1" applyBorder="1"/>
    <xf numFmtId="2" fontId="314" fillId="0" borderId="1" xfId="0" applyNumberFormat="1" applyFont="1" applyFill="1" applyBorder="1" applyAlignment="1">
      <alignment horizontal="center" vertical="top"/>
    </xf>
    <xf numFmtId="2" fontId="314" fillId="0" borderId="1" xfId="30646" applyNumberFormat="1" applyFont="1" applyFill="1" applyBorder="1" applyAlignment="1">
      <alignment horizontal="center" vertical="top"/>
    </xf>
    <xf numFmtId="2" fontId="314" fillId="0" borderId="1" xfId="30646" applyNumberFormat="1" applyFont="1" applyFill="1" applyBorder="1" applyAlignment="1">
      <alignment horizontal="left" vertical="center" wrapText="1"/>
    </xf>
    <xf numFmtId="2" fontId="315" fillId="0" borderId="1" xfId="30646" applyNumberFormat="1" applyFont="1" applyFill="1" applyBorder="1" applyAlignment="1">
      <alignment horizontal="right" vertical="center"/>
    </xf>
    <xf numFmtId="2" fontId="314" fillId="0" borderId="1" xfId="0" applyNumberFormat="1" applyFont="1" applyFill="1" applyBorder="1" applyAlignment="1">
      <alignment horizontal="center"/>
    </xf>
    <xf numFmtId="0" fontId="314" fillId="0" borderId="1" xfId="0" applyFont="1" applyFill="1" applyBorder="1" applyAlignment="1">
      <alignment horizontal="center"/>
    </xf>
    <xf numFmtId="0" fontId="314" fillId="0" borderId="1" xfId="0" applyFont="1" applyFill="1" applyBorder="1" applyAlignment="1">
      <alignment horizontal="center" vertical="center" wrapText="1"/>
    </xf>
    <xf numFmtId="0" fontId="315" fillId="0" borderId="1" xfId="0" applyFont="1" applyFill="1" applyBorder="1" applyAlignment="1">
      <alignment horizontal="left" vertical="center" wrapText="1"/>
    </xf>
    <xf numFmtId="2" fontId="314" fillId="0" borderId="1" xfId="30646" applyNumberFormat="1" applyFont="1" applyFill="1" applyBorder="1" applyAlignment="1">
      <alignment horizontal="left" vertical="center"/>
    </xf>
    <xf numFmtId="0" fontId="364" fillId="0" borderId="1" xfId="0" applyFont="1" applyFill="1" applyBorder="1" applyAlignment="1">
      <alignment horizontal="left" vertical="center" wrapText="1"/>
    </xf>
    <xf numFmtId="0" fontId="315" fillId="0" borderId="1" xfId="30646" applyFont="1" applyFill="1" applyBorder="1" applyAlignment="1">
      <alignment horizontal="center" vertical="top"/>
    </xf>
    <xf numFmtId="0" fontId="314" fillId="0" borderId="1" xfId="30646" applyFont="1" applyFill="1" applyBorder="1" applyAlignment="1">
      <alignment horizontal="center" vertical="center"/>
    </xf>
    <xf numFmtId="0" fontId="314" fillId="0" borderId="1" xfId="30646" applyFont="1" applyFill="1" applyBorder="1" applyAlignment="1">
      <alignment horizontal="left" vertical="top"/>
    </xf>
    <xf numFmtId="0" fontId="314" fillId="0" borderId="1" xfId="30646" applyFont="1" applyFill="1" applyBorder="1" applyAlignment="1">
      <alignment horizontal="left" vertical="center"/>
    </xf>
    <xf numFmtId="2" fontId="314" fillId="0" borderId="1" xfId="30646" applyNumberFormat="1" applyFont="1" applyFill="1" applyBorder="1" applyAlignment="1">
      <alignment horizontal="center" vertical="center"/>
    </xf>
    <xf numFmtId="0" fontId="314" fillId="0" borderId="1" xfId="30646" applyFont="1" applyFill="1" applyBorder="1" applyAlignment="1">
      <alignment horizontal="right" vertical="center"/>
    </xf>
    <xf numFmtId="0" fontId="315" fillId="0" borderId="1" xfId="30646" applyFont="1" applyFill="1" applyBorder="1" applyAlignment="1">
      <alignment horizontal="left" vertical="top"/>
    </xf>
    <xf numFmtId="0" fontId="314" fillId="0" borderId="1" xfId="30646" applyFont="1" applyFill="1" applyBorder="1" applyAlignment="1">
      <alignment horizontal="left"/>
    </xf>
    <xf numFmtId="2" fontId="314" fillId="0" borderId="1" xfId="30646" applyNumberFormat="1" applyFont="1" applyFill="1" applyBorder="1"/>
    <xf numFmtId="0" fontId="315" fillId="0" borderId="1" xfId="30646" applyFont="1" applyFill="1" applyBorder="1" applyAlignment="1">
      <alignment horizontal="center"/>
    </xf>
    <xf numFmtId="0" fontId="315" fillId="0" borderId="1" xfId="30646" applyFont="1" applyFill="1" applyBorder="1" applyAlignment="1">
      <alignment horizontal="left" vertical="center"/>
    </xf>
    <xf numFmtId="2" fontId="314" fillId="0" borderId="1" xfId="30646" applyNumberFormat="1" applyFont="1" applyFill="1" applyBorder="1" applyAlignment="1">
      <alignment horizontal="center"/>
    </xf>
    <xf numFmtId="2" fontId="314" fillId="0" borderId="1" xfId="30646" applyNumberFormat="1" applyFont="1" applyFill="1" applyBorder="1" applyAlignment="1">
      <alignment horizontal="right" vertical="center"/>
    </xf>
    <xf numFmtId="0" fontId="314" fillId="0" borderId="1" xfId="30646" applyFont="1" applyFill="1" applyBorder="1" applyAlignment="1">
      <alignment horizontal="left" vertical="top" wrapText="1"/>
    </xf>
    <xf numFmtId="0" fontId="314" fillId="0" borderId="1" xfId="30646" applyFont="1" applyFill="1" applyBorder="1" applyAlignment="1">
      <alignment horizontal="left" vertical="top" shrinkToFit="1"/>
    </xf>
    <xf numFmtId="0" fontId="314" fillId="0" borderId="1" xfId="30646" applyFont="1" applyFill="1" applyBorder="1" applyAlignment="1">
      <alignment horizontal="left" vertical="center" wrapText="1"/>
    </xf>
    <xf numFmtId="2" fontId="314" fillId="0" borderId="1" xfId="0" applyNumberFormat="1" applyFont="1" applyFill="1" applyBorder="1" applyAlignment="1" applyProtection="1">
      <alignment horizontal="center" vertical="center" wrapText="1"/>
      <protection hidden="1"/>
    </xf>
    <xf numFmtId="0" fontId="314" fillId="0" borderId="1" xfId="0" applyFont="1" applyFill="1" applyBorder="1" applyAlignment="1" applyProtection="1">
      <alignment vertical="center" wrapText="1"/>
      <protection hidden="1"/>
    </xf>
    <xf numFmtId="0" fontId="314" fillId="0" borderId="1" xfId="0" applyFont="1" applyFill="1" applyBorder="1" applyAlignment="1" applyProtection="1">
      <alignment vertical="center"/>
      <protection hidden="1"/>
    </xf>
    <xf numFmtId="2" fontId="314" fillId="0" borderId="1" xfId="0" applyNumberFormat="1" applyFont="1" applyFill="1" applyBorder="1" applyAlignment="1" applyProtection="1">
      <alignment horizontal="center" vertical="center"/>
      <protection hidden="1"/>
    </xf>
    <xf numFmtId="0" fontId="314" fillId="0" borderId="1" xfId="30646" applyFont="1" applyFill="1" applyBorder="1" applyAlignment="1">
      <alignment horizontal="center"/>
    </xf>
    <xf numFmtId="0" fontId="315" fillId="0" borderId="1" xfId="0" applyFont="1" applyFill="1" applyBorder="1" applyAlignment="1">
      <alignment horizontal="left" vertical="top"/>
    </xf>
    <xf numFmtId="0" fontId="314" fillId="0" borderId="1" xfId="0" applyFont="1" applyFill="1" applyBorder="1" applyAlignment="1">
      <alignment horizontal="left"/>
    </xf>
    <xf numFmtId="0" fontId="314" fillId="0" borderId="1" xfId="0" applyFont="1" applyFill="1" applyBorder="1" applyAlignment="1">
      <alignment horizontal="left" vertical="top" wrapText="1"/>
    </xf>
    <xf numFmtId="0" fontId="315" fillId="0" borderId="1" xfId="30646" applyFont="1" applyFill="1" applyBorder="1" applyAlignment="1">
      <alignment horizontal="left" vertical="top" shrinkToFit="1"/>
    </xf>
    <xf numFmtId="0" fontId="314" fillId="0" borderId="1" xfId="0" applyFont="1" applyFill="1" applyBorder="1" applyAlignment="1">
      <alignment horizontal="left" vertical="top" wrapText="1" shrinkToFit="1"/>
    </xf>
    <xf numFmtId="0" fontId="315" fillId="0" borderId="1" xfId="0" applyFont="1" applyFill="1" applyBorder="1" applyAlignment="1">
      <alignment horizontal="left" vertical="top" wrapText="1"/>
    </xf>
    <xf numFmtId="0" fontId="315" fillId="0" borderId="1" xfId="30646" applyFont="1" applyFill="1" applyBorder="1" applyAlignment="1">
      <alignment horizontal="left" vertical="center" shrinkToFit="1"/>
    </xf>
    <xf numFmtId="2" fontId="315" fillId="0" borderId="1" xfId="0" applyNumberFormat="1" applyFont="1" applyFill="1" applyBorder="1" applyAlignment="1">
      <alignment vertical="center"/>
    </xf>
    <xf numFmtId="10" fontId="314" fillId="0" borderId="1" xfId="0" applyNumberFormat="1" applyFont="1" applyFill="1" applyBorder="1" applyAlignment="1">
      <alignment horizontal="center" vertical="center"/>
    </xf>
    <xf numFmtId="2" fontId="317" fillId="0" borderId="1" xfId="0" applyNumberFormat="1" applyFont="1" applyFill="1" applyBorder="1" applyAlignment="1">
      <alignment vertical="center"/>
    </xf>
    <xf numFmtId="2" fontId="315" fillId="0" borderId="1" xfId="0" applyNumberFormat="1" applyFont="1" applyFill="1" applyBorder="1" applyAlignment="1">
      <alignment horizontal="right" vertical="center" wrapText="1"/>
    </xf>
    <xf numFmtId="0" fontId="315" fillId="0" borderId="1" xfId="0" applyFont="1" applyFill="1" applyBorder="1" applyAlignment="1">
      <alignment horizontal="right" vertical="center" wrapText="1"/>
    </xf>
    <xf numFmtId="0" fontId="317" fillId="0" borderId="1" xfId="0" applyFont="1" applyFill="1" applyBorder="1" applyAlignment="1">
      <alignment horizontal="left" vertical="center" shrinkToFit="1"/>
    </xf>
    <xf numFmtId="0" fontId="314" fillId="0" borderId="1" xfId="0" applyFont="1" applyFill="1" applyBorder="1" applyAlignment="1">
      <alignment horizontal="left" vertical="center" shrinkToFit="1"/>
    </xf>
    <xf numFmtId="0" fontId="364" fillId="0" borderId="1" xfId="0" applyFont="1" applyFill="1" applyBorder="1" applyAlignment="1">
      <alignment vertical="center" wrapText="1"/>
    </xf>
    <xf numFmtId="0" fontId="314" fillId="0" borderId="0" xfId="0" applyFont="1" applyFill="1" applyAlignment="1">
      <alignment horizontal="center" vertical="center"/>
    </xf>
    <xf numFmtId="0" fontId="314" fillId="0" borderId="0" xfId="0" applyFont="1" applyFill="1" applyAlignment="1">
      <alignment vertical="center"/>
    </xf>
    <xf numFmtId="2" fontId="314" fillId="0" borderId="0" xfId="0" applyNumberFormat="1" applyFont="1" applyFill="1" applyAlignment="1">
      <alignment vertical="center"/>
    </xf>
    <xf numFmtId="176" fontId="314" fillId="0" borderId="0" xfId="0" applyNumberFormat="1" applyFont="1" applyFill="1" applyAlignment="1">
      <alignment vertical="center"/>
    </xf>
    <xf numFmtId="0" fontId="300" fillId="0" borderId="0" xfId="30648" applyFont="1" applyAlignment="1">
      <alignment vertical="center" wrapText="1"/>
    </xf>
    <xf numFmtId="0" fontId="294" fillId="0" borderId="0" xfId="30648" applyFont="1"/>
    <xf numFmtId="0" fontId="300" fillId="0" borderId="0" xfId="30648" applyFont="1" applyAlignment="1">
      <alignment horizontal="center" vertical="center" wrapText="1"/>
    </xf>
    <xf numFmtId="0" fontId="294" fillId="0" borderId="0" xfId="30648" applyFont="1" applyAlignment="1">
      <alignment horizontal="center" vertical="center" wrapText="1"/>
    </xf>
    <xf numFmtId="184" fontId="294" fillId="0" borderId="0" xfId="30648" applyNumberFormat="1" applyFont="1" applyAlignment="1">
      <alignment horizontal="center" vertical="center" wrapText="1"/>
    </xf>
    <xf numFmtId="2" fontId="294" fillId="0" borderId="0" xfId="3892" applyNumberFormat="1" applyFont="1" applyAlignment="1">
      <alignment vertical="top" wrapText="1"/>
    </xf>
    <xf numFmtId="0" fontId="294" fillId="0" borderId="0" xfId="3892" applyFont="1" applyAlignment="1">
      <alignment vertical="top" wrapText="1"/>
    </xf>
    <xf numFmtId="0" fontId="294" fillId="0" borderId="0" xfId="3892" applyFont="1"/>
    <xf numFmtId="0" fontId="294" fillId="11" borderId="0" xfId="30648" applyFont="1" applyFill="1"/>
    <xf numFmtId="0" fontId="294" fillId="11" borderId="0" xfId="30648" applyFont="1" applyFill="1" applyAlignment="1">
      <alignment horizontal="left"/>
    </xf>
    <xf numFmtId="0" fontId="294" fillId="0" borderId="0" xfId="30648" applyFont="1" applyAlignment="1">
      <alignment horizontal="center" vertical="center"/>
    </xf>
    <xf numFmtId="0" fontId="294" fillId="7" borderId="0" xfId="3892" applyFont="1" applyFill="1"/>
    <xf numFmtId="0" fontId="294" fillId="7" borderId="0" xfId="30648" applyFont="1" applyFill="1"/>
    <xf numFmtId="0" fontId="294" fillId="0" borderId="0" xfId="3892" applyFont="1" applyAlignment="1">
      <alignment vertical="center"/>
    </xf>
    <xf numFmtId="0" fontId="294" fillId="0" borderId="0" xfId="30648" applyFont="1" applyAlignment="1">
      <alignment vertical="center"/>
    </xf>
    <xf numFmtId="0" fontId="294" fillId="0" borderId="0" xfId="30648" applyFont="1" applyAlignment="1">
      <alignment horizontal="center" vertical="top" wrapText="1"/>
    </xf>
    <xf numFmtId="0" fontId="300" fillId="0" borderId="0" xfId="30648" applyFont="1" applyAlignment="1">
      <alignment horizontal="center" vertical="top" wrapText="1"/>
    </xf>
    <xf numFmtId="0" fontId="294" fillId="0" borderId="0" xfId="30648" applyFont="1" applyAlignment="1">
      <alignment vertical="top" wrapText="1"/>
    </xf>
    <xf numFmtId="184" fontId="300" fillId="0" borderId="0" xfId="30648" applyNumberFormat="1" applyFont="1" applyAlignment="1">
      <alignment horizontal="center" vertical="top" wrapText="1"/>
    </xf>
    <xf numFmtId="0" fontId="294" fillId="0" borderId="0" xfId="30648" applyFont="1" applyAlignment="1">
      <alignment horizontal="justify" vertical="top" wrapText="1"/>
    </xf>
    <xf numFmtId="177" fontId="294" fillId="0" borderId="0" xfId="30648" applyNumberFormat="1" applyFont="1" applyAlignment="1">
      <alignment vertical="top" wrapText="1"/>
    </xf>
    <xf numFmtId="0" fontId="294" fillId="3" borderId="0" xfId="30648" applyFont="1" applyFill="1"/>
    <xf numFmtId="177" fontId="300" fillId="3" borderId="0" xfId="30648" applyNumberFormat="1" applyFont="1" applyFill="1" applyAlignment="1">
      <alignment horizontal="center" vertical="top" wrapText="1"/>
    </xf>
    <xf numFmtId="0" fontId="294" fillId="0" borderId="1" xfId="30648" applyFont="1" applyFill="1" applyBorder="1" applyAlignment="1">
      <alignment horizontal="center" vertical="center" wrapText="1"/>
    </xf>
    <xf numFmtId="177" fontId="294" fillId="0" borderId="1" xfId="30648" applyNumberFormat="1" applyFont="1" applyFill="1" applyBorder="1" applyAlignment="1">
      <alignment horizontal="center" vertical="center" wrapText="1"/>
    </xf>
    <xf numFmtId="184" fontId="294" fillId="0" borderId="1" xfId="30648" applyNumberFormat="1" applyFont="1" applyFill="1" applyBorder="1" applyAlignment="1">
      <alignment horizontal="center" vertical="center" wrapText="1"/>
    </xf>
    <xf numFmtId="184" fontId="294" fillId="0" borderId="11" xfId="30648" applyNumberFormat="1" applyFont="1" applyFill="1" applyBorder="1" applyAlignment="1">
      <alignment horizontal="center" vertical="top" wrapText="1"/>
    </xf>
    <xf numFmtId="0" fontId="294" fillId="0" borderId="11" xfId="30648" applyFont="1" applyFill="1" applyBorder="1" applyAlignment="1">
      <alignment horizontal="center" vertical="center"/>
    </xf>
    <xf numFmtId="0" fontId="300" fillId="0" borderId="11" xfId="30648" applyFont="1" applyFill="1" applyBorder="1" applyAlignment="1">
      <alignment horizontal="center" vertical="center" wrapText="1"/>
    </xf>
    <xf numFmtId="184" fontId="294" fillId="0" borderId="12" xfId="30648" applyNumberFormat="1" applyFont="1" applyFill="1" applyBorder="1" applyAlignment="1">
      <alignment horizontal="center" vertical="top" wrapText="1"/>
    </xf>
    <xf numFmtId="184" fontId="294" fillId="0" borderId="12" xfId="30648" applyNumberFormat="1" applyFont="1" applyFill="1" applyBorder="1" applyAlignment="1">
      <alignment horizontal="center" vertical="center" wrapText="1"/>
    </xf>
    <xf numFmtId="185" fontId="365" fillId="0" borderId="12" xfId="30648" applyNumberFormat="1" applyFont="1" applyFill="1" applyBorder="1" applyAlignment="1">
      <alignment horizontal="center" vertical="center" wrapText="1"/>
    </xf>
    <xf numFmtId="0" fontId="300" fillId="0" borderId="12" xfId="30648" applyFont="1" applyFill="1" applyBorder="1" applyAlignment="1">
      <alignment horizontal="center" vertical="center" wrapText="1"/>
    </xf>
    <xf numFmtId="0" fontId="294" fillId="0" borderId="12" xfId="30648" applyFont="1" applyFill="1" applyBorder="1" applyAlignment="1">
      <alignment horizontal="center" vertical="top" wrapText="1"/>
    </xf>
    <xf numFmtId="184" fontId="365" fillId="0" borderId="12" xfId="30648" applyNumberFormat="1" applyFont="1" applyFill="1" applyBorder="1" applyAlignment="1">
      <alignment horizontal="center" vertical="center" wrapText="1"/>
    </xf>
    <xf numFmtId="10" fontId="365" fillId="0" borderId="12" xfId="30648" applyNumberFormat="1" applyFont="1" applyFill="1" applyBorder="1" applyAlignment="1">
      <alignment horizontal="center" vertical="center" wrapText="1"/>
    </xf>
    <xf numFmtId="177" fontId="353" fillId="0" borderId="12" xfId="30648" applyNumberFormat="1" applyFont="1" applyFill="1" applyBorder="1" applyAlignment="1">
      <alignment vertical="top" wrapText="1"/>
    </xf>
    <xf numFmtId="0" fontId="300" fillId="0" borderId="12" xfId="6608" applyFont="1" applyFill="1" applyBorder="1" applyAlignment="1">
      <alignment horizontal="center" vertical="top" wrapText="1"/>
    </xf>
    <xf numFmtId="184" fontId="300" fillId="0" borderId="12" xfId="6608" applyNumberFormat="1" applyFont="1" applyFill="1" applyBorder="1" applyAlignment="1">
      <alignment horizontal="center" vertical="top" wrapText="1"/>
    </xf>
    <xf numFmtId="177" fontId="294" fillId="0" borderId="12" xfId="6608" applyNumberFormat="1" applyFont="1" applyFill="1" applyBorder="1" applyAlignment="1">
      <alignment horizontal="center" vertical="top" wrapText="1"/>
    </xf>
    <xf numFmtId="0" fontId="294" fillId="0" borderId="12" xfId="6608" applyFont="1" applyFill="1" applyBorder="1" applyAlignment="1">
      <alignment horizontal="center" vertical="top" wrapText="1"/>
    </xf>
    <xf numFmtId="0" fontId="294" fillId="0" borderId="12" xfId="6608" applyFont="1" applyFill="1" applyBorder="1" applyAlignment="1">
      <alignment horizontal="justify" vertical="top" wrapText="1"/>
    </xf>
    <xf numFmtId="0" fontId="300" fillId="0" borderId="12" xfId="6608" applyFont="1" applyFill="1" applyBorder="1" applyAlignment="1">
      <alignment vertical="top" wrapText="1"/>
    </xf>
    <xf numFmtId="0" fontId="300" fillId="0" borderId="12" xfId="6608" applyFont="1" applyFill="1" applyBorder="1" applyAlignment="1">
      <alignment horizontal="justify" vertical="top" wrapText="1"/>
    </xf>
    <xf numFmtId="4" fontId="294" fillId="0" borderId="12" xfId="6608" applyNumberFormat="1" applyFont="1" applyFill="1" applyBorder="1" applyAlignment="1">
      <alignment horizontal="center" vertical="top" wrapText="1"/>
    </xf>
    <xf numFmtId="2" fontId="294" fillId="0" borderId="12" xfId="30648" applyNumberFormat="1" applyFont="1" applyFill="1" applyBorder="1" applyAlignment="1">
      <alignment horizontal="right" vertical="top" wrapText="1"/>
    </xf>
    <xf numFmtId="177" fontId="341" fillId="0" borderId="12" xfId="6608" applyNumberFormat="1" applyFont="1" applyFill="1" applyBorder="1" applyAlignment="1">
      <alignment horizontal="center" vertical="top" wrapText="1"/>
    </xf>
    <xf numFmtId="177" fontId="300" fillId="0" borderId="12" xfId="6608" applyNumberFormat="1" applyFont="1" applyFill="1" applyBorder="1" applyAlignment="1">
      <alignment horizontal="center" vertical="top" wrapText="1"/>
    </xf>
    <xf numFmtId="2" fontId="341" fillId="0" borderId="12" xfId="30639" applyNumberFormat="1" applyFont="1" applyFill="1" applyBorder="1" applyAlignment="1">
      <alignment horizontal="center" vertical="center" wrapText="1"/>
    </xf>
    <xf numFmtId="2" fontId="341" fillId="0" borderId="12" xfId="6608" applyNumberFormat="1" applyFont="1" applyFill="1" applyBorder="1" applyAlignment="1">
      <alignment horizontal="center" vertical="center" wrapText="1"/>
    </xf>
    <xf numFmtId="184" fontId="294" fillId="0" borderId="12" xfId="6608" applyNumberFormat="1" applyFont="1" applyFill="1" applyBorder="1" applyAlignment="1">
      <alignment horizontal="justify" vertical="top" wrapText="1"/>
    </xf>
    <xf numFmtId="10" fontId="294" fillId="0" borderId="12" xfId="6608" applyNumberFormat="1" applyFont="1" applyFill="1" applyBorder="1" applyAlignment="1">
      <alignment horizontal="center" vertical="top" wrapText="1"/>
    </xf>
    <xf numFmtId="2" fontId="294" fillId="0" borderId="12" xfId="6608" applyNumberFormat="1" applyFont="1" applyFill="1" applyBorder="1" applyAlignment="1">
      <alignment horizontal="center" vertical="center" wrapText="1"/>
    </xf>
    <xf numFmtId="0" fontId="300" fillId="0" borderId="12" xfId="6608" applyFont="1" applyFill="1" applyBorder="1" applyAlignment="1">
      <alignment vertical="top"/>
    </xf>
    <xf numFmtId="185" fontId="341" fillId="0" borderId="12" xfId="6608" applyNumberFormat="1" applyFont="1" applyFill="1" applyBorder="1" applyAlignment="1">
      <alignment horizontal="center" vertical="top" wrapText="1"/>
    </xf>
    <xf numFmtId="0" fontId="300" fillId="0" borderId="12" xfId="30648" applyFont="1" applyFill="1" applyBorder="1" applyAlignment="1">
      <alignment horizontal="center" vertical="top" wrapText="1"/>
    </xf>
    <xf numFmtId="184" fontId="300" fillId="0" borderId="12" xfId="30648" applyNumberFormat="1" applyFont="1" applyFill="1" applyBorder="1" applyAlignment="1">
      <alignment horizontal="center" vertical="top"/>
    </xf>
    <xf numFmtId="0" fontId="294" fillId="0" borderId="12" xfId="30648" applyFont="1" applyFill="1" applyBorder="1"/>
    <xf numFmtId="0" fontId="294" fillId="0" borderId="12" xfId="30648" applyFont="1" applyFill="1" applyBorder="1" applyAlignment="1">
      <alignment horizontal="justify" vertical="top" wrapText="1"/>
    </xf>
    <xf numFmtId="0" fontId="300" fillId="0" borderId="12" xfId="30648" applyFont="1" applyFill="1" applyBorder="1" applyAlignment="1">
      <alignment vertical="top"/>
    </xf>
    <xf numFmtId="0" fontId="294" fillId="0" borderId="12" xfId="30648" applyFont="1" applyFill="1" applyBorder="1" applyAlignment="1">
      <alignment horizontal="center" vertical="center"/>
    </xf>
    <xf numFmtId="177" fontId="294" fillId="0" borderId="12" xfId="30648" applyNumberFormat="1" applyFont="1" applyFill="1" applyBorder="1" applyAlignment="1">
      <alignment horizontal="center" vertical="top" wrapText="1"/>
    </xf>
    <xf numFmtId="10" fontId="294" fillId="0" borderId="12" xfId="30648" applyNumberFormat="1" applyFont="1" applyFill="1" applyBorder="1"/>
    <xf numFmtId="0" fontId="300" fillId="0" borderId="12" xfId="30648" applyFont="1" applyFill="1" applyBorder="1" applyAlignment="1">
      <alignment horizontal="justify" vertical="top" wrapText="1"/>
    </xf>
    <xf numFmtId="0" fontId="300" fillId="0" borderId="12" xfId="30648" applyFont="1" applyFill="1" applyBorder="1" applyAlignment="1">
      <alignment horizontal="center" vertical="top"/>
    </xf>
    <xf numFmtId="177" fontId="300" fillId="0" borderId="12" xfId="30648" applyNumberFormat="1" applyFont="1" applyFill="1" applyBorder="1" applyAlignment="1">
      <alignment horizontal="justify" vertical="top" wrapText="1"/>
    </xf>
    <xf numFmtId="4" fontId="294" fillId="0" borderId="12" xfId="30648" applyNumberFormat="1" applyFont="1" applyFill="1" applyBorder="1" applyAlignment="1">
      <alignment horizontal="center" vertical="top" wrapText="1"/>
    </xf>
    <xf numFmtId="2" fontId="294" fillId="0" borderId="12" xfId="30648" applyNumberFormat="1" applyFont="1" applyFill="1" applyBorder="1"/>
    <xf numFmtId="184" fontId="294" fillId="0" borderId="12" xfId="30648" applyNumberFormat="1" applyFont="1" applyFill="1" applyBorder="1" applyAlignment="1">
      <alignment horizontal="justify" vertical="top" wrapText="1"/>
    </xf>
    <xf numFmtId="10" fontId="294" fillId="0" borderId="12" xfId="30648" applyNumberFormat="1" applyFont="1" applyFill="1" applyBorder="1" applyAlignment="1">
      <alignment horizontal="center" vertical="top" wrapText="1"/>
    </xf>
    <xf numFmtId="0" fontId="294" fillId="0" borderId="12" xfId="30648" applyFont="1" applyFill="1" applyBorder="1" applyAlignment="1">
      <alignment vertical="top" wrapText="1"/>
    </xf>
    <xf numFmtId="2" fontId="294" fillId="0" borderId="12" xfId="30648" applyNumberFormat="1" applyFont="1" applyFill="1" applyBorder="1" applyAlignment="1">
      <alignment horizontal="right" vertical="center"/>
    </xf>
    <xf numFmtId="0" fontId="294" fillId="0" borderId="12" xfId="30648" applyFont="1" applyFill="1" applyBorder="1" applyAlignment="1">
      <alignment horizontal="right" vertical="top" wrapText="1"/>
    </xf>
    <xf numFmtId="2" fontId="300" fillId="0" borderId="12" xfId="30648" applyNumberFormat="1" applyFont="1" applyFill="1" applyBorder="1"/>
    <xf numFmtId="0" fontId="294" fillId="0" borderId="2" xfId="30648" applyFont="1" applyFill="1" applyBorder="1" applyAlignment="1">
      <alignment horizontal="center" vertical="top" wrapText="1"/>
    </xf>
    <xf numFmtId="0" fontId="300" fillId="0" borderId="2" xfId="30648" applyFont="1" applyFill="1" applyBorder="1" applyAlignment="1">
      <alignment vertical="top"/>
    </xf>
    <xf numFmtId="0" fontId="294" fillId="0" borderId="2" xfId="30648" applyFont="1" applyFill="1" applyBorder="1" applyAlignment="1">
      <alignment horizontal="center" vertical="center"/>
    </xf>
    <xf numFmtId="0" fontId="294" fillId="0" borderId="2" xfId="30648" applyFont="1" applyFill="1" applyBorder="1"/>
    <xf numFmtId="2" fontId="300" fillId="0" borderId="2" xfId="30648" applyNumberFormat="1" applyFont="1" applyFill="1" applyBorder="1"/>
    <xf numFmtId="184" fontId="300" fillId="0" borderId="12" xfId="30648" applyNumberFormat="1" applyFont="1" applyFill="1" applyBorder="1" applyAlignment="1">
      <alignment horizontal="center" vertical="top" wrapText="1"/>
    </xf>
    <xf numFmtId="0" fontId="300" fillId="0" borderId="12" xfId="3892" applyFont="1" applyFill="1" applyBorder="1" applyAlignment="1">
      <alignment horizontal="center" vertical="center" wrapText="1"/>
    </xf>
    <xf numFmtId="183" fontId="294" fillId="0" borderId="12" xfId="6608" applyNumberFormat="1" applyFont="1" applyFill="1" applyBorder="1" applyAlignment="1">
      <alignment horizontal="center" vertical="top" wrapText="1"/>
    </xf>
    <xf numFmtId="177" fontId="294" fillId="0" borderId="12" xfId="6608" applyNumberFormat="1" applyFont="1" applyFill="1" applyBorder="1" applyAlignment="1">
      <alignment horizontal="right" vertical="top" wrapText="1"/>
    </xf>
    <xf numFmtId="2" fontId="294" fillId="0" borderId="12" xfId="30639" applyNumberFormat="1" applyFont="1" applyFill="1" applyBorder="1" applyAlignment="1">
      <alignment horizontal="center" vertical="center" wrapText="1"/>
    </xf>
    <xf numFmtId="177" fontId="300" fillId="0" borderId="12" xfId="6608" applyNumberFormat="1" applyFont="1" applyFill="1" applyBorder="1" applyAlignment="1">
      <alignment horizontal="right" vertical="top" wrapText="1"/>
    </xf>
    <xf numFmtId="10" fontId="300" fillId="0" borderId="12" xfId="6608" applyNumberFormat="1" applyFont="1" applyFill="1" applyBorder="1" applyAlignment="1">
      <alignment horizontal="center" vertical="top" wrapText="1"/>
    </xf>
    <xf numFmtId="0" fontId="294" fillId="0" borderId="12" xfId="6608" applyFont="1" applyFill="1" applyBorder="1" applyAlignment="1">
      <alignment vertical="top"/>
    </xf>
    <xf numFmtId="185" fontId="346" fillId="0" borderId="12" xfId="6608" applyNumberFormat="1" applyFont="1" applyFill="1" applyBorder="1" applyAlignment="1">
      <alignment horizontal="center" vertical="center" wrapText="1"/>
    </xf>
    <xf numFmtId="10" fontId="300" fillId="0" borderId="12" xfId="6608" applyNumberFormat="1" applyFont="1" applyFill="1" applyBorder="1" applyAlignment="1">
      <alignment horizontal="center" vertical="center" wrapText="1"/>
    </xf>
    <xf numFmtId="177" fontId="294" fillId="0" borderId="12" xfId="6608" applyNumberFormat="1" applyFont="1" applyFill="1" applyBorder="1" applyAlignment="1">
      <alignment horizontal="center" vertical="center" wrapText="1"/>
    </xf>
    <xf numFmtId="177" fontId="300" fillId="0" borderId="12" xfId="6608" applyNumberFormat="1" applyFont="1" applyFill="1" applyBorder="1" applyAlignment="1">
      <alignment horizontal="right" vertical="center" wrapText="1"/>
    </xf>
    <xf numFmtId="0" fontId="346" fillId="0" borderId="12" xfId="6608" applyFont="1" applyFill="1" applyBorder="1" applyAlignment="1">
      <alignment horizontal="justify" vertical="top" wrapText="1"/>
    </xf>
    <xf numFmtId="0" fontId="341" fillId="0" borderId="12" xfId="6608" applyFont="1" applyFill="1" applyBorder="1" applyAlignment="1">
      <alignment horizontal="center" vertical="top" wrapText="1"/>
    </xf>
    <xf numFmtId="183" fontId="341" fillId="0" borderId="12" xfId="6608" applyNumberFormat="1" applyFont="1" applyFill="1" applyBorder="1" applyAlignment="1">
      <alignment horizontal="center" vertical="top" wrapText="1"/>
    </xf>
    <xf numFmtId="2" fontId="294" fillId="0" borderId="12" xfId="30648" applyNumberFormat="1" applyFont="1" applyFill="1" applyBorder="1" applyAlignment="1">
      <alignment vertical="top" wrapText="1"/>
    </xf>
    <xf numFmtId="2" fontId="294" fillId="0" borderId="12" xfId="30648" applyNumberFormat="1" applyFont="1" applyFill="1" applyBorder="1" applyAlignment="1">
      <alignment horizontal="center" vertical="top" wrapText="1"/>
    </xf>
    <xf numFmtId="177" fontId="294" fillId="0" borderId="12" xfId="30648" applyNumberFormat="1" applyFont="1" applyFill="1" applyBorder="1" applyAlignment="1">
      <alignment vertical="top" wrapText="1"/>
    </xf>
    <xf numFmtId="2" fontId="294" fillId="0" borderId="12" xfId="30639" applyNumberFormat="1" applyFont="1" applyFill="1" applyBorder="1" applyAlignment="1">
      <alignment vertical="center" wrapText="1"/>
    </xf>
    <xf numFmtId="2" fontId="294" fillId="0" borderId="12" xfId="6608" applyNumberFormat="1" applyFont="1" applyFill="1" applyBorder="1" applyAlignment="1">
      <alignment vertical="center" wrapText="1"/>
    </xf>
    <xf numFmtId="0" fontId="294" fillId="0" borderId="12" xfId="30648" applyFont="1" applyFill="1" applyBorder="1" applyAlignment="1">
      <alignment horizontal="right"/>
    </xf>
    <xf numFmtId="49" fontId="300" fillId="0" borderId="12" xfId="30648" applyNumberFormat="1" applyFont="1" applyFill="1" applyBorder="1" applyAlignment="1">
      <alignment horizontal="center" vertical="top"/>
    </xf>
    <xf numFmtId="0" fontId="300" fillId="0" borderId="12" xfId="30648" applyFont="1" applyFill="1" applyBorder="1" applyAlignment="1">
      <alignment horizontal="justify" vertical="top"/>
    </xf>
    <xf numFmtId="177" fontId="300" fillId="0" borderId="12" xfId="30648" applyNumberFormat="1" applyFont="1" applyFill="1" applyBorder="1" applyAlignment="1">
      <alignment horizontal="center" vertical="top" wrapText="1"/>
    </xf>
    <xf numFmtId="10" fontId="346" fillId="0" borderId="12" xfId="30648" applyNumberFormat="1" applyFont="1" applyFill="1" applyBorder="1" applyAlignment="1">
      <alignment horizontal="center" vertical="center" wrapText="1"/>
    </xf>
    <xf numFmtId="10" fontId="300" fillId="0" borderId="12" xfId="30648" applyNumberFormat="1" applyFont="1" applyFill="1" applyBorder="1" applyAlignment="1">
      <alignment horizontal="center" vertical="center" wrapText="1"/>
    </xf>
    <xf numFmtId="177" fontId="294" fillId="0" borderId="12" xfId="30648" applyNumberFormat="1" applyFont="1" applyFill="1" applyBorder="1" applyAlignment="1">
      <alignment horizontal="center" vertical="center" wrapText="1"/>
    </xf>
    <xf numFmtId="177" fontId="300" fillId="0" borderId="12" xfId="30648" applyNumberFormat="1" applyFont="1" applyFill="1" applyBorder="1" applyAlignment="1">
      <alignment horizontal="center" vertical="center" wrapText="1"/>
    </xf>
    <xf numFmtId="184" fontId="300" fillId="0" borderId="2" xfId="30648" applyNumberFormat="1" applyFont="1" applyFill="1" applyBorder="1" applyAlignment="1">
      <alignment horizontal="center" vertical="top" wrapText="1"/>
    </xf>
    <xf numFmtId="0" fontId="300" fillId="0" borderId="2" xfId="30648" applyFont="1" applyFill="1" applyBorder="1" applyAlignment="1">
      <alignment horizontal="center" vertical="top" wrapText="1"/>
    </xf>
    <xf numFmtId="0" fontId="300" fillId="0" borderId="2" xfId="30648" applyFont="1" applyFill="1" applyBorder="1" applyAlignment="1">
      <alignment horizontal="justify" vertical="top" wrapText="1"/>
    </xf>
    <xf numFmtId="177" fontId="300" fillId="0" borderId="2" xfId="30648" applyNumberFormat="1" applyFont="1" applyFill="1" applyBorder="1" applyAlignment="1">
      <alignment horizontal="center" vertical="top" wrapText="1"/>
    </xf>
    <xf numFmtId="2" fontId="294" fillId="0" borderId="12" xfId="30648" applyNumberFormat="1" applyFont="1" applyFill="1" applyBorder="1" applyAlignment="1">
      <alignment horizontal="justify" vertical="top" wrapText="1"/>
    </xf>
    <xf numFmtId="171" fontId="294" fillId="0" borderId="12" xfId="30648" applyNumberFormat="1" applyFont="1" applyFill="1" applyBorder="1" applyAlignment="1">
      <alignment horizontal="center" vertical="top" wrapText="1"/>
    </xf>
    <xf numFmtId="177" fontId="350" fillId="0" borderId="12" xfId="30648" applyNumberFormat="1" applyFont="1" applyFill="1" applyBorder="1" applyAlignment="1">
      <alignment horizontal="center" vertical="top" wrapText="1"/>
    </xf>
    <xf numFmtId="177" fontId="365" fillId="0" borderId="12" xfId="30648" applyNumberFormat="1" applyFont="1" applyFill="1" applyBorder="1" applyAlignment="1">
      <alignment horizontal="center" vertical="top" wrapText="1"/>
    </xf>
    <xf numFmtId="191" fontId="294" fillId="0" borderId="12" xfId="30648" applyNumberFormat="1" applyFont="1" applyFill="1" applyBorder="1" applyAlignment="1">
      <alignment horizontal="center" vertical="top" wrapText="1"/>
    </xf>
    <xf numFmtId="0" fontId="346" fillId="0" borderId="12" xfId="30648" applyFont="1" applyFill="1" applyBorder="1" applyAlignment="1">
      <alignment horizontal="justify" vertical="top" wrapText="1"/>
    </xf>
    <xf numFmtId="2" fontId="341" fillId="0" borderId="12" xfId="30648" applyNumberFormat="1" applyFont="1" applyFill="1" applyBorder="1" applyAlignment="1">
      <alignment horizontal="center" vertical="top" wrapText="1"/>
    </xf>
    <xf numFmtId="0" fontId="300" fillId="0" borderId="12" xfId="30648" applyFont="1" applyFill="1" applyBorder="1" applyAlignment="1">
      <alignment horizontal="left" vertical="top"/>
    </xf>
    <xf numFmtId="185" fontId="300" fillId="0" borderId="12" xfId="30648" applyNumberFormat="1" applyFont="1" applyFill="1" applyBorder="1" applyAlignment="1">
      <alignment horizontal="right" vertical="top" wrapText="1"/>
    </xf>
    <xf numFmtId="10" fontId="300" fillId="0" borderId="12" xfId="30648" applyNumberFormat="1" applyFont="1" applyFill="1" applyBorder="1" applyAlignment="1">
      <alignment horizontal="right" vertical="top" wrapText="1"/>
    </xf>
    <xf numFmtId="177" fontId="294" fillId="0" borderId="12" xfId="30648" applyNumberFormat="1" applyFont="1" applyFill="1" applyBorder="1" applyAlignment="1">
      <alignment horizontal="right" vertical="top" wrapText="1"/>
    </xf>
    <xf numFmtId="177" fontId="300" fillId="0" borderId="12" xfId="30648" applyNumberFormat="1" applyFont="1" applyFill="1" applyBorder="1" applyAlignment="1">
      <alignment horizontal="right" vertical="top" wrapText="1"/>
    </xf>
    <xf numFmtId="2" fontId="300" fillId="0" borderId="12" xfId="30648" applyNumberFormat="1" applyFont="1" applyFill="1" applyBorder="1" applyAlignment="1">
      <alignment horizontal="justify" vertical="top" wrapText="1"/>
    </xf>
    <xf numFmtId="2" fontId="294" fillId="0" borderId="2" xfId="30648" applyNumberFormat="1" applyFont="1" applyFill="1" applyBorder="1" applyAlignment="1">
      <alignment horizontal="justify" vertical="top" wrapText="1"/>
    </xf>
    <xf numFmtId="2" fontId="294" fillId="0" borderId="2" xfId="30648" applyNumberFormat="1" applyFont="1" applyFill="1" applyBorder="1" applyAlignment="1">
      <alignment horizontal="center" vertical="top" wrapText="1"/>
    </xf>
    <xf numFmtId="2" fontId="294" fillId="0" borderId="2" xfId="30648" applyNumberFormat="1" applyFont="1" applyFill="1" applyBorder="1" applyAlignment="1">
      <alignment horizontal="right" vertical="top" wrapText="1"/>
    </xf>
    <xf numFmtId="10" fontId="300" fillId="0" borderId="12" xfId="30648" applyNumberFormat="1" applyFont="1" applyFill="1" applyBorder="1" applyAlignment="1">
      <alignment horizontal="center" vertical="top" wrapText="1"/>
    </xf>
    <xf numFmtId="2" fontId="300" fillId="0" borderId="12" xfId="30648" applyNumberFormat="1" applyFont="1" applyFill="1" applyBorder="1" applyAlignment="1">
      <alignment horizontal="center" vertical="top" wrapText="1"/>
    </xf>
    <xf numFmtId="0" fontId="294" fillId="0" borderId="2" xfId="30648" applyFont="1" applyFill="1" applyBorder="1" applyAlignment="1">
      <alignment horizontal="justify" vertical="top" wrapText="1"/>
    </xf>
    <xf numFmtId="177" fontId="294" fillId="0" borderId="2" xfId="30648" applyNumberFormat="1" applyFont="1" applyFill="1" applyBorder="1" applyAlignment="1">
      <alignment horizontal="center" vertical="top" wrapText="1"/>
    </xf>
    <xf numFmtId="0" fontId="341" fillId="0" borderId="12" xfId="30648" applyFont="1" applyFill="1" applyBorder="1" applyAlignment="1">
      <alignment horizontal="center" vertical="top" wrapText="1"/>
    </xf>
    <xf numFmtId="4" fontId="294" fillId="0" borderId="2" xfId="30648" applyNumberFormat="1" applyFont="1" applyFill="1" applyBorder="1" applyAlignment="1">
      <alignment horizontal="center" vertical="top" wrapText="1"/>
    </xf>
    <xf numFmtId="0" fontId="300" fillId="0" borderId="12" xfId="30648" applyFont="1" applyFill="1" applyBorder="1" applyAlignment="1">
      <alignment horizontal="left" vertical="top" wrapText="1"/>
    </xf>
    <xf numFmtId="177" fontId="341" fillId="0" borderId="12" xfId="2107" applyNumberFormat="1" applyFont="1" applyFill="1" applyBorder="1" applyAlignment="1">
      <alignment horizontal="center" vertical="top" wrapText="1"/>
    </xf>
    <xf numFmtId="0" fontId="294" fillId="0" borderId="2" xfId="30648" applyFont="1" applyFill="1" applyBorder="1" applyAlignment="1">
      <alignment horizontal="center" vertical="center" wrapText="1"/>
    </xf>
    <xf numFmtId="184" fontId="300" fillId="0" borderId="2" xfId="30648" applyNumberFormat="1" applyFont="1" applyFill="1" applyBorder="1" applyAlignment="1">
      <alignment horizontal="center" vertical="center" wrapText="1"/>
    </xf>
    <xf numFmtId="0" fontId="300" fillId="0" borderId="2" xfId="30648" applyFont="1" applyFill="1" applyBorder="1" applyAlignment="1">
      <alignment horizontal="center" vertical="center" wrapText="1"/>
    </xf>
    <xf numFmtId="2" fontId="294" fillId="0" borderId="2" xfId="30648" applyNumberFormat="1" applyFont="1" applyFill="1" applyBorder="1" applyAlignment="1">
      <alignment horizontal="justify" vertical="center" wrapText="1"/>
    </xf>
    <xf numFmtId="177" fontId="300" fillId="0" borderId="2" xfId="30648" applyNumberFormat="1" applyFont="1" applyFill="1" applyBorder="1" applyAlignment="1">
      <alignment horizontal="right" vertical="center" wrapText="1"/>
    </xf>
    <xf numFmtId="0" fontId="294" fillId="0" borderId="0" xfId="30648" applyFont="1" applyFill="1" applyAlignment="1">
      <alignment horizontal="center" vertical="top" wrapText="1"/>
    </xf>
    <xf numFmtId="0" fontId="366" fillId="0" borderId="0" xfId="3892" applyFont="1" applyFill="1" applyAlignment="1">
      <alignment horizontal="center"/>
    </xf>
    <xf numFmtId="0" fontId="300" fillId="0" borderId="0" xfId="30648" applyFont="1" applyFill="1" applyAlignment="1">
      <alignment horizontal="center" vertical="top" wrapText="1"/>
    </xf>
    <xf numFmtId="0" fontId="294" fillId="0" borderId="0" xfId="3892" applyFont="1" applyFill="1" applyAlignment="1">
      <alignment horizontal="center" vertical="center" wrapText="1"/>
    </xf>
    <xf numFmtId="0" fontId="300" fillId="0" borderId="0" xfId="3892" applyFont="1" applyFill="1" applyAlignment="1">
      <alignment horizontal="center" vertical="top"/>
    </xf>
    <xf numFmtId="0" fontId="294" fillId="0" borderId="0" xfId="3892" applyFont="1" applyFill="1" applyAlignment="1">
      <alignment vertical="center" wrapText="1"/>
    </xf>
    <xf numFmtId="0" fontId="294" fillId="0" borderId="0" xfId="30648" applyFont="1" applyFill="1" applyAlignment="1">
      <alignment vertical="top" wrapText="1"/>
    </xf>
    <xf numFmtId="0" fontId="294" fillId="0" borderId="0" xfId="30648" applyFont="1" applyFill="1" applyAlignment="1">
      <alignment horizontal="center" vertical="center" wrapText="1"/>
    </xf>
    <xf numFmtId="0" fontId="366" fillId="0" borderId="0" xfId="3892" applyFont="1" applyFill="1" applyAlignment="1">
      <alignment horizontal="center" vertical="center"/>
    </xf>
    <xf numFmtId="0" fontId="300" fillId="0" borderId="0" xfId="30648" applyFont="1" applyFill="1" applyAlignment="1">
      <alignment horizontal="center" vertical="center" wrapText="1"/>
    </xf>
    <xf numFmtId="0" fontId="294" fillId="0" borderId="0" xfId="3892" applyFont="1" applyFill="1" applyAlignment="1">
      <alignment horizontal="left" vertical="center" wrapText="1"/>
    </xf>
    <xf numFmtId="184" fontId="367" fillId="0" borderId="0" xfId="30648" applyNumberFormat="1" applyFont="1" applyFill="1" applyAlignment="1">
      <alignment horizontal="center" vertical="center" wrapText="1"/>
    </xf>
    <xf numFmtId="0" fontId="294" fillId="0" borderId="0" xfId="30648" applyFont="1" applyFill="1" applyAlignment="1">
      <alignment horizontal="left" vertical="center" wrapText="1"/>
    </xf>
    <xf numFmtId="177" fontId="294" fillId="0" borderId="0" xfId="30648" applyNumberFormat="1" applyFont="1" applyFill="1" applyAlignment="1">
      <alignment vertical="center" wrapText="1"/>
    </xf>
    <xf numFmtId="0" fontId="294" fillId="0" borderId="0" xfId="30648" applyFont="1" applyFill="1" applyAlignment="1">
      <alignment horizontal="justify" vertical="center" wrapText="1"/>
    </xf>
    <xf numFmtId="0" fontId="294" fillId="0" borderId="0" xfId="30648" applyFont="1" applyFill="1" applyAlignment="1">
      <alignment vertical="center" wrapText="1"/>
    </xf>
    <xf numFmtId="184" fontId="300" fillId="0" borderId="0" xfId="30648" applyNumberFormat="1" applyFont="1" applyFill="1" applyAlignment="1">
      <alignment horizontal="center" vertical="center" wrapText="1"/>
    </xf>
    <xf numFmtId="184" fontId="300" fillId="0" borderId="0" xfId="30648" applyNumberFormat="1" applyFont="1" applyFill="1" applyAlignment="1">
      <alignment horizontal="center" vertical="top" wrapText="1"/>
    </xf>
    <xf numFmtId="0" fontId="294" fillId="0" borderId="0" xfId="30648" applyFont="1" applyFill="1" applyAlignment="1">
      <alignment horizontal="justify" vertical="top" wrapText="1"/>
    </xf>
    <xf numFmtId="177" fontId="294" fillId="0" borderId="0" xfId="30648" applyNumberFormat="1" applyFont="1" applyFill="1" applyAlignment="1">
      <alignment vertical="top" wrapText="1"/>
    </xf>
    <xf numFmtId="1" fontId="315" fillId="0" borderId="1" xfId="17439" applyNumberFormat="1" applyFont="1" applyBorder="1" applyAlignment="1">
      <alignment horizontal="center" vertical="center"/>
    </xf>
    <xf numFmtId="0" fontId="294" fillId="0" borderId="0" xfId="0" applyFont="1" applyBorder="1" applyAlignment="1">
      <alignment horizontal="right"/>
    </xf>
    <xf numFmtId="2" fontId="112" fillId="0" borderId="93" xfId="0" applyNumberFormat="1" applyFont="1" applyBorder="1" applyAlignment="1">
      <alignment horizontal="center" vertical="center" wrapText="1"/>
    </xf>
    <xf numFmtId="0" fontId="51" fillId="0" borderId="93" xfId="0" applyFont="1" applyBorder="1" applyAlignment="1">
      <alignment horizontal="center" vertical="center" wrapText="1"/>
    </xf>
    <xf numFmtId="0" fontId="112" fillId="0" borderId="1" xfId="0" applyFont="1" applyBorder="1" applyAlignment="1">
      <alignment horizontal="center" vertical="center" wrapText="1"/>
    </xf>
    <xf numFmtId="0" fontId="112" fillId="0" borderId="1" xfId="0" applyFont="1" applyBorder="1" applyAlignment="1">
      <alignment horizontal="center" vertical="center"/>
    </xf>
    <xf numFmtId="0" fontId="221" fillId="0" borderId="94" xfId="0" applyFont="1" applyBorder="1" applyAlignment="1">
      <alignment horizontal="center" vertical="center"/>
    </xf>
    <xf numFmtId="0" fontId="51" fillId="0" borderId="95" xfId="0" applyFont="1" applyBorder="1" applyAlignment="1" applyProtection="1">
      <alignment horizontal="justify" vertical="top" wrapText="1"/>
      <protection hidden="1"/>
    </xf>
    <xf numFmtId="0" fontId="51" fillId="0" borderId="96" xfId="0" applyFont="1" applyBorder="1" applyAlignment="1" applyProtection="1">
      <alignment horizontal="justify" vertical="top" wrapText="1"/>
      <protection hidden="1"/>
    </xf>
    <xf numFmtId="0" fontId="51" fillId="0" borderId="97" xfId="0" applyFont="1" applyBorder="1" applyAlignment="1" applyProtection="1">
      <alignment horizontal="justify" vertical="top" wrapText="1"/>
      <protection hidden="1"/>
    </xf>
    <xf numFmtId="0" fontId="112" fillId="0" borderId="93" xfId="0" applyFont="1" applyBorder="1" applyAlignment="1" applyProtection="1">
      <alignment horizontal="left" vertical="center"/>
      <protection hidden="1"/>
    </xf>
    <xf numFmtId="2" fontId="51" fillId="0" borderId="93" xfId="0" applyNumberFormat="1" applyFont="1" applyBorder="1" applyAlignment="1" applyProtection="1">
      <alignment horizontal="left" vertical="center"/>
      <protection hidden="1"/>
    </xf>
    <xf numFmtId="0" fontId="222" fillId="0" borderId="93" xfId="0" applyFont="1" applyBorder="1" applyAlignment="1" applyProtection="1">
      <alignment horizontal="left" vertical="center"/>
      <protection hidden="1"/>
    </xf>
    <xf numFmtId="2" fontId="36" fillId="0" borderId="93" xfId="0" applyNumberFormat="1" applyFont="1" applyBorder="1" applyAlignment="1" applyProtection="1">
      <alignment horizontal="left" vertical="center" wrapText="1"/>
      <protection hidden="1"/>
    </xf>
    <xf numFmtId="0" fontId="51" fillId="0" borderId="93" xfId="0" applyFont="1" applyBorder="1" applyAlignment="1" applyProtection="1">
      <alignment horizontal="left" vertical="center"/>
      <protection hidden="1"/>
    </xf>
    <xf numFmtId="0" fontId="51" fillId="0" borderId="93" xfId="0" applyFont="1" applyBorder="1" applyAlignment="1">
      <alignment horizontal="justify" vertical="top" wrapText="1"/>
    </xf>
    <xf numFmtId="0" fontId="112" fillId="0" borderId="93" xfId="0" applyFont="1" applyBorder="1" applyAlignment="1">
      <alignment horizontal="left" vertical="center" wrapText="1"/>
    </xf>
    <xf numFmtId="0" fontId="51" fillId="0" borderId="95" xfId="0" applyFont="1" applyBorder="1" applyAlignment="1">
      <alignment horizontal="left" vertical="center" wrapText="1"/>
    </xf>
    <xf numFmtId="0" fontId="51" fillId="0" borderId="96" xfId="0" applyFont="1" applyBorder="1" applyAlignment="1">
      <alignment horizontal="left" vertical="center" wrapText="1"/>
    </xf>
    <xf numFmtId="0" fontId="51" fillId="0" borderId="97" xfId="0" applyFont="1" applyBorder="1" applyAlignment="1">
      <alignment horizontal="left" vertical="center" wrapText="1"/>
    </xf>
    <xf numFmtId="0" fontId="51" fillId="0" borderId="93" xfId="0" applyFont="1" applyBorder="1" applyAlignment="1">
      <alignment horizontal="left" vertical="center" wrapText="1"/>
    </xf>
    <xf numFmtId="2" fontId="51" fillId="0" borderId="95" xfId="0" applyNumberFormat="1" applyFont="1" applyBorder="1" applyAlignment="1">
      <alignment horizontal="center" vertical="center"/>
    </xf>
    <xf numFmtId="2" fontId="51" fillId="0" borderId="96" xfId="0" applyNumberFormat="1" applyFont="1" applyBorder="1" applyAlignment="1">
      <alignment horizontal="center" vertical="center"/>
    </xf>
    <xf numFmtId="2" fontId="51" fillId="0" borderId="97" xfId="0" applyNumberFormat="1" applyFont="1" applyBorder="1" applyAlignment="1">
      <alignment horizontal="center" vertical="center"/>
    </xf>
    <xf numFmtId="2" fontId="51" fillId="0" borderId="95" xfId="0" applyNumberFormat="1" applyFont="1" applyBorder="1" applyAlignment="1">
      <alignment horizontal="center" vertical="center" wrapText="1"/>
    </xf>
    <xf numFmtId="2" fontId="51" fillId="0" borderId="96" xfId="0" applyNumberFormat="1" applyFont="1" applyBorder="1" applyAlignment="1">
      <alignment horizontal="center" vertical="center" wrapText="1"/>
    </xf>
    <xf numFmtId="2" fontId="51" fillId="0" borderId="97" xfId="0" applyNumberFormat="1" applyFont="1" applyBorder="1" applyAlignment="1">
      <alignment horizontal="center" vertical="center" wrapText="1"/>
    </xf>
    <xf numFmtId="0" fontId="36" fillId="0" borderId="93" xfId="0" applyFont="1" applyBorder="1" applyAlignment="1">
      <alignment horizontal="justify" vertical="top" wrapText="1"/>
    </xf>
    <xf numFmtId="2" fontId="112" fillId="0" borderId="93" xfId="0" applyNumberFormat="1" applyFont="1" applyBorder="1" applyAlignment="1">
      <alignment vertical="center" shrinkToFit="1"/>
    </xf>
    <xf numFmtId="0" fontId="112" fillId="0" borderId="93" xfId="0" applyFont="1" applyBorder="1" applyAlignment="1">
      <alignment vertical="center"/>
    </xf>
    <xf numFmtId="0" fontId="36" fillId="0" borderId="95" xfId="0" applyFont="1" applyBorder="1" applyAlignment="1" applyProtection="1">
      <alignment horizontal="left" vertical="top" wrapText="1"/>
      <protection locked="0"/>
    </xf>
    <xf numFmtId="0" fontId="36" fillId="0" borderId="96" xfId="0" applyFont="1" applyBorder="1" applyAlignment="1" applyProtection="1">
      <alignment horizontal="left" vertical="top" wrapText="1"/>
      <protection locked="0"/>
    </xf>
    <xf numFmtId="0" fontId="36" fillId="0" borderId="97" xfId="0" applyFont="1" applyBorder="1" applyAlignment="1" applyProtection="1">
      <alignment horizontal="left" vertical="top" wrapText="1"/>
      <protection locked="0"/>
    </xf>
    <xf numFmtId="2" fontId="220" fillId="0" borderId="93" xfId="0" applyNumberFormat="1" applyFont="1" applyBorder="1" applyAlignment="1">
      <alignment horizontal="left" vertical="center" wrapText="1"/>
    </xf>
    <xf numFmtId="2" fontId="51" fillId="0" borderId="93" xfId="0" applyNumberFormat="1" applyFont="1" applyBorder="1" applyAlignment="1">
      <alignment horizontal="left" vertical="center" wrapText="1"/>
    </xf>
    <xf numFmtId="0" fontId="51" fillId="0" borderId="93" xfId="0" applyFont="1" applyBorder="1" applyAlignment="1" applyProtection="1">
      <alignment horizontal="justify" vertical="top" wrapText="1"/>
      <protection hidden="1"/>
    </xf>
    <xf numFmtId="0" fontId="112" fillId="0" borderId="93" xfId="0" applyFont="1" applyBorder="1" applyAlignment="1" applyProtection="1">
      <alignment horizontal="center" vertical="center"/>
      <protection hidden="1"/>
    </xf>
    <xf numFmtId="2" fontId="112" fillId="0" borderId="93" xfId="0" applyNumberFormat="1" applyFont="1" applyBorder="1" applyAlignment="1" applyProtection="1">
      <alignment horizontal="left" vertical="center"/>
      <protection hidden="1"/>
    </xf>
    <xf numFmtId="2" fontId="51" fillId="0" borderId="95" xfId="0" applyNumberFormat="1" applyFont="1" applyBorder="1" applyAlignment="1" applyProtection="1">
      <alignment horizontal="left" vertical="center" wrapText="1"/>
      <protection hidden="1"/>
    </xf>
    <xf numFmtId="2" fontId="51" fillId="0" borderId="96" xfId="0" applyNumberFormat="1" applyFont="1" applyBorder="1" applyAlignment="1" applyProtection="1">
      <alignment horizontal="left" vertical="center" wrapText="1"/>
      <protection hidden="1"/>
    </xf>
    <xf numFmtId="2" fontId="51" fillId="0" borderId="97" xfId="0" applyNumberFormat="1" applyFont="1" applyBorder="1" applyAlignment="1" applyProtection="1">
      <alignment horizontal="left" vertical="center" wrapText="1"/>
      <protection hidden="1"/>
    </xf>
    <xf numFmtId="0" fontId="36" fillId="0" borderId="95" xfId="0" applyFont="1" applyBorder="1" applyAlignment="1" applyProtection="1">
      <alignment horizontal="justify" vertical="top" wrapText="1"/>
      <protection hidden="1"/>
    </xf>
    <xf numFmtId="0" fontId="36" fillId="0" borderId="96" xfId="0" applyFont="1" applyBorder="1" applyAlignment="1" applyProtection="1">
      <alignment horizontal="justify" vertical="top" wrapText="1"/>
      <protection hidden="1"/>
    </xf>
    <xf numFmtId="0" fontId="36" fillId="0" borderId="97" xfId="0" applyFont="1" applyBorder="1" applyAlignment="1" applyProtection="1">
      <alignment horizontal="justify" vertical="top" wrapText="1"/>
      <protection hidden="1"/>
    </xf>
    <xf numFmtId="0" fontId="2" fillId="0" borderId="93" xfId="0" applyFont="1" applyBorder="1" applyAlignment="1" applyProtection="1">
      <alignment horizontal="left" vertical="center"/>
      <protection hidden="1"/>
    </xf>
    <xf numFmtId="2" fontId="2" fillId="0" borderId="93" xfId="0" applyNumberFormat="1" applyFont="1" applyBorder="1" applyAlignment="1" applyProtection="1">
      <alignment horizontal="left" vertical="center"/>
      <protection hidden="1"/>
    </xf>
    <xf numFmtId="2" fontId="112" fillId="0" borderId="95" xfId="0" applyNumberFormat="1" applyFont="1" applyBorder="1" applyAlignment="1">
      <alignment horizontal="left" vertical="center" shrinkToFit="1"/>
    </xf>
    <xf numFmtId="2" fontId="112" fillId="0" borderId="96" xfId="0" applyNumberFormat="1" applyFont="1" applyBorder="1" applyAlignment="1">
      <alignment horizontal="left" vertical="center" shrinkToFit="1"/>
    </xf>
    <xf numFmtId="2" fontId="112" fillId="0" borderId="97" xfId="0" applyNumberFormat="1" applyFont="1" applyBorder="1" applyAlignment="1">
      <alignment horizontal="left" vertical="center" shrinkToFit="1"/>
    </xf>
    <xf numFmtId="0" fontId="51" fillId="0" borderId="93" xfId="0" applyFont="1" applyBorder="1" applyAlignment="1" applyProtection="1">
      <alignment horizontal="left" vertical="top" wrapText="1"/>
      <protection hidden="1"/>
    </xf>
    <xf numFmtId="0" fontId="224" fillId="0" borderId="93" xfId="0" applyFont="1" applyBorder="1" applyAlignment="1" applyProtection="1">
      <alignment horizontal="center" vertical="center"/>
      <protection hidden="1"/>
    </xf>
    <xf numFmtId="2" fontId="51" fillId="0" borderId="93" xfId="0" applyNumberFormat="1" applyFont="1" applyBorder="1" applyAlignment="1" applyProtection="1">
      <alignment horizontal="left" vertical="center" wrapText="1"/>
      <protection hidden="1"/>
    </xf>
    <xf numFmtId="0" fontId="51" fillId="0" borderId="95" xfId="0" applyFont="1" applyBorder="1" applyAlignment="1" applyProtection="1">
      <alignment horizontal="left" vertical="center" wrapText="1"/>
      <protection hidden="1"/>
    </xf>
    <xf numFmtId="0" fontId="51" fillId="0" borderId="96" xfId="0" applyFont="1" applyBorder="1" applyAlignment="1" applyProtection="1">
      <alignment horizontal="left" vertical="center" wrapText="1"/>
      <protection hidden="1"/>
    </xf>
    <xf numFmtId="0" fontId="51" fillId="0" borderId="97" xfId="0" applyFont="1" applyBorder="1" applyAlignment="1" applyProtection="1">
      <alignment horizontal="left" vertical="center" wrapText="1"/>
      <protection hidden="1"/>
    </xf>
    <xf numFmtId="0" fontId="51" fillId="0" borderId="95" xfId="0" applyFont="1" applyBorder="1" applyAlignment="1" applyProtection="1">
      <alignment horizontal="center" vertical="center" wrapText="1"/>
      <protection hidden="1"/>
    </xf>
    <xf numFmtId="0" fontId="51" fillId="0" borderId="96" xfId="0" applyFont="1" applyBorder="1" applyAlignment="1" applyProtection="1">
      <alignment horizontal="center" vertical="center" wrapText="1"/>
      <protection hidden="1"/>
    </xf>
    <xf numFmtId="0" fontId="51" fillId="0" borderId="97" xfId="0" applyFont="1" applyBorder="1" applyAlignment="1" applyProtection="1">
      <alignment horizontal="center" vertical="center" wrapText="1"/>
      <protection hidden="1"/>
    </xf>
    <xf numFmtId="0" fontId="51" fillId="0" borderId="93" xfId="0" applyFont="1" applyBorder="1" applyAlignment="1" applyProtection="1">
      <alignment horizontal="left" vertical="center" wrapText="1"/>
      <protection hidden="1"/>
    </xf>
    <xf numFmtId="0" fontId="112" fillId="35" borderId="93" xfId="0" applyFont="1" applyFill="1" applyBorder="1" applyAlignment="1" applyProtection="1">
      <alignment horizontal="center" vertical="center"/>
      <protection hidden="1"/>
    </xf>
    <xf numFmtId="2" fontId="112" fillId="0" borderId="95" xfId="0" applyNumberFormat="1" applyFont="1" applyBorder="1" applyAlignment="1" applyProtection="1">
      <alignment horizontal="center" vertical="center" wrapText="1"/>
      <protection hidden="1"/>
    </xf>
    <xf numFmtId="2" fontId="112" fillId="0" borderId="96" xfId="0" applyNumberFormat="1" applyFont="1" applyBorder="1" applyAlignment="1" applyProtection="1">
      <alignment horizontal="center" vertical="center" wrapText="1"/>
      <protection hidden="1"/>
    </xf>
    <xf numFmtId="2" fontId="112" fillId="0" borderId="97" xfId="0" applyNumberFormat="1" applyFont="1" applyBorder="1" applyAlignment="1" applyProtection="1">
      <alignment horizontal="center" vertical="center" wrapText="1"/>
      <protection hidden="1"/>
    </xf>
    <xf numFmtId="0" fontId="223" fillId="0" borderId="93" xfId="0" applyFont="1" applyBorder="1" applyAlignment="1" applyProtection="1">
      <alignment horizontal="left" vertical="center" wrapText="1"/>
      <protection hidden="1"/>
    </xf>
    <xf numFmtId="2" fontId="222" fillId="0" borderId="93" xfId="0" applyNumberFormat="1" applyFont="1" applyBorder="1" applyAlignment="1" applyProtection="1">
      <alignment horizontal="left" vertical="center"/>
      <protection hidden="1"/>
    </xf>
    <xf numFmtId="0" fontId="51" fillId="0" borderId="95" xfId="0" applyFont="1" applyBorder="1" applyAlignment="1" applyProtection="1">
      <alignment horizontal="left" vertical="center"/>
      <protection hidden="1"/>
    </xf>
    <xf numFmtId="0" fontId="51" fillId="0" borderId="96" xfId="0" applyFont="1" applyBorder="1" applyAlignment="1" applyProtection="1">
      <alignment horizontal="left" vertical="center"/>
      <protection hidden="1"/>
    </xf>
    <xf numFmtId="0" fontId="51" fillId="0" borderId="97" xfId="0" applyFont="1" applyBorder="1" applyAlignment="1" applyProtection="1">
      <alignment horizontal="left" vertical="center"/>
      <protection hidden="1"/>
    </xf>
    <xf numFmtId="2" fontId="36" fillId="0" borderId="93" xfId="0" applyNumberFormat="1" applyFont="1" applyBorder="1" applyAlignment="1">
      <alignment horizontal="left" vertical="center" wrapText="1"/>
    </xf>
    <xf numFmtId="0" fontId="51" fillId="0" borderId="93" xfId="0" applyFont="1" applyBorder="1" applyAlignment="1" applyProtection="1">
      <alignment horizontal="left" vertical="top" wrapText="1"/>
      <protection locked="0"/>
    </xf>
    <xf numFmtId="1" fontId="112" fillId="0" borderId="93" xfId="0" applyNumberFormat="1" applyFont="1" applyBorder="1" applyAlignment="1">
      <alignment horizontal="left" vertical="top" wrapText="1"/>
    </xf>
    <xf numFmtId="1" fontId="51" fillId="0" borderId="93" xfId="0" applyNumberFormat="1" applyFont="1" applyBorder="1" applyAlignment="1">
      <alignment horizontal="left" vertical="top" wrapText="1"/>
    </xf>
    <xf numFmtId="0" fontId="2" fillId="2" borderId="1" xfId="6145" applyFont="1" applyFill="1" applyBorder="1" applyAlignment="1">
      <alignment horizontal="center" vertical="center" wrapText="1"/>
    </xf>
    <xf numFmtId="0" fontId="117" fillId="0" borderId="4" xfId="0" applyFont="1" applyBorder="1" applyAlignment="1" applyProtection="1">
      <alignment horizontal="center" vertical="center"/>
      <protection locked="0"/>
    </xf>
    <xf numFmtId="0" fontId="115" fillId="0" borderId="5" xfId="0" applyFont="1" applyBorder="1" applyAlignment="1" applyProtection="1">
      <alignment vertical="center"/>
      <protection locked="0"/>
    </xf>
    <xf numFmtId="0" fontId="117" fillId="26" borderId="1" xfId="0" applyFont="1" applyFill="1" applyBorder="1" applyAlignment="1" applyProtection="1">
      <alignment horizontal="center"/>
      <protection locked="0"/>
    </xf>
    <xf numFmtId="0" fontId="117" fillId="0" borderId="11" xfId="0" applyFont="1" applyBorder="1" applyAlignment="1" applyProtection="1">
      <alignment horizontal="center" vertical="center" wrapText="1"/>
      <protection locked="0"/>
    </xf>
    <xf numFmtId="0" fontId="117" fillId="0" borderId="2" xfId="0" applyFont="1" applyBorder="1" applyAlignment="1" applyProtection="1">
      <alignment horizontal="center" vertical="center" wrapText="1"/>
      <protection locked="0"/>
    </xf>
    <xf numFmtId="0" fontId="117" fillId="0" borderId="0" xfId="0" applyFont="1" applyAlignment="1" applyProtection="1">
      <alignment horizontal="center" vertical="center"/>
      <protection locked="0"/>
    </xf>
    <xf numFmtId="0" fontId="293" fillId="3" borderId="29" xfId="0" applyFont="1" applyFill="1" applyBorder="1" applyAlignment="1" applyProtection="1">
      <alignment horizontal="left" vertical="center" wrapText="1"/>
      <protection locked="0"/>
    </xf>
    <xf numFmtId="0" fontId="206" fillId="3" borderId="24" xfId="0" applyFont="1" applyFill="1" applyBorder="1" applyAlignment="1" applyProtection="1">
      <alignment horizontal="left" vertical="center" wrapText="1"/>
      <protection locked="0"/>
    </xf>
    <xf numFmtId="0" fontId="206" fillId="3" borderId="40" xfId="0" applyFont="1" applyFill="1" applyBorder="1" applyAlignment="1" applyProtection="1">
      <alignment horizontal="left" vertical="center" wrapText="1"/>
      <protection locked="0"/>
    </xf>
    <xf numFmtId="0" fontId="216" fillId="0" borderId="1" xfId="0" applyFont="1" applyBorder="1" applyAlignment="1" applyProtection="1">
      <alignment horizontal="center" vertical="center" wrapText="1"/>
      <protection locked="0"/>
    </xf>
    <xf numFmtId="0" fontId="117" fillId="26" borderId="4" xfId="0" applyFont="1" applyFill="1" applyBorder="1" applyAlignment="1" applyProtection="1">
      <alignment horizontal="center"/>
      <protection locked="0"/>
    </xf>
    <xf numFmtId="0" fontId="117" fillId="26" borderId="14" xfId="0" applyFont="1" applyFill="1" applyBorder="1" applyAlignment="1" applyProtection="1">
      <alignment horizontal="center"/>
      <protection locked="0"/>
    </xf>
    <xf numFmtId="0" fontId="117" fillId="26" borderId="5" xfId="0" applyFont="1" applyFill="1" applyBorder="1" applyAlignment="1" applyProtection="1">
      <alignment horizontal="center"/>
      <protection locked="0"/>
    </xf>
    <xf numFmtId="0" fontId="304" fillId="0" borderId="0" xfId="30655" applyFont="1" applyAlignment="1">
      <alignment horizontal="left" vertical="center"/>
    </xf>
    <xf numFmtId="0" fontId="296" fillId="0" borderId="0" xfId="30655" applyFont="1" applyAlignment="1">
      <alignment horizontal="center" vertical="center" wrapText="1"/>
    </xf>
    <xf numFmtId="0" fontId="296" fillId="0" borderId="0" xfId="30655" applyFont="1" applyAlignment="1">
      <alignment horizontal="center" vertical="top" wrapText="1"/>
    </xf>
    <xf numFmtId="1" fontId="299" fillId="0" borderId="0" xfId="30655" applyNumberFormat="1" applyFont="1" applyAlignment="1">
      <alignment horizontal="justify" vertical="top" wrapText="1"/>
    </xf>
    <xf numFmtId="0" fontId="298" fillId="0" borderId="0" xfId="30655" applyFont="1" applyAlignment="1">
      <alignment horizontal="center" vertical="top" wrapText="1"/>
    </xf>
    <xf numFmtId="0" fontId="298" fillId="0" borderId="0" xfId="30655" applyFont="1" applyAlignment="1">
      <alignment horizontal="right" vertical="top"/>
    </xf>
    <xf numFmtId="171" fontId="298" fillId="0" borderId="0" xfId="30655" applyNumberFormat="1" applyFont="1" applyAlignment="1">
      <alignment horizontal="left" vertical="top"/>
    </xf>
    <xf numFmtId="0" fontId="298" fillId="0" borderId="0" xfId="30655" applyFont="1" applyAlignment="1">
      <alignment horizontal="left" vertical="top"/>
    </xf>
    <xf numFmtId="0" fontId="301" fillId="0" borderId="0" xfId="30655" applyFont="1" applyAlignment="1">
      <alignment horizontal="left"/>
    </xf>
    <xf numFmtId="2" fontId="301" fillId="0" borderId="0" xfId="30655" applyNumberFormat="1" applyFont="1" applyAlignment="1">
      <alignment horizontal="center"/>
    </xf>
    <xf numFmtId="0" fontId="307" fillId="0" borderId="0" xfId="0" applyFont="1" applyAlignment="1">
      <alignment horizontal="center"/>
    </xf>
    <xf numFmtId="0" fontId="308" fillId="0" borderId="0" xfId="0" applyFont="1" applyAlignment="1">
      <alignment horizontal="left" vertical="center"/>
    </xf>
    <xf numFmtId="0" fontId="308" fillId="0" borderId="0" xfId="0" applyFont="1" applyAlignment="1">
      <alignment horizontal="center" vertical="center"/>
    </xf>
    <xf numFmtId="0" fontId="308" fillId="0" borderId="0" xfId="0" applyFont="1" applyAlignment="1">
      <alignment horizontal="left" vertical="top"/>
    </xf>
    <xf numFmtId="0" fontId="309" fillId="0" borderId="0" xfId="0" applyFont="1" applyAlignment="1">
      <alignment horizontal="left" vertical="top" wrapText="1"/>
    </xf>
    <xf numFmtId="0" fontId="308" fillId="0" borderId="0" xfId="0" applyFont="1"/>
    <xf numFmtId="0" fontId="308" fillId="0" borderId="0" xfId="0" applyFont="1" applyAlignment="1">
      <alignment horizontal="right"/>
    </xf>
    <xf numFmtId="0" fontId="308" fillId="0" borderId="0" xfId="0" applyFont="1" applyAlignment="1">
      <alignment horizontal="left" vertical="top" wrapText="1"/>
    </xf>
    <xf numFmtId="0" fontId="308" fillId="0" borderId="0" xfId="0" applyFont="1" applyAlignment="1">
      <alignment horizontal="left"/>
    </xf>
    <xf numFmtId="0" fontId="311" fillId="0" borderId="1" xfId="6607" applyFont="1" applyBorder="1" applyAlignment="1">
      <alignment horizontal="center" vertical="center" wrapText="1"/>
    </xf>
    <xf numFmtId="2" fontId="311" fillId="0" borderId="1" xfId="6607" applyNumberFormat="1" applyFont="1" applyBorder="1" applyAlignment="1">
      <alignment horizontal="center" vertical="center" wrapText="1"/>
    </xf>
    <xf numFmtId="2" fontId="313" fillId="0" borderId="1" xfId="6607" applyNumberFormat="1" applyFont="1" applyBorder="1" applyAlignment="1">
      <alignment horizontal="center" vertical="center" wrapText="1"/>
    </xf>
    <xf numFmtId="0" fontId="313" fillId="0" borderId="1" xfId="6607" applyFont="1" applyBorder="1" applyAlignment="1">
      <alignment horizontal="center" vertical="center" wrapText="1"/>
    </xf>
    <xf numFmtId="0" fontId="310" fillId="0" borderId="1" xfId="6607" applyFont="1" applyBorder="1" applyAlignment="1">
      <alignment horizontal="center" vertical="center" wrapText="1"/>
    </xf>
    <xf numFmtId="0" fontId="308" fillId="0" borderId="0" xfId="0" applyFont="1" applyAlignment="1">
      <alignment horizontal="left" vertical="center" wrapText="1"/>
    </xf>
    <xf numFmtId="0" fontId="315" fillId="0" borderId="5" xfId="30634" applyFont="1" applyBorder="1" applyAlignment="1">
      <alignment horizontal="center" vertical="center"/>
    </xf>
    <xf numFmtId="0" fontId="315" fillId="0" borderId="1" xfId="30634" applyFont="1" applyBorder="1" applyAlignment="1">
      <alignment horizontal="center" vertical="center"/>
    </xf>
    <xf numFmtId="0" fontId="317" fillId="0" borderId="5" xfId="30634" applyFont="1" applyBorder="1" applyAlignment="1">
      <alignment horizontal="center" vertical="top"/>
    </xf>
    <xf numFmtId="0" fontId="317" fillId="0" borderId="1" xfId="30634" applyFont="1" applyBorder="1" applyAlignment="1">
      <alignment horizontal="center" vertical="top"/>
    </xf>
    <xf numFmtId="171" fontId="314" fillId="0" borderId="1" xfId="30634" applyNumberFormat="1" applyFont="1" applyBorder="1" applyAlignment="1">
      <alignment horizontal="justify" vertical="top" wrapText="1"/>
    </xf>
    <xf numFmtId="0" fontId="314" fillId="0" borderId="1" xfId="30634" applyFont="1" applyBorder="1" applyAlignment="1">
      <alignment horizontal="justify" vertical="top" wrapText="1"/>
    </xf>
    <xf numFmtId="0" fontId="314" fillId="0" borderId="1" xfId="30634" applyFont="1" applyBorder="1" applyAlignment="1">
      <alignment vertical="center" wrapText="1"/>
    </xf>
    <xf numFmtId="0" fontId="314" fillId="3" borderId="1" xfId="30634" applyFont="1" applyFill="1" applyBorder="1" applyAlignment="1">
      <alignment vertical="center" wrapText="1"/>
    </xf>
    <xf numFmtId="0" fontId="315" fillId="0" borderId="1" xfId="30634" applyFont="1" applyBorder="1" applyAlignment="1">
      <alignment horizontal="left" vertical="top"/>
    </xf>
    <xf numFmtId="0" fontId="32" fillId="0" borderId="86" xfId="0" applyFont="1" applyBorder="1" applyAlignment="1">
      <alignment vertical="center" wrapText="1"/>
    </xf>
    <xf numFmtId="0" fontId="56" fillId="0" borderId="87" xfId="0" applyFont="1" applyBorder="1"/>
    <xf numFmtId="0" fontId="56" fillId="0" borderId="91" xfId="0" applyFont="1" applyBorder="1"/>
    <xf numFmtId="0" fontId="314" fillId="0" borderId="21" xfId="30634" applyFont="1" applyBorder="1" applyAlignment="1">
      <alignment horizontal="center" vertical="top" wrapText="1"/>
    </xf>
    <xf numFmtId="0" fontId="314" fillId="0" borderId="22" xfId="30634" applyFont="1" applyBorder="1" applyAlignment="1">
      <alignment horizontal="center" vertical="top" wrapText="1"/>
    </xf>
    <xf numFmtId="0" fontId="314" fillId="0" borderId="22" xfId="30634" quotePrefix="1" applyFont="1" applyBorder="1" applyAlignment="1">
      <alignment horizontal="center" vertical="top" wrapText="1"/>
    </xf>
    <xf numFmtId="0" fontId="314" fillId="0" borderId="34" xfId="30634" applyFont="1" applyBorder="1" applyAlignment="1">
      <alignment horizontal="center" vertical="top" wrapText="1"/>
    </xf>
    <xf numFmtId="0" fontId="317" fillId="0" borderId="10" xfId="6532" applyFont="1" applyBorder="1" applyAlignment="1">
      <alignment horizontal="left" vertical="top" wrapText="1"/>
    </xf>
    <xf numFmtId="0" fontId="317" fillId="0" borderId="0" xfId="6532" applyFont="1" applyAlignment="1">
      <alignment horizontal="left" vertical="top" wrapText="1"/>
    </xf>
    <xf numFmtId="0" fontId="317" fillId="0" borderId="20" xfId="6532" applyFont="1" applyBorder="1" applyAlignment="1">
      <alignment horizontal="left" vertical="top" wrapText="1"/>
    </xf>
    <xf numFmtId="0" fontId="314" fillId="0" borderId="88" xfId="0" applyFont="1" applyBorder="1" applyAlignment="1">
      <alignment horizontal="left" vertical="top" wrapText="1"/>
    </xf>
    <xf numFmtId="0" fontId="314" fillId="0" borderId="89" xfId="0" applyFont="1" applyBorder="1" applyAlignment="1">
      <alignment horizontal="left"/>
    </xf>
    <xf numFmtId="0" fontId="314" fillId="0" borderId="92" xfId="0" applyFont="1" applyBorder="1" applyAlignment="1">
      <alignment horizontal="left"/>
    </xf>
    <xf numFmtId="0" fontId="314" fillId="0" borderId="4" xfId="30634" applyFont="1" applyBorder="1" applyAlignment="1">
      <alignment horizontal="left" vertical="top"/>
    </xf>
    <xf numFmtId="0" fontId="314" fillId="0" borderId="14" xfId="30634" applyFont="1" applyBorder="1" applyAlignment="1">
      <alignment horizontal="left" vertical="top"/>
    </xf>
    <xf numFmtId="0" fontId="314" fillId="0" borderId="5" xfId="30634" applyFont="1" applyBorder="1" applyAlignment="1">
      <alignment horizontal="left" vertical="top"/>
    </xf>
    <xf numFmtId="0" fontId="314" fillId="0" borderId="1" xfId="30634" applyFont="1" applyBorder="1" applyAlignment="1">
      <alignment horizontal="left" vertical="top"/>
    </xf>
    <xf numFmtId="0" fontId="315" fillId="0" borderId="0" xfId="30634" applyFont="1" applyAlignment="1">
      <alignment horizontal="center" vertical="top"/>
    </xf>
    <xf numFmtId="0" fontId="314" fillId="0" borderId="1" xfId="30634" applyFont="1" applyBorder="1" applyAlignment="1">
      <alignment horizontal="left" vertical="top" wrapText="1"/>
    </xf>
    <xf numFmtId="207" fontId="314" fillId="0" borderId="1" xfId="30634" applyNumberFormat="1" applyFont="1" applyBorder="1" applyAlignment="1">
      <alignment horizontal="left" vertical="top"/>
    </xf>
    <xf numFmtId="0" fontId="314" fillId="0" borderId="11" xfId="30634" applyFont="1" applyBorder="1" applyAlignment="1">
      <alignment horizontal="left" vertical="top"/>
    </xf>
    <xf numFmtId="208" fontId="314" fillId="0" borderId="11" xfId="30634" applyNumberFormat="1" applyFont="1" applyBorder="1" applyAlignment="1">
      <alignment horizontal="left" vertical="top"/>
    </xf>
    <xf numFmtId="0" fontId="315" fillId="0" borderId="4" xfId="30634" applyFont="1" applyBorder="1" applyAlignment="1">
      <alignment horizontal="left" vertical="top"/>
    </xf>
    <xf numFmtId="0" fontId="315" fillId="0" borderId="14" xfId="30634" applyFont="1" applyBorder="1" applyAlignment="1">
      <alignment horizontal="left" vertical="top"/>
    </xf>
    <xf numFmtId="0" fontId="315" fillId="0" borderId="5" xfId="30634" applyFont="1" applyBorder="1" applyAlignment="1">
      <alignment horizontal="left" vertical="top"/>
    </xf>
    <xf numFmtId="0" fontId="314" fillId="7" borderId="21" xfId="30634" applyFont="1" applyFill="1" applyBorder="1" applyAlignment="1">
      <alignment horizontal="center" vertical="top" wrapText="1"/>
    </xf>
    <xf numFmtId="0" fontId="314" fillId="7" borderId="22" xfId="30634" applyFont="1" applyFill="1" applyBorder="1" applyAlignment="1">
      <alignment horizontal="center" vertical="top" wrapText="1"/>
    </xf>
    <xf numFmtId="0" fontId="314" fillId="7" borderId="4" xfId="30634" applyFont="1" applyFill="1" applyBorder="1" applyAlignment="1">
      <alignment horizontal="center" vertical="top" wrapText="1"/>
    </xf>
    <xf numFmtId="0" fontId="314" fillId="7" borderId="14" xfId="30634" applyFont="1" applyFill="1" applyBorder="1" applyAlignment="1">
      <alignment horizontal="center" vertical="top" wrapText="1"/>
    </xf>
    <xf numFmtId="0" fontId="314" fillId="7" borderId="5" xfId="30634" applyFont="1" applyFill="1" applyBorder="1" applyAlignment="1">
      <alignment horizontal="center" vertical="top" wrapText="1"/>
    </xf>
    <xf numFmtId="0" fontId="314" fillId="0" borderId="1" xfId="30643" applyFont="1" applyBorder="1" applyAlignment="1">
      <alignment horizontal="left" vertical="center" wrapText="1"/>
    </xf>
    <xf numFmtId="0" fontId="314" fillId="7" borderId="1" xfId="30643" applyFont="1" applyFill="1" applyBorder="1" applyAlignment="1">
      <alignment horizontal="center" vertical="center" wrapText="1"/>
    </xf>
    <xf numFmtId="0" fontId="314" fillId="0" borderId="1" xfId="30643" applyFont="1" applyBorder="1" applyAlignment="1">
      <alignment horizontal="center" vertical="center" wrapText="1"/>
    </xf>
    <xf numFmtId="0" fontId="314" fillId="7" borderId="1" xfId="30634" applyFont="1" applyFill="1" applyBorder="1" applyAlignment="1">
      <alignment horizontal="center" vertical="center"/>
    </xf>
    <xf numFmtId="0" fontId="314" fillId="7" borderId="1" xfId="30634" applyFont="1" applyFill="1" applyBorder="1" applyAlignment="1">
      <alignment horizontal="center" vertical="top" wrapText="1"/>
    </xf>
    <xf numFmtId="0" fontId="314" fillId="7" borderId="34" xfId="30634" applyFont="1" applyFill="1" applyBorder="1" applyAlignment="1">
      <alignment horizontal="center" vertical="top" wrapText="1"/>
    </xf>
    <xf numFmtId="0" fontId="314" fillId="7" borderId="3" xfId="30634" applyFont="1" applyFill="1" applyBorder="1" applyAlignment="1">
      <alignment horizontal="center" vertical="top" wrapText="1"/>
    </xf>
    <xf numFmtId="0" fontId="314" fillId="7" borderId="25" xfId="30634" applyFont="1" applyFill="1" applyBorder="1" applyAlignment="1">
      <alignment horizontal="center" vertical="top" wrapText="1"/>
    </xf>
    <xf numFmtId="0" fontId="314" fillId="7" borderId="4" xfId="30634" applyFont="1" applyFill="1" applyBorder="1" applyAlignment="1">
      <alignment horizontal="center" vertical="top"/>
    </xf>
    <xf numFmtId="0" fontId="314" fillId="7" borderId="14" xfId="30634" applyFont="1" applyFill="1" applyBorder="1" applyAlignment="1">
      <alignment horizontal="center" vertical="top"/>
    </xf>
    <xf numFmtId="0" fontId="314" fillId="7" borderId="5" xfId="30634" applyFont="1" applyFill="1" applyBorder="1" applyAlignment="1">
      <alignment horizontal="center" vertical="top"/>
    </xf>
    <xf numFmtId="0" fontId="315" fillId="7" borderId="4" xfId="30634" applyFont="1" applyFill="1" applyBorder="1" applyAlignment="1">
      <alignment horizontal="center" vertical="center"/>
    </xf>
    <xf numFmtId="0" fontId="315" fillId="7" borderId="5" xfId="30634" applyFont="1" applyFill="1" applyBorder="1" applyAlignment="1">
      <alignment horizontal="center" vertical="center"/>
    </xf>
    <xf numFmtId="0" fontId="314" fillId="7" borderId="4" xfId="30634" applyFont="1" applyFill="1" applyBorder="1" applyAlignment="1">
      <alignment horizontal="justify" vertical="top" wrapText="1"/>
    </xf>
    <xf numFmtId="0" fontId="314" fillId="7" borderId="14" xfId="30634" applyFont="1" applyFill="1" applyBorder="1" applyAlignment="1">
      <alignment horizontal="justify" vertical="top" wrapText="1"/>
    </xf>
    <xf numFmtId="0" fontId="314" fillId="7" borderId="5" xfId="30634" applyFont="1" applyFill="1" applyBorder="1" applyAlignment="1">
      <alignment horizontal="justify" vertical="top" wrapText="1"/>
    </xf>
    <xf numFmtId="0" fontId="32" fillId="3" borderId="4" xfId="30634" applyFont="1" applyFill="1" applyBorder="1" applyAlignment="1">
      <alignment horizontal="justify" vertical="top" wrapText="1"/>
    </xf>
    <xf numFmtId="0" fontId="32" fillId="3" borderId="14" xfId="30634" applyFont="1" applyFill="1" applyBorder="1" applyAlignment="1">
      <alignment horizontal="justify" vertical="top" wrapText="1"/>
    </xf>
    <xf numFmtId="0" fontId="32" fillId="3" borderId="5" xfId="30634" applyFont="1" applyFill="1" applyBorder="1" applyAlignment="1">
      <alignment horizontal="justify" vertical="top" wrapText="1"/>
    </xf>
    <xf numFmtId="0" fontId="315" fillId="7" borderId="1" xfId="30634" applyFont="1" applyFill="1" applyBorder="1" applyAlignment="1">
      <alignment horizontal="center" vertical="center"/>
    </xf>
    <xf numFmtId="0" fontId="314" fillId="7" borderId="4" xfId="30634" applyFont="1" applyFill="1" applyBorder="1" applyAlignment="1">
      <alignment horizontal="center" vertical="center" wrapText="1"/>
    </xf>
    <xf numFmtId="0" fontId="314" fillId="7" borderId="14" xfId="30634" applyFont="1" applyFill="1" applyBorder="1" applyAlignment="1">
      <alignment horizontal="center" vertical="center" wrapText="1"/>
    </xf>
    <xf numFmtId="0" fontId="314" fillId="7" borderId="5" xfId="30634" applyFont="1" applyFill="1" applyBorder="1" applyAlignment="1">
      <alignment horizontal="center" vertical="center" wrapText="1"/>
    </xf>
    <xf numFmtId="0" fontId="314" fillId="7" borderId="1" xfId="30634" applyFont="1" applyFill="1" applyBorder="1" applyAlignment="1">
      <alignment vertical="top"/>
    </xf>
    <xf numFmtId="0" fontId="314" fillId="7" borderId="1" xfId="30634" applyFont="1" applyFill="1" applyBorder="1" applyAlignment="1">
      <alignment horizontal="center" vertical="top"/>
    </xf>
    <xf numFmtId="0" fontId="315" fillId="0" borderId="1" xfId="30643" applyFont="1" applyBorder="1" applyAlignment="1">
      <alignment horizontal="left" vertical="justify"/>
    </xf>
    <xf numFmtId="0" fontId="315" fillId="0" borderId="1" xfId="30643" applyFont="1" applyBorder="1" applyAlignment="1">
      <alignment horizontal="center" vertical="justify"/>
    </xf>
    <xf numFmtId="0" fontId="314" fillId="0" borderId="4" xfId="30643" applyFont="1" applyBorder="1" applyAlignment="1">
      <alignment horizontal="center" vertical="justify"/>
    </xf>
    <xf numFmtId="0" fontId="314" fillId="0" borderId="14" xfId="30643" applyFont="1" applyBorder="1" applyAlignment="1">
      <alignment horizontal="center" vertical="justify"/>
    </xf>
    <xf numFmtId="0" fontId="314" fillId="0" borderId="5" xfId="30643" applyFont="1" applyBorder="1" applyAlignment="1">
      <alignment horizontal="center" vertical="justify"/>
    </xf>
    <xf numFmtId="0" fontId="200" fillId="3" borderId="1" xfId="30634" applyFont="1" applyFill="1" applyBorder="1" applyAlignment="1">
      <alignment horizontal="center" vertical="top"/>
    </xf>
    <xf numFmtId="0" fontId="318" fillId="7" borderId="4" xfId="30634" applyFont="1" applyFill="1" applyBorder="1" applyAlignment="1">
      <alignment horizontal="left" vertical="center" wrapText="1"/>
    </xf>
    <xf numFmtId="0" fontId="318" fillId="7" borderId="14" xfId="30634" applyFont="1" applyFill="1" applyBorder="1" applyAlignment="1">
      <alignment horizontal="left" vertical="center" wrapText="1"/>
    </xf>
    <xf numFmtId="0" fontId="318" fillId="7" borderId="5" xfId="30634" applyFont="1" applyFill="1" applyBorder="1" applyAlignment="1">
      <alignment horizontal="left" vertical="center" wrapText="1"/>
    </xf>
    <xf numFmtId="0" fontId="132" fillId="0" borderId="1" xfId="0" applyFont="1" applyBorder="1" applyAlignment="1">
      <alignment horizontal="center" vertical="center" wrapText="1"/>
    </xf>
    <xf numFmtId="0" fontId="202" fillId="0" borderId="1" xfId="0" applyFont="1" applyBorder="1" applyAlignment="1">
      <alignment horizontal="center" vertical="center" wrapText="1"/>
    </xf>
    <xf numFmtId="0" fontId="202" fillId="0" borderId="4" xfId="0" applyFont="1" applyBorder="1" applyAlignment="1">
      <alignment horizontal="center" vertical="center" wrapText="1"/>
    </xf>
    <xf numFmtId="0" fontId="202" fillId="0" borderId="5" xfId="0" applyFont="1" applyBorder="1" applyAlignment="1">
      <alignment horizontal="center" vertical="center" wrapText="1"/>
    </xf>
    <xf numFmtId="0" fontId="36" fillId="7" borderId="0" xfId="30644" applyFont="1" applyFill="1" applyAlignment="1">
      <alignment horizontal="center" vertical="center" wrapText="1"/>
    </xf>
    <xf numFmtId="1" fontId="2" fillId="7" borderId="1" xfId="30644" applyNumberFormat="1" applyFont="1" applyFill="1" applyBorder="1" applyAlignment="1">
      <alignment horizontal="center" vertical="center" wrapText="1"/>
    </xf>
    <xf numFmtId="0" fontId="315" fillId="7" borderId="4" xfId="30634" applyFont="1" applyFill="1" applyBorder="1" applyAlignment="1">
      <alignment horizontal="left" vertical="center"/>
    </xf>
    <xf numFmtId="0" fontId="315" fillId="7" borderId="14" xfId="30634" applyFont="1" applyFill="1" applyBorder="1" applyAlignment="1">
      <alignment horizontal="left" vertical="center"/>
    </xf>
    <xf numFmtId="0" fontId="315" fillId="7" borderId="5" xfId="30634" applyFont="1" applyFill="1" applyBorder="1" applyAlignment="1">
      <alignment horizontal="left" vertical="center"/>
    </xf>
    <xf numFmtId="0" fontId="314" fillId="7" borderId="4" xfId="30634" applyFont="1" applyFill="1" applyBorder="1" applyAlignment="1">
      <alignment horizontal="center" vertical="center"/>
    </xf>
    <xf numFmtId="0" fontId="314" fillId="7" borderId="14" xfId="30634" applyFont="1" applyFill="1" applyBorder="1" applyAlignment="1">
      <alignment horizontal="center" vertical="center"/>
    </xf>
    <xf numFmtId="0" fontId="314" fillId="7" borderId="5" xfId="30634" applyFont="1" applyFill="1" applyBorder="1" applyAlignment="1">
      <alignment horizontal="center" vertical="center"/>
    </xf>
    <xf numFmtId="0" fontId="315" fillId="0" borderId="14" xfId="30634" applyFont="1" applyBorder="1" applyAlignment="1">
      <alignment horizontal="left" vertical="center" wrapText="1"/>
    </xf>
    <xf numFmtId="0" fontId="315" fillId="0" borderId="5" xfId="30634" applyFont="1" applyBorder="1" applyAlignment="1">
      <alignment horizontal="left" vertical="center" wrapText="1"/>
    </xf>
    <xf numFmtId="0" fontId="315" fillId="0" borderId="0" xfId="30643" applyFont="1" applyAlignment="1">
      <alignment horizontal="left" vertical="center"/>
    </xf>
    <xf numFmtId="0" fontId="315" fillId="0" borderId="0" xfId="30643" applyFont="1" applyAlignment="1">
      <alignment horizontal="center" vertical="center"/>
    </xf>
    <xf numFmtId="0" fontId="0" fillId="7" borderId="0" xfId="30644" applyFont="1" applyFill="1" applyAlignment="1">
      <alignment horizontal="center" vertical="center" wrapText="1"/>
    </xf>
    <xf numFmtId="0" fontId="314" fillId="7" borderId="1" xfId="30634" applyFont="1" applyFill="1" applyBorder="1" applyAlignment="1">
      <alignment horizontal="center" vertical="center" wrapText="1"/>
    </xf>
    <xf numFmtId="0" fontId="314" fillId="0" borderId="0" xfId="30643" applyFont="1" applyAlignment="1">
      <alignment horizontal="center" vertical="center"/>
    </xf>
    <xf numFmtId="0" fontId="310" fillId="0" borderId="21" xfId="30634" applyFont="1" applyBorder="1" applyAlignment="1">
      <alignment horizontal="center" vertical="center" wrapText="1"/>
    </xf>
    <xf numFmtId="0" fontId="310" fillId="0" borderId="22" xfId="30634" applyFont="1" applyBorder="1" applyAlignment="1">
      <alignment horizontal="center" vertical="center" wrapText="1"/>
    </xf>
    <xf numFmtId="0" fontId="310" fillId="0" borderId="34" xfId="30634" applyFont="1" applyBorder="1" applyAlignment="1">
      <alignment horizontal="center" vertical="center" wrapText="1"/>
    </xf>
    <xf numFmtId="0" fontId="310" fillId="0" borderId="1" xfId="30634" applyFont="1" applyBorder="1" applyAlignment="1">
      <alignment horizontal="center" vertical="center" wrapText="1"/>
    </xf>
    <xf numFmtId="0" fontId="310" fillId="0" borderId="3" xfId="30634" applyFont="1" applyBorder="1" applyAlignment="1">
      <alignment horizontal="center" vertical="center" wrapText="1"/>
    </xf>
    <xf numFmtId="0" fontId="310" fillId="0" borderId="13" xfId="30634" applyFont="1" applyBorder="1" applyAlignment="1">
      <alignment horizontal="center" vertical="center" wrapText="1"/>
    </xf>
    <xf numFmtId="0" fontId="310" fillId="0" borderId="25" xfId="30634" applyFont="1" applyBorder="1" applyAlignment="1">
      <alignment horizontal="center" vertical="center" wrapText="1"/>
    </xf>
    <xf numFmtId="0" fontId="308" fillId="0" borderId="4" xfId="30634" applyFont="1" applyBorder="1" applyAlignment="1">
      <alignment horizontal="left" vertical="top" wrapText="1"/>
    </xf>
    <xf numFmtId="0" fontId="308" fillId="0" borderId="14" xfId="30634" applyFont="1" applyBorder="1" applyAlignment="1">
      <alignment horizontal="left" vertical="top" wrapText="1"/>
    </xf>
    <xf numFmtId="0" fontId="308" fillId="0" borderId="5" xfId="30634" applyFont="1" applyBorder="1" applyAlignment="1">
      <alignment horizontal="left" vertical="top" wrapText="1"/>
    </xf>
    <xf numFmtId="0" fontId="1" fillId="0" borderId="4" xfId="30634" applyFont="1" applyBorder="1" applyAlignment="1">
      <alignment horizontal="left" vertical="top" wrapText="1"/>
    </xf>
    <xf numFmtId="0" fontId="1" fillId="0" borderId="14" xfId="30634" applyFont="1" applyBorder="1" applyAlignment="1">
      <alignment horizontal="left" vertical="top" wrapText="1"/>
    </xf>
    <xf numFmtId="0" fontId="1" fillId="0" borderId="5" xfId="30634" applyFont="1" applyBorder="1" applyAlignment="1">
      <alignment horizontal="left" vertical="top" wrapText="1"/>
    </xf>
    <xf numFmtId="0" fontId="198" fillId="0" borderId="21" xfId="30634" applyFont="1" applyBorder="1" applyAlignment="1">
      <alignment horizontal="center" vertical="center" wrapText="1"/>
    </xf>
    <xf numFmtId="0" fontId="198" fillId="0" borderId="34" xfId="30634" applyFont="1" applyBorder="1" applyAlignment="1">
      <alignment horizontal="center" vertical="center" wrapText="1"/>
    </xf>
    <xf numFmtId="0" fontId="310" fillId="0" borderId="4" xfId="30634" applyFont="1" applyBorder="1" applyAlignment="1">
      <alignment horizontal="left" vertical="top" wrapText="1"/>
    </xf>
    <xf numFmtId="0" fontId="310" fillId="0" borderId="14" xfId="30634" applyFont="1" applyBorder="1" applyAlignment="1">
      <alignment horizontal="left" vertical="top" wrapText="1"/>
    </xf>
    <xf numFmtId="0" fontId="310" fillId="0" borderId="5" xfId="30634" applyFont="1" applyBorder="1" applyAlignment="1">
      <alignment horizontal="left" vertical="top" wrapText="1"/>
    </xf>
    <xf numFmtId="0" fontId="310" fillId="0" borderId="4" xfId="30634" applyFont="1" applyBorder="1" applyAlignment="1">
      <alignment horizontal="center" vertical="center"/>
    </xf>
    <xf numFmtId="0" fontId="310" fillId="0" borderId="14" xfId="30634" applyFont="1" applyBorder="1" applyAlignment="1">
      <alignment horizontal="center" vertical="center"/>
    </xf>
    <xf numFmtId="0" fontId="310" fillId="0" borderId="5" xfId="30634" applyFont="1" applyBorder="1" applyAlignment="1">
      <alignment horizontal="center" vertical="center"/>
    </xf>
    <xf numFmtId="0" fontId="308" fillId="0" borderId="4" xfId="30634" applyFont="1" applyBorder="1" applyAlignment="1">
      <alignment horizontal="left" vertical="center" wrapText="1"/>
    </xf>
    <xf numFmtId="0" fontId="308" fillId="0" borderId="14" xfId="30634" applyFont="1" applyBorder="1" applyAlignment="1">
      <alignment horizontal="left" vertical="center" wrapText="1"/>
    </xf>
    <xf numFmtId="0" fontId="308" fillId="0" borderId="5" xfId="30634" applyFont="1" applyBorder="1" applyAlignment="1">
      <alignment horizontal="left" vertical="center" wrapText="1"/>
    </xf>
    <xf numFmtId="1" fontId="310" fillId="0" borderId="4" xfId="30634" applyNumberFormat="1" applyFont="1" applyBorder="1" applyAlignment="1">
      <alignment horizontal="center" vertical="center"/>
    </xf>
    <xf numFmtId="1" fontId="310" fillId="0" borderId="14" xfId="30634" applyNumberFormat="1" applyFont="1" applyBorder="1" applyAlignment="1">
      <alignment horizontal="center" vertical="center"/>
    </xf>
    <xf numFmtId="1" fontId="310" fillId="0" borderId="5" xfId="30634" applyNumberFormat="1" applyFont="1" applyBorder="1" applyAlignment="1">
      <alignment horizontal="center" vertical="center"/>
    </xf>
    <xf numFmtId="0" fontId="198" fillId="0" borderId="0" xfId="30634" applyFont="1" applyAlignment="1">
      <alignment horizontal="right" vertical="top" wrapText="1"/>
    </xf>
    <xf numFmtId="0" fontId="63" fillId="0" borderId="0" xfId="30634" applyFont="1" applyAlignment="1">
      <alignment horizontal="left" vertical="center" wrapText="1"/>
    </xf>
    <xf numFmtId="0" fontId="63" fillId="0" borderId="20" xfId="30634" applyFont="1" applyBorder="1" applyAlignment="1">
      <alignment horizontal="left" vertical="center" wrapText="1"/>
    </xf>
    <xf numFmtId="0" fontId="314" fillId="0" borderId="22" xfId="30634" applyFont="1" applyBorder="1" applyAlignment="1">
      <alignment horizontal="left" vertical="top" wrapText="1"/>
    </xf>
    <xf numFmtId="0" fontId="314" fillId="0" borderId="13" xfId="30634" applyFont="1" applyBorder="1" applyAlignment="1">
      <alignment horizontal="left" vertical="top"/>
    </xf>
    <xf numFmtId="0" fontId="315" fillId="0" borderId="13" xfId="30634" applyFont="1" applyBorder="1" applyAlignment="1">
      <alignment horizontal="center" vertical="top"/>
    </xf>
    <xf numFmtId="0" fontId="315" fillId="0" borderId="1" xfId="30634" applyFont="1" applyBorder="1" applyAlignment="1">
      <alignment horizontal="center" vertical="top"/>
    </xf>
    <xf numFmtId="49" fontId="310" fillId="0" borderId="1" xfId="30634" applyNumberFormat="1" applyFont="1" applyBorder="1" applyAlignment="1">
      <alignment horizontal="center" vertical="top" wrapText="1"/>
    </xf>
    <xf numFmtId="2" fontId="314" fillId="0" borderId="1" xfId="30634" applyNumberFormat="1" applyFont="1" applyBorder="1" applyAlignment="1">
      <alignment horizontal="center" vertical="top"/>
    </xf>
    <xf numFmtId="0" fontId="314" fillId="0" borderId="1" xfId="30634" applyFont="1" applyBorder="1" applyAlignment="1">
      <alignment horizontal="center" vertical="top"/>
    </xf>
    <xf numFmtId="2" fontId="314" fillId="0" borderId="4" xfId="30634" applyNumberFormat="1" applyFont="1" applyBorder="1" applyAlignment="1">
      <alignment horizontal="center" vertical="top" wrapText="1"/>
    </xf>
    <xf numFmtId="0" fontId="314" fillId="0" borderId="5" xfId="30634" applyFont="1" applyBorder="1" applyAlignment="1">
      <alignment horizontal="center" vertical="top" wrapText="1"/>
    </xf>
    <xf numFmtId="0" fontId="314" fillId="0" borderId="4" xfId="30634" applyFont="1" applyBorder="1" applyAlignment="1">
      <alignment horizontal="left" vertical="top" wrapText="1"/>
    </xf>
    <xf numFmtId="0" fontId="314" fillId="0" borderId="14" xfId="30634" applyFont="1" applyBorder="1" applyAlignment="1">
      <alignment horizontal="left" vertical="top" wrapText="1"/>
    </xf>
    <xf numFmtId="0" fontId="314" fillId="0" borderId="5" xfId="30634" applyFont="1" applyBorder="1" applyAlignment="1">
      <alignment horizontal="left" vertical="top" wrapText="1"/>
    </xf>
    <xf numFmtId="0" fontId="308" fillId="0" borderId="1" xfId="30634" applyFont="1" applyBorder="1" applyAlignment="1">
      <alignment horizontal="left" vertical="top"/>
    </xf>
    <xf numFmtId="194" fontId="314" fillId="0" borderId="4" xfId="30634" applyNumberFormat="1" applyFont="1" applyBorder="1" applyAlignment="1">
      <alignment horizontal="center" vertical="top" wrapText="1"/>
    </xf>
    <xf numFmtId="194" fontId="314" fillId="0" borderId="5" xfId="30634" applyNumberFormat="1" applyFont="1" applyBorder="1" applyAlignment="1">
      <alignment horizontal="center" vertical="top" wrapText="1"/>
    </xf>
    <xf numFmtId="2" fontId="314" fillId="0" borderId="4" xfId="30634" quotePrefix="1" applyNumberFormat="1" applyFont="1" applyBorder="1" applyAlignment="1">
      <alignment horizontal="center" vertical="top" wrapText="1"/>
    </xf>
    <xf numFmtId="0" fontId="314" fillId="0" borderId="1" xfId="30634" quotePrefix="1" applyFont="1" applyBorder="1" applyAlignment="1">
      <alignment horizontal="center" vertical="top"/>
    </xf>
    <xf numFmtId="210" fontId="314" fillId="0" borderId="4" xfId="30634" applyNumberFormat="1" applyFont="1" applyBorder="1" applyAlignment="1">
      <alignment horizontal="left" vertical="top"/>
    </xf>
    <xf numFmtId="210" fontId="314" fillId="0" borderId="5" xfId="30634" applyNumberFormat="1" applyFont="1" applyBorder="1" applyAlignment="1">
      <alignment horizontal="left" vertical="top"/>
    </xf>
    <xf numFmtId="9" fontId="314" fillId="0" borderId="1" xfId="33507" applyFont="1" applyBorder="1" applyAlignment="1">
      <alignment horizontal="center" vertical="top"/>
    </xf>
    <xf numFmtId="0" fontId="314" fillId="0" borderId="22" xfId="30634" applyFont="1" applyBorder="1" applyAlignment="1">
      <alignment horizontal="justify" vertical="top" wrapText="1"/>
    </xf>
    <xf numFmtId="0" fontId="314" fillId="0" borderId="34" xfId="30634" applyFont="1" applyBorder="1" applyAlignment="1">
      <alignment horizontal="justify" vertical="top" wrapText="1"/>
    </xf>
    <xf numFmtId="0" fontId="314" fillId="0" borderId="0" xfId="30634" applyFont="1" applyAlignment="1">
      <alignment horizontal="justify" vertical="top" wrapText="1"/>
    </xf>
    <xf numFmtId="0" fontId="314" fillId="7" borderId="0" xfId="30635" applyFont="1" applyFill="1" applyAlignment="1">
      <alignment horizontal="justify" vertical="top" wrapText="1"/>
    </xf>
    <xf numFmtId="0" fontId="314" fillId="0" borderId="0" xfId="30635" applyFont="1" applyAlignment="1">
      <alignment horizontal="justify" vertical="top" wrapText="1"/>
    </xf>
    <xf numFmtId="0" fontId="314" fillId="7" borderId="0" xfId="30635" applyFont="1" applyFill="1" applyAlignment="1">
      <alignment horizontal="left" vertical="top" wrapText="1"/>
    </xf>
    <xf numFmtId="2" fontId="314" fillId="0" borderId="0" xfId="30634" applyNumberFormat="1" applyFont="1" applyAlignment="1">
      <alignment horizontal="justify" vertical="top" wrapText="1"/>
    </xf>
    <xf numFmtId="0" fontId="314" fillId="0" borderId="0" xfId="30634" applyFont="1" applyAlignment="1">
      <alignment horizontal="justify" vertical="center" wrapText="1"/>
    </xf>
    <xf numFmtId="0" fontId="315" fillId="0" borderId="0" xfId="30634" applyFont="1" applyAlignment="1">
      <alignment horizontal="left" vertical="top" wrapText="1"/>
    </xf>
    <xf numFmtId="0" fontId="314" fillId="0" borderId="0" xfId="30634" applyFont="1" applyAlignment="1">
      <alignment horizontal="left" vertical="top" wrapText="1"/>
    </xf>
    <xf numFmtId="0" fontId="314" fillId="0" borderId="13" xfId="30634" applyFont="1" applyBorder="1" applyAlignment="1">
      <alignment horizontal="right" vertical="top" wrapText="1"/>
    </xf>
    <xf numFmtId="0" fontId="315" fillId="0" borderId="1" xfId="30634" applyFont="1" applyBorder="1" applyAlignment="1">
      <alignment horizontal="center" vertical="center" wrapText="1"/>
    </xf>
    <xf numFmtId="0" fontId="314" fillId="0" borderId="1" xfId="30634" applyFont="1" applyBorder="1" applyAlignment="1">
      <alignment horizontal="left" vertical="center" wrapText="1"/>
    </xf>
    <xf numFmtId="2" fontId="308" fillId="0" borderId="1" xfId="30634" applyNumberFormat="1" applyFont="1" applyBorder="1" applyAlignment="1">
      <alignment horizontal="right" vertical="center"/>
    </xf>
    <xf numFmtId="0" fontId="315" fillId="0" borderId="4" xfId="30634" applyFont="1" applyBorder="1" applyAlignment="1">
      <alignment horizontal="right" vertical="center" wrapText="1"/>
    </xf>
    <xf numFmtId="0" fontId="315" fillId="0" borderId="14" xfId="30634" applyFont="1" applyBorder="1" applyAlignment="1">
      <alignment horizontal="right" vertical="center" wrapText="1"/>
    </xf>
    <xf numFmtId="0" fontId="315" fillId="0" borderId="5" xfId="30634" applyFont="1" applyBorder="1" applyAlignment="1">
      <alignment horizontal="right" vertical="center" wrapText="1"/>
    </xf>
    <xf numFmtId="2" fontId="310" fillId="0" borderId="1" xfId="30634" applyNumberFormat="1" applyFont="1" applyBorder="1" applyAlignment="1">
      <alignment horizontal="right" vertical="center"/>
    </xf>
    <xf numFmtId="10" fontId="308" fillId="7" borderId="0" xfId="6532" applyNumberFormat="1" applyFont="1" applyFill="1" applyAlignment="1">
      <alignment horizontal="justify" vertical="top" wrapText="1"/>
    </xf>
    <xf numFmtId="0" fontId="314" fillId="0" borderId="12" xfId="30634" applyFont="1" applyBorder="1" applyAlignment="1">
      <alignment horizontal="center" vertical="top"/>
    </xf>
    <xf numFmtId="0" fontId="315" fillId="0" borderId="11" xfId="30634" applyFont="1" applyBorder="1" applyAlignment="1">
      <alignment horizontal="left" vertical="top"/>
    </xf>
    <xf numFmtId="0" fontId="315" fillId="0" borderId="12" xfId="30634" applyFont="1" applyBorder="1" applyAlignment="1">
      <alignment horizontal="left" vertical="top"/>
    </xf>
    <xf numFmtId="0" fontId="308" fillId="0" borderId="0" xfId="6532" applyFont="1" applyAlignment="1">
      <alignment horizontal="justify" vertical="top" wrapText="1"/>
    </xf>
    <xf numFmtId="0" fontId="308" fillId="0" borderId="0" xfId="6532" applyFont="1" applyAlignment="1">
      <alignment horizontal="justify" vertical="center" wrapText="1"/>
    </xf>
    <xf numFmtId="0" fontId="204" fillId="0" borderId="0" xfId="6532" applyFont="1" applyAlignment="1">
      <alignment horizontal="justify" vertical="top" wrapText="1"/>
    </xf>
    <xf numFmtId="0" fontId="314" fillId="0" borderId="13" xfId="30634" applyFont="1" applyBorder="1" applyAlignment="1">
      <alignment horizontal="left" vertical="top" wrapText="1"/>
    </xf>
    <xf numFmtId="49" fontId="308" fillId="7" borderId="1" xfId="30634" applyNumberFormat="1" applyFont="1" applyFill="1" applyBorder="1" applyAlignment="1">
      <alignment horizontal="center" vertical="top" wrapText="1"/>
    </xf>
    <xf numFmtId="43" fontId="314" fillId="0" borderId="1" xfId="2054" applyFont="1" applyBorder="1" applyAlignment="1">
      <alignment horizontal="center" vertical="top"/>
    </xf>
    <xf numFmtId="0" fontId="310" fillId="0" borderId="0" xfId="6532" applyFont="1" applyAlignment="1">
      <alignment horizontal="center" vertical="center"/>
    </xf>
    <xf numFmtId="0" fontId="310" fillId="0" borderId="0" xfId="6532" applyFont="1" applyAlignment="1">
      <alignment horizontal="center" vertical="top"/>
    </xf>
    <xf numFmtId="0" fontId="314" fillId="0" borderId="4" xfId="30634" applyFont="1" applyBorder="1" applyAlignment="1">
      <alignment horizontal="left" vertical="center" wrapText="1"/>
    </xf>
    <xf numFmtId="0" fontId="314" fillId="0" borderId="14" xfId="30634" applyFont="1" applyBorder="1" applyAlignment="1">
      <alignment horizontal="left" vertical="center" wrapText="1"/>
    </xf>
    <xf numFmtId="0" fontId="314" fillId="0" borderId="5" xfId="30634" applyFont="1" applyBorder="1" applyAlignment="1">
      <alignment horizontal="left" vertical="center" wrapText="1"/>
    </xf>
    <xf numFmtId="2" fontId="309" fillId="0" borderId="1" xfId="30634" applyNumberFormat="1" applyFont="1" applyBorder="1" applyAlignment="1">
      <alignment horizontal="right" vertical="center"/>
    </xf>
    <xf numFmtId="0" fontId="301" fillId="0" borderId="1" xfId="0" applyFont="1" applyBorder="1" applyAlignment="1">
      <alignment horizontal="center" vertical="center"/>
    </xf>
    <xf numFmtId="1" fontId="301" fillId="0" borderId="1" xfId="0" applyNumberFormat="1" applyFont="1" applyBorder="1" applyAlignment="1">
      <alignment horizontal="left" vertical="center" wrapText="1"/>
    </xf>
    <xf numFmtId="0" fontId="301" fillId="0" borderId="1" xfId="0" applyFont="1" applyBorder="1" applyAlignment="1">
      <alignment horizontal="left" vertical="center" wrapText="1"/>
    </xf>
    <xf numFmtId="2" fontId="301" fillId="0" borderId="4" xfId="0" applyNumberFormat="1" applyFont="1" applyBorder="1" applyAlignment="1">
      <alignment horizontal="center" vertical="center" wrapText="1"/>
    </xf>
    <xf numFmtId="2" fontId="301" fillId="0" borderId="5" xfId="0" applyNumberFormat="1" applyFont="1" applyBorder="1" applyAlignment="1">
      <alignment horizontal="center" vertical="center" wrapText="1"/>
    </xf>
    <xf numFmtId="0" fontId="306" fillId="0" borderId="1" xfId="0" applyFont="1" applyBorder="1" applyAlignment="1">
      <alignment horizontal="center" vertical="center"/>
    </xf>
    <xf numFmtId="0" fontId="301" fillId="0" borderId="4" xfId="0" applyFont="1" applyBorder="1" applyAlignment="1">
      <alignment horizontal="center" vertical="center"/>
    </xf>
    <xf numFmtId="0" fontId="301" fillId="0" borderId="14" xfId="0" applyFont="1" applyBorder="1" applyAlignment="1">
      <alignment horizontal="center" vertical="center"/>
    </xf>
    <xf numFmtId="0" fontId="301" fillId="0" borderId="5" xfId="0" applyFont="1" applyBorder="1" applyAlignment="1">
      <alignment horizontal="center" vertical="center"/>
    </xf>
    <xf numFmtId="0" fontId="301" fillId="0" borderId="1" xfId="0" applyFont="1" applyBorder="1" applyAlignment="1">
      <alignment horizontal="left" vertical="center"/>
    </xf>
    <xf numFmtId="0" fontId="301" fillId="0" borderId="1" xfId="0" applyFont="1" applyBorder="1" applyAlignment="1">
      <alignment horizontal="right" vertical="center"/>
    </xf>
    <xf numFmtId="0" fontId="301" fillId="0" borderId="0" xfId="0" applyFont="1" applyAlignment="1">
      <alignment horizontal="left" vertical="top" wrapText="1"/>
    </xf>
    <xf numFmtId="14" fontId="306" fillId="0" borderId="0" xfId="0" applyNumberFormat="1" applyFont="1" applyAlignment="1">
      <alignment horizontal="center" vertical="center" wrapText="1"/>
    </xf>
    <xf numFmtId="0" fontId="306" fillId="0" borderId="0" xfId="0" applyFont="1" applyAlignment="1">
      <alignment horizontal="center" vertical="center" wrapText="1"/>
    </xf>
    <xf numFmtId="0" fontId="306" fillId="0" borderId="0" xfId="0" applyFont="1" applyAlignment="1">
      <alignment vertical="center" wrapText="1"/>
    </xf>
    <xf numFmtId="0" fontId="333" fillId="0" borderId="29" xfId="7647" applyFont="1" applyBorder="1" applyAlignment="1" applyProtection="1">
      <alignment horizontal="center" vertical="center"/>
      <protection locked="0"/>
    </xf>
    <xf numFmtId="0" fontId="333" fillId="0" borderId="40" xfId="7647" applyFont="1" applyBorder="1" applyAlignment="1" applyProtection="1">
      <alignment horizontal="center" vertical="center"/>
      <protection locked="0"/>
    </xf>
    <xf numFmtId="0" fontId="333" fillId="0" borderId="1" xfId="7647" applyFont="1" applyBorder="1" applyAlignment="1">
      <alignment horizontal="center" vertical="center"/>
    </xf>
    <xf numFmtId="0" fontId="333" fillId="0" borderId="4" xfId="7647" applyFont="1" applyBorder="1" applyAlignment="1" applyProtection="1">
      <alignment horizontal="center" vertical="center" wrapText="1"/>
      <protection locked="0"/>
    </xf>
    <xf numFmtId="0" fontId="333" fillId="0" borderId="81" xfId="7647" applyFont="1" applyBorder="1" applyAlignment="1" applyProtection="1">
      <alignment horizontal="center" vertical="center" wrapText="1"/>
      <protection locked="0"/>
    </xf>
    <xf numFmtId="0" fontId="333" fillId="0" borderId="21" xfId="7647" applyFont="1" applyBorder="1" applyAlignment="1" applyProtection="1">
      <alignment horizontal="center" vertical="center" wrapText="1"/>
      <protection locked="0"/>
    </xf>
    <xf numFmtId="0" fontId="333" fillId="0" borderId="22" xfId="7647" applyFont="1" applyBorder="1" applyAlignment="1" applyProtection="1">
      <alignment horizontal="center" vertical="center" wrapText="1"/>
      <protection locked="0"/>
    </xf>
    <xf numFmtId="0" fontId="333" fillId="0" borderId="1" xfId="7647" applyFont="1" applyBorder="1" applyAlignment="1" applyProtection="1">
      <alignment horizontal="center" vertical="center" wrapText="1"/>
      <protection locked="0"/>
    </xf>
    <xf numFmtId="0" fontId="333" fillId="0" borderId="11" xfId="7647" applyFont="1" applyBorder="1" applyAlignment="1" applyProtection="1">
      <alignment horizontal="center" vertical="center" wrapText="1"/>
      <protection locked="0"/>
    </xf>
    <xf numFmtId="0" fontId="333" fillId="0" borderId="1" xfId="7647" applyFont="1" applyBorder="1" applyAlignment="1" applyProtection="1">
      <alignment horizontal="center" wrapText="1"/>
      <protection locked="0"/>
    </xf>
    <xf numFmtId="0" fontId="333" fillId="0" borderId="4" xfId="7647" applyFont="1" applyBorder="1" applyAlignment="1">
      <alignment horizontal="center" vertical="center"/>
    </xf>
    <xf numFmtId="0" fontId="333" fillId="0" borderId="14" xfId="7647" applyFont="1" applyBorder="1" applyAlignment="1">
      <alignment horizontal="center" vertical="center"/>
    </xf>
    <xf numFmtId="0" fontId="333" fillId="0" borderId="1" xfId="7647" applyFont="1" applyBorder="1" applyAlignment="1">
      <alignment horizontal="center" vertical="center" wrapText="1"/>
    </xf>
    <xf numFmtId="0" fontId="333" fillId="0" borderId="4" xfId="7647" applyFont="1" applyBorder="1" applyAlignment="1">
      <alignment horizontal="center" vertical="center" wrapText="1"/>
    </xf>
    <xf numFmtId="0" fontId="333" fillId="0" borderId="14" xfId="7647" applyFont="1" applyBorder="1" applyAlignment="1" applyProtection="1">
      <alignment horizontal="center" vertical="center" wrapText="1"/>
      <protection locked="0"/>
    </xf>
    <xf numFmtId="0" fontId="333" fillId="30" borderId="36" xfId="7647" applyFont="1" applyFill="1" applyBorder="1" applyAlignment="1">
      <alignment horizontal="center" vertical="center" wrapText="1"/>
    </xf>
    <xf numFmtId="0" fontId="333" fillId="30" borderId="57" xfId="7647" applyFont="1" applyFill="1" applyBorder="1" applyAlignment="1">
      <alignment horizontal="center" vertical="center" wrapText="1"/>
    </xf>
    <xf numFmtId="0" fontId="333" fillId="30" borderId="85" xfId="7647" applyFont="1" applyFill="1" applyBorder="1" applyAlignment="1">
      <alignment horizontal="center" vertical="center" wrapText="1"/>
    </xf>
    <xf numFmtId="0" fontId="333" fillId="0" borderId="29" xfId="7647" applyFont="1" applyBorder="1" applyAlignment="1" applyProtection="1">
      <alignment horizontal="center" vertical="center" wrapText="1"/>
      <protection locked="0"/>
    </xf>
    <xf numFmtId="0" fontId="333" fillId="0" borderId="24" xfId="7647" applyFont="1" applyBorder="1" applyAlignment="1" applyProtection="1">
      <alignment horizontal="center" vertical="center" wrapText="1"/>
      <protection locked="0"/>
    </xf>
    <xf numFmtId="0" fontId="333" fillId="0" borderId="40" xfId="7647" applyFont="1" applyBorder="1" applyAlignment="1" applyProtection="1">
      <alignment horizontal="center" vertical="center" wrapText="1"/>
      <protection locked="0"/>
    </xf>
    <xf numFmtId="0" fontId="333" fillId="31" borderId="62" xfId="7647" applyFont="1" applyFill="1" applyBorder="1" applyAlignment="1">
      <alignment horizontal="center" vertical="center"/>
    </xf>
    <xf numFmtId="0" fontId="333" fillId="31" borderId="12" xfId="7647" applyFont="1" applyFill="1" applyBorder="1" applyAlignment="1">
      <alignment horizontal="center" vertical="center"/>
    </xf>
    <xf numFmtId="0" fontId="333" fillId="31" borderId="10" xfId="7647" applyFont="1" applyFill="1" applyBorder="1" applyAlignment="1">
      <alignment horizontal="center" vertical="center"/>
    </xf>
    <xf numFmtId="0" fontId="333" fillId="0" borderId="1" xfId="7647" applyFont="1" applyBorder="1" applyAlignment="1" applyProtection="1">
      <alignment horizontal="center" vertical="center"/>
      <protection locked="0"/>
    </xf>
    <xf numFmtId="0" fontId="333" fillId="0" borderId="84" xfId="7647" applyFont="1" applyBorder="1" applyAlignment="1" applyProtection="1">
      <alignment horizontal="center" vertical="center"/>
      <protection locked="0"/>
    </xf>
    <xf numFmtId="0" fontId="333" fillId="32" borderId="36" xfId="7647" applyFont="1" applyFill="1" applyBorder="1" applyAlignment="1">
      <alignment horizontal="center" vertical="center"/>
    </xf>
    <xf numFmtId="0" fontId="333" fillId="32" borderId="57" xfId="7647" applyFont="1" applyFill="1" applyBorder="1" applyAlignment="1">
      <alignment horizontal="center" vertical="center"/>
    </xf>
    <xf numFmtId="0" fontId="333" fillId="32" borderId="85" xfId="7647" applyFont="1" applyFill="1" applyBorder="1" applyAlignment="1">
      <alignment horizontal="center" vertical="center"/>
    </xf>
    <xf numFmtId="0" fontId="333" fillId="0" borderId="0" xfId="7647" applyFont="1" applyAlignment="1" applyProtection="1">
      <alignment horizontal="left" vertical="center" wrapText="1"/>
      <protection locked="0"/>
    </xf>
    <xf numFmtId="0" fontId="294" fillId="0" borderId="0" xfId="3524" applyFont="1" applyAlignment="1" applyProtection="1">
      <alignment horizontal="center"/>
      <protection locked="0"/>
    </xf>
    <xf numFmtId="0" fontId="300" fillId="0" borderId="0" xfId="3524" applyFont="1" applyAlignment="1" applyProtection="1">
      <alignment horizontal="center"/>
      <protection locked="0"/>
    </xf>
    <xf numFmtId="0" fontId="308" fillId="0" borderId="38" xfId="7647" applyFont="1" applyBorder="1" applyAlignment="1" applyProtection="1">
      <alignment horizontal="center"/>
      <protection locked="0"/>
    </xf>
    <xf numFmtId="0" fontId="308" fillId="0" borderId="62" xfId="7647" applyFont="1" applyBorder="1" applyAlignment="1" applyProtection="1">
      <alignment horizontal="center"/>
      <protection locked="0"/>
    </xf>
    <xf numFmtId="0" fontId="308" fillId="0" borderId="83" xfId="7647" applyFont="1" applyBorder="1" applyAlignment="1" applyProtection="1">
      <alignment horizontal="center"/>
      <protection locked="0"/>
    </xf>
    <xf numFmtId="0" fontId="333" fillId="0" borderId="4" xfId="7647" applyFont="1" applyBorder="1" applyAlignment="1" applyProtection="1">
      <alignment horizontal="center"/>
      <protection locked="0"/>
    </xf>
    <xf numFmtId="0" fontId="333" fillId="0" borderId="14" xfId="7647" applyFont="1" applyBorder="1" applyAlignment="1" applyProtection="1">
      <alignment horizontal="center"/>
      <protection locked="0"/>
    </xf>
    <xf numFmtId="0" fontId="308" fillId="0" borderId="36" xfId="7647" applyFont="1" applyBorder="1" applyAlignment="1">
      <alignment horizontal="center" vertical="center"/>
    </xf>
    <xf numFmtId="0" fontId="308" fillId="0" borderId="57" xfId="7647" applyFont="1" applyBorder="1" applyAlignment="1">
      <alignment horizontal="center" vertical="center"/>
    </xf>
    <xf numFmtId="0" fontId="308" fillId="0" borderId="85" xfId="7647" applyFont="1" applyBorder="1" applyAlignment="1">
      <alignment horizontal="center" vertical="center"/>
    </xf>
    <xf numFmtId="0" fontId="333" fillId="0" borderId="2" xfId="7647" applyFont="1" applyBorder="1" applyAlignment="1" applyProtection="1">
      <alignment horizontal="center"/>
      <protection locked="0"/>
    </xf>
    <xf numFmtId="0" fontId="333" fillId="0" borderId="3" xfId="7647" applyFont="1" applyBorder="1" applyAlignment="1" applyProtection="1">
      <alignment horizontal="center"/>
      <protection locked="0"/>
    </xf>
    <xf numFmtId="0" fontId="333" fillId="0" borderId="1" xfId="7647" applyFont="1" applyBorder="1" applyAlignment="1" applyProtection="1">
      <alignment horizontal="center"/>
      <protection locked="0"/>
    </xf>
    <xf numFmtId="0" fontId="333" fillId="0" borderId="0" xfId="7647" applyFont="1" applyAlignment="1">
      <alignment horizontal="center"/>
    </xf>
    <xf numFmtId="0" fontId="333" fillId="0" borderId="20" xfId="7647" applyFont="1" applyBorder="1" applyAlignment="1">
      <alignment horizontal="center"/>
    </xf>
    <xf numFmtId="0" fontId="338" fillId="29" borderId="36" xfId="7647" applyFont="1" applyFill="1" applyBorder="1" applyAlignment="1">
      <alignment horizontal="center" vertical="center"/>
    </xf>
    <xf numFmtId="0" fontId="338" fillId="29" borderId="57" xfId="7647" applyFont="1" applyFill="1" applyBorder="1" applyAlignment="1">
      <alignment horizontal="center" vertical="center"/>
    </xf>
    <xf numFmtId="0" fontId="338" fillId="29" borderId="85" xfId="7647" applyFont="1" applyFill="1" applyBorder="1" applyAlignment="1">
      <alignment horizontal="center" vertical="center"/>
    </xf>
    <xf numFmtId="0" fontId="343" fillId="0" borderId="0" xfId="2778" applyFont="1" applyAlignment="1">
      <alignment horizontal="center"/>
    </xf>
    <xf numFmtId="0" fontId="306" fillId="0" borderId="0" xfId="2778" applyFont="1" applyAlignment="1">
      <alignment horizontal="center"/>
    </xf>
    <xf numFmtId="0" fontId="300" fillId="0" borderId="1" xfId="2778" applyFont="1" applyBorder="1" applyAlignment="1">
      <alignment horizontal="center"/>
    </xf>
    <xf numFmtId="0" fontId="344" fillId="0" borderId="4" xfId="2778" applyFont="1" applyBorder="1" applyAlignment="1">
      <alignment horizontal="center" vertical="center" wrapText="1"/>
    </xf>
    <xf numFmtId="0" fontId="344" fillId="0" borderId="14" xfId="2778" applyFont="1" applyBorder="1" applyAlignment="1">
      <alignment horizontal="center" vertical="center" wrapText="1"/>
    </xf>
    <xf numFmtId="0" fontId="344" fillId="0" borderId="5" xfId="2778" applyFont="1" applyBorder="1" applyAlignment="1">
      <alignment horizontal="center" vertical="center" wrapText="1"/>
    </xf>
    <xf numFmtId="0" fontId="344" fillId="0" borderId="1" xfId="2778" applyFont="1" applyBorder="1" applyAlignment="1">
      <alignment horizontal="center" vertical="center" wrapText="1"/>
    </xf>
    <xf numFmtId="0" fontId="294" fillId="0" borderId="30" xfId="2778" applyFont="1" applyBorder="1" applyAlignment="1">
      <alignment horizontal="center"/>
    </xf>
    <xf numFmtId="0" fontId="294" fillId="0" borderId="31" xfId="2778" applyFont="1" applyBorder="1" applyAlignment="1">
      <alignment horizontal="center"/>
    </xf>
    <xf numFmtId="0" fontId="294" fillId="0" borderId="37" xfId="2778" applyFont="1" applyBorder="1" applyAlignment="1">
      <alignment horizontal="center"/>
    </xf>
    <xf numFmtId="0" fontId="300" fillId="0" borderId="1" xfId="2778" applyFont="1" applyBorder="1" applyAlignment="1">
      <alignment horizontal="center" vertical="center"/>
    </xf>
    <xf numFmtId="0" fontId="300" fillId="0" borderId="34" xfId="2778" applyFont="1" applyBorder="1" applyAlignment="1">
      <alignment horizontal="center" vertical="center" wrapText="1"/>
    </xf>
    <xf numFmtId="0" fontId="300" fillId="0" borderId="25" xfId="2778" applyFont="1" applyBorder="1" applyAlignment="1">
      <alignment horizontal="center" vertical="center" wrapText="1"/>
    </xf>
    <xf numFmtId="0" fontId="294" fillId="0" borderId="0" xfId="2778" applyFont="1" applyAlignment="1">
      <alignment horizontal="right"/>
    </xf>
    <xf numFmtId="0" fontId="356" fillId="0" borderId="0" xfId="2778" applyFont="1" applyAlignment="1">
      <alignment horizontal="right"/>
    </xf>
    <xf numFmtId="3" fontId="301" fillId="0" borderId="29" xfId="2778" applyNumberFormat="1" applyFont="1" applyBorder="1" applyAlignment="1">
      <alignment horizontal="center"/>
    </xf>
    <xf numFmtId="3" fontId="301" fillId="0" borderId="40" xfId="2778" applyNumberFormat="1" applyFont="1" applyBorder="1" applyAlignment="1">
      <alignment horizontal="center"/>
    </xf>
    <xf numFmtId="0" fontId="294" fillId="0" borderId="21" xfId="2778" applyFont="1" applyBorder="1" applyAlignment="1">
      <alignment horizontal="center"/>
    </xf>
    <xf numFmtId="0" fontId="294" fillId="0" borderId="22" xfId="2778" applyFont="1" applyBorder="1" applyAlignment="1">
      <alignment horizontal="center"/>
    </xf>
    <xf numFmtId="0" fontId="294" fillId="0" borderId="34" xfId="2778" applyFont="1" applyBorder="1" applyAlignment="1">
      <alignment horizontal="center"/>
    </xf>
    <xf numFmtId="0" fontId="300" fillId="0" borderId="21" xfId="2778" applyFont="1" applyBorder="1" applyAlignment="1">
      <alignment horizontal="center"/>
    </xf>
    <xf numFmtId="0" fontId="300" fillId="0" borderId="22" xfId="2778" applyFont="1" applyBorder="1" applyAlignment="1">
      <alignment horizontal="center"/>
    </xf>
    <xf numFmtId="0" fontId="300" fillId="0" borderId="34" xfId="2778" applyFont="1" applyBorder="1" applyAlignment="1">
      <alignment horizontal="center"/>
    </xf>
    <xf numFmtId="0" fontId="317" fillId="0" borderId="0" xfId="30645" applyFont="1" applyAlignment="1">
      <alignment horizontal="center" vertical="center"/>
    </xf>
    <xf numFmtId="0" fontId="315" fillId="0" borderId="0" xfId="30645" applyFont="1" applyAlignment="1">
      <alignment horizontal="right" vertical="center"/>
    </xf>
    <xf numFmtId="0" fontId="315" fillId="0" borderId="0" xfId="30645" applyFont="1" applyAlignment="1">
      <alignment horizontal="left" vertical="center" wrapText="1"/>
    </xf>
    <xf numFmtId="2" fontId="315" fillId="0" borderId="0" xfId="30645" applyNumberFormat="1" applyFont="1" applyAlignment="1">
      <alignment horizontal="center" vertical="center"/>
    </xf>
    <xf numFmtId="0" fontId="357" fillId="7" borderId="0" xfId="30645" applyFont="1" applyFill="1" applyAlignment="1">
      <alignment horizontal="justify" vertical="justify" wrapText="1"/>
    </xf>
    <xf numFmtId="0" fontId="300" fillId="0" borderId="0" xfId="30645" applyFont="1" applyAlignment="1">
      <alignment horizontal="left" wrapText="1"/>
    </xf>
    <xf numFmtId="0" fontId="294" fillId="0" borderId="0" xfId="30645" applyFont="1" applyAlignment="1">
      <alignment horizontal="left" wrapText="1"/>
    </xf>
    <xf numFmtId="0" fontId="294" fillId="0" borderId="76" xfId="30645" applyFont="1" applyBorder="1" applyAlignment="1">
      <alignment horizontal="center" vertical="center"/>
    </xf>
    <xf numFmtId="0" fontId="294" fillId="0" borderId="77" xfId="30645" applyFont="1" applyBorder="1" applyAlignment="1">
      <alignment horizontal="center" vertical="center"/>
    </xf>
    <xf numFmtId="0" fontId="294" fillId="0" borderId="79" xfId="30645" applyFont="1" applyBorder="1" applyAlignment="1">
      <alignment horizontal="center" vertical="center"/>
    </xf>
    <xf numFmtId="0" fontId="294" fillId="0" borderId="78" xfId="30645" applyFont="1" applyBorder="1" applyAlignment="1">
      <alignment horizontal="center" vertical="center"/>
    </xf>
    <xf numFmtId="0" fontId="294" fillId="3" borderId="76" xfId="30645" applyFont="1" applyFill="1" applyBorder="1" applyAlignment="1">
      <alignment horizontal="center" vertical="center"/>
    </xf>
    <xf numFmtId="0" fontId="294" fillId="3" borderId="77" xfId="30645" applyFont="1" applyFill="1" applyBorder="1" applyAlignment="1">
      <alignment horizontal="center" vertical="center" wrapText="1"/>
    </xf>
    <xf numFmtId="0" fontId="294" fillId="3" borderId="78" xfId="30645" applyFont="1" applyFill="1" applyBorder="1" applyAlignment="1">
      <alignment horizontal="center" vertical="center" wrapText="1"/>
    </xf>
    <xf numFmtId="0" fontId="294" fillId="3" borderId="79" xfId="30645" applyFont="1" applyFill="1" applyBorder="1" applyAlignment="1">
      <alignment horizontal="center" vertical="center" wrapText="1"/>
    </xf>
    <xf numFmtId="0" fontId="294" fillId="3" borderId="77" xfId="30645" applyFont="1" applyFill="1" applyBorder="1" applyAlignment="1">
      <alignment horizontal="center" vertical="center"/>
    </xf>
    <xf numFmtId="0" fontId="294" fillId="3" borderId="78" xfId="30645" applyFont="1" applyFill="1" applyBorder="1" applyAlignment="1">
      <alignment horizontal="center" vertical="center"/>
    </xf>
    <xf numFmtId="0" fontId="294" fillId="3" borderId="79" xfId="30645" applyFont="1" applyFill="1" applyBorder="1" applyAlignment="1">
      <alignment horizontal="center" vertical="center"/>
    </xf>
    <xf numFmtId="0" fontId="294" fillId="0" borderId="76" xfId="30645" applyFont="1" applyBorder="1" applyAlignment="1">
      <alignment horizontal="left" vertical="center"/>
    </xf>
    <xf numFmtId="0" fontId="300" fillId="0" borderId="76" xfId="30645" applyFont="1" applyBorder="1" applyAlignment="1">
      <alignment horizontal="left" vertical="center"/>
    </xf>
    <xf numFmtId="0" fontId="300" fillId="0" borderId="76" xfId="30645" applyFont="1" applyBorder="1" applyAlignment="1">
      <alignment horizontal="center" vertical="center"/>
    </xf>
    <xf numFmtId="0" fontId="300" fillId="0" borderId="77" xfId="30645" applyFont="1" applyBorder="1" applyAlignment="1">
      <alignment horizontal="center" vertical="center"/>
    </xf>
    <xf numFmtId="0" fontId="300" fillId="0" borderId="78" xfId="30645" applyFont="1" applyBorder="1" applyAlignment="1">
      <alignment horizontal="center" vertical="center"/>
    </xf>
    <xf numFmtId="0" fontId="300" fillId="0" borderId="79" xfId="30645" applyFont="1" applyBorder="1" applyAlignment="1">
      <alignment horizontal="center" vertical="center"/>
    </xf>
    <xf numFmtId="0" fontId="300" fillId="0" borderId="80" xfId="30645" applyFont="1" applyBorder="1" applyAlignment="1">
      <alignment horizontal="center" vertical="center"/>
    </xf>
    <xf numFmtId="0" fontId="300" fillId="0" borderId="0" xfId="30645" applyFont="1" applyAlignment="1">
      <alignment horizontal="center" vertical="center"/>
    </xf>
    <xf numFmtId="0" fontId="294" fillId="0" borderId="0" xfId="30645" applyFont="1" applyAlignment="1">
      <alignment horizontal="left" vertical="top" wrapText="1"/>
    </xf>
    <xf numFmtId="0" fontId="294" fillId="0" borderId="76" xfId="30645" applyFont="1" applyBorder="1" applyAlignment="1">
      <alignment horizontal="center" vertical="center" wrapText="1"/>
    </xf>
    <xf numFmtId="0" fontId="294" fillId="0" borderId="77" xfId="30645" applyFont="1" applyBorder="1" applyAlignment="1">
      <alignment horizontal="center" vertical="center" wrapText="1"/>
    </xf>
    <xf numFmtId="0" fontId="294" fillId="0" borderId="1" xfId="30645" applyFont="1" applyBorder="1" applyAlignment="1">
      <alignment horizontal="center" vertical="center" wrapText="1"/>
    </xf>
    <xf numFmtId="0" fontId="294" fillId="0" borderId="78" xfId="30645" applyFont="1" applyBorder="1" applyAlignment="1">
      <alignment horizontal="center" vertical="center" wrapText="1"/>
    </xf>
    <xf numFmtId="0" fontId="294" fillId="0" borderId="79" xfId="30645" applyFont="1" applyBorder="1" applyAlignment="1">
      <alignment horizontal="center" vertical="center" wrapText="1"/>
    </xf>
    <xf numFmtId="193" fontId="294" fillId="0" borderId="77" xfId="30645" applyNumberFormat="1" applyFont="1" applyBorder="1" applyAlignment="1">
      <alignment horizontal="center" vertical="center" wrapText="1"/>
    </xf>
    <xf numFmtId="193" fontId="294" fillId="0" borderId="78" xfId="30645" applyNumberFormat="1" applyFont="1" applyBorder="1" applyAlignment="1">
      <alignment horizontal="center" vertical="center" wrapText="1"/>
    </xf>
    <xf numFmtId="0" fontId="294" fillId="0" borderId="21" xfId="30645" applyFont="1" applyBorder="1" applyAlignment="1">
      <alignment horizontal="left" vertical="center" wrapText="1"/>
    </xf>
    <xf numFmtId="0" fontId="294" fillId="0" borderId="22" xfId="30645" applyFont="1" applyBorder="1" applyAlignment="1">
      <alignment horizontal="left" vertical="center" wrapText="1"/>
    </xf>
    <xf numFmtId="0" fontId="294" fillId="0" borderId="34" xfId="30645" applyFont="1" applyBorder="1" applyAlignment="1">
      <alignment horizontal="left" vertical="center" wrapText="1"/>
    </xf>
    <xf numFmtId="193" fontId="294" fillId="0" borderId="1" xfId="30645" applyNumberFormat="1" applyFont="1" applyBorder="1" applyAlignment="1">
      <alignment horizontal="center" vertical="center" wrapText="1"/>
    </xf>
    <xf numFmtId="0" fontId="294" fillId="0" borderId="1" xfId="30645" applyFont="1" applyBorder="1" applyAlignment="1">
      <alignment horizontal="left" vertical="center" wrapText="1"/>
    </xf>
    <xf numFmtId="0" fontId="353" fillId="0" borderId="1" xfId="30645" applyFont="1" applyBorder="1" applyAlignment="1">
      <alignment horizontal="center" vertical="center" wrapText="1"/>
    </xf>
    <xf numFmtId="0" fontId="300" fillId="0" borderId="76" xfId="30645" applyFont="1" applyBorder="1" applyAlignment="1">
      <alignment horizontal="center" vertical="center" wrapText="1"/>
    </xf>
    <xf numFmtId="193" fontId="300" fillId="0" borderId="1" xfId="30645" applyNumberFormat="1" applyFont="1" applyBorder="1" applyAlignment="1">
      <alignment horizontal="center" vertical="center" wrapText="1"/>
    </xf>
    <xf numFmtId="0" fontId="294" fillId="0" borderId="76" xfId="6407" applyFont="1" applyBorder="1" applyAlignment="1">
      <alignment horizontal="center" vertical="center"/>
    </xf>
    <xf numFmtId="0" fontId="294" fillId="0" borderId="76" xfId="6407" applyFont="1" applyBorder="1" applyAlignment="1">
      <alignment horizontal="center" vertical="center" wrapText="1"/>
    </xf>
    <xf numFmtId="0" fontId="294" fillId="0" borderId="77" xfId="6407" applyFont="1" applyBorder="1" applyAlignment="1">
      <alignment horizontal="center" vertical="center" wrapText="1"/>
    </xf>
    <xf numFmtId="0" fontId="294" fillId="0" borderId="79" xfId="6407" applyFont="1" applyBorder="1" applyAlignment="1">
      <alignment horizontal="center" vertical="center" wrapText="1"/>
    </xf>
    <xf numFmtId="0" fontId="294" fillId="0" borderId="0" xfId="30645" applyFont="1" applyAlignment="1">
      <alignment horizontal="center" vertical="center" wrapText="1"/>
    </xf>
    <xf numFmtId="0" fontId="345" fillId="0" borderId="1" xfId="30645" applyFont="1" applyBorder="1" applyAlignment="1">
      <alignment horizontal="center" vertical="center" wrapText="1"/>
    </xf>
    <xf numFmtId="0" fontId="294" fillId="0" borderId="21" xfId="30645" applyFont="1" applyBorder="1" applyAlignment="1">
      <alignment horizontal="center" vertical="center" wrapText="1"/>
    </xf>
    <xf numFmtId="0" fontId="294" fillId="0" borderId="22" xfId="30645" applyFont="1" applyBorder="1" applyAlignment="1">
      <alignment horizontal="center" vertical="center" wrapText="1"/>
    </xf>
    <xf numFmtId="0" fontId="294" fillId="0" borderId="34" xfId="30645" applyFont="1" applyBorder="1" applyAlignment="1">
      <alignment horizontal="center" vertical="center" wrapText="1"/>
    </xf>
    <xf numFmtId="0" fontId="351" fillId="0" borderId="0" xfId="30645" applyFont="1" applyAlignment="1">
      <alignment horizontal="left" vertical="top" wrapText="1"/>
    </xf>
    <xf numFmtId="0" fontId="294" fillId="0" borderId="4" xfId="3892" applyFont="1" applyFill="1" applyBorder="1" applyAlignment="1">
      <alignment horizontal="center" vertical="top" wrapText="1"/>
    </xf>
    <xf numFmtId="0" fontId="294" fillId="0" borderId="14" xfId="3892" applyFont="1" applyFill="1" applyBorder="1" applyAlignment="1">
      <alignment horizontal="center" vertical="top" wrapText="1"/>
    </xf>
    <xf numFmtId="0" fontId="294" fillId="0" borderId="5" xfId="3892" applyFont="1" applyFill="1" applyBorder="1" applyAlignment="1">
      <alignment horizontal="center" vertical="top" wrapText="1"/>
    </xf>
    <xf numFmtId="0" fontId="294" fillId="0" borderId="1" xfId="30643" applyFont="1" applyFill="1" applyBorder="1" applyAlignment="1">
      <alignment horizontal="center" vertical="top" wrapText="1"/>
    </xf>
    <xf numFmtId="0" fontId="294" fillId="0" borderId="1" xfId="30645" applyFont="1" applyFill="1" applyBorder="1" applyAlignment="1">
      <alignment horizontal="center" vertical="top" wrapText="1"/>
    </xf>
    <xf numFmtId="0" fontId="294" fillId="0" borderId="1" xfId="30645" applyFont="1" applyFill="1" applyBorder="1" applyAlignment="1">
      <alignment vertical="top" wrapText="1"/>
    </xf>
    <xf numFmtId="0" fontId="294" fillId="0" borderId="1" xfId="30643" applyFont="1" applyFill="1" applyBorder="1" applyAlignment="1">
      <alignment horizontal="center" vertical="center" wrapText="1"/>
    </xf>
    <xf numFmtId="0" fontId="294" fillId="0" borderId="1" xfId="30645" applyFont="1" applyFill="1" applyBorder="1" applyAlignment="1">
      <alignment horizontal="center" vertical="center" wrapText="1"/>
    </xf>
    <xf numFmtId="0" fontId="294" fillId="0" borderId="1" xfId="30645" applyFont="1" applyFill="1" applyBorder="1" applyAlignment="1">
      <alignment vertical="center" wrapText="1"/>
    </xf>
    <xf numFmtId="0" fontId="314" fillId="0" borderId="4" xfId="3892" applyFont="1" applyFill="1" applyBorder="1" applyAlignment="1">
      <alignment horizontal="center" vertical="top" wrapText="1"/>
    </xf>
    <xf numFmtId="0" fontId="314" fillId="0" borderId="14" xfId="3892" applyFont="1" applyFill="1" applyBorder="1" applyAlignment="1">
      <alignment horizontal="center" vertical="top" wrapText="1"/>
    </xf>
    <xf numFmtId="0" fontId="314" fillId="0" borderId="5" xfId="3892" applyFont="1" applyFill="1" applyBorder="1" applyAlignment="1">
      <alignment horizontal="center" vertical="top" wrapText="1"/>
    </xf>
    <xf numFmtId="0" fontId="314" fillId="3" borderId="4" xfId="3892" applyFont="1" applyFill="1" applyBorder="1" applyAlignment="1">
      <alignment horizontal="center" vertical="top" wrapText="1"/>
    </xf>
    <xf numFmtId="0" fontId="314" fillId="3" borderId="14" xfId="3892" applyFont="1" applyFill="1" applyBorder="1" applyAlignment="1">
      <alignment horizontal="center" vertical="top" wrapText="1"/>
    </xf>
    <xf numFmtId="0" fontId="314" fillId="3" borderId="5" xfId="3892" applyFont="1" applyFill="1" applyBorder="1" applyAlignment="1">
      <alignment horizontal="center" vertical="top" wrapText="1"/>
    </xf>
    <xf numFmtId="0" fontId="294" fillId="3" borderId="1" xfId="30643" applyFont="1" applyFill="1" applyBorder="1" applyAlignment="1">
      <alignment horizontal="center" vertical="center" wrapText="1"/>
    </xf>
    <xf numFmtId="0" fontId="294" fillId="3" borderId="1" xfId="30645" applyFont="1" applyFill="1" applyBorder="1" applyAlignment="1">
      <alignment horizontal="center" vertical="center" wrapText="1"/>
    </xf>
    <xf numFmtId="0" fontId="294" fillId="3" borderId="1" xfId="30645" applyFont="1" applyFill="1" applyBorder="1" applyAlignment="1">
      <alignment vertical="center" wrapText="1"/>
    </xf>
    <xf numFmtId="0" fontId="300" fillId="0" borderId="1" xfId="30645" applyFont="1" applyBorder="1" applyAlignment="1">
      <alignment horizontal="center" vertical="center" wrapText="1"/>
    </xf>
    <xf numFmtId="0" fontId="300" fillId="0" borderId="0" xfId="30645" applyFont="1" applyAlignment="1">
      <alignment horizontal="left" vertical="center" wrapText="1"/>
    </xf>
    <xf numFmtId="0" fontId="294" fillId="0" borderId="0" xfId="30630" applyFont="1" applyAlignment="1">
      <alignment horizontal="left" vertical="top" wrapText="1"/>
    </xf>
    <xf numFmtId="0" fontId="294" fillId="0" borderId="0" xfId="30645" applyFont="1" applyAlignment="1">
      <alignment horizontal="left" vertical="top"/>
    </xf>
    <xf numFmtId="0" fontId="300" fillId="0" borderId="0" xfId="30645" applyFont="1" applyAlignment="1">
      <alignment horizontal="left" vertical="top" wrapText="1"/>
    </xf>
    <xf numFmtId="0" fontId="358" fillId="0" borderId="0" xfId="3524" applyFont="1" applyAlignment="1">
      <alignment horizontal="center" vertical="top"/>
    </xf>
    <xf numFmtId="0" fontId="359" fillId="0" borderId="0" xfId="3524" applyFont="1" applyAlignment="1">
      <alignment horizontal="center" vertical="top"/>
    </xf>
    <xf numFmtId="2" fontId="358" fillId="0" borderId="0" xfId="3524" applyNumberFormat="1" applyFont="1" applyAlignment="1">
      <alignment horizontal="center" vertical="top"/>
    </xf>
    <xf numFmtId="0" fontId="294" fillId="0" borderId="68" xfId="30645" applyFont="1" applyBorder="1" applyAlignment="1">
      <alignment horizontal="center" vertical="center"/>
    </xf>
    <xf numFmtId="0" fontId="294" fillId="0" borderId="72" xfId="30645" applyFont="1" applyBorder="1" applyAlignment="1">
      <alignment horizontal="center" vertical="center"/>
    </xf>
    <xf numFmtId="0" fontId="294" fillId="0" borderId="68" xfId="6407" applyFont="1" applyBorder="1" applyAlignment="1">
      <alignment horizontal="center" vertical="center" wrapText="1"/>
    </xf>
    <xf numFmtId="0" fontId="294" fillId="0" borderId="72" xfId="6407" applyFont="1" applyBorder="1" applyAlignment="1">
      <alignment horizontal="center" vertical="center" wrapText="1"/>
    </xf>
    <xf numFmtId="0" fontId="294" fillId="0" borderId="69" xfId="30645" applyFont="1" applyBorder="1" applyAlignment="1">
      <alignment horizontal="center" vertical="center" wrapText="1"/>
    </xf>
    <xf numFmtId="0" fontId="294" fillId="0" borderId="70" xfId="30645" applyFont="1" applyBorder="1" applyAlignment="1">
      <alignment horizontal="center" vertical="center" wrapText="1"/>
    </xf>
    <xf numFmtId="0" fontId="294" fillId="0" borderId="71" xfId="30645" applyFont="1" applyBorder="1" applyAlignment="1">
      <alignment horizontal="center" vertical="center" wrapText="1"/>
    </xf>
    <xf numFmtId="0" fontId="294" fillId="0" borderId="73" xfId="30645" applyFont="1" applyBorder="1" applyAlignment="1">
      <alignment horizontal="center" vertical="center" wrapText="1"/>
    </xf>
    <xf numFmtId="0" fontId="294" fillId="0" borderId="74" xfId="30645" applyFont="1" applyBorder="1" applyAlignment="1">
      <alignment horizontal="center" vertical="center" wrapText="1"/>
    </xf>
    <xf numFmtId="0" fontId="294" fillId="0" borderId="75" xfId="30645" applyFont="1" applyBorder="1" applyAlignment="1">
      <alignment horizontal="center" vertical="center" wrapText="1"/>
    </xf>
    <xf numFmtId="0" fontId="294" fillId="0" borderId="69" xfId="30645" applyFont="1" applyBorder="1" applyAlignment="1">
      <alignment horizontal="center" vertical="center"/>
    </xf>
    <xf numFmtId="0" fontId="294" fillId="0" borderId="70" xfId="30645" applyFont="1" applyBorder="1" applyAlignment="1">
      <alignment horizontal="center" vertical="center"/>
    </xf>
    <xf numFmtId="0" fontId="294" fillId="0" borderId="71" xfId="30645" applyFont="1" applyBorder="1" applyAlignment="1">
      <alignment horizontal="center" vertical="center"/>
    </xf>
    <xf numFmtId="0" fontId="294" fillId="0" borderId="73" xfId="30645" applyFont="1" applyBorder="1" applyAlignment="1">
      <alignment horizontal="center" vertical="center"/>
    </xf>
    <xf numFmtId="0" fontId="294" fillId="0" borderId="74" xfId="30645" applyFont="1" applyBorder="1" applyAlignment="1">
      <alignment horizontal="center" vertical="center"/>
    </xf>
    <xf numFmtId="0" fontId="294" fillId="0" borderId="75" xfId="30645" applyFont="1" applyBorder="1" applyAlignment="1">
      <alignment horizontal="center" vertical="center"/>
    </xf>
    <xf numFmtId="0" fontId="351" fillId="0" borderId="1" xfId="30645" applyFont="1" applyBorder="1" applyAlignment="1">
      <alignment horizontal="center" vertical="center" wrapText="1"/>
    </xf>
    <xf numFmtId="1" fontId="294" fillId="0" borderId="76" xfId="6407" applyNumberFormat="1" applyFont="1" applyBorder="1" applyAlignment="1">
      <alignment horizontal="center"/>
    </xf>
    <xf numFmtId="1" fontId="294" fillId="0" borderId="77" xfId="6407" applyNumberFormat="1" applyFont="1" applyBorder="1" applyAlignment="1">
      <alignment horizontal="center"/>
    </xf>
    <xf numFmtId="1" fontId="294" fillId="0" borderId="79" xfId="6407" applyNumberFormat="1" applyFont="1" applyBorder="1" applyAlignment="1">
      <alignment horizontal="center"/>
    </xf>
    <xf numFmtId="1" fontId="350" fillId="0" borderId="76" xfId="6407" applyNumberFormat="1" applyFont="1" applyBorder="1" applyAlignment="1">
      <alignment horizontal="center" vertical="center"/>
    </xf>
    <xf numFmtId="1" fontId="350" fillId="0" borderId="77" xfId="6407" applyNumberFormat="1" applyFont="1" applyBorder="1" applyAlignment="1">
      <alignment horizontal="center" vertical="center"/>
    </xf>
    <xf numFmtId="1" fontId="350" fillId="0" borderId="79" xfId="6407" applyNumberFormat="1" applyFont="1" applyBorder="1" applyAlignment="1">
      <alignment horizontal="center" vertical="center"/>
    </xf>
    <xf numFmtId="0" fontId="360" fillId="0" borderId="22" xfId="0" applyFont="1" applyBorder="1" applyAlignment="1">
      <alignment horizontal="center" vertical="center"/>
    </xf>
    <xf numFmtId="0" fontId="360" fillId="0" borderId="34" xfId="0" applyFont="1" applyBorder="1" applyAlignment="1">
      <alignment horizontal="center" vertical="center"/>
    </xf>
    <xf numFmtId="0" fontId="300" fillId="0" borderId="0" xfId="0" applyFont="1" applyBorder="1" applyAlignment="1">
      <alignment horizontal="center" vertical="center"/>
    </xf>
    <xf numFmtId="0" fontId="300" fillId="0" borderId="0" xfId="0" applyFont="1" applyAlignment="1">
      <alignment horizontal="left" vertical="center" wrapText="1"/>
    </xf>
    <xf numFmtId="0" fontId="300" fillId="0" borderId="20" xfId="0" applyFont="1" applyBorder="1" applyAlignment="1">
      <alignment horizontal="left" vertical="center" wrapText="1"/>
    </xf>
    <xf numFmtId="0" fontId="294" fillId="0" borderId="0" xfId="0" applyFont="1" applyAlignment="1">
      <alignment horizontal="center"/>
    </xf>
    <xf numFmtId="0" fontId="294" fillId="0" borderId="65" xfId="0" applyFont="1" applyBorder="1" applyAlignment="1">
      <alignment horizontal="center" vertical="center" textRotation="255" wrapText="1"/>
    </xf>
    <xf numFmtId="0" fontId="294" fillId="0" borderId="66" xfId="0" applyFont="1" applyBorder="1" applyAlignment="1">
      <alignment horizontal="center" vertical="center" textRotation="255" wrapText="1"/>
    </xf>
    <xf numFmtId="0" fontId="294" fillId="0" borderId="111" xfId="0" applyFont="1" applyBorder="1" applyAlignment="1">
      <alignment horizontal="center" vertical="center" textRotation="255" wrapText="1"/>
    </xf>
    <xf numFmtId="0" fontId="294" fillId="8" borderId="30" xfId="0" applyFont="1" applyFill="1" applyBorder="1" applyAlignment="1">
      <alignment horizontal="center" vertical="center"/>
    </xf>
    <xf numFmtId="0" fontId="294" fillId="8" borderId="31" xfId="0" applyFont="1" applyFill="1" applyBorder="1" applyAlignment="1">
      <alignment horizontal="center" vertical="center"/>
    </xf>
    <xf numFmtId="0" fontId="294" fillId="8" borderId="37" xfId="0" applyFont="1" applyFill="1" applyBorder="1" applyAlignment="1">
      <alignment horizontal="center" vertical="center"/>
    </xf>
    <xf numFmtId="0" fontId="294" fillId="8" borderId="32" xfId="0" applyFont="1" applyFill="1" applyBorder="1" applyAlignment="1">
      <alignment horizontal="center" vertical="center"/>
    </xf>
    <xf numFmtId="0" fontId="294" fillId="8" borderId="0" xfId="0" applyFont="1" applyFill="1" applyBorder="1" applyAlignment="1">
      <alignment horizontal="center" vertical="center"/>
    </xf>
    <xf numFmtId="0" fontId="294" fillId="8" borderId="41" xfId="0" applyFont="1" applyFill="1" applyBorder="1" applyAlignment="1">
      <alignment horizontal="center" vertical="center"/>
    </xf>
    <xf numFmtId="0" fontId="294" fillId="8" borderId="108" xfId="0" applyFont="1" applyFill="1" applyBorder="1" applyAlignment="1">
      <alignment horizontal="center" vertical="center"/>
    </xf>
    <xf numFmtId="0" fontId="294" fillId="8" borderId="109" xfId="0" applyFont="1" applyFill="1" applyBorder="1" applyAlignment="1">
      <alignment horizontal="center" vertical="center"/>
    </xf>
    <xf numFmtId="0" fontId="294" fillId="8" borderId="110" xfId="0" applyFont="1" applyFill="1" applyBorder="1" applyAlignment="1">
      <alignment horizontal="center" vertical="center"/>
    </xf>
    <xf numFmtId="0" fontId="294" fillId="0" borderId="0" xfId="0" applyFont="1" applyBorder="1" applyAlignment="1">
      <alignment horizontal="center" vertical="center"/>
    </xf>
    <xf numFmtId="0" fontId="294" fillId="0" borderId="41" xfId="0" applyFont="1" applyBorder="1" applyAlignment="1">
      <alignment horizontal="center" vertical="center"/>
    </xf>
    <xf numFmtId="0" fontId="315" fillId="0" borderId="0" xfId="0" applyFont="1" applyAlignment="1">
      <alignment horizontal="center" vertical="center" wrapText="1"/>
    </xf>
    <xf numFmtId="0" fontId="314" fillId="0" borderId="0" xfId="0" applyFont="1" applyAlignment="1">
      <alignment vertical="center" wrapText="1"/>
    </xf>
    <xf numFmtId="1" fontId="315" fillId="0" borderId="13" xfId="0" applyNumberFormat="1" applyFont="1" applyBorder="1" applyAlignment="1">
      <alignment horizontal="center" vertical="center" wrapText="1"/>
    </xf>
    <xf numFmtId="1" fontId="315" fillId="0" borderId="13" xfId="0" applyNumberFormat="1" applyFont="1" applyBorder="1" applyAlignment="1">
      <alignment horizontal="left" vertical="top" wrapText="1"/>
    </xf>
    <xf numFmtId="0" fontId="314" fillId="0" borderId="4" xfId="0" applyFont="1" applyBorder="1" applyAlignment="1">
      <alignment horizontal="center" vertical="center" wrapText="1"/>
    </xf>
    <xf numFmtId="0" fontId="314" fillId="0" borderId="14" xfId="0" applyFont="1" applyBorder="1" applyAlignment="1">
      <alignment horizontal="center" vertical="center" wrapText="1"/>
    </xf>
    <xf numFmtId="0" fontId="314" fillId="0" borderId="5" xfId="0" applyFont="1" applyBorder="1" applyAlignment="1">
      <alignment horizontal="center" vertical="center" wrapText="1"/>
    </xf>
    <xf numFmtId="0" fontId="314" fillId="0" borderId="1" xfId="0" applyFont="1" applyBorder="1" applyAlignment="1">
      <alignment horizontal="center" vertical="center"/>
    </xf>
    <xf numFmtId="0" fontId="314" fillId="7" borderId="1" xfId="0" applyFont="1" applyFill="1" applyBorder="1" applyAlignment="1">
      <alignment horizontal="justify" vertical="top" wrapText="1"/>
    </xf>
    <xf numFmtId="2" fontId="314" fillId="7" borderId="1" xfId="0" applyNumberFormat="1" applyFont="1" applyFill="1" applyBorder="1" applyAlignment="1">
      <alignment horizontal="justify" vertical="top" wrapText="1"/>
    </xf>
    <xf numFmtId="0" fontId="314" fillId="7" borderId="6" xfId="0" applyFont="1" applyFill="1" applyBorder="1" applyAlignment="1">
      <alignment horizontal="left" vertical="center" wrapText="1"/>
    </xf>
    <xf numFmtId="0" fontId="314" fillId="7" borderId="4" xfId="0" applyFont="1" applyFill="1" applyBorder="1" applyAlignment="1">
      <alignment horizontal="justify" vertical="top" wrapText="1"/>
    </xf>
    <xf numFmtId="0" fontId="314" fillId="7" borderId="14" xfId="0" applyFont="1" applyFill="1" applyBorder="1" applyAlignment="1">
      <alignment horizontal="justify" vertical="top" wrapText="1"/>
    </xf>
    <xf numFmtId="0" fontId="314" fillId="7" borderId="5" xfId="0" applyFont="1" applyFill="1" applyBorder="1" applyAlignment="1">
      <alignment horizontal="justify" vertical="top" wrapText="1"/>
    </xf>
    <xf numFmtId="0" fontId="314" fillId="7" borderId="1" xfId="0" applyFont="1" applyFill="1" applyBorder="1" applyAlignment="1">
      <alignment horizontal="justify" vertical="center" wrapText="1"/>
    </xf>
    <xf numFmtId="0" fontId="314" fillId="0" borderId="0" xfId="3892" applyFont="1" applyAlignment="1">
      <alignment horizontal="center" vertical="center" wrapText="1"/>
    </xf>
    <xf numFmtId="2" fontId="314" fillId="0" borderId="0" xfId="6367" applyNumberFormat="1" applyFont="1" applyAlignment="1">
      <alignment horizontal="center"/>
    </xf>
    <xf numFmtId="0" fontId="314" fillId="0" borderId="0" xfId="3892" applyFont="1" applyAlignment="1">
      <alignment horizontal="center" vertical="center"/>
    </xf>
    <xf numFmtId="0" fontId="142" fillId="0" borderId="1" xfId="7648" applyFont="1" applyBorder="1" applyAlignment="1">
      <alignment horizontal="center" vertical="center" wrapText="1"/>
    </xf>
    <xf numFmtId="0" fontId="1" fillId="0" borderId="1" xfId="7648" applyBorder="1" applyAlignment="1">
      <alignment horizontal="center" vertical="center"/>
    </xf>
    <xf numFmtId="0" fontId="1" fillId="0" borderId="4" xfId="7648" applyBorder="1" applyAlignment="1">
      <alignment horizontal="center" vertical="center"/>
    </xf>
    <xf numFmtId="0" fontId="1" fillId="0" borderId="14" xfId="7648" applyBorder="1" applyAlignment="1">
      <alignment horizontal="center" vertical="center"/>
    </xf>
    <xf numFmtId="0" fontId="1" fillId="0" borderId="5" xfId="7648" applyBorder="1" applyAlignment="1">
      <alignment horizontal="center" vertical="center"/>
    </xf>
    <xf numFmtId="0" fontId="142" fillId="0" borderId="11" xfId="7648" applyFont="1" applyBorder="1" applyAlignment="1">
      <alignment horizontal="center" vertical="center" wrapText="1"/>
    </xf>
    <xf numFmtId="0" fontId="142" fillId="0" borderId="2" xfId="7648" applyFont="1" applyBorder="1" applyAlignment="1">
      <alignment horizontal="center" vertical="center" wrapText="1"/>
    </xf>
    <xf numFmtId="0" fontId="1" fillId="0" borderId="11" xfId="7648" applyBorder="1" applyAlignment="1">
      <alignment horizontal="center" vertical="center" wrapText="1"/>
    </xf>
    <xf numFmtId="0" fontId="1" fillId="0" borderId="2" xfId="7648" applyBorder="1" applyAlignment="1">
      <alignment horizontal="center" vertical="center" wrapText="1"/>
    </xf>
    <xf numFmtId="0" fontId="1" fillId="0" borderId="1" xfId="7648" applyBorder="1" applyAlignment="1">
      <alignment horizontal="center"/>
    </xf>
    <xf numFmtId="0" fontId="1" fillId="0" borderId="1" xfId="7648" applyBorder="1" applyAlignment="1">
      <alignment horizontal="right"/>
    </xf>
    <xf numFmtId="0" fontId="1" fillId="0" borderId="4" xfId="7648" applyBorder="1" applyAlignment="1">
      <alignment horizontal="right"/>
    </xf>
    <xf numFmtId="0" fontId="1" fillId="0" borderId="14" xfId="7648" applyBorder="1" applyAlignment="1">
      <alignment horizontal="right"/>
    </xf>
    <xf numFmtId="0" fontId="1" fillId="0" borderId="5" xfId="7648" applyBorder="1" applyAlignment="1">
      <alignment horizontal="right"/>
    </xf>
    <xf numFmtId="0" fontId="142" fillId="0" borderId="0" xfId="7648" applyFont="1" applyAlignment="1">
      <alignment horizontal="center"/>
    </xf>
    <xf numFmtId="0" fontId="1" fillId="0" borderId="30" xfId="7648" applyBorder="1" applyAlignment="1">
      <alignment horizontal="center"/>
    </xf>
    <xf numFmtId="0" fontId="1" fillId="0" borderId="31" xfId="7648" applyBorder="1" applyAlignment="1">
      <alignment horizontal="center"/>
    </xf>
    <xf numFmtId="0" fontId="1" fillId="0" borderId="37" xfId="7648" applyBorder="1" applyAlignment="1">
      <alignment horizontal="center"/>
    </xf>
    <xf numFmtId="0" fontId="142" fillId="20" borderId="36" xfId="7648" applyFont="1" applyFill="1" applyBorder="1" applyAlignment="1">
      <alignment horizontal="center" vertical="center" wrapText="1"/>
    </xf>
    <xf numFmtId="0" fontId="142" fillId="20" borderId="57" xfId="7648" applyFont="1" applyFill="1" applyBorder="1" applyAlignment="1">
      <alignment horizontal="center" vertical="center" wrapText="1"/>
    </xf>
    <xf numFmtId="0" fontId="142" fillId="20" borderId="58" xfId="7648" applyFont="1" applyFill="1" applyBorder="1" applyAlignment="1">
      <alignment horizontal="center" vertical="center" wrapText="1"/>
    </xf>
    <xf numFmtId="0" fontId="142" fillId="24" borderId="62" xfId="7648" applyFont="1" applyFill="1" applyBorder="1" applyAlignment="1">
      <alignment horizontal="center" vertical="center"/>
    </xf>
    <xf numFmtId="0" fontId="142" fillId="24" borderId="12" xfId="7648" applyFont="1" applyFill="1" applyBorder="1" applyAlignment="1">
      <alignment horizontal="center" vertical="center"/>
    </xf>
    <xf numFmtId="0" fontId="142" fillId="24" borderId="63" xfId="7648" applyFont="1" applyFill="1" applyBorder="1" applyAlignment="1">
      <alignment horizontal="center" vertical="center"/>
    </xf>
    <xf numFmtId="0" fontId="142" fillId="26" borderId="36" xfId="7648" applyFont="1" applyFill="1" applyBorder="1" applyAlignment="1">
      <alignment horizontal="center" vertical="center"/>
    </xf>
    <xf numFmtId="0" fontId="142" fillId="26" borderId="57" xfId="7648" applyFont="1" applyFill="1" applyBorder="1" applyAlignment="1">
      <alignment horizontal="center" vertical="center"/>
    </xf>
    <xf numFmtId="0" fontId="142" fillId="26" borderId="58" xfId="7648" applyFont="1" applyFill="1" applyBorder="1" applyAlignment="1">
      <alignment horizontal="center" vertical="center"/>
    </xf>
    <xf numFmtId="0" fontId="1" fillId="0" borderId="1" xfId="7648" applyBorder="1" applyAlignment="1">
      <alignment horizontal="center" vertical="center" wrapText="1"/>
    </xf>
    <xf numFmtId="0" fontId="142" fillId="0" borderId="1" xfId="7648" applyFont="1" applyBorder="1" applyAlignment="1">
      <alignment horizontal="center" vertical="center"/>
    </xf>
    <xf numFmtId="0" fontId="142" fillId="0" borderId="5" xfId="7648" applyFont="1" applyBorder="1" applyAlignment="1">
      <alignment horizontal="center" vertical="center" wrapText="1"/>
    </xf>
    <xf numFmtId="0" fontId="142" fillId="0" borderId="34" xfId="7648" applyFont="1" applyBorder="1" applyAlignment="1">
      <alignment horizontal="center" vertical="center" wrapText="1"/>
    </xf>
    <xf numFmtId="0" fontId="142" fillId="0" borderId="20" xfId="7648" applyFont="1" applyBorder="1" applyAlignment="1">
      <alignment horizontal="center" vertical="center" wrapText="1"/>
    </xf>
    <xf numFmtId="0" fontId="142" fillId="0" borderId="25" xfId="7648" applyFont="1" applyBorder="1" applyAlignment="1">
      <alignment horizontal="center" vertical="center" wrapText="1"/>
    </xf>
    <xf numFmtId="0" fontId="142" fillId="0" borderId="4" xfId="7648" applyFont="1" applyBorder="1" applyAlignment="1">
      <alignment horizontal="center" vertical="center"/>
    </xf>
    <xf numFmtId="0" fontId="142" fillId="0" borderId="14" xfId="7648" applyFont="1" applyBorder="1" applyAlignment="1">
      <alignment horizontal="center" vertical="center"/>
    </xf>
    <xf numFmtId="0" fontId="1" fillId="0" borderId="5" xfId="7648" applyBorder="1" applyAlignment="1">
      <alignment horizontal="center" vertical="center" wrapText="1"/>
    </xf>
    <xf numFmtId="0" fontId="1" fillId="0" borderId="0" xfId="7648" applyAlignment="1">
      <alignment horizontal="center" vertical="center" wrapText="1"/>
    </xf>
    <xf numFmtId="0" fontId="142" fillId="27" borderId="36" xfId="7648" applyFont="1" applyFill="1" applyBorder="1" applyAlignment="1">
      <alignment horizontal="center" vertical="center"/>
    </xf>
    <xf numFmtId="0" fontId="142" fillId="27" borderId="57" xfId="7648" applyFont="1" applyFill="1" applyBorder="1" applyAlignment="1">
      <alignment horizontal="center" vertical="center"/>
    </xf>
    <xf numFmtId="0" fontId="142" fillId="27" borderId="58" xfId="7648" applyFont="1" applyFill="1" applyBorder="1" applyAlignment="1">
      <alignment horizontal="center" vertical="center"/>
    </xf>
    <xf numFmtId="0" fontId="142" fillId="0" borderId="36" xfId="7648" applyFont="1" applyBorder="1" applyAlignment="1">
      <alignment horizontal="center" vertical="center"/>
    </xf>
    <xf numFmtId="0" fontId="142" fillId="0" borderId="57" xfId="7648" applyFont="1" applyBorder="1" applyAlignment="1">
      <alignment horizontal="center" vertical="center"/>
    </xf>
    <xf numFmtId="0" fontId="142" fillId="0" borderId="58" xfId="7648" applyFont="1" applyBorder="1" applyAlignment="1">
      <alignment horizontal="center" vertical="center"/>
    </xf>
    <xf numFmtId="0" fontId="142" fillId="0" borderId="29" xfId="7648" applyFont="1" applyBorder="1" applyAlignment="1">
      <alignment horizontal="right"/>
    </xf>
    <xf numFmtId="0" fontId="142" fillId="0" borderId="24" xfId="7648" applyFont="1" applyBorder="1" applyAlignment="1">
      <alignment horizontal="right"/>
    </xf>
    <xf numFmtId="0" fontId="193" fillId="0" borderId="1" xfId="7648" applyFont="1" applyBorder="1" applyAlignment="1">
      <alignment horizontal="center"/>
    </xf>
    <xf numFmtId="0" fontId="1" fillId="0" borderId="4" xfId="7648" applyBorder="1" applyAlignment="1">
      <alignment horizontal="center"/>
    </xf>
    <xf numFmtId="0" fontId="1" fillId="0" borderId="14" xfId="7648" applyBorder="1" applyAlignment="1">
      <alignment horizontal="center"/>
    </xf>
    <xf numFmtId="0" fontId="1" fillId="0" borderId="5" xfId="7648" applyBorder="1" applyAlignment="1">
      <alignment horizontal="center"/>
    </xf>
    <xf numFmtId="0" fontId="1" fillId="0" borderId="11" xfId="7648" applyBorder="1" applyAlignment="1">
      <alignment horizontal="center" vertical="center"/>
    </xf>
    <xf numFmtId="0" fontId="1" fillId="0" borderId="2" xfId="7648" applyBorder="1" applyAlignment="1">
      <alignment horizontal="center" vertical="center"/>
    </xf>
    <xf numFmtId="0" fontId="1" fillId="0" borderId="1" xfId="7647" applyBorder="1" applyAlignment="1">
      <alignment horizontal="center" vertical="center" wrapText="1"/>
    </xf>
    <xf numFmtId="0" fontId="1" fillId="0" borderId="30" xfId="7647" applyBorder="1" applyAlignment="1">
      <alignment horizontal="center" vertical="center" wrapText="1"/>
    </xf>
    <xf numFmtId="0" fontId="1" fillId="0" borderId="31" xfId="7647" applyBorder="1" applyAlignment="1">
      <alignment horizontal="center" vertical="center" wrapText="1"/>
    </xf>
    <xf numFmtId="0" fontId="1" fillId="0" borderId="37" xfId="7647" applyBorder="1" applyAlignment="1">
      <alignment horizontal="center" vertical="center" wrapText="1"/>
    </xf>
    <xf numFmtId="0" fontId="1" fillId="0" borderId="33" xfId="7647" applyBorder="1" applyAlignment="1">
      <alignment horizontal="center" vertical="center" wrapText="1"/>
    </xf>
    <xf numFmtId="0" fontId="1" fillId="0" borderId="23" xfId="7647" applyBorder="1" applyAlignment="1">
      <alignment horizontal="center" vertical="center" wrapText="1"/>
    </xf>
    <xf numFmtId="0" fontId="1" fillId="0" borderId="35" xfId="7647" applyBorder="1" applyAlignment="1">
      <alignment horizontal="center" vertical="center" wrapText="1"/>
    </xf>
    <xf numFmtId="0" fontId="179" fillId="0" borderId="0" xfId="30655" applyFont="1" applyAlignment="1">
      <alignment horizontal="left" vertical="center"/>
    </xf>
    <xf numFmtId="0" fontId="170" fillId="0" borderId="0" xfId="30655" applyFont="1" applyAlignment="1">
      <alignment horizontal="center" wrapText="1"/>
    </xf>
    <xf numFmtId="0" fontId="173" fillId="0" borderId="0" xfId="30655" applyFont="1" applyAlignment="1">
      <alignment horizontal="center" vertical="top" wrapText="1"/>
    </xf>
    <xf numFmtId="1" fontId="176" fillId="0" borderId="0" xfId="30655" applyNumberFormat="1" applyFont="1" applyAlignment="1">
      <alignment horizontal="center" vertical="top" wrapText="1"/>
    </xf>
    <xf numFmtId="0" fontId="176" fillId="0" borderId="0" xfId="30655" applyFont="1" applyAlignment="1">
      <alignment horizontal="center" vertical="top" wrapText="1"/>
    </xf>
    <xf numFmtId="0" fontId="174" fillId="0" borderId="0" xfId="30655" applyFont="1" applyAlignment="1">
      <alignment horizontal="center" vertical="top" wrapText="1"/>
    </xf>
    <xf numFmtId="0" fontId="41" fillId="0" borderId="0" xfId="30655" applyFont="1" applyAlignment="1">
      <alignment horizontal="left"/>
    </xf>
    <xf numFmtId="2" fontId="41" fillId="0" borderId="0" xfId="30655" applyNumberFormat="1" applyFont="1" applyAlignment="1">
      <alignment horizontal="center"/>
    </xf>
    <xf numFmtId="1" fontId="315" fillId="0" borderId="0" xfId="6437" applyNumberFormat="1" applyFont="1" applyAlignment="1">
      <alignment horizontal="center" vertical="center"/>
    </xf>
    <xf numFmtId="0" fontId="315" fillId="0" borderId="13" xfId="30654" applyFont="1" applyBorder="1" applyAlignment="1">
      <alignment horizontal="center" vertical="center" wrapText="1"/>
    </xf>
    <xf numFmtId="2" fontId="315" fillId="0" borderId="1" xfId="6437" applyNumberFormat="1" applyFont="1" applyBorder="1" applyAlignment="1">
      <alignment horizontal="center" vertical="center"/>
    </xf>
    <xf numFmtId="0" fontId="314" fillId="0" borderId="11" xfId="6437" applyFont="1" applyBorder="1" applyAlignment="1">
      <alignment horizontal="justify" vertical="center" wrapText="1"/>
    </xf>
    <xf numFmtId="0" fontId="314" fillId="0" borderId="12" xfId="6437" applyFont="1" applyBorder="1" applyAlignment="1">
      <alignment horizontal="justify" vertical="top" wrapText="1"/>
    </xf>
    <xf numFmtId="2" fontId="314" fillId="0" borderId="12" xfId="6437" applyNumberFormat="1" applyFont="1" applyBorder="1" applyAlignment="1">
      <alignment horizontal="left" vertical="center"/>
    </xf>
    <xf numFmtId="0" fontId="317" fillId="0" borderId="1" xfId="17439" applyFont="1" applyBorder="1" applyAlignment="1">
      <alignment horizontal="center" vertical="center"/>
    </xf>
    <xf numFmtId="2" fontId="315" fillId="0" borderId="1" xfId="17439" applyNumberFormat="1" applyFont="1" applyBorder="1" applyAlignment="1">
      <alignment horizontal="center" vertical="center" wrapText="1"/>
    </xf>
    <xf numFmtId="2" fontId="315" fillId="0" borderId="1" xfId="17439" applyNumberFormat="1" applyFont="1" applyBorder="1" applyAlignment="1">
      <alignment horizontal="center" vertical="center"/>
    </xf>
    <xf numFmtId="1" fontId="315" fillId="0" borderId="1" xfId="17439" applyNumberFormat="1" applyFont="1" applyBorder="1" applyAlignment="1">
      <alignment horizontal="center" vertical="center"/>
    </xf>
    <xf numFmtId="0" fontId="314" fillId="0" borderId="1" xfId="17439" applyFont="1" applyBorder="1" applyAlignment="1">
      <alignment horizontal="justify" vertical="top" wrapText="1"/>
    </xf>
    <xf numFmtId="2" fontId="315" fillId="0" borderId="0" xfId="0" applyNumberFormat="1" applyFont="1" applyFill="1" applyAlignment="1">
      <alignment horizontal="center" vertical="center" wrapText="1"/>
    </xf>
    <xf numFmtId="0" fontId="314" fillId="0" borderId="0" xfId="0" applyFont="1" applyFill="1" applyAlignment="1">
      <alignment horizontal="center" vertical="center" wrapText="1"/>
    </xf>
    <xf numFmtId="2" fontId="315" fillId="0" borderId="0" xfId="0" applyNumberFormat="1" applyFont="1" applyFill="1" applyAlignment="1">
      <alignment horizontal="right" vertical="top"/>
    </xf>
    <xf numFmtId="0" fontId="314" fillId="0" borderId="0" xfId="0" applyFont="1" applyFill="1" applyAlignment="1">
      <alignment horizontal="center" vertical="center"/>
    </xf>
    <xf numFmtId="0" fontId="315" fillId="0" borderId="1" xfId="0" applyFont="1" applyFill="1" applyBorder="1" applyAlignment="1">
      <alignment horizontal="center" vertical="center" wrapText="1"/>
    </xf>
    <xf numFmtId="0" fontId="314" fillId="0" borderId="1" xfId="0" applyFont="1" applyFill="1" applyBorder="1" applyAlignment="1">
      <alignment horizontal="justify" vertical="top" wrapText="1"/>
    </xf>
    <xf numFmtId="0" fontId="314" fillId="0" borderId="1" xfId="0" applyFont="1" applyFill="1" applyBorder="1" applyAlignment="1">
      <alignment horizontal="left"/>
    </xf>
    <xf numFmtId="0" fontId="314" fillId="0" borderId="1" xfId="0" applyFont="1" applyFill="1" applyBorder="1" applyAlignment="1">
      <alignment horizontal="left" vertical="top" wrapText="1"/>
    </xf>
    <xf numFmtId="0" fontId="314" fillId="0" borderId="1" xfId="0" applyFont="1" applyFill="1" applyBorder="1" applyAlignment="1" applyProtection="1">
      <alignment horizontal="justify" vertical="top" wrapText="1"/>
      <protection hidden="1"/>
    </xf>
    <xf numFmtId="0" fontId="315" fillId="0" borderId="1" xfId="0" applyFont="1" applyFill="1" applyBorder="1" applyAlignment="1">
      <alignment horizontal="left" vertical="center" wrapText="1"/>
    </xf>
    <xf numFmtId="2" fontId="315" fillId="0" borderId="1" xfId="0" applyNumberFormat="1" applyFont="1" applyFill="1" applyBorder="1" applyAlignment="1">
      <alignment horizontal="left" vertical="center" shrinkToFit="1"/>
    </xf>
    <xf numFmtId="0" fontId="314" fillId="0" borderId="1" xfId="0" applyFont="1" applyFill="1" applyBorder="1" applyAlignment="1">
      <alignment vertical="top"/>
    </xf>
    <xf numFmtId="0" fontId="314" fillId="0" borderId="1" xfId="0" applyFont="1" applyFill="1" applyBorder="1" applyAlignment="1">
      <alignment vertical="top" wrapText="1"/>
    </xf>
    <xf numFmtId="0" fontId="315" fillId="0" borderId="1" xfId="0" applyFont="1" applyFill="1" applyBorder="1" applyAlignment="1">
      <alignment horizontal="justify" vertical="center" wrapText="1"/>
    </xf>
    <xf numFmtId="0" fontId="314" fillId="0" borderId="1" xfId="0" applyFont="1" applyFill="1" applyBorder="1" applyAlignment="1">
      <alignment horizontal="justify" vertical="center" wrapText="1"/>
    </xf>
    <xf numFmtId="0" fontId="315" fillId="0" borderId="1" xfId="0" applyFont="1" applyFill="1" applyBorder="1" applyAlignment="1">
      <alignment horizontal="justify" vertical="top" wrapText="1"/>
    </xf>
    <xf numFmtId="2" fontId="314" fillId="0" borderId="1" xfId="0" applyNumberFormat="1" applyFont="1" applyFill="1" applyBorder="1" applyAlignment="1">
      <alignment horizontal="center" vertical="center"/>
    </xf>
    <xf numFmtId="2" fontId="314" fillId="0" borderId="0" xfId="0" applyNumberFormat="1" applyFont="1" applyFill="1" applyAlignment="1">
      <alignment horizontal="center" vertical="center"/>
    </xf>
    <xf numFmtId="1" fontId="315" fillId="0" borderId="0" xfId="0" applyNumberFormat="1" applyFont="1" applyFill="1" applyAlignment="1">
      <alignment horizontal="left" vertical="top" wrapText="1"/>
    </xf>
    <xf numFmtId="1" fontId="314" fillId="0" borderId="0" xfId="0" applyNumberFormat="1" applyFont="1" applyFill="1" applyAlignment="1">
      <alignment horizontal="left" vertical="top" wrapText="1"/>
    </xf>
    <xf numFmtId="1" fontId="314" fillId="0" borderId="0" xfId="0" applyNumberFormat="1" applyFont="1" applyFill="1" applyAlignment="1">
      <alignment horizontal="left" vertical="center" wrapText="1"/>
    </xf>
    <xf numFmtId="0" fontId="314" fillId="0" borderId="1" xfId="0" applyFont="1" applyFill="1" applyBorder="1" applyAlignment="1">
      <alignment horizontal="justify" vertical="top"/>
    </xf>
    <xf numFmtId="2" fontId="314" fillId="0" borderId="1" xfId="0" applyNumberFormat="1" applyFont="1" applyFill="1" applyBorder="1" applyAlignment="1">
      <alignment horizontal="left" vertical="center" wrapText="1"/>
    </xf>
    <xf numFmtId="0" fontId="314" fillId="0" borderId="1" xfId="30646" applyFont="1" applyFill="1" applyBorder="1" applyAlignment="1">
      <alignment horizontal="justify" vertical="top" wrapText="1"/>
    </xf>
    <xf numFmtId="0" fontId="314" fillId="0" borderId="1" xfId="30646" applyFont="1" applyFill="1" applyBorder="1" applyAlignment="1">
      <alignment horizontal="justify" vertical="top"/>
    </xf>
    <xf numFmtId="2" fontId="314" fillId="0" borderId="1" xfId="30646" applyNumberFormat="1" applyFont="1" applyFill="1" applyBorder="1" applyAlignment="1">
      <alignment horizontal="left" vertical="top" wrapText="1"/>
    </xf>
    <xf numFmtId="0" fontId="300" fillId="0" borderId="1" xfId="30648" applyFont="1" applyFill="1" applyBorder="1" applyAlignment="1">
      <alignment horizontal="center" vertical="center" wrapText="1"/>
    </xf>
    <xf numFmtId="1" fontId="300" fillId="0" borderId="1" xfId="30653" applyNumberFormat="1" applyFont="1" applyFill="1" applyBorder="1" applyAlignment="1">
      <alignment horizontal="center" vertical="center" wrapText="1"/>
    </xf>
    <xf numFmtId="0" fontId="300" fillId="0" borderId="1" xfId="30653" applyFont="1" applyFill="1" applyBorder="1" applyAlignment="1">
      <alignment horizontal="center" vertical="center" wrapText="1"/>
    </xf>
    <xf numFmtId="184" fontId="294" fillId="0" borderId="1" xfId="30648" applyNumberFormat="1" applyFont="1" applyFill="1" applyBorder="1" applyAlignment="1">
      <alignment horizontal="center" vertical="center" wrapText="1"/>
    </xf>
    <xf numFmtId="0" fontId="294" fillId="0" borderId="1" xfId="30648" applyFont="1" applyFill="1" applyBorder="1" applyAlignment="1">
      <alignment horizontal="center" vertical="center" wrapText="1"/>
    </xf>
    <xf numFmtId="0" fontId="300" fillId="0" borderId="11" xfId="30648" applyFont="1" applyFill="1" applyBorder="1" applyAlignment="1">
      <alignment horizontal="center" vertical="center"/>
    </xf>
    <xf numFmtId="184" fontId="294" fillId="0" borderId="12" xfId="30648" applyNumberFormat="1" applyFont="1" applyFill="1" applyBorder="1" applyAlignment="1">
      <alignment horizontal="center" vertical="center" wrapText="1"/>
    </xf>
    <xf numFmtId="184" fontId="365" fillId="0" borderId="12" xfId="30648" applyNumberFormat="1" applyFont="1" applyFill="1" applyBorder="1" applyAlignment="1">
      <alignment horizontal="center" vertical="center" wrapText="1"/>
    </xf>
    <xf numFmtId="0" fontId="300" fillId="0" borderId="12" xfId="30648" applyFont="1" applyFill="1" applyBorder="1" applyAlignment="1">
      <alignment horizontal="center" wrapText="1"/>
    </xf>
    <xf numFmtId="0" fontId="294" fillId="0" borderId="12" xfId="6608" applyFont="1" applyFill="1" applyBorder="1" applyAlignment="1">
      <alignment horizontal="justify" vertical="top" wrapText="1"/>
    </xf>
    <xf numFmtId="0" fontId="300" fillId="0" borderId="12" xfId="30648" applyFont="1" applyFill="1" applyBorder="1" applyAlignment="1">
      <alignment horizontal="left"/>
    </xf>
    <xf numFmtId="0" fontId="353" fillId="0" borderId="12" xfId="30648" applyFont="1" applyFill="1" applyBorder="1" applyAlignment="1">
      <alignment horizontal="center" vertical="top" wrapText="1"/>
    </xf>
    <xf numFmtId="0" fontId="294" fillId="0" borderId="0" xfId="30648" applyFont="1" applyFill="1" applyAlignment="1">
      <alignment horizontal="center" vertical="center" wrapText="1"/>
    </xf>
    <xf numFmtId="2" fontId="294" fillId="0" borderId="0" xfId="30648" applyNumberFormat="1" applyFont="1" applyFill="1" applyAlignment="1">
      <alignment horizontal="center" vertical="center" wrapText="1"/>
    </xf>
    <xf numFmtId="0" fontId="294" fillId="0" borderId="0" xfId="30648" applyFont="1" applyFill="1" applyAlignment="1">
      <alignment horizontal="center" vertical="top" wrapText="1"/>
    </xf>
    <xf numFmtId="2" fontId="294" fillId="0" borderId="0" xfId="30648" applyNumberFormat="1" applyFont="1" applyFill="1" applyAlignment="1">
      <alignment horizontal="center" vertical="top" wrapText="1"/>
    </xf>
    <xf numFmtId="0" fontId="294" fillId="0" borderId="12" xfId="6608" applyFont="1" applyFill="1" applyBorder="1" applyAlignment="1">
      <alignment horizontal="left" vertical="top" wrapText="1"/>
    </xf>
    <xf numFmtId="2" fontId="300" fillId="0" borderId="12" xfId="30648" applyNumberFormat="1" applyFont="1" applyFill="1" applyBorder="1" applyAlignment="1">
      <alignment horizontal="left" vertical="top" wrapText="1"/>
    </xf>
    <xf numFmtId="0" fontId="294" fillId="0" borderId="0" xfId="3892" applyFont="1" applyFill="1" applyAlignment="1">
      <alignment horizontal="center" vertical="center"/>
    </xf>
    <xf numFmtId="0" fontId="300" fillId="0" borderId="12" xfId="30648" applyFont="1" applyFill="1" applyBorder="1" applyAlignment="1">
      <alignment horizontal="center" vertical="top" wrapText="1"/>
    </xf>
    <xf numFmtId="0" fontId="346" fillId="0" borderId="12" xfId="30648" applyFont="1" applyFill="1" applyBorder="1" applyAlignment="1">
      <alignment horizontal="center" vertical="top" wrapText="1"/>
    </xf>
    <xf numFmtId="0" fontId="300" fillId="0" borderId="12" xfId="30648" applyFont="1" applyFill="1" applyBorder="1" applyAlignment="1">
      <alignment horizontal="justify" vertical="top" wrapText="1"/>
    </xf>
    <xf numFmtId="0" fontId="294" fillId="0" borderId="12" xfId="30648" applyFont="1" applyFill="1" applyBorder="1" applyAlignment="1">
      <alignment horizontal="justify" vertical="top" wrapText="1"/>
    </xf>
    <xf numFmtId="0" fontId="346" fillId="0" borderId="12" xfId="30648" applyFont="1" applyFill="1" applyBorder="1" applyAlignment="1">
      <alignment horizontal="left" vertical="top" wrapText="1"/>
    </xf>
    <xf numFmtId="0" fontId="300" fillId="0" borderId="12" xfId="6608" applyFont="1" applyFill="1" applyBorder="1" applyAlignment="1">
      <alignment horizontal="justify" vertical="top" wrapText="1"/>
    </xf>
    <xf numFmtId="2" fontId="294" fillId="0" borderId="12" xfId="30648" applyNumberFormat="1" applyFont="1" applyFill="1" applyBorder="1" applyAlignment="1">
      <alignment horizontal="justify" vertical="top" wrapText="1"/>
    </xf>
    <xf numFmtId="0" fontId="315" fillId="0" borderId="0" xfId="3892" applyFont="1" applyAlignment="1">
      <alignment horizontal="center" vertical="center" wrapText="1"/>
    </xf>
    <xf numFmtId="1" fontId="315" fillId="0" borderId="0" xfId="3892" applyNumberFormat="1" applyFont="1" applyAlignment="1">
      <alignment horizontal="center" vertical="center" wrapText="1"/>
    </xf>
    <xf numFmtId="0" fontId="41" fillId="0" borderId="1" xfId="30636" applyFont="1" applyBorder="1" applyAlignment="1">
      <alignment horizontal="center" vertical="top"/>
    </xf>
    <xf numFmtId="0" fontId="41" fillId="0" borderId="1" xfId="30636" applyFont="1" applyBorder="1" applyAlignment="1">
      <alignment horizontal="center" vertical="top" wrapText="1"/>
    </xf>
    <xf numFmtId="0" fontId="164" fillId="0" borderId="1" xfId="2752" applyFont="1" applyBorder="1" applyAlignment="1">
      <alignment vertical="top"/>
    </xf>
    <xf numFmtId="0" fontId="50" fillId="0" borderId="1" xfId="30636" applyFont="1" applyBorder="1" applyAlignment="1">
      <alignment horizontal="left" vertical="top" wrapText="1"/>
    </xf>
    <xf numFmtId="2" fontId="142" fillId="0" borderId="1" xfId="21421" applyNumberFormat="1" applyFont="1" applyBorder="1" applyAlignment="1">
      <alignment horizontal="center" vertical="top" wrapText="1"/>
    </xf>
    <xf numFmtId="0" fontId="3" fillId="0" borderId="1" xfId="30636" applyBorder="1" applyAlignment="1">
      <alignment horizontal="center" vertical="top"/>
    </xf>
    <xf numFmtId="0" fontId="4" fillId="0" borderId="1" xfId="30636" applyFont="1" applyBorder="1" applyAlignment="1">
      <alignment horizontal="center" vertical="top"/>
    </xf>
    <xf numFmtId="0" fontId="141" fillId="0" borderId="1" xfId="2752" applyFont="1" applyBorder="1" applyAlignment="1">
      <alignment horizontal="center" vertical="center" wrapText="1"/>
    </xf>
    <xf numFmtId="0" fontId="142" fillId="11" borderId="1" xfId="2752" applyFont="1" applyFill="1" applyBorder="1" applyAlignment="1">
      <alignment horizontal="center" vertical="center" wrapText="1"/>
    </xf>
    <xf numFmtId="0" fontId="142" fillId="0" borderId="1" xfId="2752" applyFont="1" applyBorder="1" applyAlignment="1">
      <alignment horizontal="center" vertical="center" wrapText="1"/>
    </xf>
    <xf numFmtId="0" fontId="3" fillId="0" borderId="1" xfId="2752" applyBorder="1" applyAlignment="1">
      <alignment horizontal="left" vertical="top" wrapText="1"/>
    </xf>
    <xf numFmtId="0" fontId="146" fillId="0" borderId="4" xfId="2752" applyFont="1" applyBorder="1" applyAlignment="1">
      <alignment horizontal="center" wrapText="1"/>
    </xf>
    <xf numFmtId="0" fontId="146" fillId="0" borderId="14" xfId="2752" applyFont="1" applyBorder="1" applyAlignment="1">
      <alignment horizontal="center" wrapText="1"/>
    </xf>
    <xf numFmtId="0" fontId="146" fillId="0" borderId="5" xfId="2752" applyFont="1" applyBorder="1" applyAlignment="1">
      <alignment horizontal="center" wrapText="1"/>
    </xf>
    <xf numFmtId="0" fontId="131" fillId="0" borderId="1" xfId="2752" applyFont="1" applyBorder="1" applyAlignment="1">
      <alignment horizontal="center"/>
    </xf>
    <xf numFmtId="0" fontId="158" fillId="0" borderId="1" xfId="2752" applyFont="1" applyBorder="1" applyAlignment="1">
      <alignment horizontal="center"/>
    </xf>
    <xf numFmtId="0" fontId="3" fillId="19" borderId="4" xfId="2752" applyFill="1" applyBorder="1" applyAlignment="1">
      <alignment horizontal="center" vertical="center" wrapText="1"/>
    </xf>
    <xf numFmtId="0" fontId="3" fillId="19" borderId="14" xfId="2752" applyFill="1" applyBorder="1" applyAlignment="1">
      <alignment horizontal="center" vertical="center" wrapText="1"/>
    </xf>
    <xf numFmtId="0" fontId="3" fillId="19" borderId="5" xfId="2752" applyFill="1" applyBorder="1" applyAlignment="1">
      <alignment horizontal="center" vertical="center" wrapText="1"/>
    </xf>
    <xf numFmtId="0" fontId="3" fillId="0" borderId="1" xfId="2752" applyBorder="1"/>
    <xf numFmtId="0" fontId="132" fillId="0" borderId="4" xfId="2752" applyFont="1" applyBorder="1" applyAlignment="1">
      <alignment horizontal="center" vertical="center" wrapText="1"/>
    </xf>
    <xf numFmtId="0" fontId="132" fillId="0" borderId="14" xfId="2752" applyFont="1" applyBorder="1" applyAlignment="1">
      <alignment horizontal="center" vertical="center" wrapText="1"/>
    </xf>
    <xf numFmtId="0" fontId="132" fillId="0" borderId="25" xfId="2752" applyFont="1" applyBorder="1" applyAlignment="1">
      <alignment horizontal="center" vertical="center" wrapText="1"/>
    </xf>
    <xf numFmtId="0" fontId="3" fillId="0" borderId="1" xfId="2752" applyBorder="1" applyAlignment="1">
      <alignment horizontal="center" vertical="center" wrapText="1"/>
    </xf>
    <xf numFmtId="2" fontId="142" fillId="19" borderId="1" xfId="2752" applyNumberFormat="1" applyFont="1" applyFill="1" applyBorder="1" applyAlignment="1">
      <alignment horizontal="center" vertical="center" wrapText="1"/>
    </xf>
    <xf numFmtId="0" fontId="142" fillId="19" borderId="1" xfId="2752" applyFont="1" applyFill="1" applyBorder="1" applyAlignment="1">
      <alignment horizontal="center" vertical="center" wrapText="1"/>
    </xf>
    <xf numFmtId="0" fontId="151" fillId="0" borderId="1" xfId="2752" applyFont="1" applyBorder="1" applyAlignment="1">
      <alignment horizontal="center" vertical="center" wrapText="1"/>
    </xf>
    <xf numFmtId="176" fontId="142" fillId="0" borderId="1" xfId="2752" applyNumberFormat="1" applyFont="1" applyBorder="1" applyAlignment="1">
      <alignment horizontal="center" vertical="center" wrapText="1"/>
    </xf>
    <xf numFmtId="0" fontId="3" fillId="18" borderId="1" xfId="2752" applyFill="1" applyBorder="1" applyAlignment="1">
      <alignment horizontal="center" vertical="center" wrapText="1"/>
    </xf>
    <xf numFmtId="0" fontId="142" fillId="0" borderId="1" xfId="2752" applyFont="1" applyBorder="1" applyAlignment="1">
      <alignment horizontal="center" wrapText="1"/>
    </xf>
    <xf numFmtId="176" fontId="3" fillId="0" borderId="1" xfId="2752" applyNumberFormat="1" applyBorder="1" applyAlignment="1">
      <alignment horizontal="center" vertical="center" wrapText="1"/>
    </xf>
    <xf numFmtId="0" fontId="130" fillId="0" borderId="1" xfId="2752" applyFont="1" applyBorder="1" applyAlignment="1">
      <alignment horizontal="center" vertical="center" wrapText="1"/>
    </xf>
    <xf numFmtId="1" fontId="130" fillId="0" borderId="1" xfId="2752" applyNumberFormat="1" applyFont="1" applyBorder="1" applyAlignment="1">
      <alignment horizontal="center" vertical="center" wrapText="1"/>
    </xf>
    <xf numFmtId="0" fontId="161" fillId="0" borderId="1" xfId="2752" applyFont="1" applyBorder="1" applyAlignment="1">
      <alignment horizontal="center" vertical="center" wrapText="1"/>
    </xf>
    <xf numFmtId="2" fontId="3" fillId="0" borderId="1" xfId="2752" applyNumberFormat="1" applyBorder="1" applyAlignment="1">
      <alignment horizontal="center" vertical="center" wrapText="1"/>
    </xf>
    <xf numFmtId="171" fontId="3" fillId="0" borderId="1" xfId="2752" applyNumberFormat="1" applyBorder="1" applyAlignment="1">
      <alignment horizontal="center" vertical="center" wrapText="1"/>
    </xf>
    <xf numFmtId="171" fontId="130" fillId="0" borderId="1" xfId="2752" applyNumberFormat="1" applyFont="1" applyBorder="1" applyAlignment="1">
      <alignment horizontal="center" vertical="center" wrapText="1"/>
    </xf>
    <xf numFmtId="0" fontId="0" fillId="0" borderId="1" xfId="2752" applyFont="1" applyBorder="1" applyAlignment="1">
      <alignment horizontal="center" vertical="center" wrapText="1"/>
    </xf>
    <xf numFmtId="171" fontId="3" fillId="0" borderId="11" xfId="2752" applyNumberFormat="1" applyBorder="1" applyAlignment="1">
      <alignment horizontal="right" vertical="center" wrapText="1"/>
    </xf>
    <xf numFmtId="171" fontId="3" fillId="0" borderId="12" xfId="2752" applyNumberFormat="1" applyBorder="1" applyAlignment="1">
      <alignment horizontal="right" vertical="center" wrapText="1"/>
    </xf>
    <xf numFmtId="171" fontId="3" fillId="0" borderId="2" xfId="2752" applyNumberFormat="1" applyBorder="1" applyAlignment="1">
      <alignment horizontal="right" vertical="center" wrapText="1"/>
    </xf>
    <xf numFmtId="0" fontId="160" fillId="0" borderId="0" xfId="2752" applyFont="1" applyAlignment="1">
      <alignment horizontal="center" vertical="center" wrapText="1"/>
    </xf>
    <xf numFmtId="0" fontId="141" fillId="0" borderId="1" xfId="2752" applyFont="1" applyBorder="1" applyAlignment="1">
      <alignment horizontal="center" wrapText="1"/>
    </xf>
    <xf numFmtId="0" fontId="162" fillId="0" borderId="1" xfId="2752" applyFont="1" applyBorder="1" applyAlignment="1">
      <alignment horizontal="center" wrapText="1"/>
    </xf>
    <xf numFmtId="0" fontId="131" fillId="0" borderId="1" xfId="2752" applyFont="1" applyBorder="1" applyAlignment="1">
      <alignment horizontal="center" vertical="center" wrapText="1"/>
    </xf>
    <xf numFmtId="183" fontId="129" fillId="0" borderId="0" xfId="7063" applyNumberFormat="1" applyFont="1" applyAlignment="1">
      <alignment horizontal="center" vertical="center" wrapText="1"/>
    </xf>
    <xf numFmtId="0" fontId="132" fillId="0" borderId="0" xfId="7063" applyFont="1" applyAlignment="1">
      <alignment horizontal="center" vertical="center" wrapText="1"/>
    </xf>
    <xf numFmtId="183" fontId="129" fillId="0" borderId="0" xfId="7063" applyNumberFormat="1" applyFont="1" applyAlignment="1">
      <alignment horizontal="center" vertical="top" wrapText="1"/>
    </xf>
    <xf numFmtId="1" fontId="317" fillId="0" borderId="0" xfId="0" applyNumberFormat="1" applyFont="1" applyAlignment="1">
      <alignment horizontal="center" vertical="center" wrapText="1"/>
    </xf>
    <xf numFmtId="1" fontId="315" fillId="0" borderId="0" xfId="0" applyNumberFormat="1" applyFont="1" applyAlignment="1">
      <alignment horizontal="left" vertical="center" wrapText="1"/>
    </xf>
    <xf numFmtId="0" fontId="315" fillId="0" borderId="13" xfId="0" applyFont="1" applyBorder="1" applyAlignment="1">
      <alignment horizontal="center" vertical="center"/>
    </xf>
    <xf numFmtId="0" fontId="315" fillId="0" borderId="1" xfId="0" applyFont="1" applyBorder="1" applyAlignment="1">
      <alignment horizontal="center" vertical="center" wrapText="1"/>
    </xf>
    <xf numFmtId="0" fontId="315" fillId="0" borderId="1" xfId="0" applyFont="1" applyBorder="1" applyAlignment="1">
      <alignment horizontal="center" vertical="center"/>
    </xf>
    <xf numFmtId="0" fontId="314" fillId="0" borderId="11" xfId="0" applyFont="1" applyBorder="1" applyAlignment="1">
      <alignment horizontal="justify" vertical="top" wrapText="1"/>
    </xf>
    <xf numFmtId="2" fontId="314" fillId="0" borderId="12" xfId="0" applyNumberFormat="1" applyFont="1" applyBorder="1" applyAlignment="1">
      <alignment horizontal="justify" vertical="top" wrapText="1"/>
    </xf>
    <xf numFmtId="0" fontId="314" fillId="0" borderId="12" xfId="0" applyFont="1" applyBorder="1" applyAlignment="1">
      <alignment horizontal="justify" vertical="top" wrapText="1"/>
    </xf>
    <xf numFmtId="0" fontId="63" fillId="0" borderId="0" xfId="0" applyFont="1" applyAlignment="1">
      <alignment horizontal="center" vertical="center" wrapText="1"/>
    </xf>
    <xf numFmtId="0" fontId="64" fillId="0" borderId="0" xfId="0" applyFont="1" applyAlignment="1">
      <alignment vertical="center" wrapText="1"/>
    </xf>
    <xf numFmtId="1" fontId="65" fillId="0" borderId="0" xfId="0" applyNumberFormat="1" applyFont="1" applyAlignment="1">
      <alignment horizontal="center" vertical="center" wrapText="1"/>
    </xf>
    <xf numFmtId="1" fontId="63" fillId="0" borderId="0" xfId="0" applyNumberFormat="1" applyFont="1" applyAlignment="1">
      <alignment horizontal="left" vertical="center" wrapText="1"/>
    </xf>
    <xf numFmtId="0" fontId="63" fillId="0" borderId="0" xfId="0" applyFont="1" applyAlignment="1">
      <alignment horizontal="center" vertical="center"/>
    </xf>
    <xf numFmtId="0" fontId="64" fillId="0" borderId="4" xfId="0" applyFont="1" applyBorder="1" applyAlignment="1">
      <alignment horizontal="center" vertical="center" wrapText="1"/>
    </xf>
    <xf numFmtId="0" fontId="64" fillId="0" borderId="14" xfId="0" applyFont="1" applyBorder="1" applyAlignment="1">
      <alignment horizontal="center" vertical="center" wrapText="1"/>
    </xf>
    <xf numFmtId="0" fontId="64" fillId="0" borderId="5" xfId="0" applyFont="1" applyBorder="1" applyAlignment="1">
      <alignment horizontal="center" vertical="center" wrapText="1"/>
    </xf>
    <xf numFmtId="0" fontId="64" fillId="0" borderId="1" xfId="0" applyFont="1" applyBorder="1" applyAlignment="1">
      <alignment horizontal="center" vertical="center"/>
    </xf>
    <xf numFmtId="0" fontId="64" fillId="0" borderId="1" xfId="0" applyFont="1" applyBorder="1" applyAlignment="1">
      <alignment horizontal="justify" vertical="top" wrapText="1"/>
    </xf>
    <xf numFmtId="2" fontId="64" fillId="0" borderId="1" xfId="0" applyNumberFormat="1" applyFont="1" applyBorder="1" applyAlignment="1">
      <alignment horizontal="justify" vertical="top" wrapText="1"/>
    </xf>
    <xf numFmtId="0" fontId="64" fillId="0" borderId="1" xfId="0" applyFont="1" applyBorder="1" applyAlignment="1">
      <alignment horizontal="justify" vertical="center" wrapText="1"/>
    </xf>
    <xf numFmtId="0" fontId="64" fillId="0" borderId="1" xfId="0" applyFont="1" applyBorder="1" applyAlignment="1">
      <alignment vertical="center" wrapText="1"/>
    </xf>
    <xf numFmtId="0" fontId="64" fillId="0" borderId="0" xfId="3892" applyFont="1" applyAlignment="1">
      <alignment horizontal="left" vertical="center" wrapText="1"/>
    </xf>
    <xf numFmtId="0" fontId="64" fillId="0" borderId="0" xfId="3892" applyFont="1" applyAlignment="1">
      <alignment horizontal="center" vertical="center" wrapText="1"/>
    </xf>
    <xf numFmtId="2" fontId="64" fillId="0" borderId="0" xfId="3892" applyNumberFormat="1" applyFont="1" applyAlignment="1">
      <alignment horizontal="center" vertical="center" wrapText="1"/>
    </xf>
    <xf numFmtId="0" fontId="59" fillId="0" borderId="0" xfId="0" applyFont="1" applyAlignment="1">
      <alignment horizontal="center" vertical="center" wrapText="1"/>
    </xf>
    <xf numFmtId="0" fontId="50" fillId="0" borderId="0" xfId="0" applyFont="1" applyAlignment="1">
      <alignment vertical="center" wrapText="1"/>
    </xf>
    <xf numFmtId="1" fontId="60" fillId="0" borderId="0" xfId="0" applyNumberFormat="1" applyFont="1" applyAlignment="1">
      <alignment horizontal="center" vertical="center" wrapText="1"/>
    </xf>
    <xf numFmtId="1" fontId="61" fillId="0" borderId="0" xfId="0" applyNumberFormat="1" applyFont="1" applyAlignment="1">
      <alignment horizontal="left" vertical="center" wrapText="1"/>
    </xf>
    <xf numFmtId="0" fontId="59" fillId="0" borderId="13" xfId="0" applyFont="1" applyBorder="1" applyAlignment="1">
      <alignment horizontal="center" vertical="center"/>
    </xf>
    <xf numFmtId="0" fontId="59" fillId="0" borderId="4" xfId="0" applyFont="1" applyBorder="1" applyAlignment="1">
      <alignment horizontal="center" vertical="center" wrapText="1"/>
    </xf>
    <xf numFmtId="0" fontId="59" fillId="0" borderId="14" xfId="0" applyFont="1" applyBorder="1" applyAlignment="1">
      <alignment horizontal="center" vertical="center" wrapText="1"/>
    </xf>
    <xf numFmtId="0" fontId="59" fillId="0" borderId="5" xfId="0" applyFont="1" applyBorder="1" applyAlignment="1">
      <alignment horizontal="center" vertical="center" wrapText="1"/>
    </xf>
    <xf numFmtId="0" fontId="59" fillId="0" borderId="4" xfId="0" applyFont="1" applyBorder="1" applyAlignment="1">
      <alignment horizontal="center" vertical="center"/>
    </xf>
    <xf numFmtId="0" fontId="59" fillId="0" borderId="14" xfId="0" applyFont="1" applyBorder="1" applyAlignment="1">
      <alignment horizontal="center" vertical="center"/>
    </xf>
    <xf numFmtId="0" fontId="59" fillId="0" borderId="5" xfId="0" applyFont="1" applyBorder="1" applyAlignment="1">
      <alignment horizontal="center" vertical="center"/>
    </xf>
    <xf numFmtId="0" fontId="50" fillId="0" borderId="11" xfId="0" applyFont="1" applyBorder="1" applyAlignment="1">
      <alignment horizontal="justify" vertical="top" wrapText="1"/>
    </xf>
    <xf numFmtId="2" fontId="50" fillId="0" borderId="12" xfId="0" applyNumberFormat="1" applyFont="1" applyBorder="1" applyAlignment="1">
      <alignment horizontal="justify" vertical="top" wrapText="1"/>
    </xf>
    <xf numFmtId="0" fontId="50" fillId="0" borderId="12" xfId="0" applyFont="1" applyBorder="1" applyAlignment="1">
      <alignment horizontal="justify" vertical="top" wrapText="1"/>
    </xf>
    <xf numFmtId="0" fontId="50" fillId="0" borderId="0" xfId="3892" applyFont="1" applyAlignment="1">
      <alignment horizontal="center" vertical="center" wrapText="1"/>
    </xf>
    <xf numFmtId="2" fontId="50" fillId="0" borderId="0" xfId="6367" applyNumberFormat="1" applyFont="1" applyAlignment="1">
      <alignment horizontal="center"/>
    </xf>
    <xf numFmtId="2" fontId="117" fillId="0" borderId="1" xfId="0" applyNumberFormat="1" applyFont="1" applyBorder="1" applyAlignment="1">
      <alignment horizontal="center" vertical="center" wrapText="1"/>
    </xf>
    <xf numFmtId="0" fontId="115" fillId="0" borderId="1" xfId="0" applyFont="1" applyBorder="1" applyAlignment="1">
      <alignment horizontal="center" vertical="center" wrapText="1"/>
    </xf>
    <xf numFmtId="1" fontId="117" fillId="0" borderId="1" xfId="0" applyNumberFormat="1" applyFont="1" applyBorder="1" applyAlignment="1">
      <alignment horizontal="left" vertical="top" wrapText="1"/>
    </xf>
    <xf numFmtId="1" fontId="115" fillId="0" borderId="1" xfId="0" applyNumberFormat="1" applyFont="1" applyBorder="1" applyAlignment="1">
      <alignment horizontal="left" vertical="top" wrapText="1"/>
    </xf>
    <xf numFmtId="0" fontId="117" fillId="0" borderId="1" xfId="0" applyFont="1" applyBorder="1" applyAlignment="1">
      <alignment horizontal="center" vertical="center" wrapText="1"/>
    </xf>
    <xf numFmtId="0" fontId="117" fillId="0" borderId="1" xfId="0" applyFont="1" applyBorder="1" applyAlignment="1">
      <alignment horizontal="center" vertical="center"/>
    </xf>
    <xf numFmtId="0" fontId="115" fillId="0" borderId="1" xfId="0" applyFont="1" applyBorder="1" applyAlignment="1" applyProtection="1">
      <alignment horizontal="justify" vertical="center" wrapText="1"/>
      <protection locked="0"/>
    </xf>
    <xf numFmtId="0" fontId="118" fillId="5" borderId="1" xfId="0" applyFont="1" applyFill="1" applyBorder="1" applyAlignment="1">
      <alignment horizontal="left" vertical="top" wrapText="1"/>
    </xf>
    <xf numFmtId="0" fontId="115" fillId="0" borderId="1" xfId="0" applyFont="1" applyBorder="1" applyAlignment="1" applyProtection="1">
      <alignment horizontal="justify" vertical="top" wrapText="1"/>
      <protection locked="0"/>
    </xf>
    <xf numFmtId="0" fontId="115" fillId="0" borderId="1" xfId="0" applyFont="1" applyBorder="1" applyAlignment="1">
      <alignment horizontal="justify" vertical="top" wrapText="1"/>
    </xf>
    <xf numFmtId="2" fontId="115" fillId="0" borderId="1" xfId="0" applyNumberFormat="1" applyFont="1" applyBorder="1" applyAlignment="1">
      <alignment horizontal="center" vertical="center" wrapText="1"/>
    </xf>
    <xf numFmtId="0" fontId="115" fillId="0" borderId="1" xfId="0" applyFont="1" applyBorder="1" applyAlignment="1" applyProtection="1">
      <alignment horizontal="justify" vertical="top" wrapText="1"/>
      <protection hidden="1"/>
    </xf>
    <xf numFmtId="0" fontId="117" fillId="0" borderId="1" xfId="0" applyFont="1" applyBorder="1" applyAlignment="1" applyProtection="1">
      <alignment horizontal="center" vertical="center"/>
      <protection hidden="1"/>
    </xf>
    <xf numFmtId="2" fontId="117" fillId="0" borderId="1" xfId="0" applyNumberFormat="1" applyFont="1" applyBorder="1" applyAlignment="1" applyProtection="1">
      <alignment horizontal="left" vertical="center"/>
      <protection hidden="1"/>
    </xf>
    <xf numFmtId="0" fontId="117" fillId="0" borderId="1" xfId="0" applyFont="1" applyBorder="1" applyAlignment="1" applyProtection="1">
      <alignment horizontal="left" vertical="center"/>
      <protection hidden="1"/>
    </xf>
    <xf numFmtId="2" fontId="115" fillId="0" borderId="1" xfId="0" applyNumberFormat="1" applyFont="1" applyBorder="1" applyAlignment="1" applyProtection="1">
      <alignment horizontal="left" vertical="center"/>
      <protection hidden="1"/>
    </xf>
    <xf numFmtId="0" fontId="115" fillId="0" borderId="1" xfId="0" applyFont="1" applyBorder="1" applyAlignment="1" applyProtection="1">
      <alignment horizontal="left" vertical="center"/>
      <protection hidden="1"/>
    </xf>
    <xf numFmtId="0" fontId="117" fillId="0" borderId="1" xfId="0" applyFont="1" applyBorder="1" applyAlignment="1" applyProtection="1">
      <alignment horizontal="right" vertical="center"/>
      <protection hidden="1"/>
    </xf>
    <xf numFmtId="0" fontId="117" fillId="0" borderId="1" xfId="0" applyFont="1" applyBorder="1" applyAlignment="1" applyProtection="1">
      <alignment horizontal="left" vertical="center" wrapText="1"/>
      <protection hidden="1"/>
    </xf>
    <xf numFmtId="0" fontId="115" fillId="0" borderId="1" xfId="0" applyFont="1" applyBorder="1" applyAlignment="1" applyProtection="1">
      <alignment horizontal="left" vertical="center" wrapText="1"/>
      <protection hidden="1"/>
    </xf>
    <xf numFmtId="2" fontId="115" fillId="0" borderId="1" xfId="0" applyNumberFormat="1" applyFont="1" applyBorder="1" applyAlignment="1" applyProtection="1">
      <alignment horizontal="left" vertical="center" wrapText="1"/>
      <protection hidden="1"/>
    </xf>
    <xf numFmtId="2" fontId="115" fillId="0" borderId="1" xfId="0" applyNumberFormat="1" applyFont="1" applyBorder="1" applyAlignment="1" applyProtection="1">
      <alignment horizontal="left" vertical="top" wrapText="1"/>
      <protection hidden="1"/>
    </xf>
    <xf numFmtId="0" fontId="115" fillId="3" borderId="1" xfId="0" applyFont="1" applyFill="1" applyBorder="1" applyAlignment="1" applyProtection="1">
      <alignment vertical="top" wrapText="1"/>
      <protection hidden="1"/>
    </xf>
    <xf numFmtId="0" fontId="115" fillId="0" borderId="1" xfId="0" applyFont="1" applyBorder="1" applyAlignment="1" applyProtection="1">
      <alignment horizontal="left" vertical="top" wrapText="1"/>
      <protection hidden="1"/>
    </xf>
    <xf numFmtId="0" fontId="117" fillId="0" borderId="1" xfId="0" applyFont="1" applyBorder="1" applyAlignment="1" applyProtection="1">
      <alignment vertical="top" wrapText="1"/>
      <protection hidden="1"/>
    </xf>
    <xf numFmtId="0" fontId="115" fillId="0" borderId="1" xfId="0" applyFont="1" applyBorder="1" applyAlignment="1" applyProtection="1">
      <alignment vertical="top" wrapText="1"/>
      <protection hidden="1"/>
    </xf>
    <xf numFmtId="0" fontId="132" fillId="0" borderId="0" xfId="30640" applyFont="1" applyAlignment="1">
      <alignment horizontal="center"/>
    </xf>
    <xf numFmtId="1" fontId="133" fillId="0" borderId="13" xfId="30640" applyNumberFormat="1" applyFont="1" applyBorder="1" applyAlignment="1">
      <alignment horizontal="center" vertical="center" wrapText="1"/>
    </xf>
    <xf numFmtId="0" fontId="133" fillId="0" borderId="13" xfId="30640" applyFont="1" applyBorder="1" applyAlignment="1">
      <alignment horizontal="center" vertical="center" wrapText="1"/>
    </xf>
    <xf numFmtId="2" fontId="131" fillId="0" borderId="1" xfId="30640" applyNumberFormat="1" applyFont="1" applyBorder="1" applyAlignment="1">
      <alignment horizontal="center" vertical="center" wrapText="1"/>
    </xf>
    <xf numFmtId="0" fontId="129" fillId="0" borderId="0" xfId="30640" applyAlignment="1">
      <alignment horizontal="center" vertical="center"/>
    </xf>
    <xf numFmtId="2" fontId="131" fillId="0" borderId="1" xfId="30640" applyNumberFormat="1" applyFont="1" applyBorder="1" applyAlignment="1">
      <alignment horizontal="center" vertical="center"/>
    </xf>
    <xf numFmtId="0" fontId="131" fillId="0" borderId="1" xfId="30640" applyFont="1" applyBorder="1" applyAlignment="1">
      <alignment horizontal="right" vertical="center" wrapText="1"/>
    </xf>
    <xf numFmtId="0" fontId="63" fillId="0" borderId="0" xfId="0" applyFont="1" applyAlignment="1">
      <alignment horizontal="center" vertical="top"/>
    </xf>
    <xf numFmtId="0" fontId="63" fillId="0" borderId="0" xfId="0" applyFont="1" applyAlignment="1">
      <alignment horizontal="left" vertical="top" wrapText="1"/>
    </xf>
    <xf numFmtId="1" fontId="63" fillId="0" borderId="1" xfId="0" applyNumberFormat="1" applyFont="1" applyBorder="1" applyAlignment="1">
      <alignment horizontal="center" vertical="top"/>
    </xf>
    <xf numFmtId="0" fontId="63" fillId="0" borderId="0" xfId="6575" applyFont="1" applyAlignment="1">
      <alignment horizontal="center" vertical="top"/>
    </xf>
    <xf numFmtId="0" fontId="64" fillId="0" borderId="1" xfId="0" applyFont="1" applyBorder="1" applyAlignment="1">
      <alignment horizontal="left" vertical="top" wrapText="1"/>
    </xf>
    <xf numFmtId="14" fontId="124" fillId="0" borderId="0" xfId="6575" applyNumberFormat="1" applyFont="1" applyAlignment="1">
      <alignment horizontal="center" vertical="top"/>
    </xf>
    <xf numFmtId="0" fontId="63" fillId="0" borderId="0" xfId="30647" applyFont="1" applyAlignment="1">
      <alignment horizontal="center"/>
    </xf>
    <xf numFmtId="0" fontId="65" fillId="0" borderId="0" xfId="30647" applyFont="1" applyAlignment="1">
      <alignment horizontal="center" vertical="top" wrapText="1"/>
    </xf>
    <xf numFmtId="0" fontId="64" fillId="0" borderId="1" xfId="30649" applyFont="1" applyBorder="1" applyAlignment="1">
      <alignment horizontal="left" vertical="center" wrapText="1"/>
    </xf>
    <xf numFmtId="0" fontId="63" fillId="0" borderId="4" xfId="30649" applyFont="1" applyBorder="1" applyAlignment="1">
      <alignment horizontal="right" vertical="center" wrapText="1"/>
    </xf>
    <xf numFmtId="0" fontId="63" fillId="0" borderId="5" xfId="30649" applyFont="1" applyBorder="1" applyAlignment="1">
      <alignment horizontal="right" vertical="center" wrapText="1"/>
    </xf>
    <xf numFmtId="0" fontId="64" fillId="0" borderId="0" xfId="30647" applyFont="1" applyAlignment="1">
      <alignment horizontal="justify" vertical="top" wrapText="1"/>
    </xf>
    <xf numFmtId="0" fontId="125" fillId="0" borderId="29" xfId="30650" applyFont="1" applyBorder="1" applyAlignment="1">
      <alignment horizontal="center" vertical="center"/>
    </xf>
    <xf numFmtId="0" fontId="125" fillId="0" borderId="24" xfId="30650" applyFont="1" applyBorder="1" applyAlignment="1">
      <alignment horizontal="center" vertical="center"/>
    </xf>
    <xf numFmtId="0" fontId="125" fillId="0" borderId="40" xfId="30650" applyFont="1" applyBorder="1" applyAlignment="1">
      <alignment horizontal="center" vertical="center"/>
    </xf>
    <xf numFmtId="0" fontId="124" fillId="0" borderId="29" xfId="30647" applyFont="1" applyBorder="1" applyAlignment="1">
      <alignment horizontal="justify" vertical="top" wrapText="1"/>
    </xf>
    <xf numFmtId="0" fontId="124" fillId="0" borderId="24" xfId="30647" applyFont="1" applyBorder="1" applyAlignment="1">
      <alignment horizontal="justify" vertical="top" wrapText="1"/>
    </xf>
    <xf numFmtId="0" fontId="124" fillId="0" borderId="40" xfId="30647" applyFont="1" applyBorder="1" applyAlignment="1">
      <alignment horizontal="justify" vertical="top" wrapText="1"/>
    </xf>
    <xf numFmtId="14" fontId="124" fillId="0" borderId="0" xfId="30647" applyNumberFormat="1" applyFont="1" applyAlignment="1">
      <alignment horizontal="center"/>
    </xf>
    <xf numFmtId="0" fontId="116" fillId="0" borderId="1" xfId="0" applyFont="1" applyBorder="1" applyAlignment="1" applyProtection="1">
      <alignment horizontal="center" vertical="center" wrapText="1"/>
      <protection locked="0"/>
    </xf>
    <xf numFmtId="0" fontId="117" fillId="0" borderId="1" xfId="0" applyFont="1" applyBorder="1" applyAlignment="1" applyProtection="1">
      <alignment horizontal="center" vertical="center" wrapText="1"/>
      <protection locked="0"/>
    </xf>
    <xf numFmtId="1" fontId="117" fillId="0" borderId="4" xfId="0" applyNumberFormat="1" applyFont="1" applyBorder="1" applyAlignment="1" applyProtection="1">
      <alignment horizontal="center" vertical="center" wrapText="1"/>
      <protection locked="0"/>
    </xf>
    <xf numFmtId="0" fontId="117" fillId="0" borderId="14" xfId="0" applyFont="1" applyBorder="1" applyAlignment="1" applyProtection="1">
      <alignment horizontal="center" vertical="center" wrapText="1"/>
      <protection locked="0"/>
    </xf>
    <xf numFmtId="0" fontId="117" fillId="0" borderId="5" xfId="0" applyFont="1" applyBorder="1" applyAlignment="1" applyProtection="1">
      <alignment horizontal="center" vertical="center" wrapText="1"/>
      <protection locked="0"/>
    </xf>
    <xf numFmtId="0" fontId="115" fillId="0" borderId="0" xfId="0" applyFont="1" applyAlignment="1" applyProtection="1">
      <alignment horizontal="left" wrapText="1"/>
      <protection locked="0"/>
    </xf>
    <xf numFmtId="0" fontId="115" fillId="0" borderId="0" xfId="3892" applyFont="1" applyAlignment="1" applyProtection="1">
      <alignment horizontal="left" vertical="top" wrapText="1"/>
      <protection locked="0"/>
    </xf>
    <xf numFmtId="0" fontId="115" fillId="0" borderId="0" xfId="0" applyFont="1" applyAlignment="1" applyProtection="1">
      <alignment horizontal="left" vertical="top" wrapText="1"/>
      <protection locked="0"/>
    </xf>
    <xf numFmtId="0" fontId="114" fillId="0" borderId="32" xfId="6618" applyFont="1" applyBorder="1" applyAlignment="1">
      <alignment horizontal="center"/>
    </xf>
    <xf numFmtId="0" fontId="114" fillId="0" borderId="0" xfId="6618" applyFont="1" applyAlignment="1">
      <alignment horizontal="center"/>
    </xf>
    <xf numFmtId="0" fontId="83" fillId="0" borderId="0" xfId="6618" applyFont="1" applyAlignment="1">
      <alignment horizontal="left"/>
    </xf>
    <xf numFmtId="0" fontId="4" fillId="14" borderId="0" xfId="6618" applyFont="1" applyFill="1" applyAlignment="1">
      <alignment horizontal="center"/>
    </xf>
    <xf numFmtId="0" fontId="4" fillId="16" borderId="4" xfId="6618" applyFont="1" applyFill="1" applyBorder="1" applyAlignment="1">
      <alignment horizontal="center"/>
    </xf>
    <xf numFmtId="0" fontId="4" fillId="16" borderId="5" xfId="6618" applyFont="1" applyFill="1" applyBorder="1" applyAlignment="1">
      <alignment horizontal="center"/>
    </xf>
    <xf numFmtId="0" fontId="64" fillId="0" borderId="1" xfId="0" applyFont="1" applyBorder="1" applyAlignment="1">
      <alignment horizontal="center" vertical="center" wrapText="1"/>
    </xf>
    <xf numFmtId="1" fontId="57" fillId="0" borderId="0" xfId="0" applyNumberFormat="1" applyFont="1" applyAlignment="1">
      <alignment horizontal="left" vertical="center" wrapText="1"/>
    </xf>
    <xf numFmtId="0" fontId="59" fillId="0" borderId="1" xfId="0" applyFont="1" applyBorder="1" applyAlignment="1">
      <alignment horizontal="center" vertical="center" wrapText="1"/>
    </xf>
    <xf numFmtId="0" fontId="59" fillId="0" borderId="1" xfId="0" applyFont="1" applyBorder="1" applyAlignment="1">
      <alignment horizontal="center" vertical="center"/>
    </xf>
    <xf numFmtId="0" fontId="63" fillId="0" borderId="13" xfId="0" applyFont="1" applyBorder="1" applyAlignment="1">
      <alignment horizontal="center" vertical="center"/>
    </xf>
    <xf numFmtId="0" fontId="63" fillId="0" borderId="1" xfId="0" applyFont="1" applyBorder="1" applyAlignment="1">
      <alignment horizontal="center" vertical="center" wrapText="1"/>
    </xf>
    <xf numFmtId="0" fontId="63" fillId="0" borderId="1" xfId="0" applyFont="1" applyBorder="1" applyAlignment="1">
      <alignment horizontal="center" vertical="center"/>
    </xf>
    <xf numFmtId="2" fontId="64" fillId="0" borderId="0" xfId="6367" applyNumberFormat="1" applyFont="1" applyAlignment="1">
      <alignment horizontal="center"/>
    </xf>
    <xf numFmtId="0" fontId="51" fillId="0" borderId="0" xfId="0" applyFont="1" applyAlignment="1">
      <alignment horizontal="center"/>
    </xf>
    <xf numFmtId="0" fontId="51" fillId="0" borderId="0" xfId="0" applyFont="1"/>
    <xf numFmtId="0" fontId="112" fillId="0" borderId="0" xfId="0" applyFont="1" applyAlignment="1">
      <alignment horizontal="center" vertical="top"/>
    </xf>
    <xf numFmtId="1" fontId="112" fillId="0" borderId="0" xfId="0" applyNumberFormat="1" applyFont="1" applyAlignment="1">
      <alignment horizontal="justify" vertical="justify" wrapText="1"/>
    </xf>
    <xf numFmtId="0" fontId="112" fillId="0" borderId="0" xfId="0" applyFont="1"/>
    <xf numFmtId="2" fontId="112" fillId="0" borderId="1" xfId="0" applyNumberFormat="1" applyFont="1" applyBorder="1" applyAlignment="1">
      <alignment horizontal="center" vertical="center"/>
    </xf>
    <xf numFmtId="0" fontId="51" fillId="0" borderId="0" xfId="0" applyFont="1" applyAlignment="1">
      <alignment horizontal="justify" vertical="top" wrapText="1"/>
    </xf>
    <xf numFmtId="0" fontId="51" fillId="0" borderId="0" xfId="0" applyFont="1" applyAlignment="1">
      <alignment horizontal="left"/>
    </xf>
    <xf numFmtId="0" fontId="112" fillId="0" borderId="0" xfId="0" applyFont="1" applyAlignment="1">
      <alignment horizontal="center" wrapText="1"/>
    </xf>
    <xf numFmtId="0" fontId="112" fillId="0" borderId="0" xfId="0" applyFont="1" applyAlignment="1">
      <alignment horizontal="left"/>
    </xf>
    <xf numFmtId="0" fontId="93" fillId="3" borderId="26" xfId="30634" applyFont="1" applyFill="1" applyBorder="1" applyAlignment="1">
      <alignment horizontal="left" vertical="top" wrapText="1"/>
    </xf>
    <xf numFmtId="0" fontId="93" fillId="3" borderId="27" xfId="30634" applyFont="1" applyFill="1" applyBorder="1" applyAlignment="1">
      <alignment horizontal="left" vertical="top" wrapText="1"/>
    </xf>
    <xf numFmtId="0" fontId="93" fillId="3" borderId="39" xfId="30634" applyFont="1" applyFill="1" applyBorder="1" applyAlignment="1">
      <alignment horizontal="left" vertical="top" wrapText="1"/>
    </xf>
    <xf numFmtId="0" fontId="94" fillId="0" borderId="29" xfId="30634" applyFont="1" applyBorder="1" applyAlignment="1">
      <alignment horizontal="center" vertical="top"/>
    </xf>
    <xf numFmtId="0" fontId="94" fillId="0" borderId="24" xfId="30634" applyFont="1" applyBorder="1" applyAlignment="1">
      <alignment horizontal="center" vertical="top"/>
    </xf>
    <xf numFmtId="0" fontId="94" fillId="0" borderId="40" xfId="30634" applyFont="1" applyBorder="1" applyAlignment="1">
      <alignment horizontal="center" vertical="top"/>
    </xf>
    <xf numFmtId="0" fontId="71" fillId="0" borderId="0" xfId="30634" applyFont="1" applyAlignment="1">
      <alignment horizontal="center" vertical="center"/>
    </xf>
    <xf numFmtId="0" fontId="72" fillId="0" borderId="0" xfId="30634" applyFont="1" applyAlignment="1">
      <alignment horizontal="center" vertical="top"/>
    </xf>
    <xf numFmtId="0" fontId="26" fillId="0" borderId="0" xfId="30634" applyFont="1" applyAlignment="1">
      <alignment horizontal="justify" vertical="top" wrapText="1"/>
    </xf>
    <xf numFmtId="0" fontId="26" fillId="0" borderId="0" xfId="30634" applyFont="1" applyAlignment="1">
      <alignment vertical="top" wrapText="1"/>
    </xf>
    <xf numFmtId="0" fontId="74" fillId="0" borderId="0" xfId="30634" applyFont="1" applyAlignment="1">
      <alignment vertical="top" wrapText="1"/>
    </xf>
    <xf numFmtId="0" fontId="26" fillId="0" borderId="0" xfId="30634" applyFont="1" applyAlignment="1">
      <alignment horizontal="center" vertical="top" wrapText="1"/>
    </xf>
    <xf numFmtId="0" fontId="75" fillId="0" borderId="0" xfId="30634" quotePrefix="1" applyFont="1" applyAlignment="1">
      <alignment horizontal="center" vertical="top" wrapText="1"/>
    </xf>
    <xf numFmtId="0" fontId="75" fillId="0" borderId="0" xfId="30634" applyFont="1" applyAlignment="1">
      <alignment horizontal="center" vertical="top" wrapText="1"/>
    </xf>
    <xf numFmtId="0" fontId="76" fillId="0" borderId="0" xfId="17486" applyFont="1" applyAlignment="1">
      <alignment horizontal="left" vertical="top" wrapText="1"/>
    </xf>
    <xf numFmtId="0" fontId="26" fillId="0" borderId="13" xfId="30634" applyFont="1" applyBorder="1" applyAlignment="1">
      <alignment horizontal="justify" vertical="top" wrapText="1"/>
    </xf>
    <xf numFmtId="194" fontId="31" fillId="0" borderId="1" xfId="30634" applyNumberFormat="1" applyFont="1" applyBorder="1" applyAlignment="1">
      <alignment horizontal="center" vertical="top" wrapText="1"/>
    </xf>
    <xf numFmtId="0" fontId="26" fillId="0" borderId="1" xfId="30634" applyFont="1" applyBorder="1" applyAlignment="1">
      <alignment horizontal="left" vertical="top" wrapText="1"/>
    </xf>
    <xf numFmtId="194" fontId="78" fillId="0" borderId="1" xfId="30634" applyNumberFormat="1" applyFont="1" applyBorder="1" applyAlignment="1">
      <alignment horizontal="center" vertical="top" wrapText="1"/>
    </xf>
    <xf numFmtId="195" fontId="79" fillId="0" borderId="4" xfId="30634" applyNumberFormat="1" applyFont="1" applyBorder="1" applyAlignment="1">
      <alignment horizontal="center" vertical="top" wrapText="1"/>
    </xf>
    <xf numFmtId="195" fontId="79" fillId="0" borderId="5" xfId="30634" applyNumberFormat="1" applyFont="1" applyBorder="1" applyAlignment="1">
      <alignment horizontal="center" vertical="top" wrapText="1"/>
    </xf>
    <xf numFmtId="0" fontId="26" fillId="0" borderId="0" xfId="30634" applyFont="1" applyAlignment="1">
      <alignment horizontal="justify" vertical="center" wrapText="1"/>
    </xf>
    <xf numFmtId="0" fontId="26" fillId="0" borderId="1" xfId="17486" applyFont="1" applyBorder="1" applyAlignment="1">
      <alignment horizontal="center" vertical="top" wrapText="1"/>
    </xf>
    <xf numFmtId="2" fontId="26" fillId="0" borderId="1" xfId="17486" applyNumberFormat="1" applyFont="1" applyBorder="1" applyAlignment="1">
      <alignment horizontal="center" vertical="top" wrapText="1"/>
    </xf>
    <xf numFmtId="0" fontId="80" fillId="0" borderId="4" xfId="17486" applyFont="1" applyBorder="1" applyAlignment="1">
      <alignment horizontal="left" vertical="center" wrapText="1"/>
    </xf>
    <xf numFmtId="0" fontId="80" fillId="0" borderId="5" xfId="17486" applyFont="1" applyBorder="1" applyAlignment="1">
      <alignment horizontal="left" vertical="center" wrapText="1"/>
    </xf>
    <xf numFmtId="2" fontId="81" fillId="0" borderId="1" xfId="17486" applyNumberFormat="1" applyFont="1" applyBorder="1" applyAlignment="1">
      <alignment horizontal="center" vertical="center" wrapText="1"/>
    </xf>
    <xf numFmtId="2" fontId="31" fillId="0" borderId="1" xfId="17486" applyNumberFormat="1" applyFont="1" applyBorder="1" applyAlignment="1">
      <alignment horizontal="center" vertical="center" wrapText="1"/>
    </xf>
    <xf numFmtId="0" fontId="80" fillId="0" borderId="4" xfId="17486" applyFont="1" applyBorder="1" applyAlignment="1">
      <alignment horizontal="left" vertical="top" wrapText="1"/>
    </xf>
    <xf numFmtId="0" fontId="80" fillId="0" borderId="5" xfId="17486" applyFont="1" applyBorder="1" applyAlignment="1">
      <alignment horizontal="left" vertical="top" wrapText="1"/>
    </xf>
    <xf numFmtId="2" fontId="81" fillId="0" borderId="1" xfId="17486" applyNumberFormat="1" applyFont="1" applyBorder="1" applyAlignment="1">
      <alignment horizontal="center" vertical="top" wrapText="1"/>
    </xf>
    <xf numFmtId="2" fontId="31" fillId="0" borderId="1" xfId="17486" applyNumberFormat="1" applyFont="1" applyBorder="1" applyAlignment="1">
      <alignment horizontal="center" vertical="top" wrapText="1"/>
    </xf>
    <xf numFmtId="0" fontId="80" fillId="0" borderId="1" xfId="17486" applyFont="1" applyBorder="1" applyAlignment="1">
      <alignment horizontal="left" vertical="top" wrapText="1"/>
    </xf>
    <xf numFmtId="2" fontId="81" fillId="0" borderId="4" xfId="17486" applyNumberFormat="1" applyFont="1" applyBorder="1" applyAlignment="1">
      <alignment horizontal="center" vertical="top" wrapText="1"/>
    </xf>
    <xf numFmtId="2" fontId="81" fillId="0" borderId="5" xfId="17486" applyNumberFormat="1" applyFont="1" applyBorder="1" applyAlignment="1">
      <alignment horizontal="center" vertical="top" wrapText="1"/>
    </xf>
    <xf numFmtId="2" fontId="82" fillId="0" borderId="1" xfId="17486" applyNumberFormat="1" applyFont="1" applyBorder="1" applyAlignment="1">
      <alignment horizontal="center" vertical="top" wrapText="1"/>
    </xf>
    <xf numFmtId="2" fontId="31" fillId="0" borderId="4" xfId="17486" applyNumberFormat="1" applyFont="1" applyBorder="1" applyAlignment="1">
      <alignment horizontal="left" vertical="top" wrapText="1"/>
    </xf>
    <xf numFmtId="2" fontId="31" fillId="0" borderId="5" xfId="17486" applyNumberFormat="1" applyFont="1" applyBorder="1" applyAlignment="1">
      <alignment horizontal="left" vertical="top" wrapText="1"/>
    </xf>
    <xf numFmtId="0" fontId="83" fillId="0" borderId="3" xfId="17486" applyFont="1" applyBorder="1" applyAlignment="1">
      <alignment horizontal="center" wrapText="1"/>
    </xf>
    <xf numFmtId="0" fontId="83" fillId="0" borderId="13" xfId="17486" applyFont="1" applyBorder="1" applyAlignment="1">
      <alignment horizontal="center" wrapText="1"/>
    </xf>
    <xf numFmtId="0" fontId="83" fillId="0" borderId="25" xfId="17486" applyFont="1" applyBorder="1" applyAlignment="1">
      <alignment horizontal="center" wrapText="1"/>
    </xf>
    <xf numFmtId="0" fontId="27" fillId="0" borderId="2" xfId="17486" applyFont="1" applyBorder="1" applyAlignment="1">
      <alignment horizontal="left" vertical="center" wrapText="1"/>
    </xf>
    <xf numFmtId="0" fontId="83" fillId="0" borderId="1" xfId="17486" applyFont="1" applyBorder="1" applyAlignment="1">
      <alignment horizontal="center" vertical="center" wrapText="1"/>
    </xf>
    <xf numFmtId="0" fontId="27" fillId="0" borderId="1" xfId="17486" applyFont="1" applyBorder="1" applyAlignment="1">
      <alignment horizontal="left" vertical="center" wrapText="1"/>
    </xf>
    <xf numFmtId="0" fontId="26" fillId="0" borderId="4" xfId="17486" applyFont="1" applyBorder="1" applyAlignment="1">
      <alignment horizontal="center" vertical="center" wrapText="1"/>
    </xf>
    <xf numFmtId="0" fontId="26" fillId="0" borderId="14" xfId="17486" applyFont="1" applyBorder="1" applyAlignment="1">
      <alignment horizontal="center" vertical="center" wrapText="1"/>
    </xf>
    <xf numFmtId="0" fontId="26" fillId="0" borderId="5" xfId="17486" applyFont="1" applyBorder="1" applyAlignment="1">
      <alignment horizontal="center" vertical="center" wrapText="1"/>
    </xf>
    <xf numFmtId="0" fontId="26" fillId="0" borderId="4" xfId="17486" applyFont="1" applyBorder="1" applyAlignment="1">
      <alignment horizontal="left" vertical="center" wrapText="1"/>
    </xf>
    <xf numFmtId="0" fontId="26" fillId="0" borderId="14" xfId="17486" applyFont="1" applyBorder="1" applyAlignment="1">
      <alignment horizontal="left" vertical="center" wrapText="1"/>
    </xf>
    <xf numFmtId="0" fontId="26" fillId="0" borderId="5" xfId="17486" applyFont="1" applyBorder="1" applyAlignment="1">
      <alignment horizontal="left" vertical="center" wrapText="1"/>
    </xf>
    <xf numFmtId="0" fontId="73" fillId="0" borderId="4" xfId="17486" applyFont="1" applyBorder="1" applyAlignment="1">
      <alignment horizontal="center" vertical="center"/>
    </xf>
    <xf numFmtId="0" fontId="73" fillId="0" borderId="5" xfId="17486" applyFont="1" applyBorder="1" applyAlignment="1">
      <alignment horizontal="center" vertical="center"/>
    </xf>
    <xf numFmtId="0" fontId="26" fillId="0" borderId="4" xfId="17486" applyFont="1" applyBorder="1" applyAlignment="1">
      <alignment horizontal="left" vertical="top" wrapText="1"/>
    </xf>
    <xf numFmtId="0" fontId="26" fillId="0" borderId="14" xfId="17486" applyFont="1" applyBorder="1" applyAlignment="1">
      <alignment horizontal="left" vertical="top" wrapText="1"/>
    </xf>
    <xf numFmtId="0" fontId="26" fillId="0" borderId="5" xfId="17486" applyFont="1" applyBorder="1" applyAlignment="1">
      <alignment horizontal="left" vertical="top" wrapText="1"/>
    </xf>
    <xf numFmtId="190" fontId="85" fillId="0" borderId="0" xfId="17486" applyNumberFormat="1" applyFont="1" applyAlignment="1">
      <alignment horizontal="left" vertical="top" wrapText="1"/>
    </xf>
    <xf numFmtId="0" fontId="74" fillId="0" borderId="1" xfId="17486" applyFont="1" applyBorder="1" applyAlignment="1">
      <alignment horizontal="left" vertical="top" wrapText="1"/>
    </xf>
    <xf numFmtId="0" fontId="26" fillId="0" borderId="4" xfId="17486" applyFont="1" applyBorder="1" applyAlignment="1">
      <alignment horizontal="center" vertical="top" wrapText="1"/>
    </xf>
    <xf numFmtId="0" fontId="26" fillId="0" borderId="5" xfId="17486" applyFont="1" applyBorder="1" applyAlignment="1">
      <alignment horizontal="center" vertical="top" wrapText="1"/>
    </xf>
    <xf numFmtId="0" fontId="84" fillId="0" borderId="1" xfId="17486" applyFont="1" applyBorder="1" applyAlignment="1">
      <alignment horizontal="left" vertical="top" wrapText="1"/>
    </xf>
    <xf numFmtId="0" fontId="26" fillId="0" borderId="4" xfId="17486" applyFont="1" applyBorder="1" applyAlignment="1">
      <alignment vertical="top" wrapText="1"/>
    </xf>
    <xf numFmtId="0" fontId="26" fillId="0" borderId="14" xfId="17486" applyFont="1" applyBorder="1" applyAlignment="1">
      <alignment vertical="top" wrapText="1"/>
    </xf>
    <xf numFmtId="0" fontId="26" fillId="0" borderId="5" xfId="17486" applyFont="1" applyBorder="1" applyAlignment="1">
      <alignment vertical="top" wrapText="1"/>
    </xf>
    <xf numFmtId="0" fontId="27" fillId="0" borderId="4" xfId="17486" applyFont="1" applyBorder="1" applyAlignment="1">
      <alignment horizontal="center" vertical="top" wrapText="1"/>
    </xf>
    <xf numFmtId="0" fontId="27" fillId="0" borderId="5" xfId="17486" applyFont="1" applyBorder="1" applyAlignment="1">
      <alignment horizontal="center" vertical="top" wrapText="1"/>
    </xf>
    <xf numFmtId="0" fontId="84" fillId="0" borderId="4" xfId="17486" applyFont="1" applyBorder="1" applyAlignment="1">
      <alignment horizontal="center" vertical="top" wrapText="1"/>
    </xf>
    <xf numFmtId="0" fontId="84" fillId="0" borderId="14" xfId="17486" applyFont="1" applyBorder="1" applyAlignment="1">
      <alignment horizontal="center" vertical="top" wrapText="1"/>
    </xf>
    <xf numFmtId="196" fontId="85" fillId="0" borderId="0" xfId="17486" applyNumberFormat="1" applyFont="1" applyAlignment="1">
      <alignment horizontal="left" vertical="top" wrapText="1"/>
    </xf>
    <xf numFmtId="0" fontId="86" fillId="0" borderId="4" xfId="17486" applyFont="1" applyBorder="1" applyAlignment="1">
      <alignment horizontal="left" vertical="top" wrapText="1"/>
    </xf>
    <xf numFmtId="0" fontId="86" fillId="0" borderId="14" xfId="17486" applyFont="1" applyBorder="1" applyAlignment="1">
      <alignment horizontal="left" vertical="top" wrapText="1"/>
    </xf>
    <xf numFmtId="0" fontId="86" fillId="0" borderId="5" xfId="17486" applyFont="1" applyBorder="1" applyAlignment="1">
      <alignment horizontal="left" vertical="top" wrapText="1"/>
    </xf>
    <xf numFmtId="2" fontId="26" fillId="0" borderId="4" xfId="17486" applyNumberFormat="1" applyFont="1" applyBorder="1" applyAlignment="1">
      <alignment horizontal="left" vertical="top" wrapText="1"/>
    </xf>
    <xf numFmtId="2" fontId="26" fillId="0" borderId="5" xfId="17486" applyNumberFormat="1" applyFont="1" applyBorder="1" applyAlignment="1">
      <alignment horizontal="left" vertical="top" wrapText="1"/>
    </xf>
    <xf numFmtId="0" fontId="84" fillId="0" borderId="4" xfId="17486" applyFont="1" applyBorder="1" applyAlignment="1">
      <alignment horizontal="left" vertical="top" wrapText="1"/>
    </xf>
    <xf numFmtId="0" fontId="84" fillId="0" borderId="14" xfId="17486" applyFont="1" applyBorder="1" applyAlignment="1">
      <alignment horizontal="left" vertical="top" wrapText="1"/>
    </xf>
    <xf numFmtId="0" fontId="84" fillId="0" borderId="5" xfId="17486" applyFont="1" applyBorder="1" applyAlignment="1">
      <alignment horizontal="left" vertical="top" wrapText="1"/>
    </xf>
    <xf numFmtId="0" fontId="84" fillId="0" borderId="5" xfId="17486" applyFont="1" applyBorder="1" applyAlignment="1">
      <alignment horizontal="center" vertical="top" wrapText="1"/>
    </xf>
    <xf numFmtId="2" fontId="26" fillId="3" borderId="4" xfId="17486" applyNumberFormat="1" applyFont="1" applyFill="1" applyBorder="1" applyAlignment="1">
      <alignment horizontal="left" vertical="top" wrapText="1"/>
    </xf>
    <xf numFmtId="2" fontId="26" fillId="3" borderId="5" xfId="17486" applyNumberFormat="1" applyFont="1" applyFill="1" applyBorder="1" applyAlignment="1">
      <alignment horizontal="left" vertical="top" wrapText="1"/>
    </xf>
    <xf numFmtId="0" fontId="26" fillId="3" borderId="4" xfId="17486" applyFont="1" applyFill="1" applyBorder="1" applyAlignment="1">
      <alignment vertical="top" wrapText="1"/>
    </xf>
    <xf numFmtId="0" fontId="26" fillId="3" borderId="14" xfId="17486" applyFont="1" applyFill="1" applyBorder="1" applyAlignment="1">
      <alignment vertical="top" wrapText="1"/>
    </xf>
    <xf numFmtId="0" fontId="84" fillId="3" borderId="4" xfId="17486" applyFont="1" applyFill="1" applyBorder="1" applyAlignment="1">
      <alignment horizontal="center" vertical="top" wrapText="1"/>
    </xf>
    <xf numFmtId="0" fontId="84" fillId="3" borderId="14" xfId="17486" applyFont="1" applyFill="1" applyBorder="1" applyAlignment="1">
      <alignment horizontal="center" vertical="top" wrapText="1"/>
    </xf>
    <xf numFmtId="0" fontId="89" fillId="0" borderId="4" xfId="6618" applyFont="1" applyBorder="1" applyAlignment="1">
      <alignment horizontal="left" vertical="top" wrapText="1"/>
    </xf>
    <xf numFmtId="0" fontId="89" fillId="0" borderId="14" xfId="6618" applyFont="1" applyBorder="1" applyAlignment="1">
      <alignment horizontal="left" vertical="top" wrapText="1"/>
    </xf>
    <xf numFmtId="0" fontId="89" fillId="0" borderId="5" xfId="6618" applyFont="1" applyBorder="1" applyAlignment="1">
      <alignment horizontal="left" vertical="top" wrapText="1"/>
    </xf>
    <xf numFmtId="2" fontId="79" fillId="0" borderId="4" xfId="6618" applyNumberFormat="1" applyFont="1" applyBorder="1" applyAlignment="1">
      <alignment horizontal="center" vertical="top" wrapText="1"/>
    </xf>
    <xf numFmtId="2" fontId="79" fillId="0" borderId="5" xfId="6618" applyNumberFormat="1" applyFont="1" applyBorder="1" applyAlignment="1">
      <alignment horizontal="center" vertical="top" wrapText="1"/>
    </xf>
    <xf numFmtId="0" fontId="86" fillId="0" borderId="4" xfId="6618" applyFont="1" applyBorder="1" applyAlignment="1">
      <alignment horizontal="left" vertical="top" wrapText="1"/>
    </xf>
    <xf numFmtId="0" fontId="86" fillId="0" borderId="5" xfId="6618" applyFont="1" applyBorder="1" applyAlignment="1">
      <alignment horizontal="left" vertical="top" wrapText="1"/>
    </xf>
    <xf numFmtId="0" fontId="27" fillId="0" borderId="4" xfId="6618" applyFont="1" applyBorder="1" applyAlignment="1">
      <alignment horizontal="center" vertical="top" wrapText="1"/>
    </xf>
    <xf numFmtId="0" fontId="27" fillId="0" borderId="14" xfId="6618" applyFont="1" applyBorder="1" applyAlignment="1">
      <alignment horizontal="center" vertical="top" wrapText="1"/>
    </xf>
    <xf numFmtId="0" fontId="27" fillId="0" borderId="5" xfId="6618" applyFont="1" applyBorder="1" applyAlignment="1">
      <alignment horizontal="center" vertical="top" wrapText="1"/>
    </xf>
    <xf numFmtId="2" fontId="79" fillId="0" borderId="1" xfId="6618" applyNumberFormat="1" applyFont="1" applyBorder="1" applyAlignment="1">
      <alignment horizontal="center" vertical="top" wrapText="1"/>
    </xf>
    <xf numFmtId="0" fontId="26" fillId="0" borderId="1" xfId="6618" applyFont="1" applyBorder="1" applyAlignment="1">
      <alignment horizontal="left" vertical="top"/>
    </xf>
    <xf numFmtId="0" fontId="77" fillId="0" borderId="1" xfId="17486" applyFont="1" applyBorder="1" applyAlignment="1">
      <alignment horizontal="left" vertical="top"/>
    </xf>
    <xf numFmtId="0" fontId="27" fillId="0" borderId="1" xfId="6618" applyFont="1" applyBorder="1" applyAlignment="1">
      <alignment horizontal="center" vertical="top" wrapText="1"/>
    </xf>
    <xf numFmtId="0" fontId="27" fillId="0" borderId="1" xfId="6618" applyFont="1" applyBorder="1" applyAlignment="1">
      <alignment horizontal="left" vertical="top"/>
    </xf>
    <xf numFmtId="0" fontId="27" fillId="0" borderId="1" xfId="6618" applyFont="1" applyBorder="1" applyAlignment="1">
      <alignment horizontal="center" vertical="top"/>
    </xf>
    <xf numFmtId="2" fontId="78" fillId="0" borderId="1" xfId="6618" applyNumberFormat="1" applyFont="1" applyBorder="1" applyAlignment="1">
      <alignment horizontal="center" vertical="top"/>
    </xf>
    <xf numFmtId="0" fontId="27" fillId="0" borderId="1" xfId="6618" applyFont="1" applyBorder="1" applyAlignment="1">
      <alignment horizontal="left" vertical="top" wrapText="1"/>
    </xf>
    <xf numFmtId="2" fontId="27" fillId="0" borderId="42" xfId="6618" applyNumberFormat="1" applyFont="1" applyBorder="1" applyAlignment="1">
      <alignment horizontal="center" vertical="top"/>
    </xf>
    <xf numFmtId="2" fontId="89" fillId="0" borderId="2" xfId="6618" applyNumberFormat="1" applyFont="1" applyBorder="1" applyAlignment="1">
      <alignment horizontal="center" vertical="top"/>
    </xf>
    <xf numFmtId="0" fontId="89" fillId="0" borderId="2" xfId="6618" applyFont="1" applyBorder="1" applyAlignment="1">
      <alignment horizontal="center" vertical="top"/>
    </xf>
    <xf numFmtId="0" fontId="74" fillId="0" borderId="4" xfId="6618" applyFont="1" applyBorder="1" applyAlignment="1">
      <alignment horizontal="center" vertical="top" wrapText="1"/>
    </xf>
    <xf numFmtId="0" fontId="74" fillId="0" borderId="5" xfId="6618" applyFont="1" applyBorder="1" applyAlignment="1">
      <alignment horizontal="center" vertical="top" wrapText="1"/>
    </xf>
    <xf numFmtId="2" fontId="27" fillId="0" borderId="1" xfId="6618" applyNumberFormat="1" applyFont="1" applyBorder="1" applyAlignment="1">
      <alignment horizontal="center" vertical="top"/>
    </xf>
    <xf numFmtId="171" fontId="27" fillId="0" borderId="1" xfId="6618" applyNumberFormat="1" applyFont="1" applyBorder="1" applyAlignment="1">
      <alignment horizontal="center" vertical="top"/>
    </xf>
    <xf numFmtId="198" fontId="79" fillId="0" borderId="1" xfId="6618" applyNumberFormat="1" applyFont="1" applyBorder="1" applyAlignment="1">
      <alignment horizontal="center" vertical="top"/>
    </xf>
    <xf numFmtId="0" fontId="77" fillId="0" borderId="0" xfId="17486" applyFont="1" applyAlignment="1">
      <alignment horizontal="justify" vertical="top" wrapText="1"/>
    </xf>
    <xf numFmtId="0" fontId="102" fillId="0" borderId="0" xfId="17486" applyFont="1" applyAlignment="1">
      <alignment horizontal="left" vertical="top" wrapText="1"/>
    </xf>
    <xf numFmtId="0" fontId="103" fillId="0" borderId="0" xfId="30634" applyFont="1" applyAlignment="1">
      <alignment horizontal="justify" vertical="top" wrapText="1"/>
    </xf>
    <xf numFmtId="0" fontId="97" fillId="0" borderId="0" xfId="17486" applyFont="1" applyAlignment="1">
      <alignment horizontal="center" vertical="top"/>
    </xf>
    <xf numFmtId="0" fontId="104" fillId="0" borderId="0" xfId="17486" applyFont="1" applyAlignment="1">
      <alignment horizontal="center" vertical="top"/>
    </xf>
    <xf numFmtId="0" fontId="77" fillId="0" borderId="0" xfId="17486" applyFont="1" applyAlignment="1">
      <alignment horizontal="left" vertical="top" wrapText="1"/>
    </xf>
    <xf numFmtId="0" fontId="111" fillId="0" borderId="1" xfId="30634" applyFont="1" applyBorder="1" applyAlignment="1">
      <alignment horizontal="left" vertical="top" wrapText="1"/>
    </xf>
    <xf numFmtId="0" fontId="26" fillId="0" borderId="0" xfId="30634" applyFont="1" applyAlignment="1">
      <alignment horizontal="center" vertical="top"/>
    </xf>
    <xf numFmtId="0" fontId="73" fillId="0" borderId="0" xfId="30634" applyFont="1" applyAlignment="1">
      <alignment horizontal="center" vertical="top"/>
    </xf>
    <xf numFmtId="0" fontId="84" fillId="0" borderId="21" xfId="17486" applyFont="1" applyBorder="1" applyAlignment="1">
      <alignment horizontal="center" vertical="center" wrapText="1"/>
    </xf>
    <xf numFmtId="0" fontId="84" fillId="0" borderId="22" xfId="17486" applyFont="1" applyBorder="1" applyAlignment="1">
      <alignment horizontal="center" vertical="center" wrapText="1"/>
    </xf>
    <xf numFmtId="0" fontId="84" fillId="0" borderId="34" xfId="17486" applyFont="1" applyBorder="1" applyAlignment="1">
      <alignment horizontal="center" vertical="center" wrapText="1"/>
    </xf>
    <xf numFmtId="0" fontId="84" fillId="0" borderId="10" xfId="17486" applyFont="1" applyBorder="1" applyAlignment="1">
      <alignment horizontal="center" vertical="center" wrapText="1"/>
    </xf>
    <xf numFmtId="0" fontId="84" fillId="0" borderId="0" xfId="17486" applyFont="1" applyAlignment="1">
      <alignment horizontal="center" vertical="center" wrapText="1"/>
    </xf>
    <xf numFmtId="0" fontId="84" fillId="0" borderId="20" xfId="17486" applyFont="1" applyBorder="1" applyAlignment="1">
      <alignment horizontal="center" vertical="center" wrapText="1"/>
    </xf>
    <xf numFmtId="0" fontId="84" fillId="0" borderId="3" xfId="17486" applyFont="1" applyBorder="1" applyAlignment="1">
      <alignment horizontal="center" vertical="center" wrapText="1"/>
    </xf>
    <xf numFmtId="0" fontId="84" fillId="0" borderId="13" xfId="17486" applyFont="1" applyBorder="1" applyAlignment="1">
      <alignment horizontal="center" vertical="center" wrapText="1"/>
    </xf>
    <xf numFmtId="0" fontId="84" fillId="0" borderId="25" xfId="17486" applyFont="1" applyBorder="1" applyAlignment="1">
      <alignment horizontal="center" vertical="center" wrapText="1"/>
    </xf>
    <xf numFmtId="0" fontId="27" fillId="0" borderId="2" xfId="17486" applyFont="1" applyBorder="1" applyAlignment="1">
      <alignment horizontal="center" vertical="center" wrapText="1"/>
    </xf>
    <xf numFmtId="0" fontId="27" fillId="0" borderId="1" xfId="17486" applyFont="1" applyBorder="1" applyAlignment="1">
      <alignment horizontal="center" vertical="center" wrapText="1"/>
    </xf>
    <xf numFmtId="0" fontId="93" fillId="0" borderId="30" xfId="30634" applyFont="1" applyBorder="1" applyAlignment="1">
      <alignment horizontal="left" vertical="top" wrapText="1"/>
    </xf>
    <xf numFmtId="0" fontId="93" fillId="0" borderId="31" xfId="30634" applyFont="1" applyBorder="1" applyAlignment="1">
      <alignment horizontal="left" vertical="top" wrapText="1"/>
    </xf>
    <xf numFmtId="0" fontId="93" fillId="0" borderId="37" xfId="30634" applyFont="1" applyBorder="1" applyAlignment="1">
      <alignment horizontal="left" vertical="top" wrapText="1"/>
    </xf>
    <xf numFmtId="0" fontId="93" fillId="0" borderId="32" xfId="30634" applyFont="1" applyBorder="1" applyAlignment="1">
      <alignment horizontal="left" vertical="top" wrapText="1"/>
    </xf>
    <xf numFmtId="0" fontId="93" fillId="0" borderId="0" xfId="30634" applyFont="1" applyAlignment="1">
      <alignment horizontal="left" vertical="top" wrapText="1"/>
    </xf>
    <xf numFmtId="0" fontId="93" fillId="0" borderId="41" xfId="30634" applyFont="1" applyBorder="1" applyAlignment="1">
      <alignment horizontal="left" vertical="top" wrapText="1"/>
    </xf>
    <xf numFmtId="0" fontId="93" fillId="0" borderId="33" xfId="30634" applyFont="1" applyBorder="1" applyAlignment="1">
      <alignment horizontal="left" vertical="top" wrapText="1"/>
    </xf>
    <xf numFmtId="0" fontId="93" fillId="0" borderId="23" xfId="30634" applyFont="1" applyBorder="1" applyAlignment="1">
      <alignment horizontal="left" vertical="top" wrapText="1"/>
    </xf>
    <xf numFmtId="0" fontId="93" fillId="0" borderId="35" xfId="30634" applyFont="1" applyBorder="1" applyAlignment="1">
      <alignment horizontal="left" vertical="top" wrapText="1"/>
    </xf>
    <xf numFmtId="0" fontId="105" fillId="0" borderId="0" xfId="17486" applyFont="1" applyAlignment="1">
      <alignment horizontal="left" vertical="top" wrapText="1"/>
    </xf>
    <xf numFmtId="192" fontId="64" fillId="0" borderId="0" xfId="0" applyNumberFormat="1" applyFont="1" applyAlignment="1">
      <alignment horizontal="center" vertical="center" wrapText="1"/>
    </xf>
    <xf numFmtId="0" fontId="63" fillId="0" borderId="0" xfId="0" applyFont="1" applyAlignment="1">
      <alignment vertical="center" wrapText="1"/>
    </xf>
    <xf numFmtId="192" fontId="66" fillId="0" borderId="0" xfId="0" applyNumberFormat="1" applyFont="1" applyAlignment="1">
      <alignment horizontal="center" vertical="center" wrapText="1"/>
    </xf>
    <xf numFmtId="1" fontId="66" fillId="0" borderId="0" xfId="0" applyNumberFormat="1" applyFont="1" applyAlignment="1">
      <alignment horizontal="center" vertical="center" wrapText="1"/>
    </xf>
    <xf numFmtId="1" fontId="64" fillId="0" borderId="0" xfId="0" applyNumberFormat="1" applyFont="1" applyAlignment="1">
      <alignment horizontal="left" vertical="center" wrapText="1"/>
    </xf>
    <xf numFmtId="192" fontId="64" fillId="0" borderId="13" xfId="0" applyNumberFormat="1" applyFont="1" applyBorder="1" applyAlignment="1">
      <alignment horizontal="center" vertical="center"/>
    </xf>
    <xf numFmtId="0" fontId="64" fillId="0" borderId="13" xfId="0" applyFont="1" applyBorder="1" applyAlignment="1">
      <alignment horizontal="center" vertical="center"/>
    </xf>
    <xf numFmtId="193" fontId="64" fillId="0" borderId="1" xfId="0" applyNumberFormat="1" applyFont="1" applyBorder="1" applyAlignment="1">
      <alignment horizontal="center" vertical="center"/>
    </xf>
    <xf numFmtId="193" fontId="64" fillId="0" borderId="11" xfId="0" applyNumberFormat="1" applyFont="1" applyBorder="1" applyAlignment="1">
      <alignment horizontal="justify" vertical="top" wrapText="1"/>
    </xf>
    <xf numFmtId="193" fontId="64" fillId="0" borderId="12" xfId="0" applyNumberFormat="1" applyFont="1" applyBorder="1" applyAlignment="1">
      <alignment horizontal="justify" vertical="top" wrapText="1"/>
    </xf>
    <xf numFmtId="193" fontId="64" fillId="0" borderId="17" xfId="0" applyNumberFormat="1" applyFont="1" applyBorder="1" applyAlignment="1">
      <alignment horizontal="justify" vertical="top" wrapText="1"/>
    </xf>
    <xf numFmtId="193" fontId="64" fillId="0" borderId="18" xfId="0" applyNumberFormat="1" applyFont="1" applyBorder="1" applyAlignment="1">
      <alignment horizontal="justify" vertical="top" wrapText="1"/>
    </xf>
    <xf numFmtId="193" fontId="64" fillId="0" borderId="19" xfId="0" applyNumberFormat="1" applyFont="1" applyBorder="1" applyAlignment="1">
      <alignment horizontal="justify" vertical="top" wrapText="1"/>
    </xf>
    <xf numFmtId="2" fontId="50" fillId="0" borderId="1" xfId="0" applyNumberFormat="1" applyFont="1" applyBorder="1" applyAlignment="1">
      <alignment horizontal="justify" vertical="top" wrapText="1"/>
    </xf>
    <xf numFmtId="0" fontId="50" fillId="0" borderId="1" xfId="0" applyFont="1" applyBorder="1" applyAlignment="1">
      <alignment horizontal="justify" vertical="top" wrapText="1"/>
    </xf>
    <xf numFmtId="0" fontId="4" fillId="0" borderId="1" xfId="0" applyFont="1" applyBorder="1" applyAlignment="1">
      <alignment horizontal="center" wrapText="1"/>
    </xf>
    <xf numFmtId="0" fontId="4" fillId="0" borderId="0" xfId="0" applyFont="1" applyAlignment="1">
      <alignment horizontal="center"/>
    </xf>
    <xf numFmtId="0" fontId="4" fillId="0" borderId="0" xfId="0" applyFont="1" applyAlignment="1">
      <alignment horizontal="center" wrapText="1"/>
    </xf>
    <xf numFmtId="0" fontId="0" fillId="0" borderId="0" xfId="0" applyAlignment="1">
      <alignment horizontal="center"/>
    </xf>
    <xf numFmtId="0" fontId="2" fillId="0" borderId="1" xfId="0" applyFont="1" applyBorder="1" applyAlignment="1">
      <alignment horizontal="center"/>
    </xf>
    <xf numFmtId="0" fontId="2" fillId="0" borderId="4" xfId="0" applyFont="1" applyBorder="1" applyAlignment="1">
      <alignment horizontal="center"/>
    </xf>
    <xf numFmtId="0" fontId="36" fillId="0" borderId="1" xfId="0" applyFont="1" applyBorder="1" applyAlignment="1">
      <alignment horizontal="center"/>
    </xf>
    <xf numFmtId="2" fontId="33" fillId="0" borderId="0" xfId="0" applyNumberFormat="1" applyFont="1" applyAlignment="1">
      <alignment horizontal="center" vertical="center" wrapText="1"/>
    </xf>
    <xf numFmtId="2" fontId="33" fillId="0" borderId="0" xfId="0" applyNumberFormat="1" applyFont="1" applyAlignment="1">
      <alignment horizontal="right" vertical="top"/>
    </xf>
    <xf numFmtId="1" fontId="33" fillId="0" borderId="0" xfId="0" applyNumberFormat="1" applyFont="1" applyAlignment="1">
      <alignment horizontal="left" vertical="top" wrapText="1"/>
    </xf>
    <xf numFmtId="1" fontId="32" fillId="0" borderId="0" xfId="0" applyNumberFormat="1" applyFont="1" applyAlignment="1">
      <alignment horizontal="left" vertical="top" wrapText="1"/>
    </xf>
    <xf numFmtId="0" fontId="32" fillId="0" borderId="1" xfId="0" applyFont="1" applyBorder="1" applyAlignment="1">
      <alignment horizontal="center" vertical="center" wrapText="1"/>
    </xf>
    <xf numFmtId="0" fontId="32" fillId="0" borderId="1" xfId="0" applyFont="1" applyBorder="1" applyAlignment="1">
      <alignment horizontal="justify" vertical="top" wrapText="1"/>
    </xf>
    <xf numFmtId="0" fontId="33" fillId="0" borderId="1" xfId="0" applyFont="1" applyBorder="1" applyAlignment="1">
      <alignment horizontal="left" vertical="center" wrapText="1"/>
    </xf>
    <xf numFmtId="0" fontId="33" fillId="0" borderId="1" xfId="0" applyFont="1" applyBorder="1" applyAlignment="1" applyProtection="1">
      <alignment horizontal="left" vertical="center"/>
      <protection hidden="1"/>
    </xf>
    <xf numFmtId="0" fontId="32" fillId="0" borderId="1" xfId="0" applyFont="1" applyBorder="1" applyAlignment="1" applyProtection="1">
      <alignment horizontal="justify" vertical="top" wrapText="1"/>
      <protection locked="0"/>
    </xf>
    <xf numFmtId="0" fontId="32" fillId="0" borderId="1" xfId="0" applyFont="1" applyBorder="1" applyAlignment="1" applyProtection="1">
      <alignment horizontal="justify" vertical="top" wrapText="1"/>
      <protection hidden="1"/>
    </xf>
    <xf numFmtId="2" fontId="32" fillId="0" borderId="0" xfId="0" applyNumberFormat="1" applyFont="1" applyAlignment="1">
      <alignment horizontal="left" vertical="center"/>
    </xf>
    <xf numFmtId="0" fontId="32" fillId="0" borderId="1" xfId="0" applyFont="1" applyBorder="1" applyAlignment="1">
      <alignment horizontal="center" vertical="center"/>
    </xf>
    <xf numFmtId="0" fontId="32" fillId="0" borderId="1" xfId="0" applyFont="1" applyBorder="1" applyAlignment="1" applyProtection="1">
      <alignment horizontal="justify" vertical="center" wrapText="1"/>
      <protection hidden="1"/>
    </xf>
    <xf numFmtId="0" fontId="33" fillId="0" borderId="1" xfId="0" applyFont="1" applyBorder="1" applyAlignment="1" applyProtection="1">
      <alignment horizontal="center" vertical="center" wrapText="1"/>
      <protection hidden="1"/>
    </xf>
    <xf numFmtId="0" fontId="32" fillId="0" borderId="1" xfId="0" applyFont="1" applyBorder="1" applyAlignment="1">
      <alignment horizontal="justify" vertical="center" wrapText="1"/>
    </xf>
    <xf numFmtId="0" fontId="32" fillId="0" borderId="0" xfId="0" applyFont="1" applyAlignment="1">
      <alignment horizontal="left" vertical="center"/>
    </xf>
    <xf numFmtId="0" fontId="28" fillId="3" borderId="6" xfId="0" applyFont="1" applyFill="1" applyBorder="1" applyAlignment="1">
      <alignment horizontal="center" vertical="top" wrapText="1"/>
    </xf>
    <xf numFmtId="0" fontId="27" fillId="4" borderId="6" xfId="2753" applyFont="1" applyFill="1" applyBorder="1" applyAlignment="1">
      <alignment horizontal="center" vertical="top" wrapText="1"/>
    </xf>
    <xf numFmtId="2" fontId="26" fillId="4" borderId="6" xfId="2753" applyNumberFormat="1" applyFont="1" applyFill="1" applyBorder="1" applyAlignment="1">
      <alignment horizontal="left" vertical="top" wrapText="1"/>
    </xf>
    <xf numFmtId="2" fontId="26" fillId="4" borderId="6" xfId="2753" applyNumberFormat="1" applyFont="1" applyFill="1" applyBorder="1" applyAlignment="1">
      <alignment horizontal="center" vertical="center" wrapText="1"/>
    </xf>
    <xf numFmtId="0" fontId="26" fillId="4" borderId="0" xfId="2753" applyFont="1" applyFill="1" applyAlignment="1">
      <alignment horizontal="center" vertical="center" wrapText="1"/>
    </xf>
    <xf numFmtId="2" fontId="26" fillId="4" borderId="0" xfId="2753" applyNumberFormat="1" applyFont="1" applyFill="1" applyAlignment="1">
      <alignment vertical="center" wrapText="1"/>
    </xf>
    <xf numFmtId="2" fontId="27" fillId="4" borderId="6" xfId="2753" applyNumberFormat="1" applyFont="1" applyFill="1" applyBorder="1" applyAlignment="1">
      <alignment horizontal="left" vertical="top" wrapText="1"/>
    </xf>
    <xf numFmtId="2" fontId="27" fillId="4" borderId="6" xfId="2753" applyNumberFormat="1" applyFont="1" applyFill="1" applyBorder="1" applyAlignment="1">
      <alignment horizontal="left" vertical="center" wrapText="1"/>
    </xf>
    <xf numFmtId="0" fontId="26" fillId="0" borderId="6" xfId="0" applyFont="1" applyBorder="1" applyAlignment="1">
      <alignment horizontal="center" vertical="top" wrapText="1"/>
    </xf>
    <xf numFmtId="2" fontId="27" fillId="0" borderId="6" xfId="2753" applyNumberFormat="1" applyFont="1" applyBorder="1" applyAlignment="1">
      <alignment horizontal="left" vertical="top" wrapText="1"/>
    </xf>
    <xf numFmtId="0" fontId="27" fillId="0" borderId="6" xfId="0" applyFont="1" applyBorder="1" applyAlignment="1">
      <alignment horizontal="center" vertical="top" wrapText="1"/>
    </xf>
    <xf numFmtId="0" fontId="26" fillId="0" borderId="7" xfId="0" applyFont="1" applyBorder="1" applyAlignment="1">
      <alignment horizontal="left" vertical="top" wrapText="1"/>
    </xf>
    <xf numFmtId="0" fontId="26" fillId="0" borderId="8" xfId="0" applyFont="1" applyBorder="1" applyAlignment="1">
      <alignment horizontal="left" vertical="top" wrapText="1"/>
    </xf>
    <xf numFmtId="0" fontId="26" fillId="0" borderId="9" xfId="0" applyFont="1" applyBorder="1" applyAlignment="1">
      <alignment horizontal="left" vertical="top" wrapText="1"/>
    </xf>
    <xf numFmtId="177" fontId="26" fillId="0" borderId="6" xfId="0" applyNumberFormat="1" applyFont="1" applyBorder="1" applyAlignment="1">
      <alignment horizontal="center" vertical="center" wrapText="1"/>
    </xf>
    <xf numFmtId="185" fontId="27" fillId="0" borderId="6" xfId="0" applyNumberFormat="1" applyFont="1" applyBorder="1" applyAlignment="1">
      <alignment horizontal="center" vertical="center" wrapText="1"/>
    </xf>
    <xf numFmtId="0" fontId="26" fillId="0" borderId="7" xfId="0" applyFont="1" applyBorder="1" applyAlignment="1">
      <alignment horizontal="justify" vertical="top" wrapText="1"/>
    </xf>
    <xf numFmtId="0" fontId="26" fillId="0" borderId="8" xfId="0" applyFont="1" applyBorder="1" applyAlignment="1">
      <alignment horizontal="justify" vertical="top" wrapText="1"/>
    </xf>
    <xf numFmtId="0" fontId="26" fillId="0" borderId="9" xfId="0" applyFont="1" applyBorder="1" applyAlignment="1">
      <alignment horizontal="justify" vertical="top" wrapText="1"/>
    </xf>
    <xf numFmtId="2" fontId="27" fillId="0" borderId="6" xfId="0" applyNumberFormat="1" applyFont="1" applyBorder="1" applyAlignment="1">
      <alignment horizontal="center" vertical="center" wrapText="1"/>
    </xf>
    <xf numFmtId="2" fontId="26" fillId="0" borderId="6" xfId="0" applyNumberFormat="1" applyFont="1" applyBorder="1" applyAlignment="1">
      <alignment horizontal="center" vertical="center" wrapText="1"/>
    </xf>
    <xf numFmtId="0" fontId="27" fillId="0" borderId="6" xfId="0" applyFont="1" applyBorder="1" applyAlignment="1">
      <alignment vertical="top" wrapText="1"/>
    </xf>
    <xf numFmtId="0" fontId="26" fillId="0" borderId="6" xfId="0" applyFont="1" applyBorder="1" applyAlignment="1">
      <alignment horizontal="left" vertical="center" wrapText="1"/>
    </xf>
    <xf numFmtId="0" fontId="26" fillId="0" borderId="6" xfId="0" applyFont="1" applyBorder="1" applyAlignment="1">
      <alignment horizontal="center" vertical="center" wrapText="1"/>
    </xf>
    <xf numFmtId="0" fontId="27" fillId="0" borderId="6" xfId="0" applyFont="1" applyBorder="1" applyAlignment="1">
      <alignment horizontal="left" vertical="center" wrapText="1"/>
    </xf>
    <xf numFmtId="2" fontId="26" fillId="0" borderId="7" xfId="0" applyNumberFormat="1" applyFont="1" applyBorder="1" applyAlignment="1">
      <alignment horizontal="justify" vertical="top" wrapText="1"/>
    </xf>
    <xf numFmtId="2" fontId="26" fillId="0" borderId="8" xfId="0" applyNumberFormat="1" applyFont="1" applyBorder="1" applyAlignment="1">
      <alignment horizontal="justify" vertical="top" wrapText="1"/>
    </xf>
    <xf numFmtId="2" fontId="26" fillId="0" borderId="9" xfId="0" applyNumberFormat="1" applyFont="1" applyBorder="1" applyAlignment="1">
      <alignment horizontal="justify" vertical="top" wrapText="1"/>
    </xf>
    <xf numFmtId="0" fontId="27" fillId="0" borderId="6" xfId="0" applyFont="1" applyBorder="1" applyAlignment="1">
      <alignment vertical="center" wrapText="1"/>
    </xf>
    <xf numFmtId="2" fontId="26" fillId="0" borderId="6" xfId="30646" applyNumberFormat="1" applyFont="1" applyBorder="1" applyAlignment="1">
      <alignment horizontal="left" vertical="center" wrapText="1"/>
    </xf>
    <xf numFmtId="0" fontId="27" fillId="0" borderId="7" xfId="6367" applyFont="1" applyBorder="1" applyAlignment="1">
      <alignment horizontal="left" vertical="top" wrapText="1"/>
    </xf>
    <xf numFmtId="0" fontId="27" fillId="0" borderId="8" xfId="6367" applyFont="1" applyBorder="1" applyAlignment="1">
      <alignment horizontal="left" vertical="top" wrapText="1"/>
    </xf>
    <xf numFmtId="0" fontId="27" fillId="0" borderId="9" xfId="6367" applyFont="1" applyBorder="1" applyAlignment="1">
      <alignment horizontal="left" vertical="top" wrapText="1"/>
    </xf>
    <xf numFmtId="2" fontId="26" fillId="0" borderId="7" xfId="6367" applyNumberFormat="1" applyFont="1" applyBorder="1" applyAlignment="1">
      <alignment horizontal="left" vertical="top" wrapText="1"/>
    </xf>
    <xf numFmtId="2" fontId="26" fillId="0" borderId="8" xfId="6367" applyNumberFormat="1" applyFont="1" applyBorder="1" applyAlignment="1">
      <alignment horizontal="left" vertical="top" wrapText="1"/>
    </xf>
    <xf numFmtId="2" fontId="26" fillId="0" borderId="9" xfId="6367" applyNumberFormat="1" applyFont="1" applyBorder="1" applyAlignment="1">
      <alignment horizontal="left" vertical="top" wrapText="1"/>
    </xf>
    <xf numFmtId="0" fontId="26" fillId="0" borderId="6" xfId="7064" applyFont="1" applyBorder="1" applyAlignment="1">
      <alignment horizontal="center" vertical="center" wrapText="1"/>
    </xf>
    <xf numFmtId="2" fontId="27" fillId="0" borderId="7" xfId="7064" applyNumberFormat="1" applyFont="1" applyBorder="1" applyAlignment="1">
      <alignment horizontal="left" vertical="center" wrapText="1"/>
    </xf>
    <xf numFmtId="2" fontId="27" fillId="0" borderId="8" xfId="7064" applyNumberFormat="1" applyFont="1" applyBorder="1" applyAlignment="1">
      <alignment horizontal="left" vertical="center" wrapText="1"/>
    </xf>
    <xf numFmtId="2" fontId="27" fillId="0" borderId="9" xfId="7064" applyNumberFormat="1" applyFont="1" applyBorder="1" applyAlignment="1">
      <alignment horizontal="left" vertical="center" wrapText="1"/>
    </xf>
    <xf numFmtId="176" fontId="26" fillId="0" borderId="7" xfId="7064" applyNumberFormat="1" applyFont="1" applyBorder="1" applyAlignment="1">
      <alignment horizontal="left" vertical="center" wrapText="1"/>
    </xf>
    <xf numFmtId="176" fontId="26" fillId="0" borderId="8" xfId="7064" applyNumberFormat="1" applyFont="1" applyBorder="1" applyAlignment="1">
      <alignment horizontal="left" vertical="center" wrapText="1"/>
    </xf>
    <xf numFmtId="176" fontId="26" fillId="0" borderId="9" xfId="7064" applyNumberFormat="1" applyFont="1" applyBorder="1" applyAlignment="1">
      <alignment horizontal="left" vertical="center" wrapText="1"/>
    </xf>
    <xf numFmtId="176" fontId="27" fillId="0" borderId="7" xfId="7064" applyNumberFormat="1" applyFont="1" applyBorder="1" applyAlignment="1">
      <alignment horizontal="left" vertical="top" wrapText="1"/>
    </xf>
    <xf numFmtId="176" fontId="27" fillId="0" borderId="8" xfId="7064" applyNumberFormat="1" applyFont="1" applyBorder="1" applyAlignment="1">
      <alignment horizontal="left" vertical="top" wrapText="1"/>
    </xf>
    <xf numFmtId="176" fontId="27" fillId="0" borderId="9" xfId="7064" applyNumberFormat="1" applyFont="1" applyBorder="1" applyAlignment="1">
      <alignment horizontal="left" vertical="top" wrapText="1"/>
    </xf>
    <xf numFmtId="183" fontId="26" fillId="0" borderId="6" xfId="7064" applyNumberFormat="1" applyFont="1" applyBorder="1" applyAlignment="1">
      <alignment horizontal="center" vertical="center" wrapText="1"/>
    </xf>
    <xf numFmtId="0" fontId="0" fillId="0" borderId="1" xfId="30638" applyFont="1" applyBorder="1" applyAlignment="1">
      <alignment horizontal="center"/>
    </xf>
    <xf numFmtId="0" fontId="0" fillId="0" borderId="1" xfId="30638" applyFont="1" applyBorder="1" applyAlignment="1">
      <alignment horizontal="center" vertical="top" wrapText="1"/>
    </xf>
    <xf numFmtId="2" fontId="10" fillId="0" borderId="1" xfId="30632" applyNumberFormat="1" applyFont="1" applyAlignment="1">
      <alignment horizontal="center" vertical="top" wrapText="1"/>
    </xf>
    <xf numFmtId="1" fontId="341" fillId="0" borderId="112" xfId="3524" applyNumberFormat="1" applyFont="1" applyBorder="1" applyAlignment="1">
      <alignment horizontal="center" vertical="center"/>
    </xf>
  </cellXfs>
  <cellStyles count="40028">
    <cellStyle name="20% - Accent1 2" xfId="4"/>
    <cellStyle name="20% - Accent1 2 2" xfId="5"/>
    <cellStyle name="20% - Accent1 2 2 2" xfId="6"/>
    <cellStyle name="20% - Accent1 2 3" xfId="7"/>
    <cellStyle name="20% - Accent1 2 3 2" xfId="8"/>
    <cellStyle name="20% - Accent1 2 4" xfId="9"/>
    <cellStyle name="20% - Accent1 2_Achampally-Gattubuthkur-Ganga-CRR" xfId="10"/>
    <cellStyle name="20% - Accent1 3" xfId="11"/>
    <cellStyle name="20% - Accent1 3 2" xfId="12"/>
    <cellStyle name="20% - Accent1 4" xfId="13"/>
    <cellStyle name="20% - Accent1 5" xfId="14"/>
    <cellStyle name="20% - Accent1 6" xfId="15"/>
    <cellStyle name="20% - Accent1 7" xfId="16"/>
    <cellStyle name="20% - Accent2 2" xfId="17"/>
    <cellStyle name="20% - Accent2 2 2" xfId="18"/>
    <cellStyle name="20% - Accent2 2 2 2" xfId="19"/>
    <cellStyle name="20% - Accent2 2 3" xfId="20"/>
    <cellStyle name="20% - Accent2 2 3 2" xfId="21"/>
    <cellStyle name="20% - Accent2 2 4" xfId="22"/>
    <cellStyle name="20% - Accent2 2_Achampally-Gattubuthkur-Ganga-CRR" xfId="23"/>
    <cellStyle name="20% - Accent2 3" xfId="24"/>
    <cellStyle name="20% - Accent2 3 2" xfId="25"/>
    <cellStyle name="20% - Accent2 4" xfId="26"/>
    <cellStyle name="20% - Accent2 5" xfId="27"/>
    <cellStyle name="20% - Accent2 6" xfId="28"/>
    <cellStyle name="20% - Accent2 7" xfId="29"/>
    <cellStyle name="20% - Accent3 2" xfId="30"/>
    <cellStyle name="20% - Accent3 2 2" xfId="31"/>
    <cellStyle name="20% - Accent3 2 2 2" xfId="32"/>
    <cellStyle name="20% - Accent3 2 3" xfId="33"/>
    <cellStyle name="20% - Accent3 2 3 2" xfId="34"/>
    <cellStyle name="20% - Accent3 2 4" xfId="35"/>
    <cellStyle name="20% - Accent3 2_Achampally-Gattubuthkur-Ganga-CRR" xfId="36"/>
    <cellStyle name="20% - Accent3 3" xfId="37"/>
    <cellStyle name="20% - Accent3 3 2" xfId="38"/>
    <cellStyle name="20% - Accent3 4" xfId="39"/>
    <cellStyle name="20% - Accent3 5" xfId="40"/>
    <cellStyle name="20% - Accent3 6" xfId="41"/>
    <cellStyle name="20% - Accent3 7" xfId="42"/>
    <cellStyle name="20% - Accent4 2" xfId="43"/>
    <cellStyle name="20% - Accent4 2 2" xfId="44"/>
    <cellStyle name="20% - Accent4 2 2 2" xfId="45"/>
    <cellStyle name="20% - Accent4 2 3" xfId="46"/>
    <cellStyle name="20% - Accent4 2 3 2" xfId="47"/>
    <cellStyle name="20% - Accent4 2 4" xfId="48"/>
    <cellStyle name="20% - Accent4 2_Achampally-Gattubuthkur-Ganga-CRR" xfId="49"/>
    <cellStyle name="20% - Accent4 3" xfId="50"/>
    <cellStyle name="20% - Accent4 3 2" xfId="51"/>
    <cellStyle name="20% - Accent4 4" xfId="52"/>
    <cellStyle name="20% - Accent4 5" xfId="53"/>
    <cellStyle name="20% - Accent4 6" xfId="54"/>
    <cellStyle name="20% - Accent4 7" xfId="55"/>
    <cellStyle name="20% - Accent5 2" xfId="56"/>
    <cellStyle name="20% - Accent5 2 2" xfId="57"/>
    <cellStyle name="20% - Accent5 2 2 2" xfId="58"/>
    <cellStyle name="20% - Accent5 2 3" xfId="59"/>
    <cellStyle name="20% - Accent5 2 3 2" xfId="60"/>
    <cellStyle name="20% - Accent5 2 4" xfId="61"/>
    <cellStyle name="20% - Accent5 2_Achampally-Gattubuthkur-Ganga-CRR" xfId="62"/>
    <cellStyle name="20% - Accent5 3" xfId="63"/>
    <cellStyle name="20% - Accent5 3 2" xfId="64"/>
    <cellStyle name="20% - Accent5 4" xfId="65"/>
    <cellStyle name="20% - Accent5 5" xfId="66"/>
    <cellStyle name="20% - Accent5 6" xfId="67"/>
    <cellStyle name="20% - Accent5 7" xfId="68"/>
    <cellStyle name="20% - Accent6 2" xfId="69"/>
    <cellStyle name="20% - Accent6 2 2" xfId="70"/>
    <cellStyle name="20% - Accent6 2 2 2" xfId="71"/>
    <cellStyle name="20% - Accent6 2 3" xfId="72"/>
    <cellStyle name="20% - Accent6 2 3 2" xfId="73"/>
    <cellStyle name="20% - Accent6 2 4" xfId="74"/>
    <cellStyle name="20% - Accent6 2_Achampally-Gattubuthkur-Ganga-CRR" xfId="75"/>
    <cellStyle name="20% - Accent6 3" xfId="76"/>
    <cellStyle name="20% - Accent6 3 2" xfId="77"/>
    <cellStyle name="20% - Accent6 4" xfId="78"/>
    <cellStyle name="20% - Accent6 5" xfId="79"/>
    <cellStyle name="20% - Accent6 6" xfId="80"/>
    <cellStyle name="20% - Accent6 7" xfId="81"/>
    <cellStyle name="40% - Accent1 2" xfId="82"/>
    <cellStyle name="40% - Accent1 2 2" xfId="83"/>
    <cellStyle name="40% - Accent1 2 2 2" xfId="84"/>
    <cellStyle name="40% - Accent1 2 3" xfId="85"/>
    <cellStyle name="40% - Accent1 2 3 2" xfId="86"/>
    <cellStyle name="40% - Accent1 2 4" xfId="87"/>
    <cellStyle name="40% - Accent1 2_Achampally-Gattubuthkur-Ganga-CRR" xfId="88"/>
    <cellStyle name="40% - Accent1 3" xfId="89"/>
    <cellStyle name="40% - Accent1 3 2" xfId="90"/>
    <cellStyle name="40% - Accent1 4" xfId="91"/>
    <cellStyle name="40% - Accent1 5" xfId="92"/>
    <cellStyle name="40% - Accent1 6" xfId="93"/>
    <cellStyle name="40% - Accent1 7" xfId="94"/>
    <cellStyle name="40% - Accent2 2" xfId="95"/>
    <cellStyle name="40% - Accent2 2 2" xfId="96"/>
    <cellStyle name="40% - Accent2 2 2 2" xfId="97"/>
    <cellStyle name="40% - Accent2 2 3" xfId="98"/>
    <cellStyle name="40% - Accent2 2 3 2" xfId="99"/>
    <cellStyle name="40% - Accent2 2 4" xfId="100"/>
    <cellStyle name="40% - Accent2 2_Achampally-Gattubuthkur-Ganga-CRR" xfId="101"/>
    <cellStyle name="40% - Accent2 3" xfId="102"/>
    <cellStyle name="40% - Accent2 3 2" xfId="103"/>
    <cellStyle name="40% - Accent2 4" xfId="104"/>
    <cellStyle name="40% - Accent2 5" xfId="105"/>
    <cellStyle name="40% - Accent2 6" xfId="106"/>
    <cellStyle name="40% - Accent2 7" xfId="107"/>
    <cellStyle name="40% - Accent3 2" xfId="108"/>
    <cellStyle name="40% - Accent3 2 2" xfId="109"/>
    <cellStyle name="40% - Accent3 2 2 2" xfId="110"/>
    <cellStyle name="40% - Accent3 2 3" xfId="111"/>
    <cellStyle name="40% - Accent3 2 3 2" xfId="112"/>
    <cellStyle name="40% - Accent3 2 4" xfId="113"/>
    <cellStyle name="40% - Accent3 2_Achampally-Gattubuthkur-Ganga-CRR" xfId="114"/>
    <cellStyle name="40% - Accent3 3" xfId="115"/>
    <cellStyle name="40% - Accent3 3 2" xfId="116"/>
    <cellStyle name="40% - Accent3 4" xfId="117"/>
    <cellStyle name="40% - Accent3 5" xfId="118"/>
    <cellStyle name="40% - Accent3 6" xfId="119"/>
    <cellStyle name="40% - Accent3 7" xfId="120"/>
    <cellStyle name="40% - Accent4 2" xfId="121"/>
    <cellStyle name="40% - Accent4 2 2" xfId="122"/>
    <cellStyle name="40% - Accent4 2 2 2" xfId="123"/>
    <cellStyle name="40% - Accent4 2 3" xfId="124"/>
    <cellStyle name="40% - Accent4 2 3 2" xfId="125"/>
    <cellStyle name="40% - Accent4 2 4" xfId="126"/>
    <cellStyle name="40% - Accent4 2_Achampally-Gattubuthkur-Ganga-CRR" xfId="127"/>
    <cellStyle name="40% - Accent4 3" xfId="128"/>
    <cellStyle name="40% - Accent4 3 2" xfId="129"/>
    <cellStyle name="40% - Accent4 4" xfId="130"/>
    <cellStyle name="40% - Accent4 5" xfId="131"/>
    <cellStyle name="40% - Accent4 6" xfId="132"/>
    <cellStyle name="40% - Accent4 7" xfId="133"/>
    <cellStyle name="40% - Accent5 2" xfId="134"/>
    <cellStyle name="40% - Accent5 2 2" xfId="135"/>
    <cellStyle name="40% - Accent5 2 2 2" xfId="136"/>
    <cellStyle name="40% - Accent5 2 3" xfId="137"/>
    <cellStyle name="40% - Accent5 2 3 2" xfId="138"/>
    <cellStyle name="40% - Accent5 2 4" xfId="139"/>
    <cellStyle name="40% - Accent5 2_Achampally-Gattubuthkur-Ganga-CRR" xfId="140"/>
    <cellStyle name="40% - Accent5 3" xfId="141"/>
    <cellStyle name="40% - Accent5 3 2" xfId="142"/>
    <cellStyle name="40% - Accent5 4" xfId="143"/>
    <cellStyle name="40% - Accent5 5" xfId="144"/>
    <cellStyle name="40% - Accent5 6" xfId="145"/>
    <cellStyle name="40% - Accent5 7" xfId="146"/>
    <cellStyle name="40% - Accent6 2" xfId="147"/>
    <cellStyle name="40% - Accent6 2 2" xfId="148"/>
    <cellStyle name="40% - Accent6 2 2 2" xfId="149"/>
    <cellStyle name="40% - Accent6 2 3" xfId="150"/>
    <cellStyle name="40% - Accent6 2 3 2" xfId="151"/>
    <cellStyle name="40% - Accent6 2 4" xfId="152"/>
    <cellStyle name="40% - Accent6 2_Achampally-Gattubuthkur-Ganga-CRR" xfId="153"/>
    <cellStyle name="40% - Accent6 3" xfId="154"/>
    <cellStyle name="40% - Accent6 3 2" xfId="155"/>
    <cellStyle name="40% - Accent6 4" xfId="156"/>
    <cellStyle name="40% - Accent6 5" xfId="157"/>
    <cellStyle name="40% - Accent6 6" xfId="158"/>
    <cellStyle name="40% - Accent6 7" xfId="159"/>
    <cellStyle name="60% - Accent1 2" xfId="160"/>
    <cellStyle name="60% - Accent1 2 2" xfId="161"/>
    <cellStyle name="60% - Accent1 2 2 2" xfId="162"/>
    <cellStyle name="60% - Accent1 2 3" xfId="163"/>
    <cellStyle name="60% - Accent1 2 3 2" xfId="164"/>
    <cellStyle name="60% - Accent1 2 4" xfId="165"/>
    <cellStyle name="60% - Accent1 3" xfId="166"/>
    <cellStyle name="60% - Accent1 3 2" xfId="167"/>
    <cellStyle name="60% - Accent1 4" xfId="168"/>
    <cellStyle name="60% - Accent1 5" xfId="169"/>
    <cellStyle name="60% - Accent1 6" xfId="170"/>
    <cellStyle name="60% - Accent2 2" xfId="171"/>
    <cellStyle name="60% - Accent2 2 2" xfId="172"/>
    <cellStyle name="60% - Accent2 2 2 2" xfId="173"/>
    <cellStyle name="60% - Accent2 2 3" xfId="174"/>
    <cellStyle name="60% - Accent2 2 3 2" xfId="175"/>
    <cellStyle name="60% - Accent2 2 4" xfId="176"/>
    <cellStyle name="60% - Accent2 3" xfId="177"/>
    <cellStyle name="60% - Accent2 3 2" xfId="178"/>
    <cellStyle name="60% - Accent2 4" xfId="179"/>
    <cellStyle name="60% - Accent2 5" xfId="180"/>
    <cellStyle name="60% - Accent2 6" xfId="181"/>
    <cellStyle name="60% - Accent3 2" xfId="182"/>
    <cellStyle name="60% - Accent3 2 2" xfId="183"/>
    <cellStyle name="60% - Accent3 2 2 2" xfId="184"/>
    <cellStyle name="60% - Accent3 2 3" xfId="185"/>
    <cellStyle name="60% - Accent3 2 3 2" xfId="186"/>
    <cellStyle name="60% - Accent3 2 4" xfId="187"/>
    <cellStyle name="60% - Accent3 3" xfId="188"/>
    <cellStyle name="60% - Accent3 3 2" xfId="189"/>
    <cellStyle name="60% - Accent3 4" xfId="190"/>
    <cellStyle name="60% - Accent3 5" xfId="191"/>
    <cellStyle name="60% - Accent3 6" xfId="192"/>
    <cellStyle name="60% - Accent4 2" xfId="193"/>
    <cellStyle name="60% - Accent4 2 2" xfId="194"/>
    <cellStyle name="60% - Accent4 2 2 2" xfId="195"/>
    <cellStyle name="60% - Accent4 2 3" xfId="196"/>
    <cellStyle name="60% - Accent4 2 3 2" xfId="197"/>
    <cellStyle name="60% - Accent4 2 4" xfId="198"/>
    <cellStyle name="60% - Accent4 3" xfId="199"/>
    <cellStyle name="60% - Accent4 3 2" xfId="200"/>
    <cellStyle name="60% - Accent4 4" xfId="201"/>
    <cellStyle name="60% - Accent4 5" xfId="202"/>
    <cellStyle name="60% - Accent4 6" xfId="203"/>
    <cellStyle name="60% - Accent5 2" xfId="204"/>
    <cellStyle name="60% - Accent5 2 2" xfId="205"/>
    <cellStyle name="60% - Accent5 2 2 2" xfId="206"/>
    <cellStyle name="60% - Accent5 2 3" xfId="207"/>
    <cellStyle name="60% - Accent5 2 3 2" xfId="208"/>
    <cellStyle name="60% - Accent5 2 4" xfId="209"/>
    <cellStyle name="60% - Accent5 3" xfId="210"/>
    <cellStyle name="60% - Accent5 3 2" xfId="211"/>
    <cellStyle name="60% - Accent5 4" xfId="212"/>
    <cellStyle name="60% - Accent5 5" xfId="213"/>
    <cellStyle name="60% - Accent5 6" xfId="214"/>
    <cellStyle name="60% - Accent6 2" xfId="215"/>
    <cellStyle name="60% - Accent6 2 2" xfId="216"/>
    <cellStyle name="60% - Accent6 2 2 2" xfId="217"/>
    <cellStyle name="60% - Accent6 2 3" xfId="218"/>
    <cellStyle name="60% - Accent6 2 3 2" xfId="219"/>
    <cellStyle name="60% - Accent6 2 4" xfId="220"/>
    <cellStyle name="60% - Accent6 3" xfId="221"/>
    <cellStyle name="60% - Accent6 3 2" xfId="222"/>
    <cellStyle name="60% - Accent6 4" xfId="223"/>
    <cellStyle name="60% - Accent6 5" xfId="224"/>
    <cellStyle name="60% - Accent6 6" xfId="225"/>
    <cellStyle name="Accent1 - 20%" xfId="226"/>
    <cellStyle name="Accent1 - 20% 2" xfId="227"/>
    <cellStyle name="Accent1 - 20% 2 2" xfId="228"/>
    <cellStyle name="Accent1 - 20% 3" xfId="229"/>
    <cellStyle name="Accent1 - 20% 3 2" xfId="230"/>
    <cellStyle name="Accent1 - 20% 4" xfId="231"/>
    <cellStyle name="Accent1 - 20%_Achampally-Gattubuthkur-Ganga-CRR" xfId="232"/>
    <cellStyle name="Accent1 - 40%" xfId="233"/>
    <cellStyle name="Accent1 - 40% 2" xfId="234"/>
    <cellStyle name="Accent1 - 40% 2 2" xfId="235"/>
    <cellStyle name="Accent1 - 40% 3" xfId="236"/>
    <cellStyle name="Accent1 - 40% 3 2" xfId="237"/>
    <cellStyle name="Accent1 - 40% 4" xfId="238"/>
    <cellStyle name="Accent1 - 40%_Achampally-Gattubuthkur-Ganga-CRR" xfId="239"/>
    <cellStyle name="Accent1 - 60%" xfId="240"/>
    <cellStyle name="Accent1 - 60% 2" xfId="241"/>
    <cellStyle name="Accent1 - 60% 2 2" xfId="242"/>
    <cellStyle name="Accent1 - 60% 3" xfId="243"/>
    <cellStyle name="Accent1 - 60% 3 2" xfId="244"/>
    <cellStyle name="Accent1 - 60% 4" xfId="245"/>
    <cellStyle name="Accent1 10" xfId="246"/>
    <cellStyle name="Accent1 11" xfId="247"/>
    <cellStyle name="Accent1 12" xfId="248"/>
    <cellStyle name="Accent1 13" xfId="249"/>
    <cellStyle name="Accent1 14" xfId="250"/>
    <cellStyle name="Accent1 15" xfId="251"/>
    <cellStyle name="Accent1 16" xfId="252"/>
    <cellStyle name="Accent1 17" xfId="253"/>
    <cellStyle name="Accent1 18" xfId="254"/>
    <cellStyle name="Accent1 19" xfId="255"/>
    <cellStyle name="Accent1 2" xfId="256"/>
    <cellStyle name="Accent1 2 2" xfId="257"/>
    <cellStyle name="Accent1 2 2 2" xfId="258"/>
    <cellStyle name="Accent1 2 3" xfId="259"/>
    <cellStyle name="Accent1 2 3 2" xfId="260"/>
    <cellStyle name="Accent1 2 4" xfId="261"/>
    <cellStyle name="Accent1 20" xfId="262"/>
    <cellStyle name="Accent1 21" xfId="263"/>
    <cellStyle name="Accent1 22" xfId="264"/>
    <cellStyle name="Accent1 23" xfId="265"/>
    <cellStyle name="Accent1 3" xfId="266"/>
    <cellStyle name="Accent1 3 2" xfId="267"/>
    <cellStyle name="Accent1 4" xfId="268"/>
    <cellStyle name="Accent1 5" xfId="269"/>
    <cellStyle name="Accent1 6" xfId="270"/>
    <cellStyle name="Accent1 7" xfId="271"/>
    <cellStyle name="Accent1 8" xfId="272"/>
    <cellStyle name="Accent1 9" xfId="273"/>
    <cellStyle name="Accent2 - 20%" xfId="274"/>
    <cellStyle name="Accent2 - 20% 2" xfId="275"/>
    <cellStyle name="Accent2 - 20% 2 2" xfId="276"/>
    <cellStyle name="Accent2 - 20% 3" xfId="277"/>
    <cellStyle name="Accent2 - 20% 3 2" xfId="278"/>
    <cellStyle name="Accent2 - 20% 4" xfId="279"/>
    <cellStyle name="Accent2 - 20%_Achampally-Gattubuthkur-Ganga-CRR" xfId="280"/>
    <cellStyle name="Accent2 - 40%" xfId="281"/>
    <cellStyle name="Accent2 - 40% 2" xfId="282"/>
    <cellStyle name="Accent2 - 40% 2 2" xfId="283"/>
    <cellStyle name="Accent2 - 40% 3" xfId="284"/>
    <cellStyle name="Accent2 - 40% 3 2" xfId="285"/>
    <cellStyle name="Accent2 - 40% 4" xfId="286"/>
    <cellStyle name="Accent2 - 40%_Achampally-Gattubuthkur-Ganga-CRR" xfId="287"/>
    <cellStyle name="Accent2 - 60%" xfId="288"/>
    <cellStyle name="Accent2 - 60% 2" xfId="289"/>
    <cellStyle name="Accent2 - 60% 2 2" xfId="290"/>
    <cellStyle name="Accent2 - 60% 3" xfId="291"/>
    <cellStyle name="Accent2 - 60% 3 2" xfId="292"/>
    <cellStyle name="Accent2 - 60% 4" xfId="293"/>
    <cellStyle name="Accent2 10" xfId="294"/>
    <cellStyle name="Accent2 11" xfId="295"/>
    <cellStyle name="Accent2 12" xfId="296"/>
    <cellStyle name="Accent2 13" xfId="297"/>
    <cellStyle name="Accent2 14" xfId="298"/>
    <cellStyle name="Accent2 15" xfId="299"/>
    <cellStyle name="Accent2 16" xfId="300"/>
    <cellStyle name="Accent2 17" xfId="301"/>
    <cellStyle name="Accent2 18" xfId="302"/>
    <cellStyle name="Accent2 19" xfId="303"/>
    <cellStyle name="Accent2 2" xfId="304"/>
    <cellStyle name="Accent2 2 2" xfId="305"/>
    <cellStyle name="Accent2 2 2 2" xfId="306"/>
    <cellStyle name="Accent2 2 3" xfId="307"/>
    <cellStyle name="Accent2 2 3 2" xfId="308"/>
    <cellStyle name="Accent2 2 4" xfId="309"/>
    <cellStyle name="Accent2 20" xfId="310"/>
    <cellStyle name="Accent2 21" xfId="311"/>
    <cellStyle name="Accent2 22" xfId="312"/>
    <cellStyle name="Accent2 23" xfId="313"/>
    <cellStyle name="Accent2 3" xfId="314"/>
    <cellStyle name="Accent2 3 2" xfId="315"/>
    <cellStyle name="Accent2 4" xfId="316"/>
    <cellStyle name="Accent2 5" xfId="317"/>
    <cellStyle name="Accent2 6" xfId="318"/>
    <cellStyle name="Accent2 7" xfId="319"/>
    <cellStyle name="Accent2 8" xfId="320"/>
    <cellStyle name="Accent2 9" xfId="321"/>
    <cellStyle name="Accent3 - 20%" xfId="322"/>
    <cellStyle name="Accent3 - 20% 2" xfId="323"/>
    <cellStyle name="Accent3 - 20% 2 2" xfId="324"/>
    <cellStyle name="Accent3 - 20% 3" xfId="325"/>
    <cellStyle name="Accent3 - 20% 3 2" xfId="326"/>
    <cellStyle name="Accent3 - 20% 4" xfId="327"/>
    <cellStyle name="Accent3 - 20%_Achampally-Gattubuthkur-Ganga-CRR" xfId="328"/>
    <cellStyle name="Accent3 - 40%" xfId="329"/>
    <cellStyle name="Accent3 - 40% 2" xfId="330"/>
    <cellStyle name="Accent3 - 40% 2 2" xfId="331"/>
    <cellStyle name="Accent3 - 40% 3" xfId="332"/>
    <cellStyle name="Accent3 - 40% 3 2" xfId="333"/>
    <cellStyle name="Accent3 - 40% 4" xfId="334"/>
    <cellStyle name="Accent3 - 40%_Achampally-Gattubuthkur-Ganga-CRR" xfId="335"/>
    <cellStyle name="Accent3 - 60%" xfId="336"/>
    <cellStyle name="Accent3 - 60% 2" xfId="337"/>
    <cellStyle name="Accent3 - 60% 2 2" xfId="338"/>
    <cellStyle name="Accent3 - 60% 3" xfId="339"/>
    <cellStyle name="Accent3 - 60% 3 2" xfId="340"/>
    <cellStyle name="Accent3 - 60% 4" xfId="341"/>
    <cellStyle name="Accent3 10" xfId="342"/>
    <cellStyle name="Accent3 11" xfId="343"/>
    <cellStyle name="Accent3 12" xfId="344"/>
    <cellStyle name="Accent3 13" xfId="345"/>
    <cellStyle name="Accent3 14" xfId="346"/>
    <cellStyle name="Accent3 15" xfId="347"/>
    <cellStyle name="Accent3 16" xfId="348"/>
    <cellStyle name="Accent3 17" xfId="349"/>
    <cellStyle name="Accent3 18" xfId="350"/>
    <cellStyle name="Accent3 19" xfId="351"/>
    <cellStyle name="Accent3 2" xfId="352"/>
    <cellStyle name="Accent3 2 2" xfId="353"/>
    <cellStyle name="Accent3 2 2 2" xfId="354"/>
    <cellStyle name="Accent3 2 3" xfId="355"/>
    <cellStyle name="Accent3 2 3 2" xfId="356"/>
    <cellStyle name="Accent3 2 4" xfId="357"/>
    <cellStyle name="Accent3 20" xfId="358"/>
    <cellStyle name="Accent3 21" xfId="359"/>
    <cellStyle name="Accent3 22" xfId="360"/>
    <cellStyle name="Accent3 23" xfId="361"/>
    <cellStyle name="Accent3 3" xfId="362"/>
    <cellStyle name="Accent3 3 2" xfId="363"/>
    <cellStyle name="Accent3 4" xfId="364"/>
    <cellStyle name="Accent3 5" xfId="365"/>
    <cellStyle name="Accent3 6" xfId="366"/>
    <cellStyle name="Accent3 7" xfId="367"/>
    <cellStyle name="Accent3 8" xfId="368"/>
    <cellStyle name="Accent3 9" xfId="369"/>
    <cellStyle name="Accent4 - 20%" xfId="370"/>
    <cellStyle name="Accent4 - 20% 2" xfId="371"/>
    <cellStyle name="Accent4 - 20% 2 2" xfId="372"/>
    <cellStyle name="Accent4 - 20% 3" xfId="373"/>
    <cellStyle name="Accent4 - 20% 3 2" xfId="374"/>
    <cellStyle name="Accent4 - 20% 4" xfId="375"/>
    <cellStyle name="Accent4 - 20%_Achampally-Gattubuthkur-Ganga-CRR" xfId="376"/>
    <cellStyle name="Accent4 - 40%" xfId="377"/>
    <cellStyle name="Accent4 - 40% 2" xfId="378"/>
    <cellStyle name="Accent4 - 40% 2 2" xfId="379"/>
    <cellStyle name="Accent4 - 40% 3" xfId="380"/>
    <cellStyle name="Accent4 - 40% 3 2" xfId="381"/>
    <cellStyle name="Accent4 - 40% 4" xfId="382"/>
    <cellStyle name="Accent4 - 40%_Achampally-Gattubuthkur-Ganga-CRR" xfId="383"/>
    <cellStyle name="Accent4 - 60%" xfId="384"/>
    <cellStyle name="Accent4 - 60% 2" xfId="385"/>
    <cellStyle name="Accent4 - 60% 2 2" xfId="386"/>
    <cellStyle name="Accent4 - 60% 3" xfId="387"/>
    <cellStyle name="Accent4 - 60% 3 2" xfId="388"/>
    <cellStyle name="Accent4 - 60% 4" xfId="389"/>
    <cellStyle name="Accent4 10" xfId="390"/>
    <cellStyle name="Accent4 11" xfId="391"/>
    <cellStyle name="Accent4 12" xfId="392"/>
    <cellStyle name="Accent4 13" xfId="393"/>
    <cellStyle name="Accent4 14" xfId="394"/>
    <cellStyle name="Accent4 15" xfId="395"/>
    <cellStyle name="Accent4 16" xfId="396"/>
    <cellStyle name="Accent4 17" xfId="397"/>
    <cellStyle name="Accent4 18" xfId="398"/>
    <cellStyle name="Accent4 19" xfId="399"/>
    <cellStyle name="Accent4 2" xfId="400"/>
    <cellStyle name="Accent4 2 2" xfId="401"/>
    <cellStyle name="Accent4 2 2 2" xfId="402"/>
    <cellStyle name="Accent4 2 3" xfId="403"/>
    <cellStyle name="Accent4 2 3 2" xfId="404"/>
    <cellStyle name="Accent4 2 4" xfId="405"/>
    <cellStyle name="Accent4 20" xfId="406"/>
    <cellStyle name="Accent4 21" xfId="407"/>
    <cellStyle name="Accent4 22" xfId="408"/>
    <cellStyle name="Accent4 23" xfId="409"/>
    <cellStyle name="Accent4 3" xfId="410"/>
    <cellStyle name="Accent4 3 2" xfId="411"/>
    <cellStyle name="Accent4 4" xfId="412"/>
    <cellStyle name="Accent4 5" xfId="413"/>
    <cellStyle name="Accent4 6" xfId="414"/>
    <cellStyle name="Accent4 7" xfId="415"/>
    <cellStyle name="Accent4 8" xfId="416"/>
    <cellStyle name="Accent4 9" xfId="417"/>
    <cellStyle name="Accent5 - 20%" xfId="418"/>
    <cellStyle name="Accent5 - 20% 2" xfId="419"/>
    <cellStyle name="Accent5 - 20% 2 2" xfId="420"/>
    <cellStyle name="Accent5 - 20% 3" xfId="421"/>
    <cellStyle name="Accent5 - 20% 3 2" xfId="422"/>
    <cellStyle name="Accent5 - 20% 4" xfId="423"/>
    <cellStyle name="Accent5 - 20%_Achampally-Gattubuthkur-Ganga-CRR" xfId="424"/>
    <cellStyle name="Accent5 - 40%" xfId="425"/>
    <cellStyle name="Accent5 - 40% 2" xfId="426"/>
    <cellStyle name="Accent5 - 40% 2 2" xfId="427"/>
    <cellStyle name="Accent5 - 40% 3" xfId="428"/>
    <cellStyle name="Accent5 - 40% 3 2" xfId="429"/>
    <cellStyle name="Accent5 - 40% 4" xfId="430"/>
    <cellStyle name="Accent5 - 40%_Achampally-Gattubuthkur-Ganga-CRR" xfId="431"/>
    <cellStyle name="Accent5 - 60%" xfId="432"/>
    <cellStyle name="Accent5 - 60% 2" xfId="433"/>
    <cellStyle name="Accent5 - 60% 2 2" xfId="434"/>
    <cellStyle name="Accent5 - 60% 3" xfId="435"/>
    <cellStyle name="Accent5 - 60% 3 2" xfId="436"/>
    <cellStyle name="Accent5 - 60% 4" xfId="437"/>
    <cellStyle name="Accent5 10" xfId="438"/>
    <cellStyle name="Accent5 11" xfId="439"/>
    <cellStyle name="Accent5 12" xfId="440"/>
    <cellStyle name="Accent5 13" xfId="441"/>
    <cellStyle name="Accent5 14" xfId="442"/>
    <cellStyle name="Accent5 15" xfId="443"/>
    <cellStyle name="Accent5 16" xfId="444"/>
    <cellStyle name="Accent5 17" xfId="445"/>
    <cellStyle name="Accent5 18" xfId="446"/>
    <cellStyle name="Accent5 19" xfId="447"/>
    <cellStyle name="Accent5 2" xfId="448"/>
    <cellStyle name="Accent5 2 2" xfId="449"/>
    <cellStyle name="Accent5 2 2 2" xfId="450"/>
    <cellStyle name="Accent5 2 3" xfId="451"/>
    <cellStyle name="Accent5 2 3 2" xfId="452"/>
    <cellStyle name="Accent5 2 4" xfId="453"/>
    <cellStyle name="Accent5 20" xfId="454"/>
    <cellStyle name="Accent5 21" xfId="455"/>
    <cellStyle name="Accent5 22" xfId="456"/>
    <cellStyle name="Accent5 23" xfId="457"/>
    <cellStyle name="Accent5 3" xfId="458"/>
    <cellStyle name="Accent5 3 2" xfId="459"/>
    <cellStyle name="Accent5 4" xfId="460"/>
    <cellStyle name="Accent5 5" xfId="461"/>
    <cellStyle name="Accent5 6" xfId="462"/>
    <cellStyle name="Accent5 7" xfId="463"/>
    <cellStyle name="Accent5 8" xfId="464"/>
    <cellStyle name="Accent5 9" xfId="465"/>
    <cellStyle name="Accent6 - 20%" xfId="466"/>
    <cellStyle name="Accent6 - 20% 2" xfId="467"/>
    <cellStyle name="Accent6 - 20% 2 2" xfId="468"/>
    <cellStyle name="Accent6 - 20% 3" xfId="469"/>
    <cellStyle name="Accent6 - 20% 3 2" xfId="470"/>
    <cellStyle name="Accent6 - 20% 4" xfId="471"/>
    <cellStyle name="Accent6 - 20%_Achampally-Gattubuthkur-Ganga-CRR" xfId="472"/>
    <cellStyle name="Accent6 - 40%" xfId="473"/>
    <cellStyle name="Accent6 - 40% 2" xfId="474"/>
    <cellStyle name="Accent6 - 40% 2 2" xfId="475"/>
    <cellStyle name="Accent6 - 40% 3" xfId="476"/>
    <cellStyle name="Accent6 - 40% 3 2" xfId="477"/>
    <cellStyle name="Accent6 - 40% 4" xfId="478"/>
    <cellStyle name="Accent6 - 40%_Achampally-Gattubuthkur-Ganga-CRR" xfId="479"/>
    <cellStyle name="Accent6 - 60%" xfId="480"/>
    <cellStyle name="Accent6 - 60% 2" xfId="481"/>
    <cellStyle name="Accent6 - 60% 2 2" xfId="482"/>
    <cellStyle name="Accent6 - 60% 3" xfId="483"/>
    <cellStyle name="Accent6 - 60% 3 2" xfId="484"/>
    <cellStyle name="Accent6 - 60% 4" xfId="485"/>
    <cellStyle name="Accent6 10" xfId="486"/>
    <cellStyle name="Accent6 11" xfId="487"/>
    <cellStyle name="Accent6 12" xfId="488"/>
    <cellStyle name="Accent6 13" xfId="489"/>
    <cellStyle name="Accent6 14" xfId="490"/>
    <cellStyle name="Accent6 15" xfId="491"/>
    <cellStyle name="Accent6 16" xfId="492"/>
    <cellStyle name="Accent6 17" xfId="493"/>
    <cellStyle name="Accent6 18" xfId="494"/>
    <cellStyle name="Accent6 19" xfId="495"/>
    <cellStyle name="Accent6 2" xfId="496"/>
    <cellStyle name="Accent6 2 2" xfId="497"/>
    <cellStyle name="Accent6 2 2 2" xfId="498"/>
    <cellStyle name="Accent6 2 3" xfId="499"/>
    <cellStyle name="Accent6 2 3 2" xfId="500"/>
    <cellStyle name="Accent6 2 4" xfId="501"/>
    <cellStyle name="Accent6 20" xfId="502"/>
    <cellStyle name="Accent6 21" xfId="503"/>
    <cellStyle name="Accent6 22" xfId="504"/>
    <cellStyle name="Accent6 23" xfId="505"/>
    <cellStyle name="Accent6 3" xfId="506"/>
    <cellStyle name="Accent6 3 2" xfId="507"/>
    <cellStyle name="Accent6 4" xfId="508"/>
    <cellStyle name="Accent6 5" xfId="509"/>
    <cellStyle name="Accent6 6" xfId="510"/>
    <cellStyle name="Accent6 7" xfId="511"/>
    <cellStyle name="Accent6 8" xfId="512"/>
    <cellStyle name="Accent6 9" xfId="513"/>
    <cellStyle name="Bad 2" xfId="514"/>
    <cellStyle name="Bad 2 2" xfId="515"/>
    <cellStyle name="Bad 2 2 2" xfId="516"/>
    <cellStyle name="Bad 2 3" xfId="517"/>
    <cellStyle name="Bad 2 3 2" xfId="518"/>
    <cellStyle name="Bad 2 4" xfId="519"/>
    <cellStyle name="Bad 3" xfId="520"/>
    <cellStyle name="Bad 3 2" xfId="521"/>
    <cellStyle name="Bad 4" xfId="522"/>
    <cellStyle name="Bad 5" xfId="523"/>
    <cellStyle name="Bad 6" xfId="524"/>
    <cellStyle name="BOOKMAN" xfId="525"/>
    <cellStyle name="BOOKMAN 2" xfId="526"/>
    <cellStyle name="Calc Currency (0)" xfId="527"/>
    <cellStyle name="Calc Currency (0) 2" xfId="528"/>
    <cellStyle name="Calc Currency (0) 2 2" xfId="529"/>
    <cellStyle name="Calc Currency (0) 3" xfId="530"/>
    <cellStyle name="Calc Currency (0) 3 2" xfId="531"/>
    <cellStyle name="Calc Currency (0) 4" xfId="532"/>
    <cellStyle name="Calculation 2" xfId="533"/>
    <cellStyle name="Calculation 2 2" xfId="534"/>
    <cellStyle name="Calculation 2 2 2" xfId="535"/>
    <cellStyle name="Calculation 2 3" xfId="536"/>
    <cellStyle name="Calculation 2 3 2" xfId="537"/>
    <cellStyle name="Calculation 2 4" xfId="538"/>
    <cellStyle name="Calculation 3" xfId="539"/>
    <cellStyle name="Calculation 3 2" xfId="540"/>
    <cellStyle name="Calculation 4" xfId="541"/>
    <cellStyle name="Calculation 5" xfId="542"/>
    <cellStyle name="Calculation 6" xfId="543"/>
    <cellStyle name="Check Cell 2" xfId="544"/>
    <cellStyle name="Check Cell 2 2" xfId="545"/>
    <cellStyle name="Check Cell 2 2 2" xfId="546"/>
    <cellStyle name="Check Cell 2 3" xfId="547"/>
    <cellStyle name="Check Cell 2 3 2" xfId="548"/>
    <cellStyle name="Check Cell 2 4" xfId="549"/>
    <cellStyle name="Check Cell 3" xfId="550"/>
    <cellStyle name="Check Cell 3 2" xfId="551"/>
    <cellStyle name="Check Cell 4" xfId="552"/>
    <cellStyle name="Check Cell 5" xfId="553"/>
    <cellStyle name="Check Cell 6" xfId="554"/>
    <cellStyle name="Comma" xfId="1" builtinId="3"/>
    <cellStyle name="Comma  - Style1" xfId="555"/>
    <cellStyle name="Comma  - Style1 10" xfId="556"/>
    <cellStyle name="Comma  - Style1 11" xfId="557"/>
    <cellStyle name="Comma  - Style1 12" xfId="558"/>
    <cellStyle name="Comma  - Style1 13" xfId="559"/>
    <cellStyle name="Comma  - Style1 14" xfId="560"/>
    <cellStyle name="Comma  - Style1 15" xfId="561"/>
    <cellStyle name="Comma  - Style1 16" xfId="562"/>
    <cellStyle name="Comma  - Style1 17" xfId="563"/>
    <cellStyle name="Comma  - Style1 18" xfId="564"/>
    <cellStyle name="Comma  - Style1 2" xfId="565"/>
    <cellStyle name="Comma  - Style1 2 2" xfId="566"/>
    <cellStyle name="Comma  - Style1 3" xfId="567"/>
    <cellStyle name="Comma  - Style1 3 2" xfId="568"/>
    <cellStyle name="Comma  - Style1 4" xfId="569"/>
    <cellStyle name="Comma  - Style1 4 2" xfId="570"/>
    <cellStyle name="Comma  - Style1 4 3" xfId="571"/>
    <cellStyle name="Comma  - Style1 5" xfId="572"/>
    <cellStyle name="Comma  - Style1 5 2" xfId="573"/>
    <cellStyle name="Comma  - Style1 6" xfId="574"/>
    <cellStyle name="Comma  - Style1 6 2" xfId="575"/>
    <cellStyle name="Comma  - Style1 7" xfId="576"/>
    <cellStyle name="Comma  - Style1 7 2" xfId="577"/>
    <cellStyle name="Comma  - Style1 8" xfId="578"/>
    <cellStyle name="Comma  - Style1 8 2" xfId="579"/>
    <cellStyle name="Comma  - Style1 9" xfId="580"/>
    <cellStyle name="Comma  - Style1_2015-16 MASTER CC ROAD &amp; DRAIN" xfId="581"/>
    <cellStyle name="Comma  - Style2" xfId="582"/>
    <cellStyle name="Comma  - Style2 10" xfId="583"/>
    <cellStyle name="Comma  - Style2 11" xfId="584"/>
    <cellStyle name="Comma  - Style2 12" xfId="585"/>
    <cellStyle name="Comma  - Style2 13" xfId="586"/>
    <cellStyle name="Comma  - Style2 14" xfId="587"/>
    <cellStyle name="Comma  - Style2 15" xfId="588"/>
    <cellStyle name="Comma  - Style2 16" xfId="589"/>
    <cellStyle name="Comma  - Style2 17" xfId="590"/>
    <cellStyle name="Comma  - Style2 18" xfId="591"/>
    <cellStyle name="Comma  - Style2 2" xfId="592"/>
    <cellStyle name="Comma  - Style2 2 2" xfId="593"/>
    <cellStyle name="Comma  - Style2 3" xfId="594"/>
    <cellStyle name="Comma  - Style2 3 2" xfId="595"/>
    <cellStyle name="Comma  - Style2 4" xfId="596"/>
    <cellStyle name="Comma  - Style2 4 2" xfId="597"/>
    <cellStyle name="Comma  - Style2 4 3" xfId="598"/>
    <cellStyle name="Comma  - Style2 5" xfId="599"/>
    <cellStyle name="Comma  - Style2 5 2" xfId="600"/>
    <cellStyle name="Comma  - Style2 6" xfId="601"/>
    <cellStyle name="Comma  - Style2 6 2" xfId="602"/>
    <cellStyle name="Comma  - Style2 7" xfId="603"/>
    <cellStyle name="Comma  - Style2 7 2" xfId="604"/>
    <cellStyle name="Comma  - Style2 8" xfId="605"/>
    <cellStyle name="Comma  - Style2 8 2" xfId="606"/>
    <cellStyle name="Comma  - Style2 9" xfId="607"/>
    <cellStyle name="Comma  - Style2_2015-16 MASTER CC ROAD &amp; DRAIN" xfId="608"/>
    <cellStyle name="Comma  - Style3" xfId="609"/>
    <cellStyle name="Comma  - Style3 10" xfId="610"/>
    <cellStyle name="Comma  - Style3 11" xfId="611"/>
    <cellStyle name="Comma  - Style3 12" xfId="612"/>
    <cellStyle name="Comma  - Style3 13" xfId="613"/>
    <cellStyle name="Comma  - Style3 14" xfId="614"/>
    <cellStyle name="Comma  - Style3 15" xfId="615"/>
    <cellStyle name="Comma  - Style3 16" xfId="616"/>
    <cellStyle name="Comma  - Style3 17" xfId="617"/>
    <cellStyle name="Comma  - Style3 18" xfId="618"/>
    <cellStyle name="Comma  - Style3 2" xfId="619"/>
    <cellStyle name="Comma  - Style3 2 2" xfId="620"/>
    <cellStyle name="Comma  - Style3 3" xfId="621"/>
    <cellStyle name="Comma  - Style3 3 2" xfId="622"/>
    <cellStyle name="Comma  - Style3 4" xfId="623"/>
    <cellStyle name="Comma  - Style3 4 2" xfId="624"/>
    <cellStyle name="Comma  - Style3 4 3" xfId="625"/>
    <cellStyle name="Comma  - Style3 5" xfId="626"/>
    <cellStyle name="Comma  - Style3 5 2" xfId="627"/>
    <cellStyle name="Comma  - Style3 6" xfId="628"/>
    <cellStyle name="Comma  - Style3 6 2" xfId="629"/>
    <cellStyle name="Comma  - Style3 7" xfId="630"/>
    <cellStyle name="Comma  - Style3 7 2" xfId="631"/>
    <cellStyle name="Comma  - Style3 8" xfId="632"/>
    <cellStyle name="Comma  - Style3 8 2" xfId="633"/>
    <cellStyle name="Comma  - Style3 9" xfId="634"/>
    <cellStyle name="Comma  - Style3_2015-16 MASTER CC ROAD &amp; DRAIN" xfId="635"/>
    <cellStyle name="Comma  - Style4" xfId="636"/>
    <cellStyle name="Comma  - Style4 10" xfId="637"/>
    <cellStyle name="Comma  - Style4 11" xfId="638"/>
    <cellStyle name="Comma  - Style4 12" xfId="639"/>
    <cellStyle name="Comma  - Style4 13" xfId="640"/>
    <cellStyle name="Comma  - Style4 14" xfId="641"/>
    <cellStyle name="Comma  - Style4 15" xfId="642"/>
    <cellStyle name="Comma  - Style4 16" xfId="643"/>
    <cellStyle name="Comma  - Style4 17" xfId="644"/>
    <cellStyle name="Comma  - Style4 18" xfId="645"/>
    <cellStyle name="Comma  - Style4 2" xfId="646"/>
    <cellStyle name="Comma  - Style4 2 2" xfId="647"/>
    <cellStyle name="Comma  - Style4 3" xfId="648"/>
    <cellStyle name="Comma  - Style4 3 2" xfId="649"/>
    <cellStyle name="Comma  - Style4 4" xfId="650"/>
    <cellStyle name="Comma  - Style4 4 2" xfId="651"/>
    <cellStyle name="Comma  - Style4 4 3" xfId="652"/>
    <cellStyle name="Comma  - Style4 5" xfId="653"/>
    <cellStyle name="Comma  - Style4 5 2" xfId="654"/>
    <cellStyle name="Comma  - Style4 6" xfId="655"/>
    <cellStyle name="Comma  - Style4 6 2" xfId="656"/>
    <cellStyle name="Comma  - Style4 7" xfId="657"/>
    <cellStyle name="Comma  - Style4 7 2" xfId="658"/>
    <cellStyle name="Comma  - Style4 8" xfId="659"/>
    <cellStyle name="Comma  - Style4 8 2" xfId="660"/>
    <cellStyle name="Comma  - Style4 9" xfId="661"/>
    <cellStyle name="Comma  - Style4_2015-16 MASTER CC ROAD &amp; DRAIN" xfId="662"/>
    <cellStyle name="Comma  - Style5" xfId="663"/>
    <cellStyle name="Comma  - Style5 10" xfId="664"/>
    <cellStyle name="Comma  - Style5 11" xfId="665"/>
    <cellStyle name="Comma  - Style5 12" xfId="666"/>
    <cellStyle name="Comma  - Style5 13" xfId="667"/>
    <cellStyle name="Comma  - Style5 14" xfId="668"/>
    <cellStyle name="Comma  - Style5 15" xfId="669"/>
    <cellStyle name="Comma  - Style5 16" xfId="670"/>
    <cellStyle name="Comma  - Style5 17" xfId="671"/>
    <cellStyle name="Comma  - Style5 18" xfId="672"/>
    <cellStyle name="Comma  - Style5 2" xfId="673"/>
    <cellStyle name="Comma  - Style5 2 2" xfId="674"/>
    <cellStyle name="Comma  - Style5 3" xfId="675"/>
    <cellStyle name="Comma  - Style5 3 2" xfId="676"/>
    <cellStyle name="Comma  - Style5 4" xfId="677"/>
    <cellStyle name="Comma  - Style5 4 2" xfId="678"/>
    <cellStyle name="Comma  - Style5 4 3" xfId="679"/>
    <cellStyle name="Comma  - Style5 5" xfId="680"/>
    <cellStyle name="Comma  - Style5 5 2" xfId="681"/>
    <cellStyle name="Comma  - Style5 6" xfId="682"/>
    <cellStyle name="Comma  - Style5 6 2" xfId="683"/>
    <cellStyle name="Comma  - Style5 7" xfId="684"/>
    <cellStyle name="Comma  - Style5 7 2" xfId="685"/>
    <cellStyle name="Comma  - Style5 8" xfId="686"/>
    <cellStyle name="Comma  - Style5 8 2" xfId="687"/>
    <cellStyle name="Comma  - Style5 9" xfId="688"/>
    <cellStyle name="Comma  - Style5_2015-16 MASTER CC ROAD &amp; DRAIN" xfId="689"/>
    <cellStyle name="Comma  - Style6" xfId="690"/>
    <cellStyle name="Comma  - Style6 10" xfId="691"/>
    <cellStyle name="Comma  - Style6 11" xfId="692"/>
    <cellStyle name="Comma  - Style6 12" xfId="693"/>
    <cellStyle name="Comma  - Style6 13" xfId="694"/>
    <cellStyle name="Comma  - Style6 14" xfId="695"/>
    <cellStyle name="Comma  - Style6 15" xfId="696"/>
    <cellStyle name="Comma  - Style6 16" xfId="697"/>
    <cellStyle name="Comma  - Style6 17" xfId="698"/>
    <cellStyle name="Comma  - Style6 18" xfId="699"/>
    <cellStyle name="Comma  - Style6 2" xfId="700"/>
    <cellStyle name="Comma  - Style6 2 2" xfId="701"/>
    <cellStyle name="Comma  - Style6 3" xfId="702"/>
    <cellStyle name="Comma  - Style6 3 2" xfId="703"/>
    <cellStyle name="Comma  - Style6 4" xfId="704"/>
    <cellStyle name="Comma  - Style6 4 2" xfId="705"/>
    <cellStyle name="Comma  - Style6 4 3" xfId="706"/>
    <cellStyle name="Comma  - Style6 5" xfId="707"/>
    <cellStyle name="Comma  - Style6 5 2" xfId="708"/>
    <cellStyle name="Comma  - Style6 6" xfId="709"/>
    <cellStyle name="Comma  - Style6 6 2" xfId="710"/>
    <cellStyle name="Comma  - Style6 7" xfId="711"/>
    <cellStyle name="Comma  - Style6 7 2" xfId="712"/>
    <cellStyle name="Comma  - Style6 8" xfId="713"/>
    <cellStyle name="Comma  - Style6 8 2" xfId="714"/>
    <cellStyle name="Comma  - Style6 9" xfId="715"/>
    <cellStyle name="Comma  - Style6_2015-16 MASTER CC ROAD &amp; DRAIN" xfId="716"/>
    <cellStyle name="Comma  - Style7" xfId="717"/>
    <cellStyle name="Comma  - Style7 10" xfId="718"/>
    <cellStyle name="Comma  - Style7 11" xfId="719"/>
    <cellStyle name="Comma  - Style7 12" xfId="720"/>
    <cellStyle name="Comma  - Style7 13" xfId="721"/>
    <cellStyle name="Comma  - Style7 14" xfId="722"/>
    <cellStyle name="Comma  - Style7 15" xfId="723"/>
    <cellStyle name="Comma  - Style7 16" xfId="724"/>
    <cellStyle name="Comma  - Style7 17" xfId="725"/>
    <cellStyle name="Comma  - Style7 18" xfId="726"/>
    <cellStyle name="Comma  - Style7 2" xfId="727"/>
    <cellStyle name="Comma  - Style7 2 2" xfId="728"/>
    <cellStyle name="Comma  - Style7 3" xfId="729"/>
    <cellStyle name="Comma  - Style7 3 2" xfId="730"/>
    <cellStyle name="Comma  - Style7 4" xfId="731"/>
    <cellStyle name="Comma  - Style7 4 2" xfId="732"/>
    <cellStyle name="Comma  - Style7 4 3" xfId="733"/>
    <cellStyle name="Comma  - Style7 5" xfId="734"/>
    <cellStyle name="Comma  - Style7 5 2" xfId="735"/>
    <cellStyle name="Comma  - Style7 6" xfId="736"/>
    <cellStyle name="Comma  - Style7 6 2" xfId="737"/>
    <cellStyle name="Comma  - Style7 7" xfId="738"/>
    <cellStyle name="Comma  - Style7 7 2" xfId="739"/>
    <cellStyle name="Comma  - Style7 8" xfId="740"/>
    <cellStyle name="Comma  - Style7 8 2" xfId="741"/>
    <cellStyle name="Comma  - Style7 9" xfId="742"/>
    <cellStyle name="Comma  - Style7_2015-16 MASTER CC ROAD &amp; DRAIN" xfId="743"/>
    <cellStyle name="Comma  - Style8" xfId="744"/>
    <cellStyle name="Comma  - Style8 10" xfId="745"/>
    <cellStyle name="Comma  - Style8 11" xfId="746"/>
    <cellStyle name="Comma  - Style8 12" xfId="747"/>
    <cellStyle name="Comma  - Style8 13" xfId="748"/>
    <cellStyle name="Comma  - Style8 14" xfId="749"/>
    <cellStyle name="Comma  - Style8 15" xfId="750"/>
    <cellStyle name="Comma  - Style8 16" xfId="751"/>
    <cellStyle name="Comma  - Style8 17" xfId="752"/>
    <cellStyle name="Comma  - Style8 18" xfId="753"/>
    <cellStyle name="Comma  - Style8 2" xfId="754"/>
    <cellStyle name="Comma  - Style8 2 2" xfId="755"/>
    <cellStyle name="Comma  - Style8 3" xfId="756"/>
    <cellStyle name="Comma  - Style8 3 2" xfId="757"/>
    <cellStyle name="Comma  - Style8 4" xfId="758"/>
    <cellStyle name="Comma  - Style8 4 2" xfId="759"/>
    <cellStyle name="Comma  - Style8 4 3" xfId="760"/>
    <cellStyle name="Comma  - Style8 5" xfId="761"/>
    <cellStyle name="Comma  - Style8 5 2" xfId="762"/>
    <cellStyle name="Comma  - Style8 6" xfId="763"/>
    <cellStyle name="Comma  - Style8 6 2" xfId="764"/>
    <cellStyle name="Comma  - Style8 7" xfId="765"/>
    <cellStyle name="Comma  - Style8 7 2" xfId="766"/>
    <cellStyle name="Comma  - Style8 8" xfId="767"/>
    <cellStyle name="Comma  - Style8 8 2" xfId="768"/>
    <cellStyle name="Comma  - Style8 9" xfId="769"/>
    <cellStyle name="Comma  - Style8_2015-16 MASTER CC ROAD &amp; DRAIN" xfId="770"/>
    <cellStyle name="Comma 10" xfId="771"/>
    <cellStyle name="Comma 10 2" xfId="772"/>
    <cellStyle name="Comma 10 2 2" xfId="773"/>
    <cellStyle name="Comma 10 2 3" xfId="774"/>
    <cellStyle name="Comma 10 3" xfId="775"/>
    <cellStyle name="Comma 11" xfId="776"/>
    <cellStyle name="Comma 11 2" xfId="777"/>
    <cellStyle name="Comma 11 2 2" xfId="778"/>
    <cellStyle name="Comma 11 3" xfId="779"/>
    <cellStyle name="Comma 12" xfId="780"/>
    <cellStyle name="Comma 12 2" xfId="781"/>
    <cellStyle name="Comma 12 2 2" xfId="782"/>
    <cellStyle name="Comma 12 3" xfId="783"/>
    <cellStyle name="Comma 13" xfId="784"/>
    <cellStyle name="Comma 13 2" xfId="785"/>
    <cellStyle name="Comma 13 3" xfId="786"/>
    <cellStyle name="Comma 14" xfId="787"/>
    <cellStyle name="Comma 14 2" xfId="788"/>
    <cellStyle name="Comma 14 3" xfId="789"/>
    <cellStyle name="Comma 15" xfId="790"/>
    <cellStyle name="Comma 15 2" xfId="791"/>
    <cellStyle name="Comma 15 3" xfId="792"/>
    <cellStyle name="Comma 16" xfId="793"/>
    <cellStyle name="Comma 16 2" xfId="794"/>
    <cellStyle name="Comma 16 3" xfId="795"/>
    <cellStyle name="Comma 17" xfId="796"/>
    <cellStyle name="Comma 17 2" xfId="797"/>
    <cellStyle name="Comma 18" xfId="798"/>
    <cellStyle name="Comma 18 2" xfId="799"/>
    <cellStyle name="Comma 18 2 2" xfId="800"/>
    <cellStyle name="Comma 18 2 2 2" xfId="801"/>
    <cellStyle name="Comma 18 2 3" xfId="802"/>
    <cellStyle name="Comma 18 3" xfId="803"/>
    <cellStyle name="Comma 19" xfId="804"/>
    <cellStyle name="Comma 19 2" xfId="805"/>
    <cellStyle name="Comma 2" xfId="806"/>
    <cellStyle name="Comma 2 10" xfId="807"/>
    <cellStyle name="Comma 2 10 10" xfId="808"/>
    <cellStyle name="Comma 2 10 11" xfId="809"/>
    <cellStyle name="Comma 2 10 12" xfId="810"/>
    <cellStyle name="Comma 2 10 13" xfId="811"/>
    <cellStyle name="Comma 2 10 14" xfId="812"/>
    <cellStyle name="Comma 2 10 15" xfId="813"/>
    <cellStyle name="Comma 2 10 16" xfId="814"/>
    <cellStyle name="Comma 2 10 17" xfId="815"/>
    <cellStyle name="Comma 2 10 18" xfId="816"/>
    <cellStyle name="Comma 2 10 2" xfId="817"/>
    <cellStyle name="Comma 2 10 2 2" xfId="818"/>
    <cellStyle name="Comma 2 10 3" xfId="819"/>
    <cellStyle name="Comma 2 10 3 2" xfId="820"/>
    <cellStyle name="Comma 2 10 4" xfId="821"/>
    <cellStyle name="Comma 2 10 4 2" xfId="822"/>
    <cellStyle name="Comma 2 10 5" xfId="823"/>
    <cellStyle name="Comma 2 10 5 2" xfId="824"/>
    <cellStyle name="Comma 2 10 6" xfId="825"/>
    <cellStyle name="Comma 2 10 6 2" xfId="826"/>
    <cellStyle name="Comma 2 10 7" xfId="827"/>
    <cellStyle name="Comma 2 10 7 2" xfId="828"/>
    <cellStyle name="Comma 2 10 8" xfId="829"/>
    <cellStyle name="Comma 2 10 8 2" xfId="830"/>
    <cellStyle name="Comma 2 10 9" xfId="831"/>
    <cellStyle name="Comma 2 11" xfId="832"/>
    <cellStyle name="Comma 2 11 10" xfId="833"/>
    <cellStyle name="Comma 2 11 11" xfId="834"/>
    <cellStyle name="Comma 2 11 12" xfId="835"/>
    <cellStyle name="Comma 2 11 13" xfId="836"/>
    <cellStyle name="Comma 2 11 14" xfId="837"/>
    <cellStyle name="Comma 2 11 15" xfId="838"/>
    <cellStyle name="Comma 2 11 16" xfId="839"/>
    <cellStyle name="Comma 2 11 17" xfId="840"/>
    <cellStyle name="Comma 2 11 18" xfId="841"/>
    <cellStyle name="Comma 2 11 2" xfId="842"/>
    <cellStyle name="Comma 2 11 2 2" xfId="843"/>
    <cellStyle name="Comma 2 11 3" xfId="844"/>
    <cellStyle name="Comma 2 11 3 2" xfId="845"/>
    <cellStyle name="Comma 2 11 4" xfId="846"/>
    <cellStyle name="Comma 2 11 4 2" xfId="847"/>
    <cellStyle name="Comma 2 11 5" xfId="848"/>
    <cellStyle name="Comma 2 11 5 2" xfId="849"/>
    <cellStyle name="Comma 2 11 6" xfId="850"/>
    <cellStyle name="Comma 2 11 6 2" xfId="851"/>
    <cellStyle name="Comma 2 11 7" xfId="852"/>
    <cellStyle name="Comma 2 11 7 2" xfId="853"/>
    <cellStyle name="Comma 2 11 8" xfId="854"/>
    <cellStyle name="Comma 2 11 8 2" xfId="855"/>
    <cellStyle name="Comma 2 11 9" xfId="856"/>
    <cellStyle name="Comma 2 12" xfId="857"/>
    <cellStyle name="Comma 2 12 2" xfId="858"/>
    <cellStyle name="Comma 2 13" xfId="859"/>
    <cellStyle name="Comma 2 13 2" xfId="860"/>
    <cellStyle name="Comma 2 14" xfId="861"/>
    <cellStyle name="Comma 2 14 2" xfId="862"/>
    <cellStyle name="Comma 2 15" xfId="863"/>
    <cellStyle name="Comma 2 15 2" xfId="864"/>
    <cellStyle name="Comma 2 16" xfId="865"/>
    <cellStyle name="Comma 2 16 2" xfId="866"/>
    <cellStyle name="Comma 2 17" xfId="867"/>
    <cellStyle name="Comma 2 17 2" xfId="868"/>
    <cellStyle name="Comma 2 18" xfId="869"/>
    <cellStyle name="Comma 2 18 2" xfId="870"/>
    <cellStyle name="Comma 2 19" xfId="871"/>
    <cellStyle name="Comma 2 2" xfId="872"/>
    <cellStyle name="Comma 2 2 10" xfId="873"/>
    <cellStyle name="Comma 2 2 11" xfId="874"/>
    <cellStyle name="Comma 2 2 12" xfId="875"/>
    <cellStyle name="Comma 2 2 13" xfId="876"/>
    <cellStyle name="Comma 2 2 14" xfId="877"/>
    <cellStyle name="Comma 2 2 15" xfId="878"/>
    <cellStyle name="Comma 2 2 16" xfId="879"/>
    <cellStyle name="Comma 2 2 17" xfId="880"/>
    <cellStyle name="Comma 2 2 18" xfId="881"/>
    <cellStyle name="Comma 2 2 19" xfId="882"/>
    <cellStyle name="Comma 2 2 2" xfId="883"/>
    <cellStyle name="Comma 2 2 2 10" xfId="884"/>
    <cellStyle name="Comma 2 2 2 11" xfId="885"/>
    <cellStyle name="Comma 2 2 2 12" xfId="886"/>
    <cellStyle name="Comma 2 2 2 13" xfId="887"/>
    <cellStyle name="Comma 2 2 2 14" xfId="888"/>
    <cellStyle name="Comma 2 2 2 15" xfId="889"/>
    <cellStyle name="Comma 2 2 2 16" xfId="890"/>
    <cellStyle name="Comma 2 2 2 17" xfId="891"/>
    <cellStyle name="Comma 2 2 2 18" xfId="892"/>
    <cellStyle name="Comma 2 2 2 2" xfId="893"/>
    <cellStyle name="Comma 2 2 2 2 2" xfId="894"/>
    <cellStyle name="Comma 2 2 2 3" xfId="895"/>
    <cellStyle name="Comma 2 2 2 3 2" xfId="896"/>
    <cellStyle name="Comma 2 2 2 4" xfId="897"/>
    <cellStyle name="Comma 2 2 2 4 2" xfId="898"/>
    <cellStyle name="Comma 2 2 2 5" xfId="899"/>
    <cellStyle name="Comma 2 2 2 5 2" xfId="900"/>
    <cellStyle name="Comma 2 2 2 6" xfId="901"/>
    <cellStyle name="Comma 2 2 2 6 2" xfId="902"/>
    <cellStyle name="Comma 2 2 2 7" xfId="903"/>
    <cellStyle name="Comma 2 2 2 7 2" xfId="904"/>
    <cellStyle name="Comma 2 2 2 8" xfId="905"/>
    <cellStyle name="Comma 2 2 2 8 2" xfId="906"/>
    <cellStyle name="Comma 2 2 2 9" xfId="907"/>
    <cellStyle name="Comma 2 2 3" xfId="908"/>
    <cellStyle name="Comma 2 2 3 2" xfId="909"/>
    <cellStyle name="Comma 2 2 4" xfId="910"/>
    <cellStyle name="Comma 2 2 4 2" xfId="911"/>
    <cellStyle name="Comma 2 2 5" xfId="912"/>
    <cellStyle name="Comma 2 2 5 2" xfId="913"/>
    <cellStyle name="Comma 2 2 6" xfId="914"/>
    <cellStyle name="Comma 2 2 6 2" xfId="915"/>
    <cellStyle name="Comma 2 2 7" xfId="916"/>
    <cellStyle name="Comma 2 2 7 2" xfId="917"/>
    <cellStyle name="Comma 2 2 8" xfId="918"/>
    <cellStyle name="Comma 2 2 8 2" xfId="919"/>
    <cellStyle name="Comma 2 2 9" xfId="920"/>
    <cellStyle name="Comma 2 2 9 2" xfId="921"/>
    <cellStyle name="Comma 2 20" xfId="922"/>
    <cellStyle name="Comma 2 21" xfId="923"/>
    <cellStyle name="Comma 2 22" xfId="924"/>
    <cellStyle name="Comma 2 23" xfId="925"/>
    <cellStyle name="Comma 2 24" xfId="926"/>
    <cellStyle name="Comma 2 25" xfId="927"/>
    <cellStyle name="Comma 2 26" xfId="928"/>
    <cellStyle name="Comma 2 27" xfId="929"/>
    <cellStyle name="Comma 2 28" xfId="930"/>
    <cellStyle name="Comma 2 3" xfId="931"/>
    <cellStyle name="Comma 2 3 10" xfId="932"/>
    <cellStyle name="Comma 2 3 11" xfId="933"/>
    <cellStyle name="Comma 2 3 12" xfId="934"/>
    <cellStyle name="Comma 2 3 13" xfId="935"/>
    <cellStyle name="Comma 2 3 14" xfId="936"/>
    <cellStyle name="Comma 2 3 15" xfId="937"/>
    <cellStyle name="Comma 2 3 16" xfId="938"/>
    <cellStyle name="Comma 2 3 17" xfId="939"/>
    <cellStyle name="Comma 2 3 18" xfId="940"/>
    <cellStyle name="Comma 2 3 2" xfId="941"/>
    <cellStyle name="Comma 2 3 2 2" xfId="942"/>
    <cellStyle name="Comma 2 3 3" xfId="943"/>
    <cellStyle name="Comma 2 3 3 2" xfId="944"/>
    <cellStyle name="Comma 2 3 4" xfId="945"/>
    <cellStyle name="Comma 2 3 4 2" xfId="946"/>
    <cellStyle name="Comma 2 3 5" xfId="947"/>
    <cellStyle name="Comma 2 3 5 2" xfId="948"/>
    <cellStyle name="Comma 2 3 6" xfId="949"/>
    <cellStyle name="Comma 2 3 6 2" xfId="950"/>
    <cellStyle name="Comma 2 3 7" xfId="951"/>
    <cellStyle name="Comma 2 3 7 2" xfId="952"/>
    <cellStyle name="Comma 2 3 8" xfId="953"/>
    <cellStyle name="Comma 2 3 8 2" xfId="954"/>
    <cellStyle name="Comma 2 3 9" xfId="955"/>
    <cellStyle name="Comma 2 4" xfId="956"/>
    <cellStyle name="Comma 2 4 10" xfId="957"/>
    <cellStyle name="Comma 2 4 11" xfId="958"/>
    <cellStyle name="Comma 2 4 12" xfId="959"/>
    <cellStyle name="Comma 2 4 13" xfId="960"/>
    <cellStyle name="Comma 2 4 14" xfId="961"/>
    <cellStyle name="Comma 2 4 15" xfId="962"/>
    <cellStyle name="Comma 2 4 16" xfId="963"/>
    <cellStyle name="Comma 2 4 17" xfId="964"/>
    <cellStyle name="Comma 2 4 18" xfId="965"/>
    <cellStyle name="Comma 2 4 2" xfId="966"/>
    <cellStyle name="Comma 2 4 2 2" xfId="967"/>
    <cellStyle name="Comma 2 4 3" xfId="968"/>
    <cellStyle name="Comma 2 4 3 2" xfId="969"/>
    <cellStyle name="Comma 2 4 4" xfId="970"/>
    <cellStyle name="Comma 2 4 4 2" xfId="971"/>
    <cellStyle name="Comma 2 4 5" xfId="972"/>
    <cellStyle name="Comma 2 4 5 2" xfId="973"/>
    <cellStyle name="Comma 2 4 6" xfId="974"/>
    <cellStyle name="Comma 2 4 6 2" xfId="975"/>
    <cellStyle name="Comma 2 4 7" xfId="976"/>
    <cellStyle name="Comma 2 4 7 2" xfId="977"/>
    <cellStyle name="Comma 2 4 8" xfId="978"/>
    <cellStyle name="Comma 2 4 8 2" xfId="979"/>
    <cellStyle name="Comma 2 4 9" xfId="980"/>
    <cellStyle name="Comma 2 5" xfId="981"/>
    <cellStyle name="Comma 2 5 10" xfId="982"/>
    <cellStyle name="Comma 2 5 11" xfId="983"/>
    <cellStyle name="Comma 2 5 12" xfId="984"/>
    <cellStyle name="Comma 2 5 13" xfId="985"/>
    <cellStyle name="Comma 2 5 14" xfId="986"/>
    <cellStyle name="Comma 2 5 15" xfId="987"/>
    <cellStyle name="Comma 2 5 16" xfId="988"/>
    <cellStyle name="Comma 2 5 17" xfId="989"/>
    <cellStyle name="Comma 2 5 18" xfId="990"/>
    <cellStyle name="Comma 2 5 2" xfId="991"/>
    <cellStyle name="Comma 2 5 2 2" xfId="992"/>
    <cellStyle name="Comma 2 5 3" xfId="993"/>
    <cellStyle name="Comma 2 5 3 2" xfId="994"/>
    <cellStyle name="Comma 2 5 4" xfId="995"/>
    <cellStyle name="Comma 2 5 4 2" xfId="996"/>
    <cellStyle name="Comma 2 5 5" xfId="997"/>
    <cellStyle name="Comma 2 5 5 2" xfId="998"/>
    <cellStyle name="Comma 2 5 6" xfId="999"/>
    <cellStyle name="Comma 2 5 6 2" xfId="1000"/>
    <cellStyle name="Comma 2 5 7" xfId="1001"/>
    <cellStyle name="Comma 2 5 7 2" xfId="1002"/>
    <cellStyle name="Comma 2 5 8" xfId="1003"/>
    <cellStyle name="Comma 2 5 8 2" xfId="1004"/>
    <cellStyle name="Comma 2 5 9" xfId="1005"/>
    <cellStyle name="Comma 2 6" xfId="1006"/>
    <cellStyle name="Comma 2 6 10" xfId="1007"/>
    <cellStyle name="Comma 2 6 11" xfId="1008"/>
    <cellStyle name="Comma 2 6 12" xfId="1009"/>
    <cellStyle name="Comma 2 6 13" xfId="1010"/>
    <cellStyle name="Comma 2 6 14" xfId="1011"/>
    <cellStyle name="Comma 2 6 15" xfId="1012"/>
    <cellStyle name="Comma 2 6 16" xfId="1013"/>
    <cellStyle name="Comma 2 6 17" xfId="1014"/>
    <cellStyle name="Comma 2 6 18" xfId="1015"/>
    <cellStyle name="Comma 2 6 2" xfId="1016"/>
    <cellStyle name="Comma 2 6 2 2" xfId="1017"/>
    <cellStyle name="Comma 2 6 3" xfId="1018"/>
    <cellStyle name="Comma 2 6 3 2" xfId="1019"/>
    <cellStyle name="Comma 2 6 4" xfId="1020"/>
    <cellStyle name="Comma 2 6 4 2" xfId="1021"/>
    <cellStyle name="Comma 2 6 5" xfId="1022"/>
    <cellStyle name="Comma 2 6 5 2" xfId="1023"/>
    <cellStyle name="Comma 2 6 6" xfId="1024"/>
    <cellStyle name="Comma 2 6 6 2" xfId="1025"/>
    <cellStyle name="Comma 2 6 7" xfId="1026"/>
    <cellStyle name="Comma 2 6 7 2" xfId="1027"/>
    <cellStyle name="Comma 2 6 8" xfId="1028"/>
    <cellStyle name="Comma 2 6 8 2" xfId="1029"/>
    <cellStyle name="Comma 2 6 9" xfId="1030"/>
    <cellStyle name="Comma 2 7" xfId="1031"/>
    <cellStyle name="Comma 2 7 10" xfId="1032"/>
    <cellStyle name="Comma 2 7 11" xfId="1033"/>
    <cellStyle name="Comma 2 7 12" xfId="1034"/>
    <cellStyle name="Comma 2 7 13" xfId="1035"/>
    <cellStyle name="Comma 2 7 14" xfId="1036"/>
    <cellStyle name="Comma 2 7 15" xfId="1037"/>
    <cellStyle name="Comma 2 7 16" xfId="1038"/>
    <cellStyle name="Comma 2 7 17" xfId="1039"/>
    <cellStyle name="Comma 2 7 18" xfId="1040"/>
    <cellStyle name="Comma 2 7 2" xfId="1041"/>
    <cellStyle name="Comma 2 7 2 2" xfId="1042"/>
    <cellStyle name="Comma 2 7 3" xfId="1043"/>
    <cellStyle name="Comma 2 7 3 2" xfId="1044"/>
    <cellStyle name="Comma 2 7 4" xfId="1045"/>
    <cellStyle name="Comma 2 7 4 2" xfId="1046"/>
    <cellStyle name="Comma 2 7 5" xfId="1047"/>
    <cellStyle name="Comma 2 7 5 2" xfId="1048"/>
    <cellStyle name="Comma 2 7 6" xfId="1049"/>
    <cellStyle name="Comma 2 7 6 2" xfId="1050"/>
    <cellStyle name="Comma 2 7 7" xfId="1051"/>
    <cellStyle name="Comma 2 7 7 2" xfId="1052"/>
    <cellStyle name="Comma 2 7 8" xfId="1053"/>
    <cellStyle name="Comma 2 7 8 2" xfId="1054"/>
    <cellStyle name="Comma 2 7 9" xfId="1055"/>
    <cellStyle name="Comma 2 8" xfId="1056"/>
    <cellStyle name="Comma 2 8 10" xfId="1057"/>
    <cellStyle name="Comma 2 8 11" xfId="1058"/>
    <cellStyle name="Comma 2 8 12" xfId="1059"/>
    <cellStyle name="Comma 2 8 13" xfId="1060"/>
    <cellStyle name="Comma 2 8 14" xfId="1061"/>
    <cellStyle name="Comma 2 8 15" xfId="1062"/>
    <cellStyle name="Comma 2 8 16" xfId="1063"/>
    <cellStyle name="Comma 2 8 17" xfId="1064"/>
    <cellStyle name="Comma 2 8 18" xfId="1065"/>
    <cellStyle name="Comma 2 8 2" xfId="1066"/>
    <cellStyle name="Comma 2 8 2 2" xfId="1067"/>
    <cellStyle name="Comma 2 8 3" xfId="1068"/>
    <cellStyle name="Comma 2 8 3 2" xfId="1069"/>
    <cellStyle name="Comma 2 8 4" xfId="1070"/>
    <cellStyle name="Comma 2 8 4 2" xfId="1071"/>
    <cellStyle name="Comma 2 8 5" xfId="1072"/>
    <cellStyle name="Comma 2 8 5 2" xfId="1073"/>
    <cellStyle name="Comma 2 8 6" xfId="1074"/>
    <cellStyle name="Comma 2 8 6 2" xfId="1075"/>
    <cellStyle name="Comma 2 8 7" xfId="1076"/>
    <cellStyle name="Comma 2 8 7 2" xfId="1077"/>
    <cellStyle name="Comma 2 8 8" xfId="1078"/>
    <cellStyle name="Comma 2 8 8 2" xfId="1079"/>
    <cellStyle name="Comma 2 8 9" xfId="1080"/>
    <cellStyle name="Comma 2 9" xfId="1081"/>
    <cellStyle name="Comma 2 9 10" xfId="1082"/>
    <cellStyle name="Comma 2 9 11" xfId="1083"/>
    <cellStyle name="Comma 2 9 12" xfId="1084"/>
    <cellStyle name="Comma 2 9 13" xfId="1085"/>
    <cellStyle name="Comma 2 9 14" xfId="1086"/>
    <cellStyle name="Comma 2 9 15" xfId="1087"/>
    <cellStyle name="Comma 2 9 16" xfId="1088"/>
    <cellStyle name="Comma 2 9 17" xfId="1089"/>
    <cellStyle name="Comma 2 9 18" xfId="1090"/>
    <cellStyle name="Comma 2 9 2" xfId="1091"/>
    <cellStyle name="Comma 2 9 2 2" xfId="1092"/>
    <cellStyle name="Comma 2 9 3" xfId="1093"/>
    <cellStyle name="Comma 2 9 3 2" xfId="1094"/>
    <cellStyle name="Comma 2 9 4" xfId="1095"/>
    <cellStyle name="Comma 2 9 4 2" xfId="1096"/>
    <cellStyle name="Comma 2 9 5" xfId="1097"/>
    <cellStyle name="Comma 2 9 5 2" xfId="1098"/>
    <cellStyle name="Comma 2 9 6" xfId="1099"/>
    <cellStyle name="Comma 2 9 6 2" xfId="1100"/>
    <cellStyle name="Comma 2 9 7" xfId="1101"/>
    <cellStyle name="Comma 2 9 7 2" xfId="1102"/>
    <cellStyle name="Comma 2 9 8" xfId="1103"/>
    <cellStyle name="Comma 2 9 8 2" xfId="1104"/>
    <cellStyle name="Comma 2 9 9" xfId="1105"/>
    <cellStyle name="Comma 2_2bhk_19122016" xfId="1106"/>
    <cellStyle name="Comma 20" xfId="1107"/>
    <cellStyle name="Comma 20 2" xfId="1108"/>
    <cellStyle name="Comma 21" xfId="1109"/>
    <cellStyle name="Comma 21 2" xfId="1110"/>
    <cellStyle name="Comma 22" xfId="1111"/>
    <cellStyle name="Comma 22 2" xfId="1112"/>
    <cellStyle name="Comma 23" xfId="1113"/>
    <cellStyle name="Comma 23 2" xfId="1114"/>
    <cellStyle name="Comma 24" xfId="1115"/>
    <cellStyle name="Comma 24 2" xfId="1116"/>
    <cellStyle name="Comma 25" xfId="1117"/>
    <cellStyle name="Comma 25 2" xfId="1118"/>
    <cellStyle name="Comma 26" xfId="1119"/>
    <cellStyle name="Comma 26 2" xfId="1120"/>
    <cellStyle name="Comma 27" xfId="1121"/>
    <cellStyle name="Comma 27 2" xfId="1122"/>
    <cellStyle name="Comma 28" xfId="1123"/>
    <cellStyle name="Comma 28 2" xfId="1124"/>
    <cellStyle name="Comma 29" xfId="1125"/>
    <cellStyle name="Comma 29 10" xfId="1126"/>
    <cellStyle name="Comma 29 11" xfId="1127"/>
    <cellStyle name="Comma 29 12" xfId="1128"/>
    <cellStyle name="Comma 29 13" xfId="1129"/>
    <cellStyle name="Comma 29 2" xfId="1130"/>
    <cellStyle name="Comma 29 2 10" xfId="1131"/>
    <cellStyle name="Comma 29 2 11" xfId="1132"/>
    <cellStyle name="Comma 29 2 2" xfId="1133"/>
    <cellStyle name="Comma 29 2 3" xfId="1134"/>
    <cellStyle name="Comma 29 2 4" xfId="1135"/>
    <cellStyle name="Comma 29 2 5" xfId="1136"/>
    <cellStyle name="Comma 29 2 6" xfId="1137"/>
    <cellStyle name="Comma 29 2 7" xfId="1138"/>
    <cellStyle name="Comma 29 2 8" xfId="1139"/>
    <cellStyle name="Comma 29 2 9" xfId="1140"/>
    <cellStyle name="Comma 29 3" xfId="1141"/>
    <cellStyle name="Comma 29 3 10" xfId="1142"/>
    <cellStyle name="Comma 29 3 11" xfId="1143"/>
    <cellStyle name="Comma 29 3 2" xfId="1144"/>
    <cellStyle name="Comma 29 3 3" xfId="1145"/>
    <cellStyle name="Comma 29 3 4" xfId="1146"/>
    <cellStyle name="Comma 29 3 5" xfId="1147"/>
    <cellStyle name="Comma 29 3 6" xfId="1148"/>
    <cellStyle name="Comma 29 3 7" xfId="1149"/>
    <cellStyle name="Comma 29 3 8" xfId="1150"/>
    <cellStyle name="Comma 29 3 9" xfId="1151"/>
    <cellStyle name="Comma 29 4" xfId="1152"/>
    <cellStyle name="Comma 29 5" xfId="1153"/>
    <cellStyle name="Comma 29 5 2" xfId="1154"/>
    <cellStyle name="Comma 29 5 3" xfId="1155"/>
    <cellStyle name="Comma 29 6" xfId="1156"/>
    <cellStyle name="Comma 29 6 2" xfId="1157"/>
    <cellStyle name="Comma 29 6 3" xfId="1158"/>
    <cellStyle name="Comma 29 7" xfId="1159"/>
    <cellStyle name="Comma 29 8" xfId="1160"/>
    <cellStyle name="Comma 29 9" xfId="1161"/>
    <cellStyle name="Comma 3" xfId="1162"/>
    <cellStyle name="Comma 3 10" xfId="1163"/>
    <cellStyle name="Comma 3 10 10" xfId="1164"/>
    <cellStyle name="Comma 3 10 11" xfId="1165"/>
    <cellStyle name="Comma 3 10 12" xfId="1166"/>
    <cellStyle name="Comma 3 10 13" xfId="1167"/>
    <cellStyle name="Comma 3 10 14" xfId="1168"/>
    <cellStyle name="Comma 3 10 15" xfId="1169"/>
    <cellStyle name="Comma 3 10 16" xfId="1170"/>
    <cellStyle name="Comma 3 10 17" xfId="1171"/>
    <cellStyle name="Comma 3 10 18" xfId="1172"/>
    <cellStyle name="Comma 3 10 2" xfId="1173"/>
    <cellStyle name="Comma 3 10 2 2" xfId="1174"/>
    <cellStyle name="Comma 3 10 3" xfId="1175"/>
    <cellStyle name="Comma 3 10 3 2" xfId="1176"/>
    <cellStyle name="Comma 3 10 4" xfId="1177"/>
    <cellStyle name="Comma 3 10 4 2" xfId="1178"/>
    <cellStyle name="Comma 3 10 5" xfId="1179"/>
    <cellStyle name="Comma 3 10 5 2" xfId="1180"/>
    <cellStyle name="Comma 3 10 6" xfId="1181"/>
    <cellStyle name="Comma 3 10 6 2" xfId="1182"/>
    <cellStyle name="Comma 3 10 7" xfId="1183"/>
    <cellStyle name="Comma 3 10 7 2" xfId="1184"/>
    <cellStyle name="Comma 3 10 8" xfId="1185"/>
    <cellStyle name="Comma 3 10 8 2" xfId="1186"/>
    <cellStyle name="Comma 3 10 9" xfId="1187"/>
    <cellStyle name="Comma 3 11" xfId="1188"/>
    <cellStyle name="Comma 3 12" xfId="1189"/>
    <cellStyle name="Comma 3 13" xfId="1190"/>
    <cellStyle name="Comma 3 2" xfId="1191"/>
    <cellStyle name="Comma 3 2 10" xfId="1192"/>
    <cellStyle name="Comma 3 2 11" xfId="1193"/>
    <cellStyle name="Comma 3 2 12" xfId="1194"/>
    <cellStyle name="Comma 3 2 13" xfId="1195"/>
    <cellStyle name="Comma 3 2 14" xfId="1196"/>
    <cellStyle name="Comma 3 2 15" xfId="1197"/>
    <cellStyle name="Comma 3 2 16" xfId="1198"/>
    <cellStyle name="Comma 3 2 17" xfId="1199"/>
    <cellStyle name="Comma 3 2 18" xfId="1200"/>
    <cellStyle name="Comma 3 2 2" xfId="1201"/>
    <cellStyle name="Comma 3 2 2 2" xfId="1202"/>
    <cellStyle name="Comma 3 2 2 3" xfId="1203"/>
    <cellStyle name="Comma 3 2 3" xfId="1204"/>
    <cellStyle name="Comma 3 2 3 2" xfId="1205"/>
    <cellStyle name="Comma 3 2 4" xfId="1206"/>
    <cellStyle name="Comma 3 2 4 2" xfId="1207"/>
    <cellStyle name="Comma 3 2 5" xfId="1208"/>
    <cellStyle name="Comma 3 2 5 2" xfId="1209"/>
    <cellStyle name="Comma 3 2 5 3" xfId="1210"/>
    <cellStyle name="Comma 3 2 6" xfId="1211"/>
    <cellStyle name="Comma 3 2 6 2" xfId="1212"/>
    <cellStyle name="Comma 3 2 7" xfId="1213"/>
    <cellStyle name="Comma 3 2 7 2" xfId="1214"/>
    <cellStyle name="Comma 3 2 8" xfId="1215"/>
    <cellStyle name="Comma 3 2 8 2" xfId="1216"/>
    <cellStyle name="Comma 3 2 9" xfId="1217"/>
    <cellStyle name="Comma 3 2_Rukmapur (CPD)-wk" xfId="1218"/>
    <cellStyle name="Comma 3 3" xfId="1219"/>
    <cellStyle name="Comma 3 3 10" xfId="1220"/>
    <cellStyle name="Comma 3 3 11" xfId="1221"/>
    <cellStyle name="Comma 3 3 12" xfId="1222"/>
    <cellStyle name="Comma 3 3 13" xfId="1223"/>
    <cellStyle name="Comma 3 3 14" xfId="1224"/>
    <cellStyle name="Comma 3 3 15" xfId="1225"/>
    <cellStyle name="Comma 3 3 16" xfId="1226"/>
    <cellStyle name="Comma 3 3 17" xfId="1227"/>
    <cellStyle name="Comma 3 3 18" xfId="1228"/>
    <cellStyle name="Comma 3 3 2" xfId="1229"/>
    <cellStyle name="Comma 3 3 2 2" xfId="1230"/>
    <cellStyle name="Comma 3 3 3" xfId="1231"/>
    <cellStyle name="Comma 3 3 3 2" xfId="1232"/>
    <cellStyle name="Comma 3 3 4" xfId="1233"/>
    <cellStyle name="Comma 3 3 4 2" xfId="1234"/>
    <cellStyle name="Comma 3 3 5" xfId="1235"/>
    <cellStyle name="Comma 3 3 5 2" xfId="1236"/>
    <cellStyle name="Comma 3 3 6" xfId="1237"/>
    <cellStyle name="Comma 3 3 6 2" xfId="1238"/>
    <cellStyle name="Comma 3 3 7" xfId="1239"/>
    <cellStyle name="Comma 3 3 7 2" xfId="1240"/>
    <cellStyle name="Comma 3 3 8" xfId="1241"/>
    <cellStyle name="Comma 3 3 8 2" xfId="1242"/>
    <cellStyle name="Comma 3 3 9" xfId="1243"/>
    <cellStyle name="Comma 3 4" xfId="1244"/>
    <cellStyle name="Comma 3 4 10" xfId="1245"/>
    <cellStyle name="Comma 3 4 11" xfId="1246"/>
    <cellStyle name="Comma 3 4 12" xfId="1247"/>
    <cellStyle name="Comma 3 4 13" xfId="1248"/>
    <cellStyle name="Comma 3 4 14" xfId="1249"/>
    <cellStyle name="Comma 3 4 15" xfId="1250"/>
    <cellStyle name="Comma 3 4 16" xfId="1251"/>
    <cellStyle name="Comma 3 4 17" xfId="1252"/>
    <cellStyle name="Comma 3 4 18" xfId="1253"/>
    <cellStyle name="Comma 3 4 2" xfId="1254"/>
    <cellStyle name="Comma 3 4 2 2" xfId="1255"/>
    <cellStyle name="Comma 3 4 3" xfId="1256"/>
    <cellStyle name="Comma 3 4 3 2" xfId="1257"/>
    <cellStyle name="Comma 3 4 4" xfId="1258"/>
    <cellStyle name="Comma 3 4 4 2" xfId="1259"/>
    <cellStyle name="Comma 3 4 5" xfId="1260"/>
    <cellStyle name="Comma 3 4 5 2" xfId="1261"/>
    <cellStyle name="Comma 3 4 6" xfId="1262"/>
    <cellStyle name="Comma 3 4 6 2" xfId="1263"/>
    <cellStyle name="Comma 3 4 7" xfId="1264"/>
    <cellStyle name="Comma 3 4 7 2" xfId="1265"/>
    <cellStyle name="Comma 3 4 8" xfId="1266"/>
    <cellStyle name="Comma 3 4 8 2" xfId="1267"/>
    <cellStyle name="Comma 3 4 9" xfId="1268"/>
    <cellStyle name="Comma 3 5" xfId="1269"/>
    <cellStyle name="Comma 3 5 10" xfId="1270"/>
    <cellStyle name="Comma 3 5 11" xfId="1271"/>
    <cellStyle name="Comma 3 5 12" xfId="1272"/>
    <cellStyle name="Comma 3 5 13" xfId="1273"/>
    <cellStyle name="Comma 3 5 14" xfId="1274"/>
    <cellStyle name="Comma 3 5 15" xfId="1275"/>
    <cellStyle name="Comma 3 5 16" xfId="1276"/>
    <cellStyle name="Comma 3 5 17" xfId="1277"/>
    <cellStyle name="Comma 3 5 18" xfId="1278"/>
    <cellStyle name="Comma 3 5 2" xfId="1279"/>
    <cellStyle name="Comma 3 5 2 2" xfId="1280"/>
    <cellStyle name="Comma 3 5 3" xfId="1281"/>
    <cellStyle name="Comma 3 5 3 2" xfId="1282"/>
    <cellStyle name="Comma 3 5 4" xfId="1283"/>
    <cellStyle name="Comma 3 5 4 2" xfId="1284"/>
    <cellStyle name="Comma 3 5 5" xfId="1285"/>
    <cellStyle name="Comma 3 5 5 2" xfId="1286"/>
    <cellStyle name="Comma 3 5 6" xfId="1287"/>
    <cellStyle name="Comma 3 5 6 2" xfId="1288"/>
    <cellStyle name="Comma 3 5 7" xfId="1289"/>
    <cellStyle name="Comma 3 5 7 2" xfId="1290"/>
    <cellStyle name="Comma 3 5 8" xfId="1291"/>
    <cellStyle name="Comma 3 5 8 2" xfId="1292"/>
    <cellStyle name="Comma 3 5 9" xfId="1293"/>
    <cellStyle name="Comma 3 6" xfId="1294"/>
    <cellStyle name="Comma 3 6 10" xfId="1295"/>
    <cellStyle name="Comma 3 6 11" xfId="1296"/>
    <cellStyle name="Comma 3 6 12" xfId="1297"/>
    <cellStyle name="Comma 3 6 13" xfId="1298"/>
    <cellStyle name="Comma 3 6 14" xfId="1299"/>
    <cellStyle name="Comma 3 6 15" xfId="1300"/>
    <cellStyle name="Comma 3 6 16" xfId="1301"/>
    <cellStyle name="Comma 3 6 17" xfId="1302"/>
    <cellStyle name="Comma 3 6 18" xfId="1303"/>
    <cellStyle name="Comma 3 6 2" xfId="1304"/>
    <cellStyle name="Comma 3 6 2 2" xfId="1305"/>
    <cellStyle name="Comma 3 6 3" xfId="1306"/>
    <cellStyle name="Comma 3 6 3 2" xfId="1307"/>
    <cellStyle name="Comma 3 6 4" xfId="1308"/>
    <cellStyle name="Comma 3 6 4 2" xfId="1309"/>
    <cellStyle name="Comma 3 6 5" xfId="1310"/>
    <cellStyle name="Comma 3 6 5 2" xfId="1311"/>
    <cellStyle name="Comma 3 6 6" xfId="1312"/>
    <cellStyle name="Comma 3 6 6 2" xfId="1313"/>
    <cellStyle name="Comma 3 6 7" xfId="1314"/>
    <cellStyle name="Comma 3 6 7 2" xfId="1315"/>
    <cellStyle name="Comma 3 6 8" xfId="1316"/>
    <cellStyle name="Comma 3 6 8 2" xfId="1317"/>
    <cellStyle name="Comma 3 6 9" xfId="1318"/>
    <cellStyle name="Comma 3 7" xfId="1319"/>
    <cellStyle name="Comma 3 7 10" xfId="1320"/>
    <cellStyle name="Comma 3 7 11" xfId="1321"/>
    <cellStyle name="Comma 3 7 12" xfId="1322"/>
    <cellStyle name="Comma 3 7 13" xfId="1323"/>
    <cellStyle name="Comma 3 7 14" xfId="1324"/>
    <cellStyle name="Comma 3 7 15" xfId="1325"/>
    <cellStyle name="Comma 3 7 16" xfId="1326"/>
    <cellStyle name="Comma 3 7 17" xfId="1327"/>
    <cellStyle name="Comma 3 7 18" xfId="1328"/>
    <cellStyle name="Comma 3 7 2" xfId="1329"/>
    <cellStyle name="Comma 3 7 2 2" xfId="1330"/>
    <cellStyle name="Comma 3 7 3" xfId="1331"/>
    <cellStyle name="Comma 3 7 3 2" xfId="1332"/>
    <cellStyle name="Comma 3 7 4" xfId="1333"/>
    <cellStyle name="Comma 3 7 4 2" xfId="1334"/>
    <cellStyle name="Comma 3 7 5" xfId="1335"/>
    <cellStyle name="Comma 3 7 5 2" xfId="1336"/>
    <cellStyle name="Comma 3 7 6" xfId="1337"/>
    <cellStyle name="Comma 3 7 6 2" xfId="1338"/>
    <cellStyle name="Comma 3 7 7" xfId="1339"/>
    <cellStyle name="Comma 3 7 7 2" xfId="1340"/>
    <cellStyle name="Comma 3 7 8" xfId="1341"/>
    <cellStyle name="Comma 3 7 8 2" xfId="1342"/>
    <cellStyle name="Comma 3 7 9" xfId="1343"/>
    <cellStyle name="Comma 3 8" xfId="1344"/>
    <cellStyle name="Comma 3 8 10" xfId="1345"/>
    <cellStyle name="Comma 3 8 11" xfId="1346"/>
    <cellStyle name="Comma 3 8 12" xfId="1347"/>
    <cellStyle name="Comma 3 8 13" xfId="1348"/>
    <cellStyle name="Comma 3 8 14" xfId="1349"/>
    <cellStyle name="Comma 3 8 15" xfId="1350"/>
    <cellStyle name="Comma 3 8 16" xfId="1351"/>
    <cellStyle name="Comma 3 8 17" xfId="1352"/>
    <cellStyle name="Comma 3 8 18" xfId="1353"/>
    <cellStyle name="Comma 3 8 2" xfId="1354"/>
    <cellStyle name="Comma 3 8 2 2" xfId="1355"/>
    <cellStyle name="Comma 3 8 3" xfId="1356"/>
    <cellStyle name="Comma 3 8 3 2" xfId="1357"/>
    <cellStyle name="Comma 3 8 4" xfId="1358"/>
    <cellStyle name="Comma 3 8 4 2" xfId="1359"/>
    <cellStyle name="Comma 3 8 5" xfId="1360"/>
    <cellStyle name="Comma 3 8 5 2" xfId="1361"/>
    <cellStyle name="Comma 3 8 6" xfId="1362"/>
    <cellStyle name="Comma 3 8 6 2" xfId="1363"/>
    <cellStyle name="Comma 3 8 7" xfId="1364"/>
    <cellStyle name="Comma 3 8 7 2" xfId="1365"/>
    <cellStyle name="Comma 3 8 8" xfId="1366"/>
    <cellStyle name="Comma 3 8 8 2" xfId="1367"/>
    <cellStyle name="Comma 3 8 9" xfId="1368"/>
    <cellStyle name="Comma 3 9" xfId="1369"/>
    <cellStyle name="Comma 3 9 10" xfId="1370"/>
    <cellStyle name="Comma 3 9 11" xfId="1371"/>
    <cellStyle name="Comma 3 9 12" xfId="1372"/>
    <cellStyle name="Comma 3 9 13" xfId="1373"/>
    <cellStyle name="Comma 3 9 14" xfId="1374"/>
    <cellStyle name="Comma 3 9 15" xfId="1375"/>
    <cellStyle name="Comma 3 9 16" xfId="1376"/>
    <cellStyle name="Comma 3 9 17" xfId="1377"/>
    <cellStyle name="Comma 3 9 18" xfId="1378"/>
    <cellStyle name="Comma 3 9 2" xfId="1379"/>
    <cellStyle name="Comma 3 9 2 2" xfId="1380"/>
    <cellStyle name="Comma 3 9 3" xfId="1381"/>
    <cellStyle name="Comma 3 9 3 2" xfId="1382"/>
    <cellStyle name="Comma 3 9 4" xfId="1383"/>
    <cellStyle name="Comma 3 9 4 2" xfId="1384"/>
    <cellStyle name="Comma 3 9 5" xfId="1385"/>
    <cellStyle name="Comma 3 9 5 2" xfId="1386"/>
    <cellStyle name="Comma 3 9 6" xfId="1387"/>
    <cellStyle name="Comma 3 9 6 2" xfId="1388"/>
    <cellStyle name="Comma 3 9 7" xfId="1389"/>
    <cellStyle name="Comma 3 9 7 2" xfId="1390"/>
    <cellStyle name="Comma 3 9 8" xfId="1391"/>
    <cellStyle name="Comma 3 9 8 2" xfId="1392"/>
    <cellStyle name="Comma 3 9 9" xfId="1393"/>
    <cellStyle name="Comma 3_Bandalingampally (Ypet-wd)" xfId="1394"/>
    <cellStyle name="Comma 30" xfId="1395"/>
    <cellStyle name="Comma 30 2" xfId="1396"/>
    <cellStyle name="Comma 31" xfId="1397"/>
    <cellStyle name="Comma 32" xfId="1398"/>
    <cellStyle name="Comma 33" xfId="1399"/>
    <cellStyle name="Comma 34" xfId="1400"/>
    <cellStyle name="Comma 35" xfId="1401"/>
    <cellStyle name="Comma 35 2" xfId="1402"/>
    <cellStyle name="Comma 36" xfId="1403"/>
    <cellStyle name="Comma 37" xfId="1404"/>
    <cellStyle name="Comma 37 2" xfId="1405"/>
    <cellStyle name="Comma 38" xfId="1406"/>
    <cellStyle name="Comma 39" xfId="1407"/>
    <cellStyle name="Comma 4" xfId="1408"/>
    <cellStyle name="Comma 4 10" xfId="1409"/>
    <cellStyle name="Comma 4 10 2" xfId="1410"/>
    <cellStyle name="Comma 4 11" xfId="1411"/>
    <cellStyle name="Comma 4 11 2" xfId="1412"/>
    <cellStyle name="Comma 4 12" xfId="1413"/>
    <cellStyle name="Comma 4 13" xfId="1414"/>
    <cellStyle name="Comma 4 14" xfId="1415"/>
    <cellStyle name="Comma 4 2" xfId="1416"/>
    <cellStyle name="Comma 4 2 2" xfId="1417"/>
    <cellStyle name="Comma 4 2 2 2" xfId="1418"/>
    <cellStyle name="Comma 4 2 2 3" xfId="1419"/>
    <cellStyle name="Comma 4 2 3" xfId="1420"/>
    <cellStyle name="Comma 4 2 3 2" xfId="1421"/>
    <cellStyle name="Comma 4 2 4" xfId="1422"/>
    <cellStyle name="Comma 4 3" xfId="1423"/>
    <cellStyle name="Comma 4 3 10" xfId="1424"/>
    <cellStyle name="Comma 4 3 11" xfId="1425"/>
    <cellStyle name="Comma 4 3 12" xfId="1426"/>
    <cellStyle name="Comma 4 3 13" xfId="1427"/>
    <cellStyle name="Comma 4 3 14" xfId="1428"/>
    <cellStyle name="Comma 4 3 15" xfId="1429"/>
    <cellStyle name="Comma 4 3 16" xfId="1430"/>
    <cellStyle name="Comma 4 3 17" xfId="1431"/>
    <cellStyle name="Comma 4 3 18" xfId="1432"/>
    <cellStyle name="Comma 4 3 2" xfId="1433"/>
    <cellStyle name="Comma 4 3 2 2" xfId="1434"/>
    <cellStyle name="Comma 4 3 3" xfId="1435"/>
    <cellStyle name="Comma 4 3 3 2" xfId="1436"/>
    <cellStyle name="Comma 4 3 4" xfId="1437"/>
    <cellStyle name="Comma 4 3 4 2" xfId="1438"/>
    <cellStyle name="Comma 4 3 5" xfId="1439"/>
    <cellStyle name="Comma 4 3 5 2" xfId="1440"/>
    <cellStyle name="Comma 4 3 6" xfId="1441"/>
    <cellStyle name="Comma 4 3 6 2" xfId="1442"/>
    <cellStyle name="Comma 4 3 7" xfId="1443"/>
    <cellStyle name="Comma 4 3 7 2" xfId="1444"/>
    <cellStyle name="Comma 4 3 8" xfId="1445"/>
    <cellStyle name="Comma 4 3 8 2" xfId="1446"/>
    <cellStyle name="Comma 4 3 9" xfId="1447"/>
    <cellStyle name="Comma 4 4" xfId="1448"/>
    <cellStyle name="Comma 4 4 2" xfId="1449"/>
    <cellStyle name="Comma 4 5" xfId="1450"/>
    <cellStyle name="Comma 4 5 2" xfId="1451"/>
    <cellStyle name="Comma 4 6" xfId="1452"/>
    <cellStyle name="Comma 4 6 2" xfId="1453"/>
    <cellStyle name="Comma 4 6 3" xfId="1454"/>
    <cellStyle name="Comma 4 7" xfId="1455"/>
    <cellStyle name="Comma 4 7 2" xfId="1456"/>
    <cellStyle name="Comma 4 8" xfId="1457"/>
    <cellStyle name="Comma 4 8 2" xfId="1458"/>
    <cellStyle name="Comma 4 9" xfId="1459"/>
    <cellStyle name="Comma 4 9 2" xfId="1460"/>
    <cellStyle name="Comma 4_Book1" xfId="1461"/>
    <cellStyle name="Comma 40" xfId="1462"/>
    <cellStyle name="Comma 41" xfId="1463"/>
    <cellStyle name="Comma 42" xfId="1464"/>
    <cellStyle name="Comma 43" xfId="1465"/>
    <cellStyle name="Comma 44" xfId="1466"/>
    <cellStyle name="Comma 45" xfId="1467"/>
    <cellStyle name="Comma 46" xfId="1468"/>
    <cellStyle name="Comma 47" xfId="1469"/>
    <cellStyle name="Comma 48" xfId="1470"/>
    <cellStyle name="Comma 49" xfId="1471"/>
    <cellStyle name="Comma 5" xfId="1472"/>
    <cellStyle name="Comma 5 10" xfId="1473"/>
    <cellStyle name="Comma 5 10 10" xfId="1474"/>
    <cellStyle name="Comma 5 10 11" xfId="1475"/>
    <cellStyle name="Comma 5 10 12" xfId="1476"/>
    <cellStyle name="Comma 5 10 13" xfId="1477"/>
    <cellStyle name="Comma 5 10 14" xfId="1478"/>
    <cellStyle name="Comma 5 10 15" xfId="1479"/>
    <cellStyle name="Comma 5 10 16" xfId="1480"/>
    <cellStyle name="Comma 5 10 17" xfId="1481"/>
    <cellStyle name="Comma 5 10 18" xfId="1482"/>
    <cellStyle name="Comma 5 10 2" xfId="1483"/>
    <cellStyle name="Comma 5 10 2 2" xfId="1484"/>
    <cellStyle name="Comma 5 10 3" xfId="1485"/>
    <cellStyle name="Comma 5 10 3 2" xfId="1486"/>
    <cellStyle name="Comma 5 10 4" xfId="1487"/>
    <cellStyle name="Comma 5 10 4 2" xfId="1488"/>
    <cellStyle name="Comma 5 10 5" xfId="1489"/>
    <cellStyle name="Comma 5 10 5 2" xfId="1490"/>
    <cellStyle name="Comma 5 10 6" xfId="1491"/>
    <cellStyle name="Comma 5 10 6 2" xfId="1492"/>
    <cellStyle name="Comma 5 10 7" xfId="1493"/>
    <cellStyle name="Comma 5 10 7 2" xfId="1494"/>
    <cellStyle name="Comma 5 10 8" xfId="1495"/>
    <cellStyle name="Comma 5 10 8 2" xfId="1496"/>
    <cellStyle name="Comma 5 10 9" xfId="1497"/>
    <cellStyle name="Comma 5 11" xfId="1498"/>
    <cellStyle name="Comma 5 11 2" xfId="1499"/>
    <cellStyle name="Comma 5 12" xfId="1500"/>
    <cellStyle name="Comma 5 12 2" xfId="1501"/>
    <cellStyle name="Comma 5 13" xfId="1502"/>
    <cellStyle name="Comma 5 13 2" xfId="1503"/>
    <cellStyle name="Comma 5 14" xfId="1504"/>
    <cellStyle name="Comma 5 14 2" xfId="1505"/>
    <cellStyle name="Comma 5 15" xfId="1506"/>
    <cellStyle name="Comma 5 15 2" xfId="1507"/>
    <cellStyle name="Comma 5 16" xfId="1508"/>
    <cellStyle name="Comma 5 16 2" xfId="1509"/>
    <cellStyle name="Comma 5 17" xfId="1510"/>
    <cellStyle name="Comma 5 17 2" xfId="1511"/>
    <cellStyle name="Comma 5 18" xfId="1512"/>
    <cellStyle name="Comma 5 19" xfId="1513"/>
    <cellStyle name="Comma 5 2" xfId="1514"/>
    <cellStyle name="Comma 5 2 10" xfId="1515"/>
    <cellStyle name="Comma 5 2 11" xfId="1516"/>
    <cellStyle name="Comma 5 2 12" xfId="1517"/>
    <cellStyle name="Comma 5 2 13" xfId="1518"/>
    <cellStyle name="Comma 5 2 14" xfId="1519"/>
    <cellStyle name="Comma 5 2 15" xfId="1520"/>
    <cellStyle name="Comma 5 2 16" xfId="1521"/>
    <cellStyle name="Comma 5 2 17" xfId="1522"/>
    <cellStyle name="Comma 5 2 18" xfId="1523"/>
    <cellStyle name="Comma 5 2 2" xfId="1524"/>
    <cellStyle name="Comma 5 2 2 2" xfId="1525"/>
    <cellStyle name="Comma 5 2 3" xfId="1526"/>
    <cellStyle name="Comma 5 2 3 2" xfId="1527"/>
    <cellStyle name="Comma 5 2 4" xfId="1528"/>
    <cellStyle name="Comma 5 2 4 2" xfId="1529"/>
    <cellStyle name="Comma 5 2 5" xfId="1530"/>
    <cellStyle name="Comma 5 2 5 2" xfId="1531"/>
    <cellStyle name="Comma 5 2 6" xfId="1532"/>
    <cellStyle name="Comma 5 2 6 2" xfId="1533"/>
    <cellStyle name="Comma 5 2 7" xfId="1534"/>
    <cellStyle name="Comma 5 2 7 2" xfId="1535"/>
    <cellStyle name="Comma 5 2 8" xfId="1536"/>
    <cellStyle name="Comma 5 2 8 2" xfId="1537"/>
    <cellStyle name="Comma 5 2 9" xfId="1538"/>
    <cellStyle name="Comma 5 20" xfId="1539"/>
    <cellStyle name="Comma 5 21" xfId="1540"/>
    <cellStyle name="Comma 5 22" xfId="1541"/>
    <cellStyle name="Comma 5 23" xfId="1542"/>
    <cellStyle name="Comma 5 24" xfId="1543"/>
    <cellStyle name="Comma 5 25" xfId="1544"/>
    <cellStyle name="Comma 5 26" xfId="1545"/>
    <cellStyle name="Comma 5 27" xfId="1546"/>
    <cellStyle name="Comma 5 3" xfId="1547"/>
    <cellStyle name="Comma 5 3 10" xfId="1548"/>
    <cellStyle name="Comma 5 3 11" xfId="1549"/>
    <cellStyle name="Comma 5 3 12" xfId="1550"/>
    <cellStyle name="Comma 5 3 13" xfId="1551"/>
    <cellStyle name="Comma 5 3 14" xfId="1552"/>
    <cellStyle name="Comma 5 3 15" xfId="1553"/>
    <cellStyle name="Comma 5 3 16" xfId="1554"/>
    <cellStyle name="Comma 5 3 17" xfId="1555"/>
    <cellStyle name="Comma 5 3 18" xfId="1556"/>
    <cellStyle name="Comma 5 3 2" xfId="1557"/>
    <cellStyle name="Comma 5 3 2 2" xfId="1558"/>
    <cellStyle name="Comma 5 3 3" xfId="1559"/>
    <cellStyle name="Comma 5 3 3 2" xfId="1560"/>
    <cellStyle name="Comma 5 3 4" xfId="1561"/>
    <cellStyle name="Comma 5 3 4 2" xfId="1562"/>
    <cellStyle name="Comma 5 3 5" xfId="1563"/>
    <cellStyle name="Comma 5 3 5 2" xfId="1564"/>
    <cellStyle name="Comma 5 3 6" xfId="1565"/>
    <cellStyle name="Comma 5 3 6 2" xfId="1566"/>
    <cellStyle name="Comma 5 3 7" xfId="1567"/>
    <cellStyle name="Comma 5 3 7 2" xfId="1568"/>
    <cellStyle name="Comma 5 3 8" xfId="1569"/>
    <cellStyle name="Comma 5 3 8 2" xfId="1570"/>
    <cellStyle name="Comma 5 3 9" xfId="1571"/>
    <cellStyle name="Comma 5 4" xfId="1572"/>
    <cellStyle name="Comma 5 4 10" xfId="1573"/>
    <cellStyle name="Comma 5 4 11" xfId="1574"/>
    <cellStyle name="Comma 5 4 12" xfId="1575"/>
    <cellStyle name="Comma 5 4 13" xfId="1576"/>
    <cellStyle name="Comma 5 4 14" xfId="1577"/>
    <cellStyle name="Comma 5 4 15" xfId="1578"/>
    <cellStyle name="Comma 5 4 16" xfId="1579"/>
    <cellStyle name="Comma 5 4 17" xfId="1580"/>
    <cellStyle name="Comma 5 4 18" xfId="1581"/>
    <cellStyle name="Comma 5 4 2" xfId="1582"/>
    <cellStyle name="Comma 5 4 2 2" xfId="1583"/>
    <cellStyle name="Comma 5 4 3" xfId="1584"/>
    <cellStyle name="Comma 5 4 3 2" xfId="1585"/>
    <cellStyle name="Comma 5 4 4" xfId="1586"/>
    <cellStyle name="Comma 5 4 4 2" xfId="1587"/>
    <cellStyle name="Comma 5 4 5" xfId="1588"/>
    <cellStyle name="Comma 5 4 5 2" xfId="1589"/>
    <cellStyle name="Comma 5 4 6" xfId="1590"/>
    <cellStyle name="Comma 5 4 6 2" xfId="1591"/>
    <cellStyle name="Comma 5 4 7" xfId="1592"/>
    <cellStyle name="Comma 5 4 7 2" xfId="1593"/>
    <cellStyle name="Comma 5 4 8" xfId="1594"/>
    <cellStyle name="Comma 5 4 8 2" xfId="1595"/>
    <cellStyle name="Comma 5 4 9" xfId="1596"/>
    <cellStyle name="Comma 5 5" xfId="1597"/>
    <cellStyle name="Comma 5 5 10" xfId="1598"/>
    <cellStyle name="Comma 5 5 11" xfId="1599"/>
    <cellStyle name="Comma 5 5 12" xfId="1600"/>
    <cellStyle name="Comma 5 5 13" xfId="1601"/>
    <cellStyle name="Comma 5 5 14" xfId="1602"/>
    <cellStyle name="Comma 5 5 15" xfId="1603"/>
    <cellStyle name="Comma 5 5 16" xfId="1604"/>
    <cellStyle name="Comma 5 5 17" xfId="1605"/>
    <cellStyle name="Comma 5 5 18" xfId="1606"/>
    <cellStyle name="Comma 5 5 2" xfId="1607"/>
    <cellStyle name="Comma 5 5 2 2" xfId="1608"/>
    <cellStyle name="Comma 5 5 3" xfId="1609"/>
    <cellStyle name="Comma 5 5 3 2" xfId="1610"/>
    <cellStyle name="Comma 5 5 4" xfId="1611"/>
    <cellStyle name="Comma 5 5 4 2" xfId="1612"/>
    <cellStyle name="Comma 5 5 5" xfId="1613"/>
    <cellStyle name="Comma 5 5 5 2" xfId="1614"/>
    <cellStyle name="Comma 5 5 6" xfId="1615"/>
    <cellStyle name="Comma 5 5 6 2" xfId="1616"/>
    <cellStyle name="Comma 5 5 7" xfId="1617"/>
    <cellStyle name="Comma 5 5 7 2" xfId="1618"/>
    <cellStyle name="Comma 5 5 8" xfId="1619"/>
    <cellStyle name="Comma 5 5 8 2" xfId="1620"/>
    <cellStyle name="Comma 5 5 9" xfId="1621"/>
    <cellStyle name="Comma 5 6" xfId="1622"/>
    <cellStyle name="Comma 5 6 10" xfId="1623"/>
    <cellStyle name="Comma 5 6 11" xfId="1624"/>
    <cellStyle name="Comma 5 6 12" xfId="1625"/>
    <cellStyle name="Comma 5 6 13" xfId="1626"/>
    <cellStyle name="Comma 5 6 14" xfId="1627"/>
    <cellStyle name="Comma 5 6 15" xfId="1628"/>
    <cellStyle name="Comma 5 6 16" xfId="1629"/>
    <cellStyle name="Comma 5 6 17" xfId="1630"/>
    <cellStyle name="Comma 5 6 18" xfId="1631"/>
    <cellStyle name="Comma 5 6 2" xfId="1632"/>
    <cellStyle name="Comma 5 6 2 2" xfId="1633"/>
    <cellStyle name="Comma 5 6 3" xfId="1634"/>
    <cellStyle name="Comma 5 6 3 2" xfId="1635"/>
    <cellStyle name="Comma 5 6 4" xfId="1636"/>
    <cellStyle name="Comma 5 6 4 2" xfId="1637"/>
    <cellStyle name="Comma 5 6 5" xfId="1638"/>
    <cellStyle name="Comma 5 6 5 2" xfId="1639"/>
    <cellStyle name="Comma 5 6 6" xfId="1640"/>
    <cellStyle name="Comma 5 6 6 2" xfId="1641"/>
    <cellStyle name="Comma 5 6 7" xfId="1642"/>
    <cellStyle name="Comma 5 6 7 2" xfId="1643"/>
    <cellStyle name="Comma 5 6 8" xfId="1644"/>
    <cellStyle name="Comma 5 6 8 2" xfId="1645"/>
    <cellStyle name="Comma 5 6 9" xfId="1646"/>
    <cellStyle name="Comma 5 7" xfId="1647"/>
    <cellStyle name="Comma 5 7 10" xfId="1648"/>
    <cellStyle name="Comma 5 7 11" xfId="1649"/>
    <cellStyle name="Comma 5 7 12" xfId="1650"/>
    <cellStyle name="Comma 5 7 13" xfId="1651"/>
    <cellStyle name="Comma 5 7 14" xfId="1652"/>
    <cellStyle name="Comma 5 7 15" xfId="1653"/>
    <cellStyle name="Comma 5 7 16" xfId="1654"/>
    <cellStyle name="Comma 5 7 17" xfId="1655"/>
    <cellStyle name="Comma 5 7 18" xfId="1656"/>
    <cellStyle name="Comma 5 7 2" xfId="1657"/>
    <cellStyle name="Comma 5 7 2 2" xfId="1658"/>
    <cellStyle name="Comma 5 7 3" xfId="1659"/>
    <cellStyle name="Comma 5 7 3 2" xfId="1660"/>
    <cellStyle name="Comma 5 7 4" xfId="1661"/>
    <cellStyle name="Comma 5 7 4 2" xfId="1662"/>
    <cellStyle name="Comma 5 7 5" xfId="1663"/>
    <cellStyle name="Comma 5 7 5 2" xfId="1664"/>
    <cellStyle name="Comma 5 7 6" xfId="1665"/>
    <cellStyle name="Comma 5 7 6 2" xfId="1666"/>
    <cellStyle name="Comma 5 7 7" xfId="1667"/>
    <cellStyle name="Comma 5 7 7 2" xfId="1668"/>
    <cellStyle name="Comma 5 7 8" xfId="1669"/>
    <cellStyle name="Comma 5 7 8 2" xfId="1670"/>
    <cellStyle name="Comma 5 7 9" xfId="1671"/>
    <cellStyle name="Comma 5 8" xfId="1672"/>
    <cellStyle name="Comma 5 8 10" xfId="1673"/>
    <cellStyle name="Comma 5 8 11" xfId="1674"/>
    <cellStyle name="Comma 5 8 12" xfId="1675"/>
    <cellStyle name="Comma 5 8 13" xfId="1676"/>
    <cellStyle name="Comma 5 8 14" xfId="1677"/>
    <cellStyle name="Comma 5 8 15" xfId="1678"/>
    <cellStyle name="Comma 5 8 16" xfId="1679"/>
    <cellStyle name="Comma 5 8 17" xfId="1680"/>
    <cellStyle name="Comma 5 8 18" xfId="1681"/>
    <cellStyle name="Comma 5 8 2" xfId="1682"/>
    <cellStyle name="Comma 5 8 2 2" xfId="1683"/>
    <cellStyle name="Comma 5 8 3" xfId="1684"/>
    <cellStyle name="Comma 5 8 3 2" xfId="1685"/>
    <cellStyle name="Comma 5 8 4" xfId="1686"/>
    <cellStyle name="Comma 5 8 4 2" xfId="1687"/>
    <cellStyle name="Comma 5 8 5" xfId="1688"/>
    <cellStyle name="Comma 5 8 5 2" xfId="1689"/>
    <cellStyle name="Comma 5 8 6" xfId="1690"/>
    <cellStyle name="Comma 5 8 6 2" xfId="1691"/>
    <cellStyle name="Comma 5 8 7" xfId="1692"/>
    <cellStyle name="Comma 5 8 7 2" xfId="1693"/>
    <cellStyle name="Comma 5 8 8" xfId="1694"/>
    <cellStyle name="Comma 5 8 8 2" xfId="1695"/>
    <cellStyle name="Comma 5 8 9" xfId="1696"/>
    <cellStyle name="Comma 5 9" xfId="1697"/>
    <cellStyle name="Comma 5 9 10" xfId="1698"/>
    <cellStyle name="Comma 5 9 11" xfId="1699"/>
    <cellStyle name="Comma 5 9 12" xfId="1700"/>
    <cellStyle name="Comma 5 9 13" xfId="1701"/>
    <cellStyle name="Comma 5 9 14" xfId="1702"/>
    <cellStyle name="Comma 5 9 15" xfId="1703"/>
    <cellStyle name="Comma 5 9 16" xfId="1704"/>
    <cellStyle name="Comma 5 9 17" xfId="1705"/>
    <cellStyle name="Comma 5 9 18" xfId="1706"/>
    <cellStyle name="Comma 5 9 2" xfId="1707"/>
    <cellStyle name="Comma 5 9 2 2" xfId="1708"/>
    <cellStyle name="Comma 5 9 3" xfId="1709"/>
    <cellStyle name="Comma 5 9 3 2" xfId="1710"/>
    <cellStyle name="Comma 5 9 4" xfId="1711"/>
    <cellStyle name="Comma 5 9 4 2" xfId="1712"/>
    <cellStyle name="Comma 5 9 5" xfId="1713"/>
    <cellStyle name="Comma 5 9 5 2" xfId="1714"/>
    <cellStyle name="Comma 5 9 6" xfId="1715"/>
    <cellStyle name="Comma 5 9 6 2" xfId="1716"/>
    <cellStyle name="Comma 5 9 7" xfId="1717"/>
    <cellStyle name="Comma 5 9 7 2" xfId="1718"/>
    <cellStyle name="Comma 5 9 8" xfId="1719"/>
    <cellStyle name="Comma 5 9 8 2" xfId="1720"/>
    <cellStyle name="Comma 5 9 9" xfId="1721"/>
    <cellStyle name="Comma 5_Choppadandi-Thogurumamidikunta (Choppadandi)" xfId="1722"/>
    <cellStyle name="Comma 50" xfId="1723"/>
    <cellStyle name="Comma 51" xfId="1724"/>
    <cellStyle name="Comma 52" xfId="1725"/>
    <cellStyle name="Comma 53" xfId="1726"/>
    <cellStyle name="Comma 54" xfId="1727"/>
    <cellStyle name="Comma 55" xfId="1728"/>
    <cellStyle name="Comma 6" xfId="1729"/>
    <cellStyle name="Comma 6 10" xfId="1730"/>
    <cellStyle name="Comma 6 10 10" xfId="1731"/>
    <cellStyle name="Comma 6 10 11" xfId="1732"/>
    <cellStyle name="Comma 6 10 12" xfId="1733"/>
    <cellStyle name="Comma 6 10 13" xfId="1734"/>
    <cellStyle name="Comma 6 10 14" xfId="1735"/>
    <cellStyle name="Comma 6 10 15" xfId="1736"/>
    <cellStyle name="Comma 6 10 16" xfId="1737"/>
    <cellStyle name="Comma 6 10 17" xfId="1738"/>
    <cellStyle name="Comma 6 10 18" xfId="1739"/>
    <cellStyle name="Comma 6 10 2" xfId="1740"/>
    <cellStyle name="Comma 6 10 2 2" xfId="1741"/>
    <cellStyle name="Comma 6 10 3" xfId="1742"/>
    <cellStyle name="Comma 6 10 3 2" xfId="1743"/>
    <cellStyle name="Comma 6 10 4" xfId="1744"/>
    <cellStyle name="Comma 6 10 4 2" xfId="1745"/>
    <cellStyle name="Comma 6 10 5" xfId="1746"/>
    <cellStyle name="Comma 6 10 5 2" xfId="1747"/>
    <cellStyle name="Comma 6 10 6" xfId="1748"/>
    <cellStyle name="Comma 6 10 6 2" xfId="1749"/>
    <cellStyle name="Comma 6 10 7" xfId="1750"/>
    <cellStyle name="Comma 6 10 7 2" xfId="1751"/>
    <cellStyle name="Comma 6 10 8" xfId="1752"/>
    <cellStyle name="Comma 6 10 8 2" xfId="1753"/>
    <cellStyle name="Comma 6 10 9" xfId="1754"/>
    <cellStyle name="Comma 6 11" xfId="1755"/>
    <cellStyle name="Comma 6 11 2" xfId="1756"/>
    <cellStyle name="Comma 6 12" xfId="1757"/>
    <cellStyle name="Comma 6 12 2" xfId="1758"/>
    <cellStyle name="Comma 6 13" xfId="1759"/>
    <cellStyle name="Comma 6 13 2" xfId="1760"/>
    <cellStyle name="Comma 6 14" xfId="1761"/>
    <cellStyle name="Comma 6 14 2" xfId="1762"/>
    <cellStyle name="Comma 6 15" xfId="1763"/>
    <cellStyle name="Comma 6 15 2" xfId="1764"/>
    <cellStyle name="Comma 6 16" xfId="1765"/>
    <cellStyle name="Comma 6 16 2" xfId="1766"/>
    <cellStyle name="Comma 6 17" xfId="1767"/>
    <cellStyle name="Comma 6 17 2" xfId="1768"/>
    <cellStyle name="Comma 6 18" xfId="1769"/>
    <cellStyle name="Comma 6 19" xfId="1770"/>
    <cellStyle name="Comma 6 2" xfId="1771"/>
    <cellStyle name="Comma 6 2 10" xfId="1772"/>
    <cellStyle name="Comma 6 2 11" xfId="1773"/>
    <cellStyle name="Comma 6 2 12" xfId="1774"/>
    <cellStyle name="Comma 6 2 13" xfId="1775"/>
    <cellStyle name="Comma 6 2 14" xfId="1776"/>
    <cellStyle name="Comma 6 2 15" xfId="1777"/>
    <cellStyle name="Comma 6 2 16" xfId="1778"/>
    <cellStyle name="Comma 6 2 17" xfId="1779"/>
    <cellStyle name="Comma 6 2 18" xfId="1780"/>
    <cellStyle name="Comma 6 2 2" xfId="1781"/>
    <cellStyle name="Comma 6 2 2 2" xfId="1782"/>
    <cellStyle name="Comma 6 2 3" xfId="1783"/>
    <cellStyle name="Comma 6 2 3 2" xfId="1784"/>
    <cellStyle name="Comma 6 2 4" xfId="1785"/>
    <cellStyle name="Comma 6 2 4 2" xfId="1786"/>
    <cellStyle name="Comma 6 2 5" xfId="1787"/>
    <cellStyle name="Comma 6 2 5 2" xfId="1788"/>
    <cellStyle name="Comma 6 2 6" xfId="1789"/>
    <cellStyle name="Comma 6 2 6 2" xfId="1790"/>
    <cellStyle name="Comma 6 2 7" xfId="1791"/>
    <cellStyle name="Comma 6 2 7 2" xfId="1792"/>
    <cellStyle name="Comma 6 2 8" xfId="1793"/>
    <cellStyle name="Comma 6 2 8 2" xfId="1794"/>
    <cellStyle name="Comma 6 2 9" xfId="1795"/>
    <cellStyle name="Comma 6 20" xfId="1796"/>
    <cellStyle name="Comma 6 21" xfId="1797"/>
    <cellStyle name="Comma 6 22" xfId="1798"/>
    <cellStyle name="Comma 6 23" xfId="1799"/>
    <cellStyle name="Comma 6 24" xfId="1800"/>
    <cellStyle name="Comma 6 25" xfId="1801"/>
    <cellStyle name="Comma 6 26" xfId="1802"/>
    <cellStyle name="Comma 6 27" xfId="1803"/>
    <cellStyle name="Comma 6 3" xfId="1804"/>
    <cellStyle name="Comma 6 3 10" xfId="1805"/>
    <cellStyle name="Comma 6 3 11" xfId="1806"/>
    <cellStyle name="Comma 6 3 12" xfId="1807"/>
    <cellStyle name="Comma 6 3 13" xfId="1808"/>
    <cellStyle name="Comma 6 3 14" xfId="1809"/>
    <cellStyle name="Comma 6 3 15" xfId="1810"/>
    <cellStyle name="Comma 6 3 16" xfId="1811"/>
    <cellStyle name="Comma 6 3 17" xfId="1812"/>
    <cellStyle name="Comma 6 3 18" xfId="1813"/>
    <cellStyle name="Comma 6 3 2" xfId="1814"/>
    <cellStyle name="Comma 6 3 2 2" xfId="1815"/>
    <cellStyle name="Comma 6 3 3" xfId="1816"/>
    <cellStyle name="Comma 6 3 3 2" xfId="1817"/>
    <cellStyle name="Comma 6 3 4" xfId="1818"/>
    <cellStyle name="Comma 6 3 4 2" xfId="1819"/>
    <cellStyle name="Comma 6 3 5" xfId="1820"/>
    <cellStyle name="Comma 6 3 5 2" xfId="1821"/>
    <cellStyle name="Comma 6 3 6" xfId="1822"/>
    <cellStyle name="Comma 6 3 6 2" xfId="1823"/>
    <cellStyle name="Comma 6 3 7" xfId="1824"/>
    <cellStyle name="Comma 6 3 7 2" xfId="1825"/>
    <cellStyle name="Comma 6 3 8" xfId="1826"/>
    <cellStyle name="Comma 6 3 8 2" xfId="1827"/>
    <cellStyle name="Comma 6 3 9" xfId="1828"/>
    <cellStyle name="Comma 6 4" xfId="1829"/>
    <cellStyle name="Comma 6 4 10" xfId="1830"/>
    <cellStyle name="Comma 6 4 11" xfId="1831"/>
    <cellStyle name="Comma 6 4 12" xfId="1832"/>
    <cellStyle name="Comma 6 4 13" xfId="1833"/>
    <cellStyle name="Comma 6 4 14" xfId="1834"/>
    <cellStyle name="Comma 6 4 15" xfId="1835"/>
    <cellStyle name="Comma 6 4 16" xfId="1836"/>
    <cellStyle name="Comma 6 4 17" xfId="1837"/>
    <cellStyle name="Comma 6 4 18" xfId="1838"/>
    <cellStyle name="Comma 6 4 2" xfId="1839"/>
    <cellStyle name="Comma 6 4 2 2" xfId="1840"/>
    <cellStyle name="Comma 6 4 3" xfId="1841"/>
    <cellStyle name="Comma 6 4 3 2" xfId="1842"/>
    <cellStyle name="Comma 6 4 4" xfId="1843"/>
    <cellStyle name="Comma 6 4 4 2" xfId="1844"/>
    <cellStyle name="Comma 6 4 5" xfId="1845"/>
    <cellStyle name="Comma 6 4 5 2" xfId="1846"/>
    <cellStyle name="Comma 6 4 6" xfId="1847"/>
    <cellStyle name="Comma 6 4 6 2" xfId="1848"/>
    <cellStyle name="Comma 6 4 7" xfId="1849"/>
    <cellStyle name="Comma 6 4 7 2" xfId="1850"/>
    <cellStyle name="Comma 6 4 8" xfId="1851"/>
    <cellStyle name="Comma 6 4 8 2" xfId="1852"/>
    <cellStyle name="Comma 6 4 9" xfId="1853"/>
    <cellStyle name="Comma 6 5" xfId="1854"/>
    <cellStyle name="Comma 6 5 10" xfId="1855"/>
    <cellStyle name="Comma 6 5 11" xfId="1856"/>
    <cellStyle name="Comma 6 5 12" xfId="1857"/>
    <cellStyle name="Comma 6 5 13" xfId="1858"/>
    <cellStyle name="Comma 6 5 14" xfId="1859"/>
    <cellStyle name="Comma 6 5 15" xfId="1860"/>
    <cellStyle name="Comma 6 5 16" xfId="1861"/>
    <cellStyle name="Comma 6 5 17" xfId="1862"/>
    <cellStyle name="Comma 6 5 18" xfId="1863"/>
    <cellStyle name="Comma 6 5 2" xfId="1864"/>
    <cellStyle name="Comma 6 5 2 2" xfId="1865"/>
    <cellStyle name="Comma 6 5 3" xfId="1866"/>
    <cellStyle name="Comma 6 5 3 2" xfId="1867"/>
    <cellStyle name="Comma 6 5 4" xfId="1868"/>
    <cellStyle name="Comma 6 5 4 2" xfId="1869"/>
    <cellStyle name="Comma 6 5 5" xfId="1870"/>
    <cellStyle name="Comma 6 5 5 2" xfId="1871"/>
    <cellStyle name="Comma 6 5 6" xfId="1872"/>
    <cellStyle name="Comma 6 5 6 2" xfId="1873"/>
    <cellStyle name="Comma 6 5 7" xfId="1874"/>
    <cellStyle name="Comma 6 5 7 2" xfId="1875"/>
    <cellStyle name="Comma 6 5 8" xfId="1876"/>
    <cellStyle name="Comma 6 5 8 2" xfId="1877"/>
    <cellStyle name="Comma 6 5 9" xfId="1878"/>
    <cellStyle name="Comma 6 6" xfId="1879"/>
    <cellStyle name="Comma 6 6 10" xfId="1880"/>
    <cellStyle name="Comma 6 6 11" xfId="1881"/>
    <cellStyle name="Comma 6 6 12" xfId="1882"/>
    <cellStyle name="Comma 6 6 13" xfId="1883"/>
    <cellStyle name="Comma 6 6 14" xfId="1884"/>
    <cellStyle name="Comma 6 6 15" xfId="1885"/>
    <cellStyle name="Comma 6 6 16" xfId="1886"/>
    <cellStyle name="Comma 6 6 17" xfId="1887"/>
    <cellStyle name="Comma 6 6 18" xfId="1888"/>
    <cellStyle name="Comma 6 6 2" xfId="1889"/>
    <cellStyle name="Comma 6 6 2 2" xfId="1890"/>
    <cellStyle name="Comma 6 6 3" xfId="1891"/>
    <cellStyle name="Comma 6 6 3 2" xfId="1892"/>
    <cellStyle name="Comma 6 6 4" xfId="1893"/>
    <cellStyle name="Comma 6 6 4 2" xfId="1894"/>
    <cellStyle name="Comma 6 6 5" xfId="1895"/>
    <cellStyle name="Comma 6 6 5 2" xfId="1896"/>
    <cellStyle name="Comma 6 6 6" xfId="1897"/>
    <cellStyle name="Comma 6 6 6 2" xfId="1898"/>
    <cellStyle name="Comma 6 6 7" xfId="1899"/>
    <cellStyle name="Comma 6 6 7 2" xfId="1900"/>
    <cellStyle name="Comma 6 6 8" xfId="1901"/>
    <cellStyle name="Comma 6 6 8 2" xfId="1902"/>
    <cellStyle name="Comma 6 6 9" xfId="1903"/>
    <cellStyle name="Comma 6 7" xfId="1904"/>
    <cellStyle name="Comma 6 7 10" xfId="1905"/>
    <cellStyle name="Comma 6 7 11" xfId="1906"/>
    <cellStyle name="Comma 6 7 12" xfId="1907"/>
    <cellStyle name="Comma 6 7 13" xfId="1908"/>
    <cellStyle name="Comma 6 7 14" xfId="1909"/>
    <cellStyle name="Comma 6 7 15" xfId="1910"/>
    <cellStyle name="Comma 6 7 16" xfId="1911"/>
    <cellStyle name="Comma 6 7 17" xfId="1912"/>
    <cellStyle name="Comma 6 7 18" xfId="1913"/>
    <cellStyle name="Comma 6 7 2" xfId="1914"/>
    <cellStyle name="Comma 6 7 2 2" xfId="1915"/>
    <cellStyle name="Comma 6 7 3" xfId="1916"/>
    <cellStyle name="Comma 6 7 3 2" xfId="1917"/>
    <cellStyle name="Comma 6 7 4" xfId="1918"/>
    <cellStyle name="Comma 6 7 4 2" xfId="1919"/>
    <cellStyle name="Comma 6 7 5" xfId="1920"/>
    <cellStyle name="Comma 6 7 5 2" xfId="1921"/>
    <cellStyle name="Comma 6 7 6" xfId="1922"/>
    <cellStyle name="Comma 6 7 6 2" xfId="1923"/>
    <cellStyle name="Comma 6 7 7" xfId="1924"/>
    <cellStyle name="Comma 6 7 7 2" xfId="1925"/>
    <cellStyle name="Comma 6 7 8" xfId="1926"/>
    <cellStyle name="Comma 6 7 8 2" xfId="1927"/>
    <cellStyle name="Comma 6 7 9" xfId="1928"/>
    <cellStyle name="Comma 6 8" xfId="1929"/>
    <cellStyle name="Comma 6 8 10" xfId="1930"/>
    <cellStyle name="Comma 6 8 11" xfId="1931"/>
    <cellStyle name="Comma 6 8 12" xfId="1932"/>
    <cellStyle name="Comma 6 8 13" xfId="1933"/>
    <cellStyle name="Comma 6 8 14" xfId="1934"/>
    <cellStyle name="Comma 6 8 15" xfId="1935"/>
    <cellStyle name="Comma 6 8 16" xfId="1936"/>
    <cellStyle name="Comma 6 8 17" xfId="1937"/>
    <cellStyle name="Comma 6 8 18" xfId="1938"/>
    <cellStyle name="Comma 6 8 2" xfId="1939"/>
    <cellStyle name="Comma 6 8 2 2" xfId="1940"/>
    <cellStyle name="Comma 6 8 3" xfId="1941"/>
    <cellStyle name="Comma 6 8 3 2" xfId="1942"/>
    <cellStyle name="Comma 6 8 4" xfId="1943"/>
    <cellStyle name="Comma 6 8 4 2" xfId="1944"/>
    <cellStyle name="Comma 6 8 5" xfId="1945"/>
    <cellStyle name="Comma 6 8 5 2" xfId="1946"/>
    <cellStyle name="Comma 6 8 6" xfId="1947"/>
    <cellStyle name="Comma 6 8 6 2" xfId="1948"/>
    <cellStyle name="Comma 6 8 7" xfId="1949"/>
    <cellStyle name="Comma 6 8 7 2" xfId="1950"/>
    <cellStyle name="Comma 6 8 8" xfId="1951"/>
    <cellStyle name="Comma 6 8 8 2" xfId="1952"/>
    <cellStyle name="Comma 6 8 9" xfId="1953"/>
    <cellStyle name="Comma 6 9" xfId="1954"/>
    <cellStyle name="Comma 6 9 10" xfId="1955"/>
    <cellStyle name="Comma 6 9 11" xfId="1956"/>
    <cellStyle name="Comma 6 9 12" xfId="1957"/>
    <cellStyle name="Comma 6 9 13" xfId="1958"/>
    <cellStyle name="Comma 6 9 14" xfId="1959"/>
    <cellStyle name="Comma 6 9 15" xfId="1960"/>
    <cellStyle name="Comma 6 9 16" xfId="1961"/>
    <cellStyle name="Comma 6 9 17" xfId="1962"/>
    <cellStyle name="Comma 6 9 18" xfId="1963"/>
    <cellStyle name="Comma 6 9 2" xfId="1964"/>
    <cellStyle name="Comma 6 9 2 2" xfId="1965"/>
    <cellStyle name="Comma 6 9 3" xfId="1966"/>
    <cellStyle name="Comma 6 9 3 2" xfId="1967"/>
    <cellStyle name="Comma 6 9 4" xfId="1968"/>
    <cellStyle name="Comma 6 9 4 2" xfId="1969"/>
    <cellStyle name="Comma 6 9 5" xfId="1970"/>
    <cellStyle name="Comma 6 9 5 2" xfId="1971"/>
    <cellStyle name="Comma 6 9 6" xfId="1972"/>
    <cellStyle name="Comma 6 9 6 2" xfId="1973"/>
    <cellStyle name="Comma 6 9 7" xfId="1974"/>
    <cellStyle name="Comma 6 9 7 2" xfId="1975"/>
    <cellStyle name="Comma 6 9 8" xfId="1976"/>
    <cellStyle name="Comma 6 9 8 2" xfId="1977"/>
    <cellStyle name="Comma 6 9 9" xfId="1978"/>
    <cellStyle name="Comma 7" xfId="1979"/>
    <cellStyle name="Comma 7 2" xfId="1980"/>
    <cellStyle name="Comma 7 2 2" xfId="1981"/>
    <cellStyle name="Comma 7 3" xfId="1982"/>
    <cellStyle name="Comma 7 3 10" xfId="1983"/>
    <cellStyle name="Comma 7 3 11" xfId="1984"/>
    <cellStyle name="Comma 7 3 12" xfId="1985"/>
    <cellStyle name="Comma 7 3 13" xfId="1986"/>
    <cellStyle name="Comma 7 3 2" xfId="1987"/>
    <cellStyle name="Comma 7 3 2 10" xfId="1988"/>
    <cellStyle name="Comma 7 3 2 11" xfId="1989"/>
    <cellStyle name="Comma 7 3 2 2" xfId="1990"/>
    <cellStyle name="Comma 7 3 2 3" xfId="1991"/>
    <cellStyle name="Comma 7 3 2 4" xfId="1992"/>
    <cellStyle name="Comma 7 3 2 5" xfId="1993"/>
    <cellStyle name="Comma 7 3 2 6" xfId="1994"/>
    <cellStyle name="Comma 7 3 2 7" xfId="1995"/>
    <cellStyle name="Comma 7 3 2 8" xfId="1996"/>
    <cellStyle name="Comma 7 3 2 9" xfId="1997"/>
    <cellStyle name="Comma 7 3 3" xfId="1998"/>
    <cellStyle name="Comma 7 3 3 10" xfId="1999"/>
    <cellStyle name="Comma 7 3 3 11" xfId="2000"/>
    <cellStyle name="Comma 7 3 3 2" xfId="2001"/>
    <cellStyle name="Comma 7 3 3 3" xfId="2002"/>
    <cellStyle name="Comma 7 3 3 4" xfId="2003"/>
    <cellStyle name="Comma 7 3 3 5" xfId="2004"/>
    <cellStyle name="Comma 7 3 3 6" xfId="2005"/>
    <cellStyle name="Comma 7 3 3 7" xfId="2006"/>
    <cellStyle name="Comma 7 3 3 8" xfId="2007"/>
    <cellStyle name="Comma 7 3 3 9" xfId="2008"/>
    <cellStyle name="Comma 7 3 4" xfId="2009"/>
    <cellStyle name="Comma 7 3 5" xfId="2010"/>
    <cellStyle name="Comma 7 3 6" xfId="2011"/>
    <cellStyle name="Comma 7 3 7" xfId="2012"/>
    <cellStyle name="Comma 7 3 8" xfId="2013"/>
    <cellStyle name="Comma 7 3 9" xfId="2014"/>
    <cellStyle name="Comma 7 4" xfId="2015"/>
    <cellStyle name="Comma 7 4 2" xfId="2016"/>
    <cellStyle name="Comma 7 5" xfId="2017"/>
    <cellStyle name="Comma 7 5 10" xfId="2018"/>
    <cellStyle name="Comma 7 5 11" xfId="2019"/>
    <cellStyle name="Comma 7 5 12" xfId="2020"/>
    <cellStyle name="Comma 7 5 13" xfId="2021"/>
    <cellStyle name="Comma 7 5 2" xfId="2022"/>
    <cellStyle name="Comma 7 5 2 10" xfId="2023"/>
    <cellStyle name="Comma 7 5 2 11" xfId="2024"/>
    <cellStyle name="Comma 7 5 2 2" xfId="2025"/>
    <cellStyle name="Comma 7 5 2 3" xfId="2026"/>
    <cellStyle name="Comma 7 5 2 4" xfId="2027"/>
    <cellStyle name="Comma 7 5 2 5" xfId="2028"/>
    <cellStyle name="Comma 7 5 2 6" xfId="2029"/>
    <cellStyle name="Comma 7 5 2 7" xfId="2030"/>
    <cellStyle name="Comma 7 5 2 8" xfId="2031"/>
    <cellStyle name="Comma 7 5 2 9" xfId="2032"/>
    <cellStyle name="Comma 7 5 3" xfId="2033"/>
    <cellStyle name="Comma 7 5 3 10" xfId="2034"/>
    <cellStyle name="Comma 7 5 3 11" xfId="2035"/>
    <cellStyle name="Comma 7 5 3 2" xfId="2036"/>
    <cellStyle name="Comma 7 5 3 3" xfId="2037"/>
    <cellStyle name="Comma 7 5 3 4" xfId="2038"/>
    <cellStyle name="Comma 7 5 3 5" xfId="2039"/>
    <cellStyle name="Comma 7 5 3 6" xfId="2040"/>
    <cellStyle name="Comma 7 5 3 7" xfId="2041"/>
    <cellStyle name="Comma 7 5 3 8" xfId="2042"/>
    <cellStyle name="Comma 7 5 3 9" xfId="2043"/>
    <cellStyle name="Comma 7 5 4" xfId="2044"/>
    <cellStyle name="Comma 7 5 5" xfId="2045"/>
    <cellStyle name="Comma 7 5 5 2" xfId="2046"/>
    <cellStyle name="Comma 7 5 5 3" xfId="2047"/>
    <cellStyle name="Comma 7 5 6" xfId="2048"/>
    <cellStyle name="Comma 7 5 6 2" xfId="2049"/>
    <cellStyle name="Comma 7 5 6 3" xfId="2050"/>
    <cellStyle name="Comma 7 5 7" xfId="2051"/>
    <cellStyle name="Comma 7 5 8" xfId="2052"/>
    <cellStyle name="Comma 7 5 9" xfId="2053"/>
    <cellStyle name="Comma 7 6" xfId="2054"/>
    <cellStyle name="Comma 7 6 10" xfId="2055"/>
    <cellStyle name="Comma 7 6 11" xfId="2056"/>
    <cellStyle name="Comma 7 6 12" xfId="2057"/>
    <cellStyle name="Comma 7 6 13" xfId="2058"/>
    <cellStyle name="Comma 7 6 2" xfId="2059"/>
    <cellStyle name="Comma 7 6 2 10" xfId="2060"/>
    <cellStyle name="Comma 7 6 2 11" xfId="2061"/>
    <cellStyle name="Comma 7 6 2 2" xfId="2062"/>
    <cellStyle name="Comma 7 6 2 3" xfId="2063"/>
    <cellStyle name="Comma 7 6 2 4" xfId="2064"/>
    <cellStyle name="Comma 7 6 2 5" xfId="2065"/>
    <cellStyle name="Comma 7 6 2 6" xfId="2066"/>
    <cellStyle name="Comma 7 6 2 7" xfId="2067"/>
    <cellStyle name="Comma 7 6 2 8" xfId="2068"/>
    <cellStyle name="Comma 7 6 2 9" xfId="2069"/>
    <cellStyle name="Comma 7 6 3" xfId="2070"/>
    <cellStyle name="Comma 7 6 3 10" xfId="2071"/>
    <cellStyle name="Comma 7 6 3 11" xfId="2072"/>
    <cellStyle name="Comma 7 6 3 2" xfId="2073"/>
    <cellStyle name="Comma 7 6 3 3" xfId="2074"/>
    <cellStyle name="Comma 7 6 3 4" xfId="2075"/>
    <cellStyle name="Comma 7 6 3 5" xfId="2076"/>
    <cellStyle name="Comma 7 6 3 6" xfId="2077"/>
    <cellStyle name="Comma 7 6 3 7" xfId="2078"/>
    <cellStyle name="Comma 7 6 3 8" xfId="2079"/>
    <cellStyle name="Comma 7 6 3 9" xfId="2080"/>
    <cellStyle name="Comma 7 6 4" xfId="2081"/>
    <cellStyle name="Comma 7 6 5" xfId="2082"/>
    <cellStyle name="Comma 7 6 5 2" xfId="2083"/>
    <cellStyle name="Comma 7 6 5 3" xfId="2084"/>
    <cellStyle name="Comma 7 6 6" xfId="2085"/>
    <cellStyle name="Comma 7 6 6 2" xfId="2086"/>
    <cellStyle name="Comma 7 6 6 3" xfId="2087"/>
    <cellStyle name="Comma 7 6 7" xfId="2088"/>
    <cellStyle name="Comma 7 6 8" xfId="2089"/>
    <cellStyle name="Comma 7 6 9" xfId="2090"/>
    <cellStyle name="Comma 7 7" xfId="2091"/>
    <cellStyle name="Comma 8" xfId="2092"/>
    <cellStyle name="Comma 8 2" xfId="2093"/>
    <cellStyle name="Comma 8 2 2" xfId="2094"/>
    <cellStyle name="Comma 8 2 3" xfId="2095"/>
    <cellStyle name="Comma 8 3" xfId="2096"/>
    <cellStyle name="Comma 8 3 2" xfId="2097"/>
    <cellStyle name="Comma 8 4" xfId="2098"/>
    <cellStyle name="Comma 8_Rukmapur (CPD)-wk" xfId="2099"/>
    <cellStyle name="Comma 9" xfId="2100"/>
    <cellStyle name="Comma 9 2" xfId="2101"/>
    <cellStyle name="Comma 9 2 2" xfId="2102"/>
    <cellStyle name="Comma 9 2 3" xfId="2103"/>
    <cellStyle name="Comma 9 3" xfId="2104"/>
    <cellStyle name="Comma 9 3 2" xfId="2105"/>
    <cellStyle name="Comma 9 4" xfId="2106"/>
    <cellStyle name="Comma_Road Furniture Data(9-12)" xfId="2107"/>
    <cellStyle name="Copied" xfId="2108"/>
    <cellStyle name="Copied 2" xfId="2109"/>
    <cellStyle name="Copied 2 2" xfId="2110"/>
    <cellStyle name="Copied 2 2 2" xfId="2111"/>
    <cellStyle name="Copied 2 3" xfId="2112"/>
    <cellStyle name="Copied 2_PMGSY Check list" xfId="2113"/>
    <cellStyle name="Copied 3" xfId="2114"/>
    <cellStyle name="Copied 3 2" xfId="2115"/>
    <cellStyle name="Copied 4" xfId="2116"/>
    <cellStyle name="Copied_Kallepally-Gunturpalli (Bejjenki)6m-2v" xfId="2117"/>
    <cellStyle name="Currency 2" xfId="2118"/>
    <cellStyle name="Currency 2 10" xfId="2119"/>
    <cellStyle name="Currency 2 11" xfId="2120"/>
    <cellStyle name="Currency 2 12" xfId="2121"/>
    <cellStyle name="Currency 2 13" xfId="2122"/>
    <cellStyle name="Currency 2 14" xfId="2123"/>
    <cellStyle name="Currency 2 15" xfId="2124"/>
    <cellStyle name="Currency 2 16" xfId="2125"/>
    <cellStyle name="Currency 2 17" xfId="2126"/>
    <cellStyle name="Currency 2 18" xfId="2127"/>
    <cellStyle name="Currency 2 2" xfId="2128"/>
    <cellStyle name="Currency 2 2 2" xfId="2129"/>
    <cellStyle name="Currency 2 3" xfId="2130"/>
    <cellStyle name="Currency 2 3 2" xfId="2131"/>
    <cellStyle name="Currency 2 4" xfId="2132"/>
    <cellStyle name="Currency 2 4 2" xfId="2133"/>
    <cellStyle name="Currency 2 5" xfId="2134"/>
    <cellStyle name="Currency 2 5 2" xfId="2135"/>
    <cellStyle name="Currency 2 6" xfId="2136"/>
    <cellStyle name="Currency 2 6 2" xfId="2137"/>
    <cellStyle name="Currency 2 7" xfId="2138"/>
    <cellStyle name="Currency 2 7 2" xfId="2139"/>
    <cellStyle name="Currency 2 8" xfId="2140"/>
    <cellStyle name="Currency 2 8 2" xfId="2141"/>
    <cellStyle name="Currency 2 9" xfId="2142"/>
    <cellStyle name="Currency 3" xfId="2143"/>
    <cellStyle name="Currency 3 10" xfId="2144"/>
    <cellStyle name="Currency 3 11" xfId="2145"/>
    <cellStyle name="Currency 3 12" xfId="2146"/>
    <cellStyle name="Currency 3 13" xfId="2147"/>
    <cellStyle name="Currency 3 14" xfId="2148"/>
    <cellStyle name="Currency 3 15" xfId="2149"/>
    <cellStyle name="Currency 3 16" xfId="2150"/>
    <cellStyle name="Currency 3 17" xfId="2151"/>
    <cellStyle name="Currency 3 18" xfId="2152"/>
    <cellStyle name="Currency 3 2" xfId="2153"/>
    <cellStyle name="Currency 3 2 2" xfId="2154"/>
    <cellStyle name="Currency 3 3" xfId="2155"/>
    <cellStyle name="Currency 3 3 2" xfId="2156"/>
    <cellStyle name="Currency 3 4" xfId="2157"/>
    <cellStyle name="Currency 3 4 2" xfId="2158"/>
    <cellStyle name="Currency 3 5" xfId="2159"/>
    <cellStyle name="Currency 3 5 2" xfId="2160"/>
    <cellStyle name="Currency 3 6" xfId="2161"/>
    <cellStyle name="Currency 3 6 2" xfId="2162"/>
    <cellStyle name="Currency 3 7" xfId="2163"/>
    <cellStyle name="Currency 3 7 2" xfId="2164"/>
    <cellStyle name="Currency 3 8" xfId="2165"/>
    <cellStyle name="Currency 3 8 2" xfId="2166"/>
    <cellStyle name="Currency 3 9" xfId="2167"/>
    <cellStyle name="Currency 4" xfId="2168"/>
    <cellStyle name="Currency 4 10" xfId="2169"/>
    <cellStyle name="Currency 4 11" xfId="2170"/>
    <cellStyle name="Currency 4 12" xfId="2171"/>
    <cellStyle name="Currency 4 13" xfId="2172"/>
    <cellStyle name="Currency 4 14" xfId="2173"/>
    <cellStyle name="Currency 4 15" xfId="2174"/>
    <cellStyle name="Currency 4 16" xfId="2175"/>
    <cellStyle name="Currency 4 17" xfId="2176"/>
    <cellStyle name="Currency 4 18" xfId="2177"/>
    <cellStyle name="Currency 4 2" xfId="2178"/>
    <cellStyle name="Currency 4 2 2" xfId="2179"/>
    <cellStyle name="Currency 4 3" xfId="2180"/>
    <cellStyle name="Currency 4 3 2" xfId="2181"/>
    <cellStyle name="Currency 4 4" xfId="2182"/>
    <cellStyle name="Currency 4 4 2" xfId="2183"/>
    <cellStyle name="Currency 4 5" xfId="2184"/>
    <cellStyle name="Currency 4 5 2" xfId="2185"/>
    <cellStyle name="Currency 4 6" xfId="2186"/>
    <cellStyle name="Currency 4 6 2" xfId="2187"/>
    <cellStyle name="Currency 4 7" xfId="2188"/>
    <cellStyle name="Currency 4 7 2" xfId="2189"/>
    <cellStyle name="Currency 4 8" xfId="2190"/>
    <cellStyle name="Currency 4 8 2" xfId="2191"/>
    <cellStyle name="Currency 4 9" xfId="2192"/>
    <cellStyle name="Currency 5" xfId="2193"/>
    <cellStyle name="Currency 5 10" xfId="2194"/>
    <cellStyle name="Currency 5 11" xfId="2195"/>
    <cellStyle name="Currency 5 12" xfId="2196"/>
    <cellStyle name="Currency 5 13" xfId="2197"/>
    <cellStyle name="Currency 5 14" xfId="2198"/>
    <cellStyle name="Currency 5 15" xfId="2199"/>
    <cellStyle name="Currency 5 16" xfId="2200"/>
    <cellStyle name="Currency 5 17" xfId="2201"/>
    <cellStyle name="Currency 5 18" xfId="2202"/>
    <cellStyle name="Currency 5 2" xfId="2203"/>
    <cellStyle name="Currency 5 2 2" xfId="2204"/>
    <cellStyle name="Currency 5 3" xfId="2205"/>
    <cellStyle name="Currency 5 3 2" xfId="2206"/>
    <cellStyle name="Currency 5 4" xfId="2207"/>
    <cellStyle name="Currency 5 4 2" xfId="2208"/>
    <cellStyle name="Currency 5 5" xfId="2209"/>
    <cellStyle name="Currency 5 5 2" xfId="2210"/>
    <cellStyle name="Currency 5 6" xfId="2211"/>
    <cellStyle name="Currency 5 6 2" xfId="2212"/>
    <cellStyle name="Currency 5 7" xfId="2213"/>
    <cellStyle name="Currency 5 7 2" xfId="2214"/>
    <cellStyle name="Currency 5 8" xfId="2215"/>
    <cellStyle name="Currency 5 8 2" xfId="2216"/>
    <cellStyle name="Currency 5 9" xfId="2217"/>
    <cellStyle name="Currency 6" xfId="2218"/>
    <cellStyle name="Currency 6 2" xfId="2219"/>
    <cellStyle name="Emphasis 1" xfId="2220"/>
    <cellStyle name="Emphasis 1 2" xfId="2221"/>
    <cellStyle name="Emphasis 1 2 2" xfId="2222"/>
    <cellStyle name="Emphasis 1 3" xfId="2223"/>
    <cellStyle name="Emphasis 1 3 2" xfId="2224"/>
    <cellStyle name="Emphasis 1 4" xfId="2225"/>
    <cellStyle name="Emphasis 2" xfId="2226"/>
    <cellStyle name="Emphasis 2 2" xfId="2227"/>
    <cellStyle name="Emphasis 2 2 2" xfId="2228"/>
    <cellStyle name="Emphasis 2 3" xfId="2229"/>
    <cellStyle name="Emphasis 2 3 2" xfId="2230"/>
    <cellStyle name="Emphasis 2 4" xfId="2231"/>
    <cellStyle name="Emphasis 3" xfId="2232"/>
    <cellStyle name="Emphasis 3 2" xfId="2233"/>
    <cellStyle name="Emphasis 3 2 2" xfId="2234"/>
    <cellStyle name="Emphasis 3 3" xfId="2235"/>
    <cellStyle name="Emphasis 3 3 2" xfId="2236"/>
    <cellStyle name="Emphasis 3 4" xfId="2237"/>
    <cellStyle name="Entered" xfId="2238"/>
    <cellStyle name="Entered 2" xfId="2239"/>
    <cellStyle name="Entered 2 2" xfId="2240"/>
    <cellStyle name="Entered 2 2 2" xfId="2241"/>
    <cellStyle name="Entered 2 3" xfId="2242"/>
    <cellStyle name="Entered 2_PMGSY Check list" xfId="2243"/>
    <cellStyle name="Entered 3" xfId="2244"/>
    <cellStyle name="Entered 3 2" xfId="2245"/>
    <cellStyle name="Entered 4" xfId="2246"/>
    <cellStyle name="Entered_Kallepally-Gunturpalli (Bejjenki)6m-2v" xfId="2247"/>
    <cellStyle name="Euro" xfId="2248"/>
    <cellStyle name="Euro 10" xfId="2249"/>
    <cellStyle name="Euro 11" xfId="2250"/>
    <cellStyle name="Euro 12" xfId="2251"/>
    <cellStyle name="Euro 13" xfId="2252"/>
    <cellStyle name="Euro 14" xfId="2253"/>
    <cellStyle name="Euro 15" xfId="2254"/>
    <cellStyle name="Euro 16" xfId="2255"/>
    <cellStyle name="Euro 17" xfId="2256"/>
    <cellStyle name="Euro 18" xfId="2257"/>
    <cellStyle name="Euro 2" xfId="2258"/>
    <cellStyle name="Euro 2 2" xfId="2259"/>
    <cellStyle name="Euro 3" xfId="2260"/>
    <cellStyle name="Euro 3 2" xfId="2261"/>
    <cellStyle name="Euro 4" xfId="2262"/>
    <cellStyle name="Euro 4 2" xfId="2263"/>
    <cellStyle name="Euro 5" xfId="2264"/>
    <cellStyle name="Euro 5 2" xfId="2265"/>
    <cellStyle name="Euro 6" xfId="2266"/>
    <cellStyle name="Euro 6 2" xfId="2267"/>
    <cellStyle name="Euro 7" xfId="2268"/>
    <cellStyle name="Euro 7 2" xfId="2269"/>
    <cellStyle name="Euro 8" xfId="2270"/>
    <cellStyle name="Euro 8 2" xfId="2271"/>
    <cellStyle name="Euro 9" xfId="2272"/>
    <cellStyle name="Excel Built-in Normal" xfId="2273"/>
    <cellStyle name="Excel Built-in Normal 2" xfId="2274"/>
    <cellStyle name="Excel Built-in Normal 2 2" xfId="2275"/>
    <cellStyle name="Excel Built-in Normal 3" xfId="2276"/>
    <cellStyle name="Excel Built-in Normal 3 2" xfId="2277"/>
    <cellStyle name="Excel Built-in Normal 4" xfId="2278"/>
    <cellStyle name="Excel Built-in Normal_Schedule-1" xfId="2279"/>
    <cellStyle name="Explanatory Text 2" xfId="2280"/>
    <cellStyle name="Explanatory Text 2 2" xfId="2281"/>
    <cellStyle name="Explanatory Text 2 2 2" xfId="2282"/>
    <cellStyle name="Explanatory Text 2 3" xfId="2283"/>
    <cellStyle name="Explanatory Text 2 3 2" xfId="2284"/>
    <cellStyle name="Explanatory Text 2 4" xfId="2285"/>
    <cellStyle name="Explanatory Text 3" xfId="2286"/>
    <cellStyle name="Explanatory Text 3 2" xfId="2287"/>
    <cellStyle name="Explanatory Text 4" xfId="2288"/>
    <cellStyle name="Explanatory Text 5" xfId="2289"/>
    <cellStyle name="Explanatory Text 6" xfId="2290"/>
    <cellStyle name="Fixed" xfId="2291"/>
    <cellStyle name="Fixed 10" xfId="2292"/>
    <cellStyle name="Fixed 11" xfId="2293"/>
    <cellStyle name="Fixed 12" xfId="2294"/>
    <cellStyle name="Fixed 13" xfId="2295"/>
    <cellStyle name="Fixed 14" xfId="2296"/>
    <cellStyle name="Fixed 15" xfId="2297"/>
    <cellStyle name="Fixed 16" xfId="2298"/>
    <cellStyle name="Fixed 17" xfId="2299"/>
    <cellStyle name="Fixed 18" xfId="2300"/>
    <cellStyle name="Fixed 2" xfId="2301"/>
    <cellStyle name="Fixed 2 2" xfId="2302"/>
    <cellStyle name="Fixed 3" xfId="2303"/>
    <cellStyle name="Fixed 3 2" xfId="2304"/>
    <cellStyle name="Fixed 4" xfId="2305"/>
    <cellStyle name="Fixed 4 2" xfId="2306"/>
    <cellStyle name="Fixed 4 3" xfId="2307"/>
    <cellStyle name="Fixed 5" xfId="2308"/>
    <cellStyle name="Fixed 5 2" xfId="2309"/>
    <cellStyle name="Fixed 6" xfId="2310"/>
    <cellStyle name="Fixed 6 2" xfId="2311"/>
    <cellStyle name="Fixed 7" xfId="2312"/>
    <cellStyle name="Fixed 7 2" xfId="2313"/>
    <cellStyle name="Fixed 8" xfId="2314"/>
    <cellStyle name="Fixed 8 2" xfId="2315"/>
    <cellStyle name="Fixed 9" xfId="2316"/>
    <cellStyle name="general" xfId="2317"/>
    <cellStyle name="general 10" xfId="2318"/>
    <cellStyle name="general 10 10" xfId="2319"/>
    <cellStyle name="general 10 11" xfId="2320"/>
    <cellStyle name="general 10 12" xfId="2321"/>
    <cellStyle name="general 10 13" xfId="2322"/>
    <cellStyle name="general 10 14" xfId="2323"/>
    <cellStyle name="general 10 15" xfId="2324"/>
    <cellStyle name="general 10 16" xfId="2325"/>
    <cellStyle name="general 10 17" xfId="2326"/>
    <cellStyle name="general 10 18" xfId="2327"/>
    <cellStyle name="general 10 2" xfId="2328"/>
    <cellStyle name="general 10 2 2" xfId="2329"/>
    <cellStyle name="general 10 3" xfId="2330"/>
    <cellStyle name="general 10 3 2" xfId="2331"/>
    <cellStyle name="general 10 4" xfId="2332"/>
    <cellStyle name="general 10 4 2" xfId="2333"/>
    <cellStyle name="general 10 5" xfId="2334"/>
    <cellStyle name="general 10 5 2" xfId="2335"/>
    <cellStyle name="general 10 6" xfId="2336"/>
    <cellStyle name="general 10 6 2" xfId="2337"/>
    <cellStyle name="general 10 7" xfId="2338"/>
    <cellStyle name="general 10 7 2" xfId="2339"/>
    <cellStyle name="general 10 8" xfId="2340"/>
    <cellStyle name="general 10 8 2" xfId="2341"/>
    <cellStyle name="general 10 9" xfId="2342"/>
    <cellStyle name="general 11" xfId="2343"/>
    <cellStyle name="general 11 2" xfId="2344"/>
    <cellStyle name="general 12" xfId="2345"/>
    <cellStyle name="general 12 2" xfId="2346"/>
    <cellStyle name="general 13" xfId="2347"/>
    <cellStyle name="general 13 2" xfId="2348"/>
    <cellStyle name="general 14" xfId="2349"/>
    <cellStyle name="general 14 2" xfId="2350"/>
    <cellStyle name="general 15" xfId="2351"/>
    <cellStyle name="general 15 2" xfId="2352"/>
    <cellStyle name="general 16" xfId="2353"/>
    <cellStyle name="general 16 2" xfId="2354"/>
    <cellStyle name="general 17" xfId="2355"/>
    <cellStyle name="general 17 2" xfId="2356"/>
    <cellStyle name="general 18" xfId="2357"/>
    <cellStyle name="general 19" xfId="2358"/>
    <cellStyle name="general 2" xfId="2359"/>
    <cellStyle name="general 2 10" xfId="2360"/>
    <cellStyle name="general 2 11" xfId="2361"/>
    <cellStyle name="general 2 12" xfId="2362"/>
    <cellStyle name="general 2 13" xfId="2363"/>
    <cellStyle name="general 2 14" xfId="2364"/>
    <cellStyle name="general 2 15" xfId="2365"/>
    <cellStyle name="general 2 16" xfId="2366"/>
    <cellStyle name="general 2 17" xfId="2367"/>
    <cellStyle name="general 2 18" xfId="2368"/>
    <cellStyle name="general 2 2" xfId="2369"/>
    <cellStyle name="general 2 2 2" xfId="2370"/>
    <cellStyle name="general 2 3" xfId="2371"/>
    <cellStyle name="general 2 3 2" xfId="2372"/>
    <cellStyle name="general 2 4" xfId="2373"/>
    <cellStyle name="general 2 4 2" xfId="2374"/>
    <cellStyle name="general 2 5" xfId="2375"/>
    <cellStyle name="general 2 5 2" xfId="2376"/>
    <cellStyle name="general 2 6" xfId="2377"/>
    <cellStyle name="general 2 6 2" xfId="2378"/>
    <cellStyle name="general 2 7" xfId="2379"/>
    <cellStyle name="general 2 7 2" xfId="2380"/>
    <cellStyle name="general 2 8" xfId="2381"/>
    <cellStyle name="general 2 8 2" xfId="2382"/>
    <cellStyle name="general 2 9" xfId="2383"/>
    <cellStyle name="general 20" xfId="2384"/>
    <cellStyle name="general 21" xfId="2385"/>
    <cellStyle name="general 22" xfId="2386"/>
    <cellStyle name="general 23" xfId="2387"/>
    <cellStyle name="general 24" xfId="2388"/>
    <cellStyle name="general 25" xfId="2389"/>
    <cellStyle name="general 26" xfId="2390"/>
    <cellStyle name="general 27" xfId="2391"/>
    <cellStyle name="general 3" xfId="2392"/>
    <cellStyle name="general 3 10" xfId="2393"/>
    <cellStyle name="general 3 11" xfId="2394"/>
    <cellStyle name="general 3 12" xfId="2395"/>
    <cellStyle name="general 3 13" xfId="2396"/>
    <cellStyle name="general 3 14" xfId="2397"/>
    <cellStyle name="general 3 15" xfId="2398"/>
    <cellStyle name="general 3 16" xfId="2399"/>
    <cellStyle name="general 3 17" xfId="2400"/>
    <cellStyle name="general 3 18" xfId="2401"/>
    <cellStyle name="general 3 2" xfId="2402"/>
    <cellStyle name="general 3 2 2" xfId="2403"/>
    <cellStyle name="general 3 3" xfId="2404"/>
    <cellStyle name="general 3 3 2" xfId="2405"/>
    <cellStyle name="general 3 4" xfId="2406"/>
    <cellStyle name="general 3 4 2" xfId="2407"/>
    <cellStyle name="general 3 5" xfId="2408"/>
    <cellStyle name="general 3 5 2" xfId="2409"/>
    <cellStyle name="general 3 6" xfId="2410"/>
    <cellStyle name="general 3 6 2" xfId="2411"/>
    <cellStyle name="general 3 7" xfId="2412"/>
    <cellStyle name="general 3 7 2" xfId="2413"/>
    <cellStyle name="general 3 8" xfId="2414"/>
    <cellStyle name="general 3 8 2" xfId="2415"/>
    <cellStyle name="general 3 9" xfId="2416"/>
    <cellStyle name="general 4" xfId="2417"/>
    <cellStyle name="general 4 10" xfId="2418"/>
    <cellStyle name="general 4 11" xfId="2419"/>
    <cellStyle name="general 4 12" xfId="2420"/>
    <cellStyle name="general 4 13" xfId="2421"/>
    <cellStyle name="general 4 14" xfId="2422"/>
    <cellStyle name="general 4 15" xfId="2423"/>
    <cellStyle name="general 4 16" xfId="2424"/>
    <cellStyle name="general 4 17" xfId="2425"/>
    <cellStyle name="general 4 18" xfId="2426"/>
    <cellStyle name="general 4 2" xfId="2427"/>
    <cellStyle name="general 4 2 2" xfId="2428"/>
    <cellStyle name="general 4 3" xfId="2429"/>
    <cellStyle name="general 4 3 2" xfId="2430"/>
    <cellStyle name="general 4 4" xfId="2431"/>
    <cellStyle name="general 4 4 2" xfId="2432"/>
    <cellStyle name="general 4 5" xfId="2433"/>
    <cellStyle name="general 4 5 2" xfId="2434"/>
    <cellStyle name="general 4 6" xfId="2435"/>
    <cellStyle name="general 4 6 2" xfId="2436"/>
    <cellStyle name="general 4 7" xfId="2437"/>
    <cellStyle name="general 4 7 2" xfId="2438"/>
    <cellStyle name="general 4 8" xfId="2439"/>
    <cellStyle name="general 4 8 2" xfId="2440"/>
    <cellStyle name="general 4 9" xfId="2441"/>
    <cellStyle name="general 5" xfId="2442"/>
    <cellStyle name="general 5 10" xfId="2443"/>
    <cellStyle name="general 5 11" xfId="2444"/>
    <cellStyle name="general 5 12" xfId="2445"/>
    <cellStyle name="general 5 13" xfId="2446"/>
    <cellStyle name="general 5 14" xfId="2447"/>
    <cellStyle name="general 5 15" xfId="2448"/>
    <cellStyle name="general 5 16" xfId="2449"/>
    <cellStyle name="general 5 17" xfId="2450"/>
    <cellStyle name="general 5 18" xfId="2451"/>
    <cellStyle name="general 5 2" xfId="2452"/>
    <cellStyle name="general 5 2 2" xfId="2453"/>
    <cellStyle name="general 5 3" xfId="2454"/>
    <cellStyle name="general 5 3 2" xfId="2455"/>
    <cellStyle name="general 5 4" xfId="2456"/>
    <cellStyle name="general 5 4 2" xfId="2457"/>
    <cellStyle name="general 5 5" xfId="2458"/>
    <cellStyle name="general 5 5 2" xfId="2459"/>
    <cellStyle name="general 5 6" xfId="2460"/>
    <cellStyle name="general 5 6 2" xfId="2461"/>
    <cellStyle name="general 5 7" xfId="2462"/>
    <cellStyle name="general 5 7 2" xfId="2463"/>
    <cellStyle name="general 5 8" xfId="2464"/>
    <cellStyle name="general 5 8 2" xfId="2465"/>
    <cellStyle name="general 5 9" xfId="2466"/>
    <cellStyle name="general 6" xfId="2467"/>
    <cellStyle name="general 6 10" xfId="2468"/>
    <cellStyle name="general 6 11" xfId="2469"/>
    <cellStyle name="general 6 12" xfId="2470"/>
    <cellStyle name="general 6 13" xfId="2471"/>
    <cellStyle name="general 6 14" xfId="2472"/>
    <cellStyle name="general 6 15" xfId="2473"/>
    <cellStyle name="general 6 16" xfId="2474"/>
    <cellStyle name="general 6 17" xfId="2475"/>
    <cellStyle name="general 6 18" xfId="2476"/>
    <cellStyle name="general 6 2" xfId="2477"/>
    <cellStyle name="general 6 2 2" xfId="2478"/>
    <cellStyle name="general 6 3" xfId="2479"/>
    <cellStyle name="general 6 3 2" xfId="2480"/>
    <cellStyle name="general 6 4" xfId="2481"/>
    <cellStyle name="general 6 4 2" xfId="2482"/>
    <cellStyle name="general 6 5" xfId="2483"/>
    <cellStyle name="general 6 5 2" xfId="2484"/>
    <cellStyle name="general 6 6" xfId="2485"/>
    <cellStyle name="general 6 6 2" xfId="2486"/>
    <cellStyle name="general 6 7" xfId="2487"/>
    <cellStyle name="general 6 7 2" xfId="2488"/>
    <cellStyle name="general 6 8" xfId="2489"/>
    <cellStyle name="general 6 8 2" xfId="2490"/>
    <cellStyle name="general 6 9" xfId="2491"/>
    <cellStyle name="general 7" xfId="2492"/>
    <cellStyle name="general 7 10" xfId="2493"/>
    <cellStyle name="general 7 11" xfId="2494"/>
    <cellStyle name="general 7 12" xfId="2495"/>
    <cellStyle name="general 7 13" xfId="2496"/>
    <cellStyle name="general 7 14" xfId="2497"/>
    <cellStyle name="general 7 15" xfId="2498"/>
    <cellStyle name="general 7 16" xfId="2499"/>
    <cellStyle name="general 7 17" xfId="2500"/>
    <cellStyle name="general 7 18" xfId="2501"/>
    <cellStyle name="general 7 2" xfId="2502"/>
    <cellStyle name="general 7 2 2" xfId="2503"/>
    <cellStyle name="general 7 3" xfId="2504"/>
    <cellStyle name="general 7 3 2" xfId="2505"/>
    <cellStyle name="general 7 4" xfId="2506"/>
    <cellStyle name="general 7 4 2" xfId="2507"/>
    <cellStyle name="general 7 5" xfId="2508"/>
    <cellStyle name="general 7 5 2" xfId="2509"/>
    <cellStyle name="general 7 6" xfId="2510"/>
    <cellStyle name="general 7 6 2" xfId="2511"/>
    <cellStyle name="general 7 7" xfId="2512"/>
    <cellStyle name="general 7 7 2" xfId="2513"/>
    <cellStyle name="general 7 8" xfId="2514"/>
    <cellStyle name="general 7 8 2" xfId="2515"/>
    <cellStyle name="general 7 9" xfId="2516"/>
    <cellStyle name="general 8" xfId="2517"/>
    <cellStyle name="general 8 10" xfId="2518"/>
    <cellStyle name="general 8 11" xfId="2519"/>
    <cellStyle name="general 8 12" xfId="2520"/>
    <cellStyle name="general 8 13" xfId="2521"/>
    <cellStyle name="general 8 14" xfId="2522"/>
    <cellStyle name="general 8 15" xfId="2523"/>
    <cellStyle name="general 8 16" xfId="2524"/>
    <cellStyle name="general 8 17" xfId="2525"/>
    <cellStyle name="general 8 18" xfId="2526"/>
    <cellStyle name="general 8 2" xfId="2527"/>
    <cellStyle name="general 8 2 2" xfId="2528"/>
    <cellStyle name="general 8 3" xfId="2529"/>
    <cellStyle name="general 8 3 2" xfId="2530"/>
    <cellStyle name="general 8 4" xfId="2531"/>
    <cellStyle name="general 8 4 2" xfId="2532"/>
    <cellStyle name="general 8 5" xfId="2533"/>
    <cellStyle name="general 8 5 2" xfId="2534"/>
    <cellStyle name="general 8 6" xfId="2535"/>
    <cellStyle name="general 8 6 2" xfId="2536"/>
    <cellStyle name="general 8 7" xfId="2537"/>
    <cellStyle name="general 8 7 2" xfId="2538"/>
    <cellStyle name="general 8 8" xfId="2539"/>
    <cellStyle name="general 8 8 2" xfId="2540"/>
    <cellStyle name="general 8 9" xfId="2541"/>
    <cellStyle name="general 9" xfId="2542"/>
    <cellStyle name="general 9 10" xfId="2543"/>
    <cellStyle name="general 9 11" xfId="2544"/>
    <cellStyle name="general 9 12" xfId="2545"/>
    <cellStyle name="general 9 13" xfId="2546"/>
    <cellStyle name="general 9 14" xfId="2547"/>
    <cellStyle name="general 9 15" xfId="2548"/>
    <cellStyle name="general 9 16" xfId="2549"/>
    <cellStyle name="general 9 17" xfId="2550"/>
    <cellStyle name="general 9 18" xfId="2551"/>
    <cellStyle name="general 9 2" xfId="2552"/>
    <cellStyle name="general 9 2 2" xfId="2553"/>
    <cellStyle name="general 9 3" xfId="2554"/>
    <cellStyle name="general 9 3 2" xfId="2555"/>
    <cellStyle name="general 9 4" xfId="2556"/>
    <cellStyle name="general 9 4 2" xfId="2557"/>
    <cellStyle name="general 9 5" xfId="2558"/>
    <cellStyle name="general 9 5 2" xfId="2559"/>
    <cellStyle name="general 9 6" xfId="2560"/>
    <cellStyle name="general 9 6 2" xfId="2561"/>
    <cellStyle name="general 9 7" xfId="2562"/>
    <cellStyle name="general 9 7 2" xfId="2563"/>
    <cellStyle name="general 9 8" xfId="2564"/>
    <cellStyle name="general 9 8 2" xfId="2565"/>
    <cellStyle name="general 9 9" xfId="2566"/>
    <cellStyle name="general_Achampally-Gattubuthkur-Ganga-CRR" xfId="2567"/>
    <cellStyle name="Good 2" xfId="2568"/>
    <cellStyle name="Good 2 2" xfId="2569"/>
    <cellStyle name="Good 2 2 2" xfId="2570"/>
    <cellStyle name="Good 2 3" xfId="2571"/>
    <cellStyle name="Good 2 3 2" xfId="2572"/>
    <cellStyle name="Good 2 4" xfId="2573"/>
    <cellStyle name="Good 3" xfId="2574"/>
    <cellStyle name="Good 3 2" xfId="2575"/>
    <cellStyle name="Good 4" xfId="2576"/>
    <cellStyle name="Good 5" xfId="2577"/>
    <cellStyle name="Good 6" xfId="2578"/>
    <cellStyle name="Grey" xfId="2579"/>
    <cellStyle name="Grey 2" xfId="2580"/>
    <cellStyle name="Grey 2 2" xfId="2581"/>
    <cellStyle name="Grey 3" xfId="2582"/>
    <cellStyle name="Grey 3 2" xfId="2583"/>
    <cellStyle name="Grey 4" xfId="2584"/>
    <cellStyle name="Grey_Main-Est-Formats-puligundala" xfId="2585"/>
    <cellStyle name="Header1" xfId="2586"/>
    <cellStyle name="Header1 2" xfId="2587"/>
    <cellStyle name="Header1 2 2" xfId="2588"/>
    <cellStyle name="Header1 3" xfId="2589"/>
    <cellStyle name="Header1 3 2" xfId="2590"/>
    <cellStyle name="Header1 4" xfId="2591"/>
    <cellStyle name="Header2" xfId="2592"/>
    <cellStyle name="Header2 2" xfId="2593"/>
    <cellStyle name="Header2 2 2" xfId="2594"/>
    <cellStyle name="Header2 3" xfId="2595"/>
    <cellStyle name="Header2 3 2" xfId="2596"/>
    <cellStyle name="Header2 4" xfId="2597"/>
    <cellStyle name="Heading 1 2" xfId="2598"/>
    <cellStyle name="Heading 1 2 2" xfId="2599"/>
    <cellStyle name="Heading 1 2 2 2" xfId="2600"/>
    <cellStyle name="Heading 1 2 3" xfId="2601"/>
    <cellStyle name="Heading 1 2 3 2" xfId="2602"/>
    <cellStyle name="Heading 1 2 4" xfId="2603"/>
    <cellStyle name="Heading 1 3" xfId="2604"/>
    <cellStyle name="Heading 1 3 2" xfId="2605"/>
    <cellStyle name="Heading 1 4" xfId="2606"/>
    <cellStyle name="Heading 1 5" xfId="2607"/>
    <cellStyle name="Heading 1 6" xfId="2608"/>
    <cellStyle name="Heading 2 2" xfId="2609"/>
    <cellStyle name="Heading 2 2 2" xfId="2610"/>
    <cellStyle name="Heading 2 2 2 2" xfId="2611"/>
    <cellStyle name="Heading 2 2 3" xfId="2612"/>
    <cellStyle name="Heading 2 2 3 2" xfId="2613"/>
    <cellStyle name="Heading 2 2 4" xfId="2614"/>
    <cellStyle name="Heading 2 3" xfId="2615"/>
    <cellStyle name="Heading 2 3 2" xfId="2616"/>
    <cellStyle name="Heading 2 4" xfId="2617"/>
    <cellStyle name="Heading 2 5" xfId="2618"/>
    <cellStyle name="Heading 2 6" xfId="2619"/>
    <cellStyle name="Heading 3 2" xfId="2620"/>
    <cellStyle name="Heading 3 2 2" xfId="2621"/>
    <cellStyle name="Heading 3 2 2 2" xfId="2622"/>
    <cellStyle name="Heading 3 2 3" xfId="2623"/>
    <cellStyle name="Heading 3 2 3 2" xfId="2624"/>
    <cellStyle name="Heading 3 2 4" xfId="2625"/>
    <cellStyle name="Heading 3 3" xfId="2626"/>
    <cellStyle name="Heading 3 3 2" xfId="2627"/>
    <cellStyle name="Heading 3 4" xfId="2628"/>
    <cellStyle name="Heading 3 5" xfId="2629"/>
    <cellStyle name="Heading 3 6" xfId="2630"/>
    <cellStyle name="Heading 4 2" xfId="2631"/>
    <cellStyle name="Heading 4 2 2" xfId="2632"/>
    <cellStyle name="Heading 4 2 2 2" xfId="2633"/>
    <cellStyle name="Heading 4 2 3" xfId="2634"/>
    <cellStyle name="Heading 4 2 3 2" xfId="2635"/>
    <cellStyle name="Heading 4 2 4" xfId="2636"/>
    <cellStyle name="Heading 4 3" xfId="2637"/>
    <cellStyle name="Heading 4 3 2" xfId="2638"/>
    <cellStyle name="Heading 4 4" xfId="2639"/>
    <cellStyle name="Heading 4 5" xfId="2640"/>
    <cellStyle name="Heading 4 6" xfId="2641"/>
    <cellStyle name="Hyperlink" xfId="3" builtinId="8"/>
    <cellStyle name="Hyperlink 2" xfId="2642"/>
    <cellStyle name="Hyperlink 2 2" xfId="2643"/>
    <cellStyle name="Hyperlink 2 2 2" xfId="2644"/>
    <cellStyle name="Hyperlink 2 3" xfId="2645"/>
    <cellStyle name="Hyperlink 2 3 2" xfId="2646"/>
    <cellStyle name="Hyperlink 2 4" xfId="2647"/>
    <cellStyle name="Hyperlink 2_Rukmapur (CPD)-wk" xfId="2648"/>
    <cellStyle name="Hyperlink 3" xfId="2649"/>
    <cellStyle name="Input [yellow]" xfId="2650"/>
    <cellStyle name="Input [yellow] 2" xfId="2651"/>
    <cellStyle name="Input [yellow] 2 2" xfId="2652"/>
    <cellStyle name="Input [yellow] 3" xfId="2653"/>
    <cellStyle name="Input [yellow] 3 2" xfId="2654"/>
    <cellStyle name="Input [yellow] 4" xfId="2655"/>
    <cellStyle name="Input [yellow]_Main-Est-Formats-puligundala" xfId="2656"/>
    <cellStyle name="Input 10" xfId="2657"/>
    <cellStyle name="Input 11" xfId="2658"/>
    <cellStyle name="Input 12" xfId="2659"/>
    <cellStyle name="Input 13" xfId="2660"/>
    <cellStyle name="Input 14" xfId="2661"/>
    <cellStyle name="Input 15" xfId="2662"/>
    <cellStyle name="Input 16" xfId="2663"/>
    <cellStyle name="Input 17" xfId="2664"/>
    <cellStyle name="Input 18" xfId="2665"/>
    <cellStyle name="Input 19" xfId="2666"/>
    <cellStyle name="Input 2" xfId="2667"/>
    <cellStyle name="Input 2 2" xfId="2668"/>
    <cellStyle name="Input 2 2 2" xfId="2669"/>
    <cellStyle name="Input 2 3" xfId="2670"/>
    <cellStyle name="Input 2 3 2" xfId="2671"/>
    <cellStyle name="Input 2 4" xfId="2672"/>
    <cellStyle name="Input 20" xfId="2673"/>
    <cellStyle name="Input 21" xfId="2674"/>
    <cellStyle name="Input 22" xfId="2675"/>
    <cellStyle name="Input 23" xfId="2676"/>
    <cellStyle name="Input 3" xfId="2677"/>
    <cellStyle name="Input 3 2" xfId="2678"/>
    <cellStyle name="Input 3 3" xfId="2679"/>
    <cellStyle name="Input 3 4" xfId="2680"/>
    <cellStyle name="Input 4" xfId="2681"/>
    <cellStyle name="Input 5" xfId="2682"/>
    <cellStyle name="Input 6" xfId="2683"/>
    <cellStyle name="Input 7" xfId="2684"/>
    <cellStyle name="Input 8" xfId="2685"/>
    <cellStyle name="Input 9" xfId="2686"/>
    <cellStyle name="Linked Cell 2" xfId="2687"/>
    <cellStyle name="Linked Cell 2 2" xfId="2688"/>
    <cellStyle name="Linked Cell 2 2 2" xfId="2689"/>
    <cellStyle name="Linked Cell 2 3" xfId="2690"/>
    <cellStyle name="Linked Cell 2 3 2" xfId="2691"/>
    <cellStyle name="Linked Cell 2 4" xfId="2692"/>
    <cellStyle name="Linked Cell 3" xfId="2693"/>
    <cellStyle name="Linked Cell 3 2" xfId="2694"/>
    <cellStyle name="Linked Cell 4" xfId="2695"/>
    <cellStyle name="Linked Cell 5" xfId="2696"/>
    <cellStyle name="Linked Cell 6" xfId="2697"/>
    <cellStyle name="M head" xfId="2698"/>
    <cellStyle name="M head 2" xfId="2699"/>
    <cellStyle name="M head 2 2" xfId="2700"/>
    <cellStyle name="M head 3" xfId="2701"/>
    <cellStyle name="M head 3 2" xfId="2702"/>
    <cellStyle name="M head 4" xfId="2703"/>
    <cellStyle name="M head 4 2" xfId="2704"/>
    <cellStyle name="M head 5" xfId="2705"/>
    <cellStyle name="M Head 6" xfId="2706"/>
    <cellStyle name="M Head_2015-16 MASTER CC ROAD &amp; DRAIN" xfId="2707"/>
    <cellStyle name="Main Heading" xfId="2708"/>
    <cellStyle name="Main Heading 2" xfId="2709"/>
    <cellStyle name="MANKAD" xfId="2710"/>
    <cellStyle name="MANKAD 2" xfId="2711"/>
    <cellStyle name="MANKAD 2 2" xfId="2712"/>
    <cellStyle name="MANKAD 3" xfId="2713"/>
    <cellStyle name="MANKAD 3 2" xfId="2714"/>
    <cellStyle name="MANKAD 4" xfId="2715"/>
    <cellStyle name="MANKAD 4 2" xfId="2716"/>
    <cellStyle name="MANKAD 5" xfId="2717"/>
    <cellStyle name="MANKAD 5 2" xfId="2718"/>
    <cellStyle name="MANKAD 6" xfId="2719"/>
    <cellStyle name="MANKAD_Chinaturakapalem 26.01.2010" xfId="2720"/>
    <cellStyle name="Minor Head" xfId="2721"/>
    <cellStyle name="Minor Head 2" xfId="2722"/>
    <cellStyle name="Minor Head 2 2" xfId="2723"/>
    <cellStyle name="Minor Head 3" xfId="2724"/>
    <cellStyle name="Minor Head 3 2" xfId="2725"/>
    <cellStyle name="Minor Head 4" xfId="2726"/>
    <cellStyle name="Neutral 2" xfId="2727"/>
    <cellStyle name="Neutral 2 2" xfId="2728"/>
    <cellStyle name="Neutral 2 2 2" xfId="2729"/>
    <cellStyle name="Neutral 2 3" xfId="2730"/>
    <cellStyle name="Neutral 2 3 2" xfId="2731"/>
    <cellStyle name="Neutral 2 4" xfId="2732"/>
    <cellStyle name="Neutral 3" xfId="2733"/>
    <cellStyle name="Neutral 3 2" xfId="2734"/>
    <cellStyle name="Neutral 4" xfId="2735"/>
    <cellStyle name="Neutral 5" xfId="2736"/>
    <cellStyle name="Neutral 6" xfId="2737"/>
    <cellStyle name="no dec" xfId="2738"/>
    <cellStyle name="no dec 2" xfId="2739"/>
    <cellStyle name="no dec 2 2" xfId="2740"/>
    <cellStyle name="no dec 2 2 2" xfId="2741"/>
    <cellStyle name="no dec 2 3" xfId="2742"/>
    <cellStyle name="no dec 2_PMGSY Check list" xfId="2743"/>
    <cellStyle name="no dec 3" xfId="2744"/>
    <cellStyle name="no dec 3 2" xfId="2745"/>
    <cellStyle name="no dec 4" xfId="2746"/>
    <cellStyle name="no dec 4 2" xfId="2747"/>
    <cellStyle name="no dec 5" xfId="2748"/>
    <cellStyle name="no dec 5 2" xfId="2749"/>
    <cellStyle name="no dec 6" xfId="2750"/>
    <cellStyle name="no dec_Kallepally-Gunturpalli (Bejjenki)6m-2v" xfId="2751"/>
    <cellStyle name="Normal" xfId="0" builtinId="0"/>
    <cellStyle name="Normal - Style1" xfId="2752"/>
    <cellStyle name="Normal - Style1 10" xfId="2753"/>
    <cellStyle name="Normal - Style1 10 2" xfId="2754"/>
    <cellStyle name="Normal - Style1 10 3" xfId="2755"/>
    <cellStyle name="Normal - Style1 10 4" xfId="2756"/>
    <cellStyle name="Normal - Style1 11" xfId="2757"/>
    <cellStyle name="Normal - Style1 11 2" xfId="2758"/>
    <cellStyle name="Normal - Style1 12" xfId="2759"/>
    <cellStyle name="Normal - Style1 13" xfId="2760"/>
    <cellStyle name="Normal - Style1 14" xfId="2761"/>
    <cellStyle name="Normal - Style1 15" xfId="2762"/>
    <cellStyle name="Normal - Style1 16" xfId="2763"/>
    <cellStyle name="Normal - Style1 17" xfId="2764"/>
    <cellStyle name="Normal - Style1 18" xfId="2765"/>
    <cellStyle name="Normal - Style1 19" xfId="2766"/>
    <cellStyle name="Normal - Style1 2" xfId="2767"/>
    <cellStyle name="Normal - Style1 2 10" xfId="2768"/>
    <cellStyle name="Normal - Style1 2 10 10" xfId="2769"/>
    <cellStyle name="Normal - Style1 2 10 11" xfId="2770"/>
    <cellStyle name="Normal - Style1 2 10 12" xfId="2771"/>
    <cellStyle name="Normal - Style1 2 10 13" xfId="2772"/>
    <cellStyle name="Normal - Style1 2 10 14" xfId="2773"/>
    <cellStyle name="Normal - Style1 2 10 15" xfId="2774"/>
    <cellStyle name="Normal - Style1 2 10 16" xfId="2775"/>
    <cellStyle name="Normal - Style1 2 10 17" xfId="2776"/>
    <cellStyle name="Normal - Style1 2 10 18" xfId="2777"/>
    <cellStyle name="Normal - Style1 2 10 2" xfId="2778"/>
    <cellStyle name="Normal - Style1 2 10 2 2" xfId="2779"/>
    <cellStyle name="Normal - Style1 2 10 2 3" xfId="2780"/>
    <cellStyle name="Normal - Style1 2 10 3" xfId="2781"/>
    <cellStyle name="Normal - Style1 2 10 3 2" xfId="2782"/>
    <cellStyle name="Normal - Style1 2 10 4" xfId="2783"/>
    <cellStyle name="Normal - Style1 2 10 4 2" xfId="2784"/>
    <cellStyle name="Normal - Style1 2 10 5" xfId="2785"/>
    <cellStyle name="Normal - Style1 2 10 5 2" xfId="2786"/>
    <cellStyle name="Normal - Style1 2 10 6" xfId="2787"/>
    <cellStyle name="Normal - Style1 2 10 6 2" xfId="2788"/>
    <cellStyle name="Normal - Style1 2 10 7" xfId="2789"/>
    <cellStyle name="Normal - Style1 2 10 7 2" xfId="2790"/>
    <cellStyle name="Normal - Style1 2 10 8" xfId="2791"/>
    <cellStyle name="Normal - Style1 2 10 8 2" xfId="2792"/>
    <cellStyle name="Normal - Style1 2 10 9" xfId="2793"/>
    <cellStyle name="Normal - Style1 2 11" xfId="2794"/>
    <cellStyle name="Normal - Style1 2 11 10" xfId="2795"/>
    <cellStyle name="Normal - Style1 2 11 11" xfId="2796"/>
    <cellStyle name="Normal - Style1 2 11 12" xfId="2797"/>
    <cellStyle name="Normal - Style1 2 11 13" xfId="2798"/>
    <cellStyle name="Normal - Style1 2 11 14" xfId="2799"/>
    <cellStyle name="Normal - Style1 2 11 15" xfId="2800"/>
    <cellStyle name="Normal - Style1 2 11 16" xfId="2801"/>
    <cellStyle name="Normal - Style1 2 11 17" xfId="2802"/>
    <cellStyle name="Normal - Style1 2 11 18" xfId="2803"/>
    <cellStyle name="Normal - Style1 2 11 2" xfId="2804"/>
    <cellStyle name="Normal - Style1 2 11 2 2" xfId="2805"/>
    <cellStyle name="Normal - Style1 2 11 3" xfId="2806"/>
    <cellStyle name="Normal - Style1 2 11 3 2" xfId="2807"/>
    <cellStyle name="Normal - Style1 2 11 4" xfId="2808"/>
    <cellStyle name="Normal - Style1 2 11 4 2" xfId="2809"/>
    <cellStyle name="Normal - Style1 2 11 5" xfId="2810"/>
    <cellStyle name="Normal - Style1 2 11 5 2" xfId="2811"/>
    <cellStyle name="Normal - Style1 2 11 6" xfId="2812"/>
    <cellStyle name="Normal - Style1 2 11 6 2" xfId="2813"/>
    <cellStyle name="Normal - Style1 2 11 7" xfId="2814"/>
    <cellStyle name="Normal - Style1 2 11 7 2" xfId="2815"/>
    <cellStyle name="Normal - Style1 2 11 8" xfId="2816"/>
    <cellStyle name="Normal - Style1 2 11 8 2" xfId="2817"/>
    <cellStyle name="Normal - Style1 2 11 9" xfId="2818"/>
    <cellStyle name="Normal - Style1 2 12" xfId="2819"/>
    <cellStyle name="Normal - Style1 2 12 2" xfId="2820"/>
    <cellStyle name="Normal - Style1 2 13" xfId="2821"/>
    <cellStyle name="Normal - Style1 2 13 2" xfId="2822"/>
    <cellStyle name="Normal - Style1 2 14" xfId="2823"/>
    <cellStyle name="Normal - Style1 2 14 2" xfId="2824"/>
    <cellStyle name="Normal - Style1 2 15" xfId="2825"/>
    <cellStyle name="Normal - Style1 2 15 2" xfId="2826"/>
    <cellStyle name="Normal - Style1 2 16" xfId="2827"/>
    <cellStyle name="Normal - Style1 2 16 2" xfId="2828"/>
    <cellStyle name="Normal - Style1 2 17" xfId="2829"/>
    <cellStyle name="Normal - Style1 2 17 2" xfId="2830"/>
    <cellStyle name="Normal - Style1 2 18" xfId="2831"/>
    <cellStyle name="Normal - Style1 2 18 2" xfId="2832"/>
    <cellStyle name="Normal - Style1 2 19" xfId="2833"/>
    <cellStyle name="Normal - Style1 2 2" xfId="2834"/>
    <cellStyle name="Normal - Style1 2 2 10" xfId="2835"/>
    <cellStyle name="Normal - Style1 2 2 10 10" xfId="2836"/>
    <cellStyle name="Normal - Style1 2 2 10 11" xfId="2837"/>
    <cellStyle name="Normal - Style1 2 2 10 12" xfId="2838"/>
    <cellStyle name="Normal - Style1 2 2 10 13" xfId="2839"/>
    <cellStyle name="Normal - Style1 2 2 10 14" xfId="2840"/>
    <cellStyle name="Normal - Style1 2 2 10 15" xfId="2841"/>
    <cellStyle name="Normal - Style1 2 2 10 16" xfId="2842"/>
    <cellStyle name="Normal - Style1 2 2 10 17" xfId="2843"/>
    <cellStyle name="Normal - Style1 2 2 10 18" xfId="2844"/>
    <cellStyle name="Normal - Style1 2 2 10 2" xfId="2845"/>
    <cellStyle name="Normal - Style1 2 2 10 2 2" xfId="2846"/>
    <cellStyle name="Normal - Style1 2 2 10 3" xfId="2847"/>
    <cellStyle name="Normal - Style1 2 2 10 3 2" xfId="2848"/>
    <cellStyle name="Normal - Style1 2 2 10 4" xfId="2849"/>
    <cellStyle name="Normal - Style1 2 2 10 4 2" xfId="2850"/>
    <cellStyle name="Normal - Style1 2 2 10 5" xfId="2851"/>
    <cellStyle name="Normal - Style1 2 2 10 5 2" xfId="2852"/>
    <cellStyle name="Normal - Style1 2 2 10 6" xfId="2853"/>
    <cellStyle name="Normal - Style1 2 2 10 6 2" xfId="2854"/>
    <cellStyle name="Normal - Style1 2 2 10 7" xfId="2855"/>
    <cellStyle name="Normal - Style1 2 2 10 7 2" xfId="2856"/>
    <cellStyle name="Normal - Style1 2 2 10 8" xfId="2857"/>
    <cellStyle name="Normal - Style1 2 2 10 8 2" xfId="2858"/>
    <cellStyle name="Normal - Style1 2 2 10 9" xfId="2859"/>
    <cellStyle name="Normal - Style1 2 2 11" xfId="2860"/>
    <cellStyle name="Normal - Style1 2 2 11 2" xfId="2861"/>
    <cellStyle name="Normal - Style1 2 2 12" xfId="2862"/>
    <cellStyle name="Normal - Style1 2 2 12 2" xfId="2863"/>
    <cellStyle name="Normal - Style1 2 2 13" xfId="2864"/>
    <cellStyle name="Normal - Style1 2 2 13 2" xfId="2865"/>
    <cellStyle name="Normal - Style1 2 2 14" xfId="2866"/>
    <cellStyle name="Normal - Style1 2 2 14 2" xfId="2867"/>
    <cellStyle name="Normal - Style1 2 2 15" xfId="2868"/>
    <cellStyle name="Normal - Style1 2 2 15 2" xfId="2869"/>
    <cellStyle name="Normal - Style1 2 2 16" xfId="2870"/>
    <cellStyle name="Normal - Style1 2 2 16 2" xfId="2871"/>
    <cellStyle name="Normal - Style1 2 2 17" xfId="2872"/>
    <cellStyle name="Normal - Style1 2 2 17 2" xfId="2873"/>
    <cellStyle name="Normal - Style1 2 2 18" xfId="2874"/>
    <cellStyle name="Normal - Style1 2 2 19" xfId="2875"/>
    <cellStyle name="Normal - Style1 2 2 2" xfId="2876"/>
    <cellStyle name="Normal - Style1 2 2 2 10" xfId="2877"/>
    <cellStyle name="Normal - Style1 2 2 2 11" xfId="2878"/>
    <cellStyle name="Normal - Style1 2 2 2 12" xfId="2879"/>
    <cellStyle name="Normal - Style1 2 2 2 13" xfId="2880"/>
    <cellStyle name="Normal - Style1 2 2 2 14" xfId="2881"/>
    <cellStyle name="Normal - Style1 2 2 2 15" xfId="2882"/>
    <cellStyle name="Normal - Style1 2 2 2 16" xfId="2883"/>
    <cellStyle name="Normal - Style1 2 2 2 17" xfId="2884"/>
    <cellStyle name="Normal - Style1 2 2 2 18" xfId="2885"/>
    <cellStyle name="Normal - Style1 2 2 2 2" xfId="2886"/>
    <cellStyle name="Normal - Style1 2 2 2 2 2" xfId="2887"/>
    <cellStyle name="Normal - Style1 2 2 2 3" xfId="2888"/>
    <cellStyle name="Normal - Style1 2 2 2 3 2" xfId="2889"/>
    <cellStyle name="Normal - Style1 2 2 2 4" xfId="2890"/>
    <cellStyle name="Normal - Style1 2 2 2 4 2" xfId="2891"/>
    <cellStyle name="Normal - Style1 2 2 2 5" xfId="2892"/>
    <cellStyle name="Normal - Style1 2 2 2 5 2" xfId="2893"/>
    <cellStyle name="Normal - Style1 2 2 2 6" xfId="2894"/>
    <cellStyle name="Normal - Style1 2 2 2 6 2" xfId="2895"/>
    <cellStyle name="Normal - Style1 2 2 2 7" xfId="2896"/>
    <cellStyle name="Normal - Style1 2 2 2 7 2" xfId="2897"/>
    <cellStyle name="Normal - Style1 2 2 2 8" xfId="2898"/>
    <cellStyle name="Normal - Style1 2 2 2 8 2" xfId="2899"/>
    <cellStyle name="Normal - Style1 2 2 2 9" xfId="2900"/>
    <cellStyle name="Normal - Style1 2 2 20" xfId="2901"/>
    <cellStyle name="Normal - Style1 2 2 21" xfId="2902"/>
    <cellStyle name="Normal - Style1 2 2 22" xfId="2903"/>
    <cellStyle name="Normal - Style1 2 2 23" xfId="2904"/>
    <cellStyle name="Normal - Style1 2 2 24" xfId="2905"/>
    <cellStyle name="Normal - Style1 2 2 25" xfId="2906"/>
    <cellStyle name="Normal - Style1 2 2 26" xfId="2907"/>
    <cellStyle name="Normal - Style1 2 2 27" xfId="2908"/>
    <cellStyle name="Normal - Style1 2 2 3" xfId="2909"/>
    <cellStyle name="Normal - Style1 2 2 3 10" xfId="2910"/>
    <cellStyle name="Normal - Style1 2 2 3 11" xfId="2911"/>
    <cellStyle name="Normal - Style1 2 2 3 12" xfId="2912"/>
    <cellStyle name="Normal - Style1 2 2 3 13" xfId="2913"/>
    <cellStyle name="Normal - Style1 2 2 3 14" xfId="2914"/>
    <cellStyle name="Normal - Style1 2 2 3 15" xfId="2915"/>
    <cellStyle name="Normal - Style1 2 2 3 16" xfId="2916"/>
    <cellStyle name="Normal - Style1 2 2 3 17" xfId="2917"/>
    <cellStyle name="Normal - Style1 2 2 3 18" xfId="2918"/>
    <cellStyle name="Normal - Style1 2 2 3 2" xfId="2919"/>
    <cellStyle name="Normal - Style1 2 2 3 2 2" xfId="2920"/>
    <cellStyle name="Normal - Style1 2 2 3 3" xfId="2921"/>
    <cellStyle name="Normal - Style1 2 2 3 3 2" xfId="2922"/>
    <cellStyle name="Normal - Style1 2 2 3 4" xfId="2923"/>
    <cellStyle name="Normal - Style1 2 2 3 4 2" xfId="2924"/>
    <cellStyle name="Normal - Style1 2 2 3 5" xfId="2925"/>
    <cellStyle name="Normal - Style1 2 2 3 5 2" xfId="2926"/>
    <cellStyle name="Normal - Style1 2 2 3 6" xfId="2927"/>
    <cellStyle name="Normal - Style1 2 2 3 6 2" xfId="2928"/>
    <cellStyle name="Normal - Style1 2 2 3 7" xfId="2929"/>
    <cellStyle name="Normal - Style1 2 2 3 7 2" xfId="2930"/>
    <cellStyle name="Normal - Style1 2 2 3 8" xfId="2931"/>
    <cellStyle name="Normal - Style1 2 2 3 8 2" xfId="2932"/>
    <cellStyle name="Normal - Style1 2 2 3 9" xfId="2933"/>
    <cellStyle name="Normal - Style1 2 2 4" xfId="2934"/>
    <cellStyle name="Normal - Style1 2 2 4 10" xfId="2935"/>
    <cellStyle name="Normal - Style1 2 2 4 11" xfId="2936"/>
    <cellStyle name="Normal - Style1 2 2 4 12" xfId="2937"/>
    <cellStyle name="Normal - Style1 2 2 4 13" xfId="2938"/>
    <cellStyle name="Normal - Style1 2 2 4 14" xfId="2939"/>
    <cellStyle name="Normal - Style1 2 2 4 15" xfId="2940"/>
    <cellStyle name="Normal - Style1 2 2 4 16" xfId="2941"/>
    <cellStyle name="Normal - Style1 2 2 4 17" xfId="2942"/>
    <cellStyle name="Normal - Style1 2 2 4 18" xfId="2943"/>
    <cellStyle name="Normal - Style1 2 2 4 2" xfId="2944"/>
    <cellStyle name="Normal - Style1 2 2 4 2 2" xfId="2945"/>
    <cellStyle name="Normal - Style1 2 2 4 3" xfId="2946"/>
    <cellStyle name="Normal - Style1 2 2 4 3 2" xfId="2947"/>
    <cellStyle name="Normal - Style1 2 2 4 4" xfId="2948"/>
    <cellStyle name="Normal - Style1 2 2 4 4 2" xfId="2949"/>
    <cellStyle name="Normal - Style1 2 2 4 5" xfId="2950"/>
    <cellStyle name="Normal - Style1 2 2 4 5 2" xfId="2951"/>
    <cellStyle name="Normal - Style1 2 2 4 6" xfId="2952"/>
    <cellStyle name="Normal - Style1 2 2 4 6 2" xfId="2953"/>
    <cellStyle name="Normal - Style1 2 2 4 7" xfId="2954"/>
    <cellStyle name="Normal - Style1 2 2 4 7 2" xfId="2955"/>
    <cellStyle name="Normal - Style1 2 2 4 8" xfId="2956"/>
    <cellStyle name="Normal - Style1 2 2 4 8 2" xfId="2957"/>
    <cellStyle name="Normal - Style1 2 2 4 9" xfId="2958"/>
    <cellStyle name="Normal - Style1 2 2 5" xfId="2959"/>
    <cellStyle name="Normal - Style1 2 2 5 10" xfId="2960"/>
    <cellStyle name="Normal - Style1 2 2 5 11" xfId="2961"/>
    <cellStyle name="Normal - Style1 2 2 5 12" xfId="2962"/>
    <cellStyle name="Normal - Style1 2 2 5 13" xfId="2963"/>
    <cellStyle name="Normal - Style1 2 2 5 14" xfId="2964"/>
    <cellStyle name="Normal - Style1 2 2 5 15" xfId="2965"/>
    <cellStyle name="Normal - Style1 2 2 5 16" xfId="2966"/>
    <cellStyle name="Normal - Style1 2 2 5 17" xfId="2967"/>
    <cellStyle name="Normal - Style1 2 2 5 18" xfId="2968"/>
    <cellStyle name="Normal - Style1 2 2 5 2" xfId="2969"/>
    <cellStyle name="Normal - Style1 2 2 5 2 2" xfId="2970"/>
    <cellStyle name="Normal - Style1 2 2 5 3" xfId="2971"/>
    <cellStyle name="Normal - Style1 2 2 5 3 2" xfId="2972"/>
    <cellStyle name="Normal - Style1 2 2 5 4" xfId="2973"/>
    <cellStyle name="Normal - Style1 2 2 5 4 2" xfId="2974"/>
    <cellStyle name="Normal - Style1 2 2 5 5" xfId="2975"/>
    <cellStyle name="Normal - Style1 2 2 5 5 2" xfId="2976"/>
    <cellStyle name="Normal - Style1 2 2 5 6" xfId="2977"/>
    <cellStyle name="Normal - Style1 2 2 5 6 2" xfId="2978"/>
    <cellStyle name="Normal - Style1 2 2 5 7" xfId="2979"/>
    <cellStyle name="Normal - Style1 2 2 5 7 2" xfId="2980"/>
    <cellStyle name="Normal - Style1 2 2 5 8" xfId="2981"/>
    <cellStyle name="Normal - Style1 2 2 5 8 2" xfId="2982"/>
    <cellStyle name="Normal - Style1 2 2 5 9" xfId="2983"/>
    <cellStyle name="Normal - Style1 2 2 6" xfId="2984"/>
    <cellStyle name="Normal - Style1 2 2 6 10" xfId="2985"/>
    <cellStyle name="Normal - Style1 2 2 6 11" xfId="2986"/>
    <cellStyle name="Normal - Style1 2 2 6 12" xfId="2987"/>
    <cellStyle name="Normal - Style1 2 2 6 13" xfId="2988"/>
    <cellStyle name="Normal - Style1 2 2 6 14" xfId="2989"/>
    <cellStyle name="Normal - Style1 2 2 6 15" xfId="2990"/>
    <cellStyle name="Normal - Style1 2 2 6 16" xfId="2991"/>
    <cellStyle name="Normal - Style1 2 2 6 17" xfId="2992"/>
    <cellStyle name="Normal - Style1 2 2 6 18" xfId="2993"/>
    <cellStyle name="Normal - Style1 2 2 6 2" xfId="2994"/>
    <cellStyle name="Normal - Style1 2 2 6 2 2" xfId="2995"/>
    <cellStyle name="Normal - Style1 2 2 6 3" xfId="2996"/>
    <cellStyle name="Normal - Style1 2 2 6 3 2" xfId="2997"/>
    <cellStyle name="Normal - Style1 2 2 6 4" xfId="2998"/>
    <cellStyle name="Normal - Style1 2 2 6 4 2" xfId="2999"/>
    <cellStyle name="Normal - Style1 2 2 6 5" xfId="3000"/>
    <cellStyle name="Normal - Style1 2 2 6 5 2" xfId="3001"/>
    <cellStyle name="Normal - Style1 2 2 6 6" xfId="3002"/>
    <cellStyle name="Normal - Style1 2 2 6 6 2" xfId="3003"/>
    <cellStyle name="Normal - Style1 2 2 6 7" xfId="3004"/>
    <cellStyle name="Normal - Style1 2 2 6 7 2" xfId="3005"/>
    <cellStyle name="Normal - Style1 2 2 6 8" xfId="3006"/>
    <cellStyle name="Normal - Style1 2 2 6 8 2" xfId="3007"/>
    <cellStyle name="Normal - Style1 2 2 6 9" xfId="3008"/>
    <cellStyle name="Normal - Style1 2 2 7" xfId="3009"/>
    <cellStyle name="Normal - Style1 2 2 7 10" xfId="3010"/>
    <cellStyle name="Normal - Style1 2 2 7 11" xfId="3011"/>
    <cellStyle name="Normal - Style1 2 2 7 12" xfId="3012"/>
    <cellStyle name="Normal - Style1 2 2 7 13" xfId="3013"/>
    <cellStyle name="Normal - Style1 2 2 7 14" xfId="3014"/>
    <cellStyle name="Normal - Style1 2 2 7 15" xfId="3015"/>
    <cellStyle name="Normal - Style1 2 2 7 16" xfId="3016"/>
    <cellStyle name="Normal - Style1 2 2 7 17" xfId="3017"/>
    <cellStyle name="Normal - Style1 2 2 7 18" xfId="3018"/>
    <cellStyle name="Normal - Style1 2 2 7 2" xfId="3019"/>
    <cellStyle name="Normal - Style1 2 2 7 2 2" xfId="3020"/>
    <cellStyle name="Normal - Style1 2 2 7 3" xfId="3021"/>
    <cellStyle name="Normal - Style1 2 2 7 3 2" xfId="3022"/>
    <cellStyle name="Normal - Style1 2 2 7 4" xfId="3023"/>
    <cellStyle name="Normal - Style1 2 2 7 4 2" xfId="3024"/>
    <cellStyle name="Normal - Style1 2 2 7 5" xfId="3025"/>
    <cellStyle name="Normal - Style1 2 2 7 5 2" xfId="3026"/>
    <cellStyle name="Normal - Style1 2 2 7 6" xfId="3027"/>
    <cellStyle name="Normal - Style1 2 2 7 6 2" xfId="3028"/>
    <cellStyle name="Normal - Style1 2 2 7 7" xfId="3029"/>
    <cellStyle name="Normal - Style1 2 2 7 7 2" xfId="3030"/>
    <cellStyle name="Normal - Style1 2 2 7 8" xfId="3031"/>
    <cellStyle name="Normal - Style1 2 2 7 8 2" xfId="3032"/>
    <cellStyle name="Normal - Style1 2 2 7 9" xfId="3033"/>
    <cellStyle name="Normal - Style1 2 2 8" xfId="3034"/>
    <cellStyle name="Normal - Style1 2 2 8 10" xfId="3035"/>
    <cellStyle name="Normal - Style1 2 2 8 11" xfId="3036"/>
    <cellStyle name="Normal - Style1 2 2 8 12" xfId="3037"/>
    <cellStyle name="Normal - Style1 2 2 8 13" xfId="3038"/>
    <cellStyle name="Normal - Style1 2 2 8 14" xfId="3039"/>
    <cellStyle name="Normal - Style1 2 2 8 15" xfId="3040"/>
    <cellStyle name="Normal - Style1 2 2 8 16" xfId="3041"/>
    <cellStyle name="Normal - Style1 2 2 8 17" xfId="3042"/>
    <cellStyle name="Normal - Style1 2 2 8 18" xfId="3043"/>
    <cellStyle name="Normal - Style1 2 2 8 2" xfId="3044"/>
    <cellStyle name="Normal - Style1 2 2 8 2 2" xfId="3045"/>
    <cellStyle name="Normal - Style1 2 2 8 3" xfId="3046"/>
    <cellStyle name="Normal - Style1 2 2 8 3 2" xfId="3047"/>
    <cellStyle name="Normal - Style1 2 2 8 4" xfId="3048"/>
    <cellStyle name="Normal - Style1 2 2 8 4 2" xfId="3049"/>
    <cellStyle name="Normal - Style1 2 2 8 5" xfId="3050"/>
    <cellStyle name="Normal - Style1 2 2 8 5 2" xfId="3051"/>
    <cellStyle name="Normal - Style1 2 2 8 6" xfId="3052"/>
    <cellStyle name="Normal - Style1 2 2 8 6 2" xfId="3053"/>
    <cellStyle name="Normal - Style1 2 2 8 7" xfId="3054"/>
    <cellStyle name="Normal - Style1 2 2 8 7 2" xfId="3055"/>
    <cellStyle name="Normal - Style1 2 2 8 8" xfId="3056"/>
    <cellStyle name="Normal - Style1 2 2 8 8 2" xfId="3057"/>
    <cellStyle name="Normal - Style1 2 2 8 9" xfId="3058"/>
    <cellStyle name="Normal - Style1 2 2 9" xfId="3059"/>
    <cellStyle name="Normal - Style1 2 2 9 10" xfId="3060"/>
    <cellStyle name="Normal - Style1 2 2 9 11" xfId="3061"/>
    <cellStyle name="Normal - Style1 2 2 9 12" xfId="3062"/>
    <cellStyle name="Normal - Style1 2 2 9 13" xfId="3063"/>
    <cellStyle name="Normal - Style1 2 2 9 14" xfId="3064"/>
    <cellStyle name="Normal - Style1 2 2 9 15" xfId="3065"/>
    <cellStyle name="Normal - Style1 2 2 9 16" xfId="3066"/>
    <cellStyle name="Normal - Style1 2 2 9 17" xfId="3067"/>
    <cellStyle name="Normal - Style1 2 2 9 18" xfId="3068"/>
    <cellStyle name="Normal - Style1 2 2 9 2" xfId="3069"/>
    <cellStyle name="Normal - Style1 2 2 9 2 2" xfId="3070"/>
    <cellStyle name="Normal - Style1 2 2 9 3" xfId="3071"/>
    <cellStyle name="Normal - Style1 2 2 9 3 2" xfId="3072"/>
    <cellStyle name="Normal - Style1 2 2 9 4" xfId="3073"/>
    <cellStyle name="Normal - Style1 2 2 9 4 2" xfId="3074"/>
    <cellStyle name="Normal - Style1 2 2 9 5" xfId="3075"/>
    <cellStyle name="Normal - Style1 2 2 9 5 2" xfId="3076"/>
    <cellStyle name="Normal - Style1 2 2 9 6" xfId="3077"/>
    <cellStyle name="Normal - Style1 2 2 9 6 2" xfId="3078"/>
    <cellStyle name="Normal - Style1 2 2 9 7" xfId="3079"/>
    <cellStyle name="Normal - Style1 2 2 9 7 2" xfId="3080"/>
    <cellStyle name="Normal - Style1 2 2 9 8" xfId="3081"/>
    <cellStyle name="Normal - Style1 2 2 9 8 2" xfId="3082"/>
    <cellStyle name="Normal - Style1 2 2 9 9" xfId="3083"/>
    <cellStyle name="Normal - Style1 2 2_Achampally-Gattubuthkur-Ganga-CRR" xfId="3084"/>
    <cellStyle name="Normal - Style1 2 20" xfId="3085"/>
    <cellStyle name="Normal - Style1 2 21" xfId="3086"/>
    <cellStyle name="Normal - Style1 2 22" xfId="3087"/>
    <cellStyle name="Normal - Style1 2 23" xfId="3088"/>
    <cellStyle name="Normal - Style1 2 24" xfId="3089"/>
    <cellStyle name="Normal - Style1 2 25" xfId="3090"/>
    <cellStyle name="Normal - Style1 2 26" xfId="3091"/>
    <cellStyle name="Normal - Style1 2 27" xfId="3092"/>
    <cellStyle name="Normal - Style1 2 28" xfId="3093"/>
    <cellStyle name="Normal - Style1 2 3" xfId="3094"/>
    <cellStyle name="Normal - Style1 2 3 10" xfId="3095"/>
    <cellStyle name="Normal - Style1 2 3 11" xfId="3096"/>
    <cellStyle name="Normal - Style1 2 3 12" xfId="3097"/>
    <cellStyle name="Normal - Style1 2 3 13" xfId="3098"/>
    <cellStyle name="Normal - Style1 2 3 14" xfId="3099"/>
    <cellStyle name="Normal - Style1 2 3 15" xfId="3100"/>
    <cellStyle name="Normal - Style1 2 3 16" xfId="3101"/>
    <cellStyle name="Normal - Style1 2 3 17" xfId="3102"/>
    <cellStyle name="Normal - Style1 2 3 18" xfId="3103"/>
    <cellStyle name="Normal - Style1 2 3 2" xfId="3104"/>
    <cellStyle name="Normal - Style1 2 3 2 2" xfId="3105"/>
    <cellStyle name="Normal - Style1 2 3 3" xfId="3106"/>
    <cellStyle name="Normal - Style1 2 3 3 2" xfId="3107"/>
    <cellStyle name="Normal - Style1 2 3 4" xfId="3108"/>
    <cellStyle name="Normal - Style1 2 3 4 2" xfId="3109"/>
    <cellStyle name="Normal - Style1 2 3 5" xfId="3110"/>
    <cellStyle name="Normal - Style1 2 3 5 2" xfId="3111"/>
    <cellStyle name="Normal - Style1 2 3 6" xfId="3112"/>
    <cellStyle name="Normal - Style1 2 3 6 2" xfId="3113"/>
    <cellStyle name="Normal - Style1 2 3 7" xfId="3114"/>
    <cellStyle name="Normal - Style1 2 3 7 2" xfId="3115"/>
    <cellStyle name="Normal - Style1 2 3 8" xfId="3116"/>
    <cellStyle name="Normal - Style1 2 3 8 2" xfId="3117"/>
    <cellStyle name="Normal - Style1 2 3 9" xfId="3118"/>
    <cellStyle name="Normal - Style1 2 4" xfId="3119"/>
    <cellStyle name="Normal - Style1 2 4 10" xfId="3120"/>
    <cellStyle name="Normal - Style1 2 4 11" xfId="3121"/>
    <cellStyle name="Normal - Style1 2 4 12" xfId="3122"/>
    <cellStyle name="Normal - Style1 2 4 13" xfId="3123"/>
    <cellStyle name="Normal - Style1 2 4 14" xfId="3124"/>
    <cellStyle name="Normal - Style1 2 4 15" xfId="3125"/>
    <cellStyle name="Normal - Style1 2 4 16" xfId="3126"/>
    <cellStyle name="Normal - Style1 2 4 17" xfId="3127"/>
    <cellStyle name="Normal - Style1 2 4 18" xfId="3128"/>
    <cellStyle name="Normal - Style1 2 4 2" xfId="3129"/>
    <cellStyle name="Normal - Style1 2 4 2 2" xfId="3130"/>
    <cellStyle name="Normal - Style1 2 4 3" xfId="3131"/>
    <cellStyle name="Normal - Style1 2 4 3 2" xfId="3132"/>
    <cellStyle name="Normal - Style1 2 4 4" xfId="3133"/>
    <cellStyle name="Normal - Style1 2 4 4 2" xfId="3134"/>
    <cellStyle name="Normal - Style1 2 4 5" xfId="3135"/>
    <cellStyle name="Normal - Style1 2 4 5 2" xfId="3136"/>
    <cellStyle name="Normal - Style1 2 4 6" xfId="3137"/>
    <cellStyle name="Normal - Style1 2 4 6 2" xfId="3138"/>
    <cellStyle name="Normal - Style1 2 4 7" xfId="3139"/>
    <cellStyle name="Normal - Style1 2 4 7 2" xfId="3140"/>
    <cellStyle name="Normal - Style1 2 4 8" xfId="3141"/>
    <cellStyle name="Normal - Style1 2 4 8 2" xfId="3142"/>
    <cellStyle name="Normal - Style1 2 4 9" xfId="3143"/>
    <cellStyle name="Normal - Style1 2 5" xfId="3144"/>
    <cellStyle name="Normal - Style1 2 5 10" xfId="3145"/>
    <cellStyle name="Normal - Style1 2 5 11" xfId="3146"/>
    <cellStyle name="Normal - Style1 2 5 12" xfId="3147"/>
    <cellStyle name="Normal - Style1 2 5 13" xfId="3148"/>
    <cellStyle name="Normal - Style1 2 5 14" xfId="3149"/>
    <cellStyle name="Normal - Style1 2 5 15" xfId="3150"/>
    <cellStyle name="Normal - Style1 2 5 16" xfId="3151"/>
    <cellStyle name="Normal - Style1 2 5 17" xfId="3152"/>
    <cellStyle name="Normal - Style1 2 5 18" xfId="3153"/>
    <cellStyle name="Normal - Style1 2 5 2" xfId="3154"/>
    <cellStyle name="Normal - Style1 2 5 2 2" xfId="3155"/>
    <cellStyle name="Normal - Style1 2 5 3" xfId="3156"/>
    <cellStyle name="Normal - Style1 2 5 3 2" xfId="3157"/>
    <cellStyle name="Normal - Style1 2 5 4" xfId="3158"/>
    <cellStyle name="Normal - Style1 2 5 4 2" xfId="3159"/>
    <cellStyle name="Normal - Style1 2 5 5" xfId="3160"/>
    <cellStyle name="Normal - Style1 2 5 5 2" xfId="3161"/>
    <cellStyle name="Normal - Style1 2 5 6" xfId="3162"/>
    <cellStyle name="Normal - Style1 2 5 6 2" xfId="3163"/>
    <cellStyle name="Normal - Style1 2 5 7" xfId="3164"/>
    <cellStyle name="Normal - Style1 2 5 7 2" xfId="3165"/>
    <cellStyle name="Normal - Style1 2 5 8" xfId="3166"/>
    <cellStyle name="Normal - Style1 2 5 8 2" xfId="3167"/>
    <cellStyle name="Normal - Style1 2 5 9" xfId="3168"/>
    <cellStyle name="Normal - Style1 2 6" xfId="3169"/>
    <cellStyle name="Normal - Style1 2 6 10" xfId="3170"/>
    <cellStyle name="Normal - Style1 2 6 11" xfId="3171"/>
    <cellStyle name="Normal - Style1 2 6 12" xfId="3172"/>
    <cellStyle name="Normal - Style1 2 6 13" xfId="3173"/>
    <cellStyle name="Normal - Style1 2 6 14" xfId="3174"/>
    <cellStyle name="Normal - Style1 2 6 15" xfId="3175"/>
    <cellStyle name="Normal - Style1 2 6 16" xfId="3176"/>
    <cellStyle name="Normal - Style1 2 6 17" xfId="3177"/>
    <cellStyle name="Normal - Style1 2 6 18" xfId="3178"/>
    <cellStyle name="Normal - Style1 2 6 2" xfId="3179"/>
    <cellStyle name="Normal - Style1 2 6 2 2" xfId="3180"/>
    <cellStyle name="Normal - Style1 2 6 3" xfId="3181"/>
    <cellStyle name="Normal - Style1 2 6 3 2" xfId="3182"/>
    <cellStyle name="Normal - Style1 2 6 4" xfId="3183"/>
    <cellStyle name="Normal - Style1 2 6 4 2" xfId="3184"/>
    <cellStyle name="Normal - Style1 2 6 5" xfId="3185"/>
    <cellStyle name="Normal - Style1 2 6 5 2" xfId="3186"/>
    <cellStyle name="Normal - Style1 2 6 6" xfId="3187"/>
    <cellStyle name="Normal - Style1 2 6 6 2" xfId="3188"/>
    <cellStyle name="Normal - Style1 2 6 7" xfId="3189"/>
    <cellStyle name="Normal - Style1 2 6 7 2" xfId="3190"/>
    <cellStyle name="Normal - Style1 2 6 8" xfId="3191"/>
    <cellStyle name="Normal - Style1 2 6 8 2" xfId="3192"/>
    <cellStyle name="Normal - Style1 2 6 9" xfId="3193"/>
    <cellStyle name="Normal - Style1 2 7" xfId="3194"/>
    <cellStyle name="Normal - Style1 2 7 10" xfId="3195"/>
    <cellStyle name="Normal - Style1 2 7 11" xfId="3196"/>
    <cellStyle name="Normal - Style1 2 7 12" xfId="3197"/>
    <cellStyle name="Normal - Style1 2 7 13" xfId="3198"/>
    <cellStyle name="Normal - Style1 2 7 14" xfId="3199"/>
    <cellStyle name="Normal - Style1 2 7 15" xfId="3200"/>
    <cellStyle name="Normal - Style1 2 7 16" xfId="3201"/>
    <cellStyle name="Normal - Style1 2 7 17" xfId="3202"/>
    <cellStyle name="Normal - Style1 2 7 18" xfId="3203"/>
    <cellStyle name="Normal - Style1 2 7 2" xfId="3204"/>
    <cellStyle name="Normal - Style1 2 7 2 2" xfId="3205"/>
    <cellStyle name="Normal - Style1 2 7 3" xfId="3206"/>
    <cellStyle name="Normal - Style1 2 7 3 2" xfId="3207"/>
    <cellStyle name="Normal - Style1 2 7 4" xfId="3208"/>
    <cellStyle name="Normal - Style1 2 7 4 2" xfId="3209"/>
    <cellStyle name="Normal - Style1 2 7 5" xfId="3210"/>
    <cellStyle name="Normal - Style1 2 7 5 2" xfId="3211"/>
    <cellStyle name="Normal - Style1 2 7 6" xfId="3212"/>
    <cellStyle name="Normal - Style1 2 7 6 2" xfId="3213"/>
    <cellStyle name="Normal - Style1 2 7 7" xfId="3214"/>
    <cellStyle name="Normal - Style1 2 7 7 2" xfId="3215"/>
    <cellStyle name="Normal - Style1 2 7 8" xfId="3216"/>
    <cellStyle name="Normal - Style1 2 7 8 2" xfId="3217"/>
    <cellStyle name="Normal - Style1 2 7 9" xfId="3218"/>
    <cellStyle name="Normal - Style1 2 8" xfId="3219"/>
    <cellStyle name="Normal - Style1 2 8 10" xfId="3220"/>
    <cellStyle name="Normal - Style1 2 8 11" xfId="3221"/>
    <cellStyle name="Normal - Style1 2 8 12" xfId="3222"/>
    <cellStyle name="Normal - Style1 2 8 13" xfId="3223"/>
    <cellStyle name="Normal - Style1 2 8 14" xfId="3224"/>
    <cellStyle name="Normal - Style1 2 8 15" xfId="3225"/>
    <cellStyle name="Normal - Style1 2 8 16" xfId="3226"/>
    <cellStyle name="Normal - Style1 2 8 17" xfId="3227"/>
    <cellStyle name="Normal - Style1 2 8 18" xfId="3228"/>
    <cellStyle name="Normal - Style1 2 8 2" xfId="3229"/>
    <cellStyle name="Normal - Style1 2 8 2 2" xfId="3230"/>
    <cellStyle name="Normal - Style1 2 8 3" xfId="3231"/>
    <cellStyle name="Normal - Style1 2 8 3 2" xfId="3232"/>
    <cellStyle name="Normal - Style1 2 8 4" xfId="3233"/>
    <cellStyle name="Normal - Style1 2 8 4 2" xfId="3234"/>
    <cellStyle name="Normal - Style1 2 8 5" xfId="3235"/>
    <cellStyle name="Normal - Style1 2 8 5 2" xfId="3236"/>
    <cellStyle name="Normal - Style1 2 8 6" xfId="3237"/>
    <cellStyle name="Normal - Style1 2 8 6 2" xfId="3238"/>
    <cellStyle name="Normal - Style1 2 8 7" xfId="3239"/>
    <cellStyle name="Normal - Style1 2 8 7 2" xfId="3240"/>
    <cellStyle name="Normal - Style1 2 8 8" xfId="3241"/>
    <cellStyle name="Normal - Style1 2 8 8 2" xfId="3242"/>
    <cellStyle name="Normal - Style1 2 8 9" xfId="3243"/>
    <cellStyle name="Normal - Style1 2 9" xfId="3244"/>
    <cellStyle name="Normal - Style1 2 9 10" xfId="3245"/>
    <cellStyle name="Normal - Style1 2 9 11" xfId="3246"/>
    <cellStyle name="Normal - Style1 2 9 12" xfId="3247"/>
    <cellStyle name="Normal - Style1 2 9 13" xfId="3248"/>
    <cellStyle name="Normal - Style1 2 9 14" xfId="3249"/>
    <cellStyle name="Normal - Style1 2 9 15" xfId="3250"/>
    <cellStyle name="Normal - Style1 2 9 16" xfId="3251"/>
    <cellStyle name="Normal - Style1 2 9 17" xfId="3252"/>
    <cellStyle name="Normal - Style1 2 9 18" xfId="3253"/>
    <cellStyle name="Normal - Style1 2 9 2" xfId="3254"/>
    <cellStyle name="Normal - Style1 2 9 2 2" xfId="3255"/>
    <cellStyle name="Normal - Style1 2 9 3" xfId="3256"/>
    <cellStyle name="Normal - Style1 2 9 3 2" xfId="3257"/>
    <cellStyle name="Normal - Style1 2 9 4" xfId="3258"/>
    <cellStyle name="Normal - Style1 2 9 4 2" xfId="3259"/>
    <cellStyle name="Normal - Style1 2 9 5" xfId="3260"/>
    <cellStyle name="Normal - Style1 2 9 5 2" xfId="3261"/>
    <cellStyle name="Normal - Style1 2 9 6" xfId="3262"/>
    <cellStyle name="Normal - Style1 2 9 6 2" xfId="3263"/>
    <cellStyle name="Normal - Style1 2 9 7" xfId="3264"/>
    <cellStyle name="Normal - Style1 2 9 7 2" xfId="3265"/>
    <cellStyle name="Normal - Style1 2 9 8" xfId="3266"/>
    <cellStyle name="Normal - Style1 2 9 8 2" xfId="3267"/>
    <cellStyle name="Normal - Style1 2 9 9" xfId="3268"/>
    <cellStyle name="Normal - Style1 2_1) NREGS  Report Uppudi" xfId="3269"/>
    <cellStyle name="Normal - Style1 20" xfId="3270"/>
    <cellStyle name="Normal - Style1 21" xfId="3271"/>
    <cellStyle name="Normal - Style1 22" xfId="3272"/>
    <cellStyle name="Normal - Style1 3" xfId="3273"/>
    <cellStyle name="Normal - Style1 3 10" xfId="3274"/>
    <cellStyle name="Normal - Style1 3 10 10" xfId="3275"/>
    <cellStyle name="Normal - Style1 3 10 11" xfId="3276"/>
    <cellStyle name="Normal - Style1 3 10 12" xfId="3277"/>
    <cellStyle name="Normal - Style1 3 10 13" xfId="3278"/>
    <cellStyle name="Normal - Style1 3 10 14" xfId="3279"/>
    <cellStyle name="Normal - Style1 3 10 15" xfId="3280"/>
    <cellStyle name="Normal - Style1 3 10 16" xfId="3281"/>
    <cellStyle name="Normal - Style1 3 10 17" xfId="3282"/>
    <cellStyle name="Normal - Style1 3 10 18" xfId="3283"/>
    <cellStyle name="Normal - Style1 3 10 2" xfId="3284"/>
    <cellStyle name="Normal - Style1 3 10 2 2" xfId="3285"/>
    <cellStyle name="Normal - Style1 3 10 3" xfId="3286"/>
    <cellStyle name="Normal - Style1 3 10 3 2" xfId="3287"/>
    <cellStyle name="Normal - Style1 3 10 4" xfId="3288"/>
    <cellStyle name="Normal - Style1 3 10 4 2" xfId="3289"/>
    <cellStyle name="Normal - Style1 3 10 5" xfId="3290"/>
    <cellStyle name="Normal - Style1 3 10 5 2" xfId="3291"/>
    <cellStyle name="Normal - Style1 3 10 6" xfId="3292"/>
    <cellStyle name="Normal - Style1 3 10 6 2" xfId="3293"/>
    <cellStyle name="Normal - Style1 3 10 7" xfId="3294"/>
    <cellStyle name="Normal - Style1 3 10 7 2" xfId="3295"/>
    <cellStyle name="Normal - Style1 3 10 8" xfId="3296"/>
    <cellStyle name="Normal - Style1 3 10 8 2" xfId="3297"/>
    <cellStyle name="Normal - Style1 3 10 9" xfId="3298"/>
    <cellStyle name="Normal - Style1 3 11" xfId="3299"/>
    <cellStyle name="Normal - Style1 3 11 2" xfId="3300"/>
    <cellStyle name="Normal - Style1 3 12" xfId="3301"/>
    <cellStyle name="Normal - Style1 3 12 2" xfId="3302"/>
    <cellStyle name="Normal - Style1 3 13" xfId="3303"/>
    <cellStyle name="Normal - Style1 3 13 2" xfId="3304"/>
    <cellStyle name="Normal - Style1 3 14" xfId="3305"/>
    <cellStyle name="Normal - Style1 3 14 2" xfId="3306"/>
    <cellStyle name="Normal - Style1 3 15" xfId="3307"/>
    <cellStyle name="Normal - Style1 3 15 2" xfId="3308"/>
    <cellStyle name="Normal - Style1 3 16" xfId="3309"/>
    <cellStyle name="Normal - Style1 3 16 2" xfId="3310"/>
    <cellStyle name="Normal - Style1 3 17" xfId="3311"/>
    <cellStyle name="Normal - Style1 3 17 2" xfId="3312"/>
    <cellStyle name="Normal - Style1 3 18" xfId="3313"/>
    <cellStyle name="Normal - Style1 3 19" xfId="3314"/>
    <cellStyle name="Normal - Style1 3 2" xfId="3315"/>
    <cellStyle name="Normal - Style1 3 2 10" xfId="3316"/>
    <cellStyle name="Normal - Style1 3 2 11" xfId="3317"/>
    <cellStyle name="Normal - Style1 3 2 12" xfId="3318"/>
    <cellStyle name="Normal - Style1 3 2 13" xfId="3319"/>
    <cellStyle name="Normal - Style1 3 2 14" xfId="3320"/>
    <cellStyle name="Normal - Style1 3 2 15" xfId="3321"/>
    <cellStyle name="Normal - Style1 3 2 16" xfId="3322"/>
    <cellStyle name="Normal - Style1 3 2 17" xfId="3323"/>
    <cellStyle name="Normal - Style1 3 2 18" xfId="3324"/>
    <cellStyle name="Normal - Style1 3 2 2" xfId="3325"/>
    <cellStyle name="Normal - Style1 3 2 2 2" xfId="3326"/>
    <cellStyle name="Normal - Style1 3 2 3" xfId="3327"/>
    <cellStyle name="Normal - Style1 3 2 3 2" xfId="3328"/>
    <cellStyle name="Normal - Style1 3 2 4" xfId="3329"/>
    <cellStyle name="Normal - Style1 3 2 4 2" xfId="3330"/>
    <cellStyle name="Normal - Style1 3 2 5" xfId="3331"/>
    <cellStyle name="Normal - Style1 3 2 5 2" xfId="3332"/>
    <cellStyle name="Normal - Style1 3 2 6" xfId="3333"/>
    <cellStyle name="Normal - Style1 3 2 6 2" xfId="3334"/>
    <cellStyle name="Normal - Style1 3 2 7" xfId="3335"/>
    <cellStyle name="Normal - Style1 3 2 7 2" xfId="3336"/>
    <cellStyle name="Normal - Style1 3 2 8" xfId="3337"/>
    <cellStyle name="Normal - Style1 3 2 8 2" xfId="3338"/>
    <cellStyle name="Normal - Style1 3 2 9" xfId="3339"/>
    <cellStyle name="Normal - Style1 3 20" xfId="3340"/>
    <cellStyle name="Normal - Style1 3 21" xfId="3341"/>
    <cellStyle name="Normal - Style1 3 22" xfId="3342"/>
    <cellStyle name="Normal - Style1 3 23" xfId="3343"/>
    <cellStyle name="Normal - Style1 3 24" xfId="3344"/>
    <cellStyle name="Normal - Style1 3 25" xfId="3345"/>
    <cellStyle name="Normal - Style1 3 26" xfId="3346"/>
    <cellStyle name="Normal - Style1 3 27" xfId="3347"/>
    <cellStyle name="Normal - Style1 3 3" xfId="3348"/>
    <cellStyle name="Normal - Style1 3 3 10" xfId="3349"/>
    <cellStyle name="Normal - Style1 3 3 11" xfId="3350"/>
    <cellStyle name="Normal - Style1 3 3 12" xfId="3351"/>
    <cellStyle name="Normal - Style1 3 3 13" xfId="3352"/>
    <cellStyle name="Normal - Style1 3 3 14" xfId="3353"/>
    <cellStyle name="Normal - Style1 3 3 15" xfId="3354"/>
    <cellStyle name="Normal - Style1 3 3 16" xfId="3355"/>
    <cellStyle name="Normal - Style1 3 3 17" xfId="3356"/>
    <cellStyle name="Normal - Style1 3 3 18" xfId="3357"/>
    <cellStyle name="Normal - Style1 3 3 2" xfId="3358"/>
    <cellStyle name="Normal - Style1 3 3 2 2" xfId="3359"/>
    <cellStyle name="Normal - Style1 3 3 3" xfId="3360"/>
    <cellStyle name="Normal - Style1 3 3 3 2" xfId="3361"/>
    <cellStyle name="Normal - Style1 3 3 4" xfId="3362"/>
    <cellStyle name="Normal - Style1 3 3 4 2" xfId="3363"/>
    <cellStyle name="Normal - Style1 3 3 5" xfId="3364"/>
    <cellStyle name="Normal - Style1 3 3 5 2" xfId="3365"/>
    <cellStyle name="Normal - Style1 3 3 6" xfId="3366"/>
    <cellStyle name="Normal - Style1 3 3 6 2" xfId="3367"/>
    <cellStyle name="Normal - Style1 3 3 7" xfId="3368"/>
    <cellStyle name="Normal - Style1 3 3 7 2" xfId="3369"/>
    <cellStyle name="Normal - Style1 3 3 8" xfId="3370"/>
    <cellStyle name="Normal - Style1 3 3 8 2" xfId="3371"/>
    <cellStyle name="Normal - Style1 3 3 9" xfId="3372"/>
    <cellStyle name="Normal - Style1 3 4" xfId="3373"/>
    <cellStyle name="Normal - Style1 3 4 10" xfId="3374"/>
    <cellStyle name="Normal - Style1 3 4 11" xfId="3375"/>
    <cellStyle name="Normal - Style1 3 4 12" xfId="3376"/>
    <cellStyle name="Normal - Style1 3 4 13" xfId="3377"/>
    <cellStyle name="Normal - Style1 3 4 14" xfId="3378"/>
    <cellStyle name="Normal - Style1 3 4 15" xfId="3379"/>
    <cellStyle name="Normal - Style1 3 4 16" xfId="3380"/>
    <cellStyle name="Normal - Style1 3 4 17" xfId="3381"/>
    <cellStyle name="Normal - Style1 3 4 18" xfId="3382"/>
    <cellStyle name="Normal - Style1 3 4 2" xfId="3383"/>
    <cellStyle name="Normal - Style1 3 4 2 2" xfId="3384"/>
    <cellStyle name="Normal - Style1 3 4 3" xfId="3385"/>
    <cellStyle name="Normal - Style1 3 4 3 2" xfId="3386"/>
    <cellStyle name="Normal - Style1 3 4 4" xfId="3387"/>
    <cellStyle name="Normal - Style1 3 4 4 2" xfId="3388"/>
    <cellStyle name="Normal - Style1 3 4 5" xfId="3389"/>
    <cellStyle name="Normal - Style1 3 4 5 2" xfId="3390"/>
    <cellStyle name="Normal - Style1 3 4 6" xfId="3391"/>
    <cellStyle name="Normal - Style1 3 4 6 2" xfId="3392"/>
    <cellStyle name="Normal - Style1 3 4 7" xfId="3393"/>
    <cellStyle name="Normal - Style1 3 4 7 2" xfId="3394"/>
    <cellStyle name="Normal - Style1 3 4 8" xfId="3395"/>
    <cellStyle name="Normal - Style1 3 4 8 2" xfId="3396"/>
    <cellStyle name="Normal - Style1 3 4 9" xfId="3397"/>
    <cellStyle name="Normal - Style1 3 5" xfId="3398"/>
    <cellStyle name="Normal - Style1 3 5 10" xfId="3399"/>
    <cellStyle name="Normal - Style1 3 5 11" xfId="3400"/>
    <cellStyle name="Normal - Style1 3 5 12" xfId="3401"/>
    <cellStyle name="Normal - Style1 3 5 13" xfId="3402"/>
    <cellStyle name="Normal - Style1 3 5 14" xfId="3403"/>
    <cellStyle name="Normal - Style1 3 5 15" xfId="3404"/>
    <cellStyle name="Normal - Style1 3 5 16" xfId="3405"/>
    <cellStyle name="Normal - Style1 3 5 17" xfId="3406"/>
    <cellStyle name="Normal - Style1 3 5 18" xfId="3407"/>
    <cellStyle name="Normal - Style1 3 5 2" xfId="3408"/>
    <cellStyle name="Normal - Style1 3 5 2 2" xfId="3409"/>
    <cellStyle name="Normal - Style1 3 5 3" xfId="3410"/>
    <cellStyle name="Normal - Style1 3 5 3 2" xfId="3411"/>
    <cellStyle name="Normal - Style1 3 5 4" xfId="3412"/>
    <cellStyle name="Normal - Style1 3 5 4 2" xfId="3413"/>
    <cellStyle name="Normal - Style1 3 5 5" xfId="3414"/>
    <cellStyle name="Normal - Style1 3 5 5 2" xfId="3415"/>
    <cellStyle name="Normal - Style1 3 5 6" xfId="3416"/>
    <cellStyle name="Normal - Style1 3 5 6 2" xfId="3417"/>
    <cellStyle name="Normal - Style1 3 5 7" xfId="3418"/>
    <cellStyle name="Normal - Style1 3 5 7 2" xfId="3419"/>
    <cellStyle name="Normal - Style1 3 5 8" xfId="3420"/>
    <cellStyle name="Normal - Style1 3 5 8 2" xfId="3421"/>
    <cellStyle name="Normal - Style1 3 5 9" xfId="3422"/>
    <cellStyle name="Normal - Style1 3 6" xfId="3423"/>
    <cellStyle name="Normal - Style1 3 6 10" xfId="3424"/>
    <cellStyle name="Normal - Style1 3 6 11" xfId="3425"/>
    <cellStyle name="Normal - Style1 3 6 12" xfId="3426"/>
    <cellStyle name="Normal - Style1 3 6 13" xfId="3427"/>
    <cellStyle name="Normal - Style1 3 6 14" xfId="3428"/>
    <cellStyle name="Normal - Style1 3 6 15" xfId="3429"/>
    <cellStyle name="Normal - Style1 3 6 16" xfId="3430"/>
    <cellStyle name="Normal - Style1 3 6 17" xfId="3431"/>
    <cellStyle name="Normal - Style1 3 6 18" xfId="3432"/>
    <cellStyle name="Normal - Style1 3 6 2" xfId="3433"/>
    <cellStyle name="Normal - Style1 3 6 2 2" xfId="3434"/>
    <cellStyle name="Normal - Style1 3 6 3" xfId="3435"/>
    <cellStyle name="Normal - Style1 3 6 3 2" xfId="3436"/>
    <cellStyle name="Normal - Style1 3 6 4" xfId="3437"/>
    <cellStyle name="Normal - Style1 3 6 4 2" xfId="3438"/>
    <cellStyle name="Normal - Style1 3 6 5" xfId="3439"/>
    <cellStyle name="Normal - Style1 3 6 5 2" xfId="3440"/>
    <cellStyle name="Normal - Style1 3 6 6" xfId="3441"/>
    <cellStyle name="Normal - Style1 3 6 6 2" xfId="3442"/>
    <cellStyle name="Normal - Style1 3 6 7" xfId="3443"/>
    <cellStyle name="Normal - Style1 3 6 7 2" xfId="3444"/>
    <cellStyle name="Normal - Style1 3 6 8" xfId="3445"/>
    <cellStyle name="Normal - Style1 3 6 8 2" xfId="3446"/>
    <cellStyle name="Normal - Style1 3 6 9" xfId="3447"/>
    <cellStyle name="Normal - Style1 3 7" xfId="3448"/>
    <cellStyle name="Normal - Style1 3 7 10" xfId="3449"/>
    <cellStyle name="Normal - Style1 3 7 11" xfId="3450"/>
    <cellStyle name="Normal - Style1 3 7 12" xfId="3451"/>
    <cellStyle name="Normal - Style1 3 7 13" xfId="3452"/>
    <cellStyle name="Normal - Style1 3 7 14" xfId="3453"/>
    <cellStyle name="Normal - Style1 3 7 15" xfId="3454"/>
    <cellStyle name="Normal - Style1 3 7 16" xfId="3455"/>
    <cellStyle name="Normal - Style1 3 7 17" xfId="3456"/>
    <cellStyle name="Normal - Style1 3 7 18" xfId="3457"/>
    <cellStyle name="Normal - Style1 3 7 2" xfId="3458"/>
    <cellStyle name="Normal - Style1 3 7 2 2" xfId="3459"/>
    <cellStyle name="Normal - Style1 3 7 3" xfId="3460"/>
    <cellStyle name="Normal - Style1 3 7 3 2" xfId="3461"/>
    <cellStyle name="Normal - Style1 3 7 4" xfId="3462"/>
    <cellStyle name="Normal - Style1 3 7 4 2" xfId="3463"/>
    <cellStyle name="Normal - Style1 3 7 5" xfId="3464"/>
    <cellStyle name="Normal - Style1 3 7 5 2" xfId="3465"/>
    <cellStyle name="Normal - Style1 3 7 6" xfId="3466"/>
    <cellStyle name="Normal - Style1 3 7 6 2" xfId="3467"/>
    <cellStyle name="Normal - Style1 3 7 7" xfId="3468"/>
    <cellStyle name="Normal - Style1 3 7 7 2" xfId="3469"/>
    <cellStyle name="Normal - Style1 3 7 8" xfId="3470"/>
    <cellStyle name="Normal - Style1 3 7 8 2" xfId="3471"/>
    <cellStyle name="Normal - Style1 3 7 9" xfId="3472"/>
    <cellStyle name="Normal - Style1 3 8" xfId="3473"/>
    <cellStyle name="Normal - Style1 3 8 10" xfId="3474"/>
    <cellStyle name="Normal - Style1 3 8 11" xfId="3475"/>
    <cellStyle name="Normal - Style1 3 8 12" xfId="3476"/>
    <cellStyle name="Normal - Style1 3 8 13" xfId="3477"/>
    <cellStyle name="Normal - Style1 3 8 14" xfId="3478"/>
    <cellStyle name="Normal - Style1 3 8 15" xfId="3479"/>
    <cellStyle name="Normal - Style1 3 8 16" xfId="3480"/>
    <cellStyle name="Normal - Style1 3 8 17" xfId="3481"/>
    <cellStyle name="Normal - Style1 3 8 18" xfId="3482"/>
    <cellStyle name="Normal - Style1 3 8 2" xfId="3483"/>
    <cellStyle name="Normal - Style1 3 8 2 2" xfId="3484"/>
    <cellStyle name="Normal - Style1 3 8 3" xfId="3485"/>
    <cellStyle name="Normal - Style1 3 8 3 2" xfId="3486"/>
    <cellStyle name="Normal - Style1 3 8 4" xfId="3487"/>
    <cellStyle name="Normal - Style1 3 8 4 2" xfId="3488"/>
    <cellStyle name="Normal - Style1 3 8 5" xfId="3489"/>
    <cellStyle name="Normal - Style1 3 8 5 2" xfId="3490"/>
    <cellStyle name="Normal - Style1 3 8 6" xfId="3491"/>
    <cellStyle name="Normal - Style1 3 8 6 2" xfId="3492"/>
    <cellStyle name="Normal - Style1 3 8 7" xfId="3493"/>
    <cellStyle name="Normal - Style1 3 8 7 2" xfId="3494"/>
    <cellStyle name="Normal - Style1 3 8 8" xfId="3495"/>
    <cellStyle name="Normal - Style1 3 8 8 2" xfId="3496"/>
    <cellStyle name="Normal - Style1 3 8 9" xfId="3497"/>
    <cellStyle name="Normal - Style1 3 9" xfId="3498"/>
    <cellStyle name="Normal - Style1 3 9 10" xfId="3499"/>
    <cellStyle name="Normal - Style1 3 9 11" xfId="3500"/>
    <cellStyle name="Normal - Style1 3 9 12" xfId="3501"/>
    <cellStyle name="Normal - Style1 3 9 13" xfId="3502"/>
    <cellStyle name="Normal - Style1 3 9 14" xfId="3503"/>
    <cellStyle name="Normal - Style1 3 9 15" xfId="3504"/>
    <cellStyle name="Normal - Style1 3 9 16" xfId="3505"/>
    <cellStyle name="Normal - Style1 3 9 17" xfId="3506"/>
    <cellStyle name="Normal - Style1 3 9 18" xfId="3507"/>
    <cellStyle name="Normal - Style1 3 9 2" xfId="3508"/>
    <cellStyle name="Normal - Style1 3 9 2 2" xfId="3509"/>
    <cellStyle name="Normal - Style1 3 9 3" xfId="3510"/>
    <cellStyle name="Normal - Style1 3 9 3 2" xfId="3511"/>
    <cellStyle name="Normal - Style1 3 9 4" xfId="3512"/>
    <cellStyle name="Normal - Style1 3 9 4 2" xfId="3513"/>
    <cellStyle name="Normal - Style1 3 9 5" xfId="3514"/>
    <cellStyle name="Normal - Style1 3 9 5 2" xfId="3515"/>
    <cellStyle name="Normal - Style1 3 9 6" xfId="3516"/>
    <cellStyle name="Normal - Style1 3 9 6 2" xfId="3517"/>
    <cellStyle name="Normal - Style1 3 9 7" xfId="3518"/>
    <cellStyle name="Normal - Style1 3 9 7 2" xfId="3519"/>
    <cellStyle name="Normal - Style1 3 9 8" xfId="3520"/>
    <cellStyle name="Normal - Style1 3 9 8 2" xfId="3521"/>
    <cellStyle name="Normal - Style1 3 9 9" xfId="3522"/>
    <cellStyle name="Normal - Style1 3_Achampally-Gattubuthkur-Ganga-CRR" xfId="3523"/>
    <cellStyle name="Normal - Style1 4" xfId="3524"/>
    <cellStyle name="Normal - Style1 4 2" xfId="3525"/>
    <cellStyle name="Normal - Style1 5" xfId="3526"/>
    <cellStyle name="Normal - Style1 5 2" xfId="3527"/>
    <cellStyle name="Normal - Style1 6" xfId="3528"/>
    <cellStyle name="Normal - Style1 6 2" xfId="3529"/>
    <cellStyle name="Normal - Style1 6 3" xfId="3530"/>
    <cellStyle name="Normal - Style1 7" xfId="3531"/>
    <cellStyle name="Normal - Style1 7 2" xfId="3532"/>
    <cellStyle name="Normal - Style1 7 3" xfId="3533"/>
    <cellStyle name="Normal - Style1 8" xfId="3534"/>
    <cellStyle name="Normal - Style1 8 2" xfId="3535"/>
    <cellStyle name="Normal - Style1 8 3" xfId="3536"/>
    <cellStyle name="Normal - Style1 9" xfId="3537"/>
    <cellStyle name="Normal - Style1 9 2" xfId="3538"/>
    <cellStyle name="Normal - Style1 9 3" xfId="3539"/>
    <cellStyle name="Normal - Style1_1_Pattapupalem_road estt-NCRMP" xfId="3540"/>
    <cellStyle name="Normal 10" xfId="3541"/>
    <cellStyle name="Normal 10 10" xfId="3542"/>
    <cellStyle name="Normal 10 10 10" xfId="3543"/>
    <cellStyle name="Normal 10 10 11" xfId="3544"/>
    <cellStyle name="Normal 10 10 12" xfId="3545"/>
    <cellStyle name="Normal 10 10 13" xfId="3546"/>
    <cellStyle name="Normal 10 10 14" xfId="3547"/>
    <cellStyle name="Normal 10 10 15" xfId="3548"/>
    <cellStyle name="Normal 10 10 16" xfId="3549"/>
    <cellStyle name="Normal 10 10 17" xfId="3550"/>
    <cellStyle name="Normal 10 10 18" xfId="3551"/>
    <cellStyle name="Normal 10 10 2" xfId="3552"/>
    <cellStyle name="Normal 10 10 2 2" xfId="3553"/>
    <cellStyle name="Normal 10 10 3" xfId="3554"/>
    <cellStyle name="Normal 10 10 3 2" xfId="3555"/>
    <cellStyle name="Normal 10 10 4" xfId="3556"/>
    <cellStyle name="Normal 10 10 4 2" xfId="3557"/>
    <cellStyle name="Normal 10 10 5" xfId="3558"/>
    <cellStyle name="Normal 10 10 5 2" xfId="3559"/>
    <cellStyle name="Normal 10 10 6" xfId="3560"/>
    <cellStyle name="Normal 10 10 6 2" xfId="3561"/>
    <cellStyle name="Normal 10 10 7" xfId="3562"/>
    <cellStyle name="Normal 10 10 7 2" xfId="3563"/>
    <cellStyle name="Normal 10 10 8" xfId="3564"/>
    <cellStyle name="Normal 10 10 8 2" xfId="3565"/>
    <cellStyle name="Normal 10 10 9" xfId="3566"/>
    <cellStyle name="Normal 10 11" xfId="3567"/>
    <cellStyle name="Normal 10 11 10" xfId="3568"/>
    <cellStyle name="Normal 10 11 11" xfId="3569"/>
    <cellStyle name="Normal 10 11 12" xfId="3570"/>
    <cellStyle name="Normal 10 11 13" xfId="3571"/>
    <cellStyle name="Normal 10 11 14" xfId="3572"/>
    <cellStyle name="Normal 10 11 15" xfId="3573"/>
    <cellStyle name="Normal 10 11 16" xfId="3574"/>
    <cellStyle name="Normal 10 11 17" xfId="3575"/>
    <cellStyle name="Normal 10 11 18" xfId="3576"/>
    <cellStyle name="Normal 10 11 2" xfId="3577"/>
    <cellStyle name="Normal 10 11 2 2" xfId="3578"/>
    <cellStyle name="Normal 10 11 3" xfId="3579"/>
    <cellStyle name="Normal 10 11 3 2" xfId="3580"/>
    <cellStyle name="Normal 10 11 4" xfId="3581"/>
    <cellStyle name="Normal 10 11 4 2" xfId="3582"/>
    <cellStyle name="Normal 10 11 5" xfId="3583"/>
    <cellStyle name="Normal 10 11 5 2" xfId="3584"/>
    <cellStyle name="Normal 10 11 6" xfId="3585"/>
    <cellStyle name="Normal 10 11 6 2" xfId="3586"/>
    <cellStyle name="Normal 10 11 7" xfId="3587"/>
    <cellStyle name="Normal 10 11 7 2" xfId="3588"/>
    <cellStyle name="Normal 10 11 8" xfId="3589"/>
    <cellStyle name="Normal 10 11 8 2" xfId="3590"/>
    <cellStyle name="Normal 10 11 9" xfId="3591"/>
    <cellStyle name="Normal 10 12" xfId="3592"/>
    <cellStyle name="Normal 10 12 10" xfId="3593"/>
    <cellStyle name="Normal 10 12 11" xfId="3594"/>
    <cellStyle name="Normal 10 12 12" xfId="3595"/>
    <cellStyle name="Normal 10 12 13" xfId="3596"/>
    <cellStyle name="Normal 10 12 14" xfId="3597"/>
    <cellStyle name="Normal 10 12 15" xfId="3598"/>
    <cellStyle name="Normal 10 12 16" xfId="3599"/>
    <cellStyle name="Normal 10 12 17" xfId="3600"/>
    <cellStyle name="Normal 10 12 18" xfId="3601"/>
    <cellStyle name="Normal 10 12 2" xfId="3602"/>
    <cellStyle name="Normal 10 12 2 2" xfId="3603"/>
    <cellStyle name="Normal 10 12 3" xfId="3604"/>
    <cellStyle name="Normal 10 12 3 2" xfId="3605"/>
    <cellStyle name="Normal 10 12 4" xfId="3606"/>
    <cellStyle name="Normal 10 12 4 2" xfId="3607"/>
    <cellStyle name="Normal 10 12 5" xfId="3608"/>
    <cellStyle name="Normal 10 12 5 2" xfId="3609"/>
    <cellStyle name="Normal 10 12 6" xfId="3610"/>
    <cellStyle name="Normal 10 12 6 2" xfId="3611"/>
    <cellStyle name="Normal 10 12 7" xfId="3612"/>
    <cellStyle name="Normal 10 12 7 2" xfId="3613"/>
    <cellStyle name="Normal 10 12 8" xfId="3614"/>
    <cellStyle name="Normal 10 12 8 2" xfId="3615"/>
    <cellStyle name="Normal 10 12 9" xfId="3616"/>
    <cellStyle name="Normal 10 13" xfId="3617"/>
    <cellStyle name="Normal 10 13 2" xfId="3618"/>
    <cellStyle name="Normal 10 14" xfId="3619"/>
    <cellStyle name="Normal 10 14 2" xfId="3620"/>
    <cellStyle name="Normal 10 15" xfId="3621"/>
    <cellStyle name="Normal 10 15 2" xfId="3622"/>
    <cellStyle name="Normal 10 16" xfId="3623"/>
    <cellStyle name="Normal 10 16 2" xfId="3624"/>
    <cellStyle name="Normal 10 17" xfId="3625"/>
    <cellStyle name="Normal 10 17 2" xfId="3626"/>
    <cellStyle name="Normal 10 18" xfId="3627"/>
    <cellStyle name="Normal 10 18 2" xfId="3628"/>
    <cellStyle name="Normal 10 19" xfId="3629"/>
    <cellStyle name="Normal 10 19 2" xfId="3630"/>
    <cellStyle name="Normal 10 2" xfId="3631"/>
    <cellStyle name="Normal 10 2 10" xfId="3632"/>
    <cellStyle name="Normal 10 2 10 10" xfId="3633"/>
    <cellStyle name="Normal 10 2 10 11" xfId="3634"/>
    <cellStyle name="Normal 10 2 10 12" xfId="3635"/>
    <cellStyle name="Normal 10 2 10 13" xfId="3636"/>
    <cellStyle name="Normal 10 2 10 14" xfId="3637"/>
    <cellStyle name="Normal 10 2 10 15" xfId="3638"/>
    <cellStyle name="Normal 10 2 10 16" xfId="3639"/>
    <cellStyle name="Normal 10 2 10 17" xfId="3640"/>
    <cellStyle name="Normal 10 2 10 18" xfId="3641"/>
    <cellStyle name="Normal 10 2 10 2" xfId="3642"/>
    <cellStyle name="Normal 10 2 10 2 2" xfId="3643"/>
    <cellStyle name="Normal 10 2 10 3" xfId="3644"/>
    <cellStyle name="Normal 10 2 10 3 2" xfId="3645"/>
    <cellStyle name="Normal 10 2 10 4" xfId="3646"/>
    <cellStyle name="Normal 10 2 10 4 2" xfId="3647"/>
    <cellStyle name="Normal 10 2 10 5" xfId="3648"/>
    <cellStyle name="Normal 10 2 10 5 2" xfId="3649"/>
    <cellStyle name="Normal 10 2 10 6" xfId="3650"/>
    <cellStyle name="Normal 10 2 10 6 2" xfId="3651"/>
    <cellStyle name="Normal 10 2 10 7" xfId="3652"/>
    <cellStyle name="Normal 10 2 10 7 2" xfId="3653"/>
    <cellStyle name="Normal 10 2 10 8" xfId="3654"/>
    <cellStyle name="Normal 10 2 10 8 2" xfId="3655"/>
    <cellStyle name="Normal 10 2 10 9" xfId="3656"/>
    <cellStyle name="Normal 10 2 11" xfId="3657"/>
    <cellStyle name="Normal 10 2 11 2" xfId="3658"/>
    <cellStyle name="Normal 10 2 12" xfId="3659"/>
    <cellStyle name="Normal 10 2 12 2" xfId="3660"/>
    <cellStyle name="Normal 10 2 13" xfId="3661"/>
    <cellStyle name="Normal 10 2 13 2" xfId="3662"/>
    <cellStyle name="Normal 10 2 14" xfId="3663"/>
    <cellStyle name="Normal 10 2 14 2" xfId="3664"/>
    <cellStyle name="Normal 10 2 15" xfId="3665"/>
    <cellStyle name="Normal 10 2 15 2" xfId="3666"/>
    <cellStyle name="Normal 10 2 16" xfId="3667"/>
    <cellStyle name="Normal 10 2 16 2" xfId="3668"/>
    <cellStyle name="Normal 10 2 17" xfId="3669"/>
    <cellStyle name="Normal 10 2 17 2" xfId="3670"/>
    <cellStyle name="Normal 10 2 18" xfId="3671"/>
    <cellStyle name="Normal 10 2 19" xfId="3672"/>
    <cellStyle name="Normal 10 2 2" xfId="3673"/>
    <cellStyle name="Normal 10 2 2 10" xfId="3674"/>
    <cellStyle name="Normal 10 2 2 11" xfId="3675"/>
    <cellStyle name="Normal 10 2 2 12" xfId="3676"/>
    <cellStyle name="Normal 10 2 2 13" xfId="3677"/>
    <cellStyle name="Normal 10 2 2 14" xfId="3678"/>
    <cellStyle name="Normal 10 2 2 15" xfId="3679"/>
    <cellStyle name="Normal 10 2 2 16" xfId="3680"/>
    <cellStyle name="Normal 10 2 2 17" xfId="3681"/>
    <cellStyle name="Normal 10 2 2 18" xfId="3682"/>
    <cellStyle name="Normal 10 2 2 2" xfId="3683"/>
    <cellStyle name="Normal 10 2 2 2 2" xfId="3684"/>
    <cellStyle name="Normal 10 2 2 3" xfId="3685"/>
    <cellStyle name="Normal 10 2 2 3 2" xfId="3686"/>
    <cellStyle name="Normal 10 2 2 4" xfId="3687"/>
    <cellStyle name="Normal 10 2 2 4 2" xfId="3688"/>
    <cellStyle name="Normal 10 2 2 5" xfId="3689"/>
    <cellStyle name="Normal 10 2 2 5 2" xfId="3690"/>
    <cellStyle name="Normal 10 2 2 6" xfId="3691"/>
    <cellStyle name="Normal 10 2 2 6 2" xfId="3692"/>
    <cellStyle name="Normal 10 2 2 7" xfId="3693"/>
    <cellStyle name="Normal 10 2 2 7 2" xfId="3694"/>
    <cellStyle name="Normal 10 2 2 8" xfId="3695"/>
    <cellStyle name="Normal 10 2 2 8 2" xfId="3696"/>
    <cellStyle name="Normal 10 2 2 9" xfId="3697"/>
    <cellStyle name="Normal 10 2 20" xfId="3698"/>
    <cellStyle name="Normal 10 2 21" xfId="3699"/>
    <cellStyle name="Normal 10 2 22" xfId="3700"/>
    <cellStyle name="Normal 10 2 23" xfId="3701"/>
    <cellStyle name="Normal 10 2 24" xfId="3702"/>
    <cellStyle name="Normal 10 2 25" xfId="3703"/>
    <cellStyle name="Normal 10 2 26" xfId="3704"/>
    <cellStyle name="Normal 10 2 27" xfId="3705"/>
    <cellStyle name="Normal 10 2 3" xfId="3706"/>
    <cellStyle name="Normal 10 2 3 10" xfId="3707"/>
    <cellStyle name="Normal 10 2 3 11" xfId="3708"/>
    <cellStyle name="Normal 10 2 3 12" xfId="3709"/>
    <cellStyle name="Normal 10 2 3 13" xfId="3710"/>
    <cellStyle name="Normal 10 2 3 14" xfId="3711"/>
    <cellStyle name="Normal 10 2 3 15" xfId="3712"/>
    <cellStyle name="Normal 10 2 3 16" xfId="3713"/>
    <cellStyle name="Normal 10 2 3 17" xfId="3714"/>
    <cellStyle name="Normal 10 2 3 18" xfId="3715"/>
    <cellStyle name="Normal 10 2 3 2" xfId="3716"/>
    <cellStyle name="Normal 10 2 3 2 2" xfId="3717"/>
    <cellStyle name="Normal 10 2 3 3" xfId="3718"/>
    <cellStyle name="Normal 10 2 3 3 2" xfId="3719"/>
    <cellStyle name="Normal 10 2 3 4" xfId="3720"/>
    <cellStyle name="Normal 10 2 3 4 2" xfId="3721"/>
    <cellStyle name="Normal 10 2 3 5" xfId="3722"/>
    <cellStyle name="Normal 10 2 3 5 2" xfId="3723"/>
    <cellStyle name="Normal 10 2 3 6" xfId="3724"/>
    <cellStyle name="Normal 10 2 3 6 2" xfId="3725"/>
    <cellStyle name="Normal 10 2 3 7" xfId="3726"/>
    <cellStyle name="Normal 10 2 3 7 2" xfId="3727"/>
    <cellStyle name="Normal 10 2 3 8" xfId="3728"/>
    <cellStyle name="Normal 10 2 3 8 2" xfId="3729"/>
    <cellStyle name="Normal 10 2 3 9" xfId="3730"/>
    <cellStyle name="Normal 10 2 4" xfId="3731"/>
    <cellStyle name="Normal 10 2 4 10" xfId="3732"/>
    <cellStyle name="Normal 10 2 4 11" xfId="3733"/>
    <cellStyle name="Normal 10 2 4 12" xfId="3734"/>
    <cellStyle name="Normal 10 2 4 13" xfId="3735"/>
    <cellStyle name="Normal 10 2 4 14" xfId="3736"/>
    <cellStyle name="Normal 10 2 4 15" xfId="3737"/>
    <cellStyle name="Normal 10 2 4 16" xfId="3738"/>
    <cellStyle name="Normal 10 2 4 17" xfId="3739"/>
    <cellStyle name="Normal 10 2 4 18" xfId="3740"/>
    <cellStyle name="Normal 10 2 4 2" xfId="3741"/>
    <cellStyle name="Normal 10 2 4 2 2" xfId="3742"/>
    <cellStyle name="Normal 10 2 4 3" xfId="3743"/>
    <cellStyle name="Normal 10 2 4 3 2" xfId="3744"/>
    <cellStyle name="Normal 10 2 4 4" xfId="3745"/>
    <cellStyle name="Normal 10 2 4 4 2" xfId="3746"/>
    <cellStyle name="Normal 10 2 4 5" xfId="3747"/>
    <cellStyle name="Normal 10 2 4 5 2" xfId="3748"/>
    <cellStyle name="Normal 10 2 4 6" xfId="3749"/>
    <cellStyle name="Normal 10 2 4 6 2" xfId="3750"/>
    <cellStyle name="Normal 10 2 4 7" xfId="3751"/>
    <cellStyle name="Normal 10 2 4 7 2" xfId="3752"/>
    <cellStyle name="Normal 10 2 4 8" xfId="3753"/>
    <cellStyle name="Normal 10 2 4 8 2" xfId="3754"/>
    <cellStyle name="Normal 10 2 4 9" xfId="3755"/>
    <cellStyle name="Normal 10 2 5" xfId="3756"/>
    <cellStyle name="Normal 10 2 5 10" xfId="3757"/>
    <cellStyle name="Normal 10 2 5 11" xfId="3758"/>
    <cellStyle name="Normal 10 2 5 12" xfId="3759"/>
    <cellStyle name="Normal 10 2 5 13" xfId="3760"/>
    <cellStyle name="Normal 10 2 5 14" xfId="3761"/>
    <cellStyle name="Normal 10 2 5 15" xfId="3762"/>
    <cellStyle name="Normal 10 2 5 16" xfId="3763"/>
    <cellStyle name="Normal 10 2 5 17" xfId="3764"/>
    <cellStyle name="Normal 10 2 5 18" xfId="3765"/>
    <cellStyle name="Normal 10 2 5 2" xfId="3766"/>
    <cellStyle name="Normal 10 2 5 2 2" xfId="3767"/>
    <cellStyle name="Normal 10 2 5 3" xfId="3768"/>
    <cellStyle name="Normal 10 2 5 3 2" xfId="3769"/>
    <cellStyle name="Normal 10 2 5 4" xfId="3770"/>
    <cellStyle name="Normal 10 2 5 4 2" xfId="3771"/>
    <cellStyle name="Normal 10 2 5 5" xfId="3772"/>
    <cellStyle name="Normal 10 2 5 5 2" xfId="3773"/>
    <cellStyle name="Normal 10 2 5 6" xfId="3774"/>
    <cellStyle name="Normal 10 2 5 6 2" xfId="3775"/>
    <cellStyle name="Normal 10 2 5 7" xfId="3776"/>
    <cellStyle name="Normal 10 2 5 7 2" xfId="3777"/>
    <cellStyle name="Normal 10 2 5 8" xfId="3778"/>
    <cellStyle name="Normal 10 2 5 8 2" xfId="3779"/>
    <cellStyle name="Normal 10 2 5 9" xfId="3780"/>
    <cellStyle name="Normal 10 2 6" xfId="3781"/>
    <cellStyle name="Normal 10 2 6 10" xfId="3782"/>
    <cellStyle name="Normal 10 2 6 11" xfId="3783"/>
    <cellStyle name="Normal 10 2 6 12" xfId="3784"/>
    <cellStyle name="Normal 10 2 6 13" xfId="3785"/>
    <cellStyle name="Normal 10 2 6 14" xfId="3786"/>
    <cellStyle name="Normal 10 2 6 15" xfId="3787"/>
    <cellStyle name="Normal 10 2 6 16" xfId="3788"/>
    <cellStyle name="Normal 10 2 6 17" xfId="3789"/>
    <cellStyle name="Normal 10 2 6 18" xfId="3790"/>
    <cellStyle name="Normal 10 2 6 2" xfId="3791"/>
    <cellStyle name="Normal 10 2 6 2 2" xfId="3792"/>
    <cellStyle name="Normal 10 2 6 3" xfId="3793"/>
    <cellStyle name="Normal 10 2 6 3 2" xfId="3794"/>
    <cellStyle name="Normal 10 2 6 4" xfId="3795"/>
    <cellStyle name="Normal 10 2 6 4 2" xfId="3796"/>
    <cellStyle name="Normal 10 2 6 5" xfId="3797"/>
    <cellStyle name="Normal 10 2 6 5 2" xfId="3798"/>
    <cellStyle name="Normal 10 2 6 6" xfId="3799"/>
    <cellStyle name="Normal 10 2 6 6 2" xfId="3800"/>
    <cellStyle name="Normal 10 2 6 7" xfId="3801"/>
    <cellStyle name="Normal 10 2 6 7 2" xfId="3802"/>
    <cellStyle name="Normal 10 2 6 8" xfId="3803"/>
    <cellStyle name="Normal 10 2 6 8 2" xfId="3804"/>
    <cellStyle name="Normal 10 2 6 9" xfId="3805"/>
    <cellStyle name="Normal 10 2 7" xfId="3806"/>
    <cellStyle name="Normal 10 2 7 10" xfId="3807"/>
    <cellStyle name="Normal 10 2 7 11" xfId="3808"/>
    <cellStyle name="Normal 10 2 7 12" xfId="3809"/>
    <cellStyle name="Normal 10 2 7 13" xfId="3810"/>
    <cellStyle name="Normal 10 2 7 14" xfId="3811"/>
    <cellStyle name="Normal 10 2 7 15" xfId="3812"/>
    <cellStyle name="Normal 10 2 7 16" xfId="3813"/>
    <cellStyle name="Normal 10 2 7 17" xfId="3814"/>
    <cellStyle name="Normal 10 2 7 18" xfId="3815"/>
    <cellStyle name="Normal 10 2 7 2" xfId="3816"/>
    <cellStyle name="Normal 10 2 7 2 2" xfId="3817"/>
    <cellStyle name="Normal 10 2 7 3" xfId="3818"/>
    <cellStyle name="Normal 10 2 7 3 2" xfId="3819"/>
    <cellStyle name="Normal 10 2 7 4" xfId="3820"/>
    <cellStyle name="Normal 10 2 7 4 2" xfId="3821"/>
    <cellStyle name="Normal 10 2 7 5" xfId="3822"/>
    <cellStyle name="Normal 10 2 7 5 2" xfId="3823"/>
    <cellStyle name="Normal 10 2 7 6" xfId="3824"/>
    <cellStyle name="Normal 10 2 7 6 2" xfId="3825"/>
    <cellStyle name="Normal 10 2 7 7" xfId="3826"/>
    <cellStyle name="Normal 10 2 7 7 2" xfId="3827"/>
    <cellStyle name="Normal 10 2 7 8" xfId="3828"/>
    <cellStyle name="Normal 10 2 7 8 2" xfId="3829"/>
    <cellStyle name="Normal 10 2 7 9" xfId="3830"/>
    <cellStyle name="Normal 10 2 8" xfId="3831"/>
    <cellStyle name="Normal 10 2 8 10" xfId="3832"/>
    <cellStyle name="Normal 10 2 8 11" xfId="3833"/>
    <cellStyle name="Normal 10 2 8 12" xfId="3834"/>
    <cellStyle name="Normal 10 2 8 13" xfId="3835"/>
    <cellStyle name="Normal 10 2 8 14" xfId="3836"/>
    <cellStyle name="Normal 10 2 8 15" xfId="3837"/>
    <cellStyle name="Normal 10 2 8 16" xfId="3838"/>
    <cellStyle name="Normal 10 2 8 17" xfId="3839"/>
    <cellStyle name="Normal 10 2 8 18" xfId="3840"/>
    <cellStyle name="Normal 10 2 8 2" xfId="3841"/>
    <cellStyle name="Normal 10 2 8 2 2" xfId="3842"/>
    <cellStyle name="Normal 10 2 8 3" xfId="3843"/>
    <cellStyle name="Normal 10 2 8 3 2" xfId="3844"/>
    <cellStyle name="Normal 10 2 8 4" xfId="3845"/>
    <cellStyle name="Normal 10 2 8 4 2" xfId="3846"/>
    <cellStyle name="Normal 10 2 8 5" xfId="3847"/>
    <cellStyle name="Normal 10 2 8 5 2" xfId="3848"/>
    <cellStyle name="Normal 10 2 8 6" xfId="3849"/>
    <cellStyle name="Normal 10 2 8 6 2" xfId="3850"/>
    <cellStyle name="Normal 10 2 8 7" xfId="3851"/>
    <cellStyle name="Normal 10 2 8 7 2" xfId="3852"/>
    <cellStyle name="Normal 10 2 8 8" xfId="3853"/>
    <cellStyle name="Normal 10 2 8 8 2" xfId="3854"/>
    <cellStyle name="Normal 10 2 8 9" xfId="3855"/>
    <cellStyle name="Normal 10 2 9" xfId="3856"/>
    <cellStyle name="Normal 10 2 9 10" xfId="3857"/>
    <cellStyle name="Normal 10 2 9 11" xfId="3858"/>
    <cellStyle name="Normal 10 2 9 12" xfId="3859"/>
    <cellStyle name="Normal 10 2 9 13" xfId="3860"/>
    <cellStyle name="Normal 10 2 9 14" xfId="3861"/>
    <cellStyle name="Normal 10 2 9 15" xfId="3862"/>
    <cellStyle name="Normal 10 2 9 16" xfId="3863"/>
    <cellStyle name="Normal 10 2 9 17" xfId="3864"/>
    <cellStyle name="Normal 10 2 9 18" xfId="3865"/>
    <cellStyle name="Normal 10 2 9 2" xfId="3866"/>
    <cellStyle name="Normal 10 2 9 2 2" xfId="3867"/>
    <cellStyle name="Normal 10 2 9 3" xfId="3868"/>
    <cellStyle name="Normal 10 2 9 3 2" xfId="3869"/>
    <cellStyle name="Normal 10 2 9 4" xfId="3870"/>
    <cellStyle name="Normal 10 2 9 4 2" xfId="3871"/>
    <cellStyle name="Normal 10 2 9 5" xfId="3872"/>
    <cellStyle name="Normal 10 2 9 5 2" xfId="3873"/>
    <cellStyle name="Normal 10 2 9 6" xfId="3874"/>
    <cellStyle name="Normal 10 2 9 6 2" xfId="3875"/>
    <cellStyle name="Normal 10 2 9 7" xfId="3876"/>
    <cellStyle name="Normal 10 2 9 7 2" xfId="3877"/>
    <cellStyle name="Normal 10 2 9 8" xfId="3878"/>
    <cellStyle name="Normal 10 2 9 8 2" xfId="3879"/>
    <cellStyle name="Normal 10 2 9 9" xfId="3880"/>
    <cellStyle name="Normal 10 2_Achampally-Gattubuthkur-Ganga-CRR" xfId="3881"/>
    <cellStyle name="Normal 10 20" xfId="3882"/>
    <cellStyle name="Normal 10 21" xfId="3883"/>
    <cellStyle name="Normal 10 22" xfId="3884"/>
    <cellStyle name="Normal 10 23" xfId="3885"/>
    <cellStyle name="Normal 10 24" xfId="3886"/>
    <cellStyle name="Normal 10 25" xfId="3887"/>
    <cellStyle name="Normal 10 26" xfId="3888"/>
    <cellStyle name="Normal 10 27" xfId="3889"/>
    <cellStyle name="Normal 10 28" xfId="3890"/>
    <cellStyle name="Normal 10 29" xfId="3891"/>
    <cellStyle name="Normal 10 3" xfId="3892"/>
    <cellStyle name="Normal 10 3 2" xfId="3893"/>
    <cellStyle name="Normal 10 3 2 2" xfId="3894"/>
    <cellStyle name="Normal 10 3 3" xfId="3895"/>
    <cellStyle name="Normal 10 3 3 2" xfId="3896"/>
    <cellStyle name="Normal 10 3 4" xfId="3897"/>
    <cellStyle name="Normal 10 4" xfId="3898"/>
    <cellStyle name="Normal 10 4 10" xfId="3899"/>
    <cellStyle name="Normal 10 4 11" xfId="3900"/>
    <cellStyle name="Normal 10 4 12" xfId="3901"/>
    <cellStyle name="Normal 10 4 13" xfId="3902"/>
    <cellStyle name="Normal 10 4 14" xfId="3903"/>
    <cellStyle name="Normal 10 4 15" xfId="3904"/>
    <cellStyle name="Normal 10 4 16" xfId="3905"/>
    <cellStyle name="Normal 10 4 17" xfId="3906"/>
    <cellStyle name="Normal 10 4 18" xfId="3907"/>
    <cellStyle name="Normal 10 4 2" xfId="3908"/>
    <cellStyle name="Normal 10 4 2 2" xfId="3909"/>
    <cellStyle name="Normal 10 4 3" xfId="3910"/>
    <cellStyle name="Normal 10 4 3 2" xfId="3911"/>
    <cellStyle name="Normal 10 4 4" xfId="3912"/>
    <cellStyle name="Normal 10 4 4 2" xfId="3913"/>
    <cellStyle name="Normal 10 4 5" xfId="3914"/>
    <cellStyle name="Normal 10 4 5 2" xfId="3915"/>
    <cellStyle name="Normal 10 4 6" xfId="3916"/>
    <cellStyle name="Normal 10 4 6 2" xfId="3917"/>
    <cellStyle name="Normal 10 4 7" xfId="3918"/>
    <cellStyle name="Normal 10 4 7 2" xfId="3919"/>
    <cellStyle name="Normal 10 4 8" xfId="3920"/>
    <cellStyle name="Normal 10 4 8 2" xfId="3921"/>
    <cellStyle name="Normal 10 4 9" xfId="3922"/>
    <cellStyle name="Normal 10 5" xfId="3923"/>
    <cellStyle name="Normal 10 5 10" xfId="3924"/>
    <cellStyle name="Normal 10 5 11" xfId="3925"/>
    <cellStyle name="Normal 10 5 12" xfId="3926"/>
    <cellStyle name="Normal 10 5 13" xfId="3927"/>
    <cellStyle name="Normal 10 5 14" xfId="3928"/>
    <cellStyle name="Normal 10 5 15" xfId="3929"/>
    <cellStyle name="Normal 10 5 16" xfId="3930"/>
    <cellStyle name="Normal 10 5 17" xfId="3931"/>
    <cellStyle name="Normal 10 5 18" xfId="3932"/>
    <cellStyle name="Normal 10 5 2" xfId="3933"/>
    <cellStyle name="Normal 10 5 2 2" xfId="3934"/>
    <cellStyle name="Normal 10 5 3" xfId="3935"/>
    <cellStyle name="Normal 10 5 3 2" xfId="3936"/>
    <cellStyle name="Normal 10 5 4" xfId="3937"/>
    <cellStyle name="Normal 10 5 4 2" xfId="3938"/>
    <cellStyle name="Normal 10 5 5" xfId="3939"/>
    <cellStyle name="Normal 10 5 5 2" xfId="3940"/>
    <cellStyle name="Normal 10 5 6" xfId="3941"/>
    <cellStyle name="Normal 10 5 6 2" xfId="3942"/>
    <cellStyle name="Normal 10 5 7" xfId="3943"/>
    <cellStyle name="Normal 10 5 7 2" xfId="3944"/>
    <cellStyle name="Normal 10 5 8" xfId="3945"/>
    <cellStyle name="Normal 10 5 8 2" xfId="3946"/>
    <cellStyle name="Normal 10 5 9" xfId="3947"/>
    <cellStyle name="Normal 10 6" xfId="3948"/>
    <cellStyle name="Normal 10 6 10" xfId="3949"/>
    <cellStyle name="Normal 10 6 11" xfId="3950"/>
    <cellStyle name="Normal 10 6 12" xfId="3951"/>
    <cellStyle name="Normal 10 6 13" xfId="3952"/>
    <cellStyle name="Normal 10 6 14" xfId="3953"/>
    <cellStyle name="Normal 10 6 15" xfId="3954"/>
    <cellStyle name="Normal 10 6 16" xfId="3955"/>
    <cellStyle name="Normal 10 6 17" xfId="3956"/>
    <cellStyle name="Normal 10 6 18" xfId="3957"/>
    <cellStyle name="Normal 10 6 2" xfId="3958"/>
    <cellStyle name="Normal 10 6 2 2" xfId="3959"/>
    <cellStyle name="Normal 10 6 3" xfId="3960"/>
    <cellStyle name="Normal 10 6 3 2" xfId="3961"/>
    <cellStyle name="Normal 10 6 4" xfId="3962"/>
    <cellStyle name="Normal 10 6 4 2" xfId="3963"/>
    <cellStyle name="Normal 10 6 5" xfId="3964"/>
    <cellStyle name="Normal 10 6 5 2" xfId="3965"/>
    <cellStyle name="Normal 10 6 6" xfId="3966"/>
    <cellStyle name="Normal 10 6 6 2" xfId="3967"/>
    <cellStyle name="Normal 10 6 7" xfId="3968"/>
    <cellStyle name="Normal 10 6 7 2" xfId="3969"/>
    <cellStyle name="Normal 10 6 8" xfId="3970"/>
    <cellStyle name="Normal 10 6 8 2" xfId="3971"/>
    <cellStyle name="Normal 10 6 9" xfId="3972"/>
    <cellStyle name="Normal 10 7" xfId="3973"/>
    <cellStyle name="Normal 10 7 10" xfId="3974"/>
    <cellStyle name="Normal 10 7 11" xfId="3975"/>
    <cellStyle name="Normal 10 7 12" xfId="3976"/>
    <cellStyle name="Normal 10 7 13" xfId="3977"/>
    <cellStyle name="Normal 10 7 14" xfId="3978"/>
    <cellStyle name="Normal 10 7 15" xfId="3979"/>
    <cellStyle name="Normal 10 7 16" xfId="3980"/>
    <cellStyle name="Normal 10 7 17" xfId="3981"/>
    <cellStyle name="Normal 10 7 18" xfId="3982"/>
    <cellStyle name="Normal 10 7 2" xfId="3983"/>
    <cellStyle name="Normal 10 7 2 2" xfId="3984"/>
    <cellStyle name="Normal 10 7 3" xfId="3985"/>
    <cellStyle name="Normal 10 7 3 2" xfId="3986"/>
    <cellStyle name="Normal 10 7 4" xfId="3987"/>
    <cellStyle name="Normal 10 7 4 2" xfId="3988"/>
    <cellStyle name="Normal 10 7 5" xfId="3989"/>
    <cellStyle name="Normal 10 7 5 2" xfId="3990"/>
    <cellStyle name="Normal 10 7 6" xfId="3991"/>
    <cellStyle name="Normal 10 7 6 2" xfId="3992"/>
    <cellStyle name="Normal 10 7 7" xfId="3993"/>
    <cellStyle name="Normal 10 7 7 2" xfId="3994"/>
    <cellStyle name="Normal 10 7 8" xfId="3995"/>
    <cellStyle name="Normal 10 7 8 2" xfId="3996"/>
    <cellStyle name="Normal 10 7 9" xfId="3997"/>
    <cellStyle name="Normal 10 8" xfId="3998"/>
    <cellStyle name="Normal 10 8 10" xfId="3999"/>
    <cellStyle name="Normal 10 8 11" xfId="4000"/>
    <cellStyle name="Normal 10 8 12" xfId="4001"/>
    <cellStyle name="Normal 10 8 13" xfId="4002"/>
    <cellStyle name="Normal 10 8 14" xfId="4003"/>
    <cellStyle name="Normal 10 8 15" xfId="4004"/>
    <cellStyle name="Normal 10 8 16" xfId="4005"/>
    <cellStyle name="Normal 10 8 17" xfId="4006"/>
    <cellStyle name="Normal 10 8 18" xfId="4007"/>
    <cellStyle name="Normal 10 8 2" xfId="4008"/>
    <cellStyle name="Normal 10 8 2 2" xfId="4009"/>
    <cellStyle name="Normal 10 8 3" xfId="4010"/>
    <cellStyle name="Normal 10 8 3 2" xfId="4011"/>
    <cellStyle name="Normal 10 8 4" xfId="4012"/>
    <cellStyle name="Normal 10 8 4 2" xfId="4013"/>
    <cellStyle name="Normal 10 8 5" xfId="4014"/>
    <cellStyle name="Normal 10 8 5 2" xfId="4015"/>
    <cellStyle name="Normal 10 8 6" xfId="4016"/>
    <cellStyle name="Normal 10 8 6 2" xfId="4017"/>
    <cellStyle name="Normal 10 8 7" xfId="4018"/>
    <cellStyle name="Normal 10 8 7 2" xfId="4019"/>
    <cellStyle name="Normal 10 8 8" xfId="4020"/>
    <cellStyle name="Normal 10 8 8 2" xfId="4021"/>
    <cellStyle name="Normal 10 8 9" xfId="4022"/>
    <cellStyle name="Normal 10 9" xfId="4023"/>
    <cellStyle name="Normal 10 9 10" xfId="4024"/>
    <cellStyle name="Normal 10 9 11" xfId="4025"/>
    <cellStyle name="Normal 10 9 12" xfId="4026"/>
    <cellStyle name="Normal 10 9 13" xfId="4027"/>
    <cellStyle name="Normal 10 9 14" xfId="4028"/>
    <cellStyle name="Normal 10 9 15" xfId="4029"/>
    <cellStyle name="Normal 10 9 16" xfId="4030"/>
    <cellStyle name="Normal 10 9 17" xfId="4031"/>
    <cellStyle name="Normal 10 9 18" xfId="4032"/>
    <cellStyle name="Normal 10 9 2" xfId="4033"/>
    <cellStyle name="Normal 10 9 2 2" xfId="4034"/>
    <cellStyle name="Normal 10 9 3" xfId="4035"/>
    <cellStyle name="Normal 10 9 3 2" xfId="4036"/>
    <cellStyle name="Normal 10 9 4" xfId="4037"/>
    <cellStyle name="Normal 10 9 4 2" xfId="4038"/>
    <cellStyle name="Normal 10 9 5" xfId="4039"/>
    <cellStyle name="Normal 10 9 5 2" xfId="4040"/>
    <cellStyle name="Normal 10 9 6" xfId="4041"/>
    <cellStyle name="Normal 10 9 6 2" xfId="4042"/>
    <cellStyle name="Normal 10 9 7" xfId="4043"/>
    <cellStyle name="Normal 10 9 7 2" xfId="4044"/>
    <cellStyle name="Normal 10 9 8" xfId="4045"/>
    <cellStyle name="Normal 10 9 8 2" xfId="4046"/>
    <cellStyle name="Normal 10 9 9" xfId="4047"/>
    <cellStyle name="Normal 10_28 COLUMNS FOR PROPOSAL" xfId="4048"/>
    <cellStyle name="Normal 11" xfId="4049"/>
    <cellStyle name="Normal 11 10" xfId="4050"/>
    <cellStyle name="Normal 11 10 10" xfId="4051"/>
    <cellStyle name="Normal 11 10 11" xfId="4052"/>
    <cellStyle name="Normal 11 10 12" xfId="4053"/>
    <cellStyle name="Normal 11 10 13" xfId="4054"/>
    <cellStyle name="Normal 11 10 14" xfId="4055"/>
    <cellStyle name="Normal 11 10 15" xfId="4056"/>
    <cellStyle name="Normal 11 10 16" xfId="4057"/>
    <cellStyle name="Normal 11 10 17" xfId="4058"/>
    <cellStyle name="Normal 11 10 18" xfId="4059"/>
    <cellStyle name="Normal 11 10 2" xfId="4060"/>
    <cellStyle name="Normal 11 10 2 2" xfId="4061"/>
    <cellStyle name="Normal 11 10 3" xfId="4062"/>
    <cellStyle name="Normal 11 10 3 2" xfId="4063"/>
    <cellStyle name="Normal 11 10 4" xfId="4064"/>
    <cellStyle name="Normal 11 10 4 2" xfId="4065"/>
    <cellStyle name="Normal 11 10 5" xfId="4066"/>
    <cellStyle name="Normal 11 10 5 2" xfId="4067"/>
    <cellStyle name="Normal 11 10 6" xfId="4068"/>
    <cellStyle name="Normal 11 10 6 2" xfId="4069"/>
    <cellStyle name="Normal 11 10 7" xfId="4070"/>
    <cellStyle name="Normal 11 10 7 2" xfId="4071"/>
    <cellStyle name="Normal 11 10 8" xfId="4072"/>
    <cellStyle name="Normal 11 10 8 2" xfId="4073"/>
    <cellStyle name="Normal 11 10 9" xfId="4074"/>
    <cellStyle name="Normal 11 11" xfId="4075"/>
    <cellStyle name="Normal 11 11 2" xfId="4076"/>
    <cellStyle name="Normal 11 12" xfId="4077"/>
    <cellStyle name="Normal 11 12 2" xfId="4078"/>
    <cellStyle name="Normal 11 13" xfId="4079"/>
    <cellStyle name="Normal 11 13 2" xfId="4080"/>
    <cellStyle name="Normal 11 14" xfId="4081"/>
    <cellStyle name="Normal 11 14 2" xfId="4082"/>
    <cellStyle name="Normal 11 15" xfId="4083"/>
    <cellStyle name="Normal 11 15 2" xfId="4084"/>
    <cellStyle name="Normal 11 16" xfId="4085"/>
    <cellStyle name="Normal 11 16 2" xfId="4086"/>
    <cellStyle name="Normal 11 17" xfId="4087"/>
    <cellStyle name="Normal 11 17 2" xfId="4088"/>
    <cellStyle name="Normal 11 18" xfId="4089"/>
    <cellStyle name="Normal 11 19" xfId="4090"/>
    <cellStyle name="Normal 11 2" xfId="4091"/>
    <cellStyle name="Normal 11 2 10" xfId="4092"/>
    <cellStyle name="Normal 11 2 11" xfId="4093"/>
    <cellStyle name="Normal 11 2 12" xfId="4094"/>
    <cellStyle name="Normal 11 2 13" xfId="4095"/>
    <cellStyle name="Normal 11 2 14" xfId="4096"/>
    <cellStyle name="Normal 11 2 15" xfId="4097"/>
    <cellStyle name="Normal 11 2 16" xfId="4098"/>
    <cellStyle name="Normal 11 2 17" xfId="4099"/>
    <cellStyle name="Normal 11 2 18" xfId="4100"/>
    <cellStyle name="Normal 11 2 2" xfId="4101"/>
    <cellStyle name="Normal 11 2 2 2" xfId="4102"/>
    <cellStyle name="Normal 11 2 3" xfId="4103"/>
    <cellStyle name="Normal 11 2 3 2" xfId="4104"/>
    <cellStyle name="Normal 11 2 4" xfId="4105"/>
    <cellStyle name="Normal 11 2 4 2" xfId="4106"/>
    <cellStyle name="Normal 11 2 5" xfId="4107"/>
    <cellStyle name="Normal 11 2 5 2" xfId="4108"/>
    <cellStyle name="Normal 11 2 6" xfId="4109"/>
    <cellStyle name="Normal 11 2 6 2" xfId="4110"/>
    <cellStyle name="Normal 11 2 7" xfId="4111"/>
    <cellStyle name="Normal 11 2 7 2" xfId="4112"/>
    <cellStyle name="Normal 11 2 8" xfId="4113"/>
    <cellStyle name="Normal 11 2 8 2" xfId="4114"/>
    <cellStyle name="Normal 11 2 9" xfId="4115"/>
    <cellStyle name="Normal 11 20" xfId="4116"/>
    <cellStyle name="Normal 11 21" xfId="4117"/>
    <cellStyle name="Normal 11 22" xfId="4118"/>
    <cellStyle name="Normal 11 23" xfId="4119"/>
    <cellStyle name="Normal 11 24" xfId="4120"/>
    <cellStyle name="Normal 11 25" xfId="4121"/>
    <cellStyle name="Normal 11 26" xfId="4122"/>
    <cellStyle name="Normal 11 27" xfId="4123"/>
    <cellStyle name="Normal 11 3" xfId="4124"/>
    <cellStyle name="Normal 11 3 10" xfId="4125"/>
    <cellStyle name="Normal 11 3 11" xfId="4126"/>
    <cellStyle name="Normal 11 3 12" xfId="4127"/>
    <cellStyle name="Normal 11 3 13" xfId="4128"/>
    <cellStyle name="Normal 11 3 14" xfId="4129"/>
    <cellStyle name="Normal 11 3 15" xfId="4130"/>
    <cellStyle name="Normal 11 3 16" xfId="4131"/>
    <cellStyle name="Normal 11 3 17" xfId="4132"/>
    <cellStyle name="Normal 11 3 18" xfId="4133"/>
    <cellStyle name="Normal 11 3 2" xfId="4134"/>
    <cellStyle name="Normal 11 3 2 2" xfId="4135"/>
    <cellStyle name="Normal 11 3 3" xfId="4136"/>
    <cellStyle name="Normal 11 3 3 2" xfId="4137"/>
    <cellStyle name="Normal 11 3 4" xfId="4138"/>
    <cellStyle name="Normal 11 3 4 2" xfId="4139"/>
    <cellStyle name="Normal 11 3 5" xfId="4140"/>
    <cellStyle name="Normal 11 3 5 2" xfId="4141"/>
    <cellStyle name="Normal 11 3 6" xfId="4142"/>
    <cellStyle name="Normal 11 3 6 2" xfId="4143"/>
    <cellStyle name="Normal 11 3 7" xfId="4144"/>
    <cellStyle name="Normal 11 3 7 2" xfId="4145"/>
    <cellStyle name="Normal 11 3 8" xfId="4146"/>
    <cellStyle name="Normal 11 3 8 2" xfId="4147"/>
    <cellStyle name="Normal 11 3 9" xfId="4148"/>
    <cellStyle name="Normal 11 4" xfId="4149"/>
    <cellStyle name="Normal 11 4 10" xfId="4150"/>
    <cellStyle name="Normal 11 4 11" xfId="4151"/>
    <cellStyle name="Normal 11 4 12" xfId="4152"/>
    <cellStyle name="Normal 11 4 13" xfId="4153"/>
    <cellStyle name="Normal 11 4 14" xfId="4154"/>
    <cellStyle name="Normal 11 4 15" xfId="4155"/>
    <cellStyle name="Normal 11 4 16" xfId="4156"/>
    <cellStyle name="Normal 11 4 17" xfId="4157"/>
    <cellStyle name="Normal 11 4 18" xfId="4158"/>
    <cellStyle name="Normal 11 4 2" xfId="4159"/>
    <cellStyle name="Normal 11 4 2 2" xfId="4160"/>
    <cellStyle name="Normal 11 4 3" xfId="4161"/>
    <cellStyle name="Normal 11 4 3 2" xfId="4162"/>
    <cellStyle name="Normal 11 4 4" xfId="4163"/>
    <cellStyle name="Normal 11 4 4 2" xfId="4164"/>
    <cellStyle name="Normal 11 4 5" xfId="4165"/>
    <cellStyle name="Normal 11 4 5 2" xfId="4166"/>
    <cellStyle name="Normal 11 4 6" xfId="4167"/>
    <cellStyle name="Normal 11 4 6 2" xfId="4168"/>
    <cellStyle name="Normal 11 4 7" xfId="4169"/>
    <cellStyle name="Normal 11 4 7 2" xfId="4170"/>
    <cellStyle name="Normal 11 4 8" xfId="4171"/>
    <cellStyle name="Normal 11 4 8 2" xfId="4172"/>
    <cellStyle name="Normal 11 4 9" xfId="4173"/>
    <cellStyle name="Normal 11 5" xfId="4174"/>
    <cellStyle name="Normal 11 5 10" xfId="4175"/>
    <cellStyle name="Normal 11 5 11" xfId="4176"/>
    <cellStyle name="Normal 11 5 12" xfId="4177"/>
    <cellStyle name="Normal 11 5 13" xfId="4178"/>
    <cellStyle name="Normal 11 5 14" xfId="4179"/>
    <cellStyle name="Normal 11 5 15" xfId="4180"/>
    <cellStyle name="Normal 11 5 16" xfId="4181"/>
    <cellStyle name="Normal 11 5 17" xfId="4182"/>
    <cellStyle name="Normal 11 5 18" xfId="4183"/>
    <cellStyle name="Normal 11 5 2" xfId="4184"/>
    <cellStyle name="Normal 11 5 2 2" xfId="4185"/>
    <cellStyle name="Normal 11 5 3" xfId="4186"/>
    <cellStyle name="Normal 11 5 3 2" xfId="4187"/>
    <cellStyle name="Normal 11 5 4" xfId="4188"/>
    <cellStyle name="Normal 11 5 4 2" xfId="4189"/>
    <cellStyle name="Normal 11 5 5" xfId="4190"/>
    <cellStyle name="Normal 11 5 5 2" xfId="4191"/>
    <cellStyle name="Normal 11 5 6" xfId="4192"/>
    <cellStyle name="Normal 11 5 6 2" xfId="4193"/>
    <cellStyle name="Normal 11 5 7" xfId="4194"/>
    <cellStyle name="Normal 11 5 7 2" xfId="4195"/>
    <cellStyle name="Normal 11 5 8" xfId="4196"/>
    <cellStyle name="Normal 11 5 8 2" xfId="4197"/>
    <cellStyle name="Normal 11 5 9" xfId="4198"/>
    <cellStyle name="Normal 11 6" xfId="4199"/>
    <cellStyle name="Normal 11 6 10" xfId="4200"/>
    <cellStyle name="Normal 11 6 11" xfId="4201"/>
    <cellStyle name="Normal 11 6 12" xfId="4202"/>
    <cellStyle name="Normal 11 6 13" xfId="4203"/>
    <cellStyle name="Normal 11 6 14" xfId="4204"/>
    <cellStyle name="Normal 11 6 15" xfId="4205"/>
    <cellStyle name="Normal 11 6 16" xfId="4206"/>
    <cellStyle name="Normal 11 6 17" xfId="4207"/>
    <cellStyle name="Normal 11 6 18" xfId="4208"/>
    <cellStyle name="Normal 11 6 2" xfId="4209"/>
    <cellStyle name="Normal 11 6 2 2" xfId="4210"/>
    <cellStyle name="Normal 11 6 3" xfId="4211"/>
    <cellStyle name="Normal 11 6 3 2" xfId="4212"/>
    <cellStyle name="Normal 11 6 4" xfId="4213"/>
    <cellStyle name="Normal 11 6 4 2" xfId="4214"/>
    <cellStyle name="Normal 11 6 5" xfId="4215"/>
    <cellStyle name="Normal 11 6 5 2" xfId="4216"/>
    <cellStyle name="Normal 11 6 6" xfId="4217"/>
    <cellStyle name="Normal 11 6 6 2" xfId="4218"/>
    <cellStyle name="Normal 11 6 7" xfId="4219"/>
    <cellStyle name="Normal 11 6 7 2" xfId="4220"/>
    <cellStyle name="Normal 11 6 8" xfId="4221"/>
    <cellStyle name="Normal 11 6 8 2" xfId="4222"/>
    <cellStyle name="Normal 11 6 9" xfId="4223"/>
    <cellStyle name="Normal 11 7" xfId="4224"/>
    <cellStyle name="Normal 11 7 10" xfId="4225"/>
    <cellStyle name="Normal 11 7 11" xfId="4226"/>
    <cellStyle name="Normal 11 7 12" xfId="4227"/>
    <cellStyle name="Normal 11 7 13" xfId="4228"/>
    <cellStyle name="Normal 11 7 14" xfId="4229"/>
    <cellStyle name="Normal 11 7 15" xfId="4230"/>
    <cellStyle name="Normal 11 7 16" xfId="4231"/>
    <cellStyle name="Normal 11 7 17" xfId="4232"/>
    <cellStyle name="Normal 11 7 18" xfId="4233"/>
    <cellStyle name="Normal 11 7 2" xfId="4234"/>
    <cellStyle name="Normal 11 7 2 2" xfId="4235"/>
    <cellStyle name="Normal 11 7 3" xfId="4236"/>
    <cellStyle name="Normal 11 7 3 2" xfId="4237"/>
    <cellStyle name="Normal 11 7 4" xfId="4238"/>
    <cellStyle name="Normal 11 7 4 2" xfId="4239"/>
    <cellStyle name="Normal 11 7 5" xfId="4240"/>
    <cellStyle name="Normal 11 7 5 2" xfId="4241"/>
    <cellStyle name="Normal 11 7 6" xfId="4242"/>
    <cellStyle name="Normal 11 7 6 2" xfId="4243"/>
    <cellStyle name="Normal 11 7 7" xfId="4244"/>
    <cellStyle name="Normal 11 7 7 2" xfId="4245"/>
    <cellStyle name="Normal 11 7 8" xfId="4246"/>
    <cellStyle name="Normal 11 7 8 2" xfId="4247"/>
    <cellStyle name="Normal 11 7 9" xfId="4248"/>
    <cellStyle name="Normal 11 8" xfId="4249"/>
    <cellStyle name="Normal 11 8 10" xfId="4250"/>
    <cellStyle name="Normal 11 8 11" xfId="4251"/>
    <cellStyle name="Normal 11 8 12" xfId="4252"/>
    <cellStyle name="Normal 11 8 13" xfId="4253"/>
    <cellStyle name="Normal 11 8 14" xfId="4254"/>
    <cellStyle name="Normal 11 8 15" xfId="4255"/>
    <cellStyle name="Normal 11 8 16" xfId="4256"/>
    <cellStyle name="Normal 11 8 17" xfId="4257"/>
    <cellStyle name="Normal 11 8 18" xfId="4258"/>
    <cellStyle name="Normal 11 8 2" xfId="4259"/>
    <cellStyle name="Normal 11 8 2 2" xfId="4260"/>
    <cellStyle name="Normal 11 8 3" xfId="4261"/>
    <cellStyle name="Normal 11 8 3 2" xfId="4262"/>
    <cellStyle name="Normal 11 8 4" xfId="4263"/>
    <cellStyle name="Normal 11 8 4 2" xfId="4264"/>
    <cellStyle name="Normal 11 8 5" xfId="4265"/>
    <cellStyle name="Normal 11 8 5 2" xfId="4266"/>
    <cellStyle name="Normal 11 8 6" xfId="4267"/>
    <cellStyle name="Normal 11 8 6 2" xfId="4268"/>
    <cellStyle name="Normal 11 8 7" xfId="4269"/>
    <cellStyle name="Normal 11 8 7 2" xfId="4270"/>
    <cellStyle name="Normal 11 8 8" xfId="4271"/>
    <cellStyle name="Normal 11 8 8 2" xfId="4272"/>
    <cellStyle name="Normal 11 8 9" xfId="4273"/>
    <cellStyle name="Normal 11 9" xfId="4274"/>
    <cellStyle name="Normal 11 9 10" xfId="4275"/>
    <cellStyle name="Normal 11 9 11" xfId="4276"/>
    <cellStyle name="Normal 11 9 12" xfId="4277"/>
    <cellStyle name="Normal 11 9 13" xfId="4278"/>
    <cellStyle name="Normal 11 9 14" xfId="4279"/>
    <cellStyle name="Normal 11 9 15" xfId="4280"/>
    <cellStyle name="Normal 11 9 16" xfId="4281"/>
    <cellStyle name="Normal 11 9 17" xfId="4282"/>
    <cellStyle name="Normal 11 9 18" xfId="4283"/>
    <cellStyle name="Normal 11 9 2" xfId="4284"/>
    <cellStyle name="Normal 11 9 2 2" xfId="4285"/>
    <cellStyle name="Normal 11 9 3" xfId="4286"/>
    <cellStyle name="Normal 11 9 3 2" xfId="4287"/>
    <cellStyle name="Normal 11 9 4" xfId="4288"/>
    <cellStyle name="Normal 11 9 4 2" xfId="4289"/>
    <cellStyle name="Normal 11 9 5" xfId="4290"/>
    <cellStyle name="Normal 11 9 5 2" xfId="4291"/>
    <cellStyle name="Normal 11 9 6" xfId="4292"/>
    <cellStyle name="Normal 11 9 6 2" xfId="4293"/>
    <cellStyle name="Normal 11 9 7" xfId="4294"/>
    <cellStyle name="Normal 11 9 7 2" xfId="4295"/>
    <cellStyle name="Normal 11 9 8" xfId="4296"/>
    <cellStyle name="Normal 11 9 8 2" xfId="4297"/>
    <cellStyle name="Normal 11 9 9" xfId="4298"/>
    <cellStyle name="Normal 11_Achampally-Gattubuthkur-Ganga-CRR" xfId="4299"/>
    <cellStyle name="Normal 12" xfId="4300"/>
    <cellStyle name="Normal 12 2" xfId="4301"/>
    <cellStyle name="Normal 12 2 10" xfId="4302"/>
    <cellStyle name="Normal 12 2 11" xfId="4303"/>
    <cellStyle name="Normal 12 2 12" xfId="4304"/>
    <cellStyle name="Normal 12 2 13" xfId="4305"/>
    <cellStyle name="Normal 12 2 14" xfId="4306"/>
    <cellStyle name="Normal 12 2 15" xfId="4307"/>
    <cellStyle name="Normal 12 2 16" xfId="4308"/>
    <cellStyle name="Normal 12 2 17" xfId="4309"/>
    <cellStyle name="Normal 12 2 18" xfId="4310"/>
    <cellStyle name="Normal 12 2 19" xfId="4311"/>
    <cellStyle name="Normal 12 2 2" xfId="4312"/>
    <cellStyle name="Normal 12 2 2 10" xfId="4313"/>
    <cellStyle name="Normal 12 2 2 11" xfId="4314"/>
    <cellStyle name="Normal 12 2 2 12" xfId="4315"/>
    <cellStyle name="Normal 12 2 2 13" xfId="4316"/>
    <cellStyle name="Normal 12 2 2 2" xfId="4317"/>
    <cellStyle name="Normal 12 2 2 2 10" xfId="4318"/>
    <cellStyle name="Normal 12 2 2 2 11" xfId="4319"/>
    <cellStyle name="Normal 12 2 2 2 2" xfId="4320"/>
    <cellStyle name="Normal 12 2 2 2 3" xfId="4321"/>
    <cellStyle name="Normal 12 2 2 2 4" xfId="4322"/>
    <cellStyle name="Normal 12 2 2 2 5" xfId="4323"/>
    <cellStyle name="Normal 12 2 2 2 6" xfId="4324"/>
    <cellStyle name="Normal 12 2 2 2 7" xfId="4325"/>
    <cellStyle name="Normal 12 2 2 2 8" xfId="4326"/>
    <cellStyle name="Normal 12 2 2 2 9" xfId="4327"/>
    <cellStyle name="Normal 12 2 2 3" xfId="4328"/>
    <cellStyle name="Normal 12 2 2 3 10" xfId="4329"/>
    <cellStyle name="Normal 12 2 2 3 11" xfId="4330"/>
    <cellStyle name="Normal 12 2 2 3 2" xfId="4331"/>
    <cellStyle name="Normal 12 2 2 3 3" xfId="4332"/>
    <cellStyle name="Normal 12 2 2 3 4" xfId="4333"/>
    <cellStyle name="Normal 12 2 2 3 5" xfId="4334"/>
    <cellStyle name="Normal 12 2 2 3 6" xfId="4335"/>
    <cellStyle name="Normal 12 2 2 3 7" xfId="4336"/>
    <cellStyle name="Normal 12 2 2 3 8" xfId="4337"/>
    <cellStyle name="Normal 12 2 2 3 9" xfId="4338"/>
    <cellStyle name="Normal 12 2 2 4" xfId="4339"/>
    <cellStyle name="Normal 12 2 2 4 2" xfId="4340"/>
    <cellStyle name="Normal 12 2 2 4 3" xfId="4341"/>
    <cellStyle name="Normal 12 2 2 5" xfId="4342"/>
    <cellStyle name="Normal 12 2 2 5 2" xfId="4343"/>
    <cellStyle name="Normal 12 2 2 5 3" xfId="4344"/>
    <cellStyle name="Normal 12 2 2 6" xfId="4345"/>
    <cellStyle name="Normal 12 2 2 7" xfId="4346"/>
    <cellStyle name="Normal 12 2 2 8" xfId="4347"/>
    <cellStyle name="Normal 12 2 2 9" xfId="4348"/>
    <cellStyle name="Normal 12 2 3" xfId="4349"/>
    <cellStyle name="Normal 12 2 3 10" xfId="4350"/>
    <cellStyle name="Normal 12 2 3 11" xfId="4351"/>
    <cellStyle name="Normal 12 2 3 12" xfId="4352"/>
    <cellStyle name="Normal 12 2 3 13" xfId="4353"/>
    <cellStyle name="Normal 12 2 3 2" xfId="4354"/>
    <cellStyle name="Normal 12 2 3 2 10" xfId="4355"/>
    <cellStyle name="Normal 12 2 3 2 11" xfId="4356"/>
    <cellStyle name="Normal 12 2 3 2 2" xfId="4357"/>
    <cellStyle name="Normal 12 2 3 2 3" xfId="4358"/>
    <cellStyle name="Normal 12 2 3 2 4" xfId="4359"/>
    <cellStyle name="Normal 12 2 3 2 5" xfId="4360"/>
    <cellStyle name="Normal 12 2 3 2 6" xfId="4361"/>
    <cellStyle name="Normal 12 2 3 2 7" xfId="4362"/>
    <cellStyle name="Normal 12 2 3 2 8" xfId="4363"/>
    <cellStyle name="Normal 12 2 3 2 9" xfId="4364"/>
    <cellStyle name="Normal 12 2 3 3" xfId="4365"/>
    <cellStyle name="Normal 12 2 3 3 10" xfId="4366"/>
    <cellStyle name="Normal 12 2 3 3 11" xfId="4367"/>
    <cellStyle name="Normal 12 2 3 3 2" xfId="4368"/>
    <cellStyle name="Normal 12 2 3 3 3" xfId="4369"/>
    <cellStyle name="Normal 12 2 3 3 4" xfId="4370"/>
    <cellStyle name="Normal 12 2 3 3 5" xfId="4371"/>
    <cellStyle name="Normal 12 2 3 3 6" xfId="4372"/>
    <cellStyle name="Normal 12 2 3 3 7" xfId="4373"/>
    <cellStyle name="Normal 12 2 3 3 8" xfId="4374"/>
    <cellStyle name="Normal 12 2 3 3 9" xfId="4375"/>
    <cellStyle name="Normal 12 2 3 4" xfId="4376"/>
    <cellStyle name="Normal 12 2 3 4 2" xfId="4377"/>
    <cellStyle name="Normal 12 2 3 4 3" xfId="4378"/>
    <cellStyle name="Normal 12 2 3 5" xfId="4379"/>
    <cellStyle name="Normal 12 2 3 5 2" xfId="4380"/>
    <cellStyle name="Normal 12 2 3 5 3" xfId="4381"/>
    <cellStyle name="Normal 12 2 3 6" xfId="4382"/>
    <cellStyle name="Normal 12 2 3 7" xfId="4383"/>
    <cellStyle name="Normal 12 2 3 8" xfId="4384"/>
    <cellStyle name="Normal 12 2 3 9" xfId="4385"/>
    <cellStyle name="Normal 12 2 4" xfId="4386"/>
    <cellStyle name="Normal 12 2 4 10" xfId="4387"/>
    <cellStyle name="Normal 12 2 4 11" xfId="4388"/>
    <cellStyle name="Normal 12 2 4 12" xfId="4389"/>
    <cellStyle name="Normal 12 2 4 13" xfId="4390"/>
    <cellStyle name="Normal 12 2 4 2" xfId="4391"/>
    <cellStyle name="Normal 12 2 4 2 10" xfId="4392"/>
    <cellStyle name="Normal 12 2 4 2 11" xfId="4393"/>
    <cellStyle name="Normal 12 2 4 2 2" xfId="4394"/>
    <cellStyle name="Normal 12 2 4 2 3" xfId="4395"/>
    <cellStyle name="Normal 12 2 4 2 4" xfId="4396"/>
    <cellStyle name="Normal 12 2 4 2 5" xfId="4397"/>
    <cellStyle name="Normal 12 2 4 2 6" xfId="4398"/>
    <cellStyle name="Normal 12 2 4 2 7" xfId="4399"/>
    <cellStyle name="Normal 12 2 4 2 8" xfId="4400"/>
    <cellStyle name="Normal 12 2 4 2 9" xfId="4401"/>
    <cellStyle name="Normal 12 2 4 3" xfId="4402"/>
    <cellStyle name="Normal 12 2 4 3 10" xfId="4403"/>
    <cellStyle name="Normal 12 2 4 3 11" xfId="4404"/>
    <cellStyle name="Normal 12 2 4 3 2" xfId="4405"/>
    <cellStyle name="Normal 12 2 4 3 3" xfId="4406"/>
    <cellStyle name="Normal 12 2 4 3 4" xfId="4407"/>
    <cellStyle name="Normal 12 2 4 3 5" xfId="4408"/>
    <cellStyle name="Normal 12 2 4 3 6" xfId="4409"/>
    <cellStyle name="Normal 12 2 4 3 7" xfId="4410"/>
    <cellStyle name="Normal 12 2 4 3 8" xfId="4411"/>
    <cellStyle name="Normal 12 2 4 3 9" xfId="4412"/>
    <cellStyle name="Normal 12 2 4 4" xfId="4413"/>
    <cellStyle name="Normal 12 2 4 4 2" xfId="4414"/>
    <cellStyle name="Normal 12 2 4 4 3" xfId="4415"/>
    <cellStyle name="Normal 12 2 4 5" xfId="4416"/>
    <cellStyle name="Normal 12 2 4 5 2" xfId="4417"/>
    <cellStyle name="Normal 12 2 4 5 3" xfId="4418"/>
    <cellStyle name="Normal 12 2 4 6" xfId="4419"/>
    <cellStyle name="Normal 12 2 4 7" xfId="4420"/>
    <cellStyle name="Normal 12 2 4 8" xfId="4421"/>
    <cellStyle name="Normal 12 2 4 9" xfId="4422"/>
    <cellStyle name="Normal 12 2 5" xfId="4423"/>
    <cellStyle name="Normal 12 2 5 10" xfId="4424"/>
    <cellStyle name="Normal 12 2 5 11" xfId="4425"/>
    <cellStyle name="Normal 12 2 5 12" xfId="4426"/>
    <cellStyle name="Normal 12 2 5 13" xfId="4427"/>
    <cellStyle name="Normal 12 2 5 2" xfId="4428"/>
    <cellStyle name="Normal 12 2 5 2 10" xfId="4429"/>
    <cellStyle name="Normal 12 2 5 2 11" xfId="4430"/>
    <cellStyle name="Normal 12 2 5 2 2" xfId="4431"/>
    <cellStyle name="Normal 12 2 5 2 3" xfId="4432"/>
    <cellStyle name="Normal 12 2 5 2 4" xfId="4433"/>
    <cellStyle name="Normal 12 2 5 2 5" xfId="4434"/>
    <cellStyle name="Normal 12 2 5 2 6" xfId="4435"/>
    <cellStyle name="Normal 12 2 5 2 7" xfId="4436"/>
    <cellStyle name="Normal 12 2 5 2 8" xfId="4437"/>
    <cellStyle name="Normal 12 2 5 2 9" xfId="4438"/>
    <cellStyle name="Normal 12 2 5 3" xfId="4439"/>
    <cellStyle name="Normal 12 2 5 3 10" xfId="4440"/>
    <cellStyle name="Normal 12 2 5 3 11" xfId="4441"/>
    <cellStyle name="Normal 12 2 5 3 2" xfId="4442"/>
    <cellStyle name="Normal 12 2 5 3 3" xfId="4443"/>
    <cellStyle name="Normal 12 2 5 3 4" xfId="4444"/>
    <cellStyle name="Normal 12 2 5 3 5" xfId="4445"/>
    <cellStyle name="Normal 12 2 5 3 6" xfId="4446"/>
    <cellStyle name="Normal 12 2 5 3 7" xfId="4447"/>
    <cellStyle name="Normal 12 2 5 3 8" xfId="4448"/>
    <cellStyle name="Normal 12 2 5 3 9" xfId="4449"/>
    <cellStyle name="Normal 12 2 5 4" xfId="4450"/>
    <cellStyle name="Normal 12 2 5 4 2" xfId="4451"/>
    <cellStyle name="Normal 12 2 5 4 3" xfId="4452"/>
    <cellStyle name="Normal 12 2 5 5" xfId="4453"/>
    <cellStyle name="Normal 12 2 5 5 2" xfId="4454"/>
    <cellStyle name="Normal 12 2 5 5 3" xfId="4455"/>
    <cellStyle name="Normal 12 2 5 6" xfId="4456"/>
    <cellStyle name="Normal 12 2 5 7" xfId="4457"/>
    <cellStyle name="Normal 12 2 5 8" xfId="4458"/>
    <cellStyle name="Normal 12 2 5 9" xfId="4459"/>
    <cellStyle name="Normal 12 2 6" xfId="4460"/>
    <cellStyle name="Normal 12 2 6 10" xfId="4461"/>
    <cellStyle name="Normal 12 2 6 11" xfId="4462"/>
    <cellStyle name="Normal 12 2 6 12" xfId="4463"/>
    <cellStyle name="Normal 12 2 6 13" xfId="4464"/>
    <cellStyle name="Normal 12 2 6 2" xfId="4465"/>
    <cellStyle name="Normal 12 2 6 2 10" xfId="4466"/>
    <cellStyle name="Normal 12 2 6 2 11" xfId="4467"/>
    <cellStyle name="Normal 12 2 6 2 2" xfId="4468"/>
    <cellStyle name="Normal 12 2 6 2 3" xfId="4469"/>
    <cellStyle name="Normal 12 2 6 2 4" xfId="4470"/>
    <cellStyle name="Normal 12 2 6 2 5" xfId="4471"/>
    <cellStyle name="Normal 12 2 6 2 6" xfId="4472"/>
    <cellStyle name="Normal 12 2 6 2 7" xfId="4473"/>
    <cellStyle name="Normal 12 2 6 2 8" xfId="4474"/>
    <cellStyle name="Normal 12 2 6 2 9" xfId="4475"/>
    <cellStyle name="Normal 12 2 6 3" xfId="4476"/>
    <cellStyle name="Normal 12 2 6 3 10" xfId="4477"/>
    <cellStyle name="Normal 12 2 6 3 11" xfId="4478"/>
    <cellStyle name="Normal 12 2 6 3 2" xfId="4479"/>
    <cellStyle name="Normal 12 2 6 3 3" xfId="4480"/>
    <cellStyle name="Normal 12 2 6 3 4" xfId="4481"/>
    <cellStyle name="Normal 12 2 6 3 5" xfId="4482"/>
    <cellStyle name="Normal 12 2 6 3 6" xfId="4483"/>
    <cellStyle name="Normal 12 2 6 3 7" xfId="4484"/>
    <cellStyle name="Normal 12 2 6 3 8" xfId="4485"/>
    <cellStyle name="Normal 12 2 6 3 9" xfId="4486"/>
    <cellStyle name="Normal 12 2 6 4" xfId="4487"/>
    <cellStyle name="Normal 12 2 6 4 2" xfId="4488"/>
    <cellStyle name="Normal 12 2 6 4 3" xfId="4489"/>
    <cellStyle name="Normal 12 2 6 5" xfId="4490"/>
    <cellStyle name="Normal 12 2 6 5 2" xfId="4491"/>
    <cellStyle name="Normal 12 2 6 5 3" xfId="4492"/>
    <cellStyle name="Normal 12 2 6 6" xfId="4493"/>
    <cellStyle name="Normal 12 2 6 7" xfId="4494"/>
    <cellStyle name="Normal 12 2 6 8" xfId="4495"/>
    <cellStyle name="Normal 12 2 6 9" xfId="4496"/>
    <cellStyle name="Normal 12 2 7" xfId="4497"/>
    <cellStyle name="Normal 12 2 7 2" xfId="4498"/>
    <cellStyle name="Normal 12 2 8" xfId="4499"/>
    <cellStyle name="Normal 12 2 8 10" xfId="4500"/>
    <cellStyle name="Normal 12 2 8 11" xfId="4501"/>
    <cellStyle name="Normal 12 2 8 2" xfId="4502"/>
    <cellStyle name="Normal 12 2 8 3" xfId="4503"/>
    <cellStyle name="Normal 12 2 8 4" xfId="4504"/>
    <cellStyle name="Normal 12 2 8 5" xfId="4505"/>
    <cellStyle name="Normal 12 2 8 6" xfId="4506"/>
    <cellStyle name="Normal 12 2 8 7" xfId="4507"/>
    <cellStyle name="Normal 12 2 8 8" xfId="4508"/>
    <cellStyle name="Normal 12 2 8 9" xfId="4509"/>
    <cellStyle name="Normal 12 2 9" xfId="4510"/>
    <cellStyle name="Normal 12 2 9 10" xfId="4511"/>
    <cellStyle name="Normal 12 2 9 11" xfId="4512"/>
    <cellStyle name="Normal 12 2 9 2" xfId="4513"/>
    <cellStyle name="Normal 12 2 9 3" xfId="4514"/>
    <cellStyle name="Normal 12 2 9 4" xfId="4515"/>
    <cellStyle name="Normal 12 2 9 5" xfId="4516"/>
    <cellStyle name="Normal 12 2 9 6" xfId="4517"/>
    <cellStyle name="Normal 12 2 9 7" xfId="4518"/>
    <cellStyle name="Normal 12 2 9 8" xfId="4519"/>
    <cellStyle name="Normal 12 2 9 9" xfId="4520"/>
    <cellStyle name="Normal 12 3" xfId="4521"/>
    <cellStyle name="Normal 12 3 10" xfId="4522"/>
    <cellStyle name="Normal 12 3 10 2" xfId="4523"/>
    <cellStyle name="Normal 12 3 10 2 2" xfId="4524"/>
    <cellStyle name="Normal 12 3 10 2 3" xfId="4525"/>
    <cellStyle name="Normal 12 3 10 3" xfId="4526"/>
    <cellStyle name="Normal 12 3 10 3 2" xfId="4527"/>
    <cellStyle name="Normal 12 3 10 3 3" xfId="4528"/>
    <cellStyle name="Normal 12 3 10 4" xfId="4529"/>
    <cellStyle name="Normal 12 3 10 5" xfId="4530"/>
    <cellStyle name="Normal 12 3 10 6" xfId="4531"/>
    <cellStyle name="Normal 12 3 10 7" xfId="4532"/>
    <cellStyle name="Normal 12 3 11" xfId="4533"/>
    <cellStyle name="Normal 12 3 12" xfId="4534"/>
    <cellStyle name="Normal 12 3 12 2" xfId="4535"/>
    <cellStyle name="Normal 12 3 12 3" xfId="4536"/>
    <cellStyle name="Normal 12 3 13" xfId="4537"/>
    <cellStyle name="Normal 12 3 13 2" xfId="4538"/>
    <cellStyle name="Normal 12 3 13 3" xfId="4539"/>
    <cellStyle name="Normal 12 3 14" xfId="4540"/>
    <cellStyle name="Normal 12 3 15" xfId="4541"/>
    <cellStyle name="Normal 12 3 16" xfId="4542"/>
    <cellStyle name="Normal 12 3 17" xfId="4543"/>
    <cellStyle name="Normal 12 3 2" xfId="4544"/>
    <cellStyle name="Normal 12 3 2 10" xfId="4545"/>
    <cellStyle name="Normal 12 3 2 11" xfId="4546"/>
    <cellStyle name="Normal 12 3 2 12" xfId="4547"/>
    <cellStyle name="Normal 12 3 2 13" xfId="4548"/>
    <cellStyle name="Normal 12 3 2 2" xfId="4549"/>
    <cellStyle name="Normal 12 3 2 2 10" xfId="4550"/>
    <cellStyle name="Normal 12 3 2 2 11" xfId="4551"/>
    <cellStyle name="Normal 12 3 2 2 2" xfId="4552"/>
    <cellStyle name="Normal 12 3 2 2 2 2" xfId="4553"/>
    <cellStyle name="Normal 12 3 2 2 2 2 2" xfId="4554"/>
    <cellStyle name="Normal 12 3 2 2 2 2 2 2" xfId="4555"/>
    <cellStyle name="Normal 12 3 2 2 2 2 2 2 2" xfId="4556"/>
    <cellStyle name="Normal 12 3 2 2 2 2 2 2 3" xfId="4557"/>
    <cellStyle name="Normal 12 3 2 2 2 2 2 3" xfId="4558"/>
    <cellStyle name="Normal 12 3 2 2 2 2 2 3 2" xfId="4559"/>
    <cellStyle name="Normal 12 3 2 2 2 2 2 3 3" xfId="4560"/>
    <cellStyle name="Normal 12 3 2 2 2 2 2 4" xfId="4561"/>
    <cellStyle name="Normal 12 3 2 2 2 2 2 5" xfId="4562"/>
    <cellStyle name="Normal 12 3 2 2 2 2 2 6" xfId="4563"/>
    <cellStyle name="Normal 12 3 2 2 2 2 2 7" xfId="4564"/>
    <cellStyle name="Normal 12 3 2 2 2 2 3" xfId="4565"/>
    <cellStyle name="Normal 12 3 2 2 2 2 3 2" xfId="4566"/>
    <cellStyle name="Normal 12 3 2 2 2 2 3 3" xfId="4567"/>
    <cellStyle name="Normal 12 3 2 2 2 2 4" xfId="4568"/>
    <cellStyle name="Normal 12 3 2 2 2 2 4 2" xfId="4569"/>
    <cellStyle name="Normal 12 3 2 2 2 2 4 3" xfId="4570"/>
    <cellStyle name="Normal 12 3 2 2 2 2 5" xfId="4571"/>
    <cellStyle name="Normal 12 3 2 2 2 2 6" xfId="4572"/>
    <cellStyle name="Normal 12 3 2 2 2 2 7" xfId="4573"/>
    <cellStyle name="Normal 12 3 2 2 2 2 8" xfId="4574"/>
    <cellStyle name="Normal 12 3 2 2 2 3" xfId="4575"/>
    <cellStyle name="Normal 12 3 2 2 2 3 2" xfId="4576"/>
    <cellStyle name="Normal 12 3 2 2 2 3 2 2" xfId="4577"/>
    <cellStyle name="Normal 12 3 2 2 2 3 2 3" xfId="4578"/>
    <cellStyle name="Normal 12 3 2 2 2 3 3" xfId="4579"/>
    <cellStyle name="Normal 12 3 2 2 2 3 3 2" xfId="4580"/>
    <cellStyle name="Normal 12 3 2 2 2 3 3 3" xfId="4581"/>
    <cellStyle name="Normal 12 3 2 2 2 3 4" xfId="4582"/>
    <cellStyle name="Normal 12 3 2 2 2 3 5" xfId="4583"/>
    <cellStyle name="Normal 12 3 2 2 2 3 6" xfId="4584"/>
    <cellStyle name="Normal 12 3 2 2 2 3 7" xfId="4585"/>
    <cellStyle name="Normal 12 3 2 2 2 4" xfId="4586"/>
    <cellStyle name="Normal 12 3 2 2 2 4 2" xfId="4587"/>
    <cellStyle name="Normal 12 3 2 2 2 4 3" xfId="4588"/>
    <cellStyle name="Normal 12 3 2 2 2 5" xfId="4589"/>
    <cellStyle name="Normal 12 3 2 2 2 5 2" xfId="4590"/>
    <cellStyle name="Normal 12 3 2 2 2 5 3" xfId="4591"/>
    <cellStyle name="Normal 12 3 2 2 2 6" xfId="4592"/>
    <cellStyle name="Normal 12 3 2 2 2 7" xfId="4593"/>
    <cellStyle name="Normal 12 3 2 2 2 8" xfId="4594"/>
    <cellStyle name="Normal 12 3 2 2 2 9" xfId="4595"/>
    <cellStyle name="Normal 12 3 2 2 3" xfId="4596"/>
    <cellStyle name="Normal 12 3 2 2 3 2" xfId="4597"/>
    <cellStyle name="Normal 12 3 2 2 3 2 2" xfId="4598"/>
    <cellStyle name="Normal 12 3 2 2 3 2 2 2" xfId="4599"/>
    <cellStyle name="Normal 12 3 2 2 3 2 2 3" xfId="4600"/>
    <cellStyle name="Normal 12 3 2 2 3 2 3" xfId="4601"/>
    <cellStyle name="Normal 12 3 2 2 3 2 3 2" xfId="4602"/>
    <cellStyle name="Normal 12 3 2 2 3 2 3 3" xfId="4603"/>
    <cellStyle name="Normal 12 3 2 2 3 2 4" xfId="4604"/>
    <cellStyle name="Normal 12 3 2 2 3 2 5" xfId="4605"/>
    <cellStyle name="Normal 12 3 2 2 3 2 6" xfId="4606"/>
    <cellStyle name="Normal 12 3 2 2 3 2 7" xfId="4607"/>
    <cellStyle name="Normal 12 3 2 2 3 3" xfId="4608"/>
    <cellStyle name="Normal 12 3 2 2 3 3 2" xfId="4609"/>
    <cellStyle name="Normal 12 3 2 2 3 3 3" xfId="4610"/>
    <cellStyle name="Normal 12 3 2 2 3 4" xfId="4611"/>
    <cellStyle name="Normal 12 3 2 2 3 4 2" xfId="4612"/>
    <cellStyle name="Normal 12 3 2 2 3 4 3" xfId="4613"/>
    <cellStyle name="Normal 12 3 2 2 3 5" xfId="4614"/>
    <cellStyle name="Normal 12 3 2 2 3 6" xfId="4615"/>
    <cellStyle name="Normal 12 3 2 2 3 7" xfId="4616"/>
    <cellStyle name="Normal 12 3 2 2 3 8" xfId="4617"/>
    <cellStyle name="Normal 12 3 2 2 4" xfId="4618"/>
    <cellStyle name="Normal 12 3 2 2 4 2" xfId="4619"/>
    <cellStyle name="Normal 12 3 2 2 4 2 2" xfId="4620"/>
    <cellStyle name="Normal 12 3 2 2 4 2 2 2" xfId="4621"/>
    <cellStyle name="Normal 12 3 2 2 4 2 2 3" xfId="4622"/>
    <cellStyle name="Normal 12 3 2 2 4 2 3" xfId="4623"/>
    <cellStyle name="Normal 12 3 2 2 4 2 3 2" xfId="4624"/>
    <cellStyle name="Normal 12 3 2 2 4 2 3 3" xfId="4625"/>
    <cellStyle name="Normal 12 3 2 2 4 2 4" xfId="4626"/>
    <cellStyle name="Normal 12 3 2 2 4 2 5" xfId="4627"/>
    <cellStyle name="Normal 12 3 2 2 4 2 6" xfId="4628"/>
    <cellStyle name="Normal 12 3 2 2 4 2 7" xfId="4629"/>
    <cellStyle name="Normal 12 3 2 2 4 3" xfId="4630"/>
    <cellStyle name="Normal 12 3 2 2 4 3 2" xfId="4631"/>
    <cellStyle name="Normal 12 3 2 2 4 3 3" xfId="4632"/>
    <cellStyle name="Normal 12 3 2 2 4 4" xfId="4633"/>
    <cellStyle name="Normal 12 3 2 2 4 4 2" xfId="4634"/>
    <cellStyle name="Normal 12 3 2 2 4 4 3" xfId="4635"/>
    <cellStyle name="Normal 12 3 2 2 4 5" xfId="4636"/>
    <cellStyle name="Normal 12 3 2 2 4 6" xfId="4637"/>
    <cellStyle name="Normal 12 3 2 2 4 7" xfId="4638"/>
    <cellStyle name="Normal 12 3 2 2 4 8" xfId="4639"/>
    <cellStyle name="Normal 12 3 2 2 5" xfId="4640"/>
    <cellStyle name="Normal 12 3 2 2 5 2" xfId="4641"/>
    <cellStyle name="Normal 12 3 2 2 5 2 2" xfId="4642"/>
    <cellStyle name="Normal 12 3 2 2 5 2 3" xfId="4643"/>
    <cellStyle name="Normal 12 3 2 2 5 3" xfId="4644"/>
    <cellStyle name="Normal 12 3 2 2 5 3 2" xfId="4645"/>
    <cellStyle name="Normal 12 3 2 2 5 3 3" xfId="4646"/>
    <cellStyle name="Normal 12 3 2 2 5 4" xfId="4647"/>
    <cellStyle name="Normal 12 3 2 2 5 5" xfId="4648"/>
    <cellStyle name="Normal 12 3 2 2 5 6" xfId="4649"/>
    <cellStyle name="Normal 12 3 2 2 5 7" xfId="4650"/>
    <cellStyle name="Normal 12 3 2 2 6" xfId="4651"/>
    <cellStyle name="Normal 12 3 2 2 6 2" xfId="4652"/>
    <cellStyle name="Normal 12 3 2 2 6 3" xfId="4653"/>
    <cellStyle name="Normal 12 3 2 2 7" xfId="4654"/>
    <cellStyle name="Normal 12 3 2 2 7 2" xfId="4655"/>
    <cellStyle name="Normal 12 3 2 2 7 3" xfId="4656"/>
    <cellStyle name="Normal 12 3 2 2 8" xfId="4657"/>
    <cellStyle name="Normal 12 3 2 2 9" xfId="4658"/>
    <cellStyle name="Normal 12 3 2 3" xfId="4659"/>
    <cellStyle name="Normal 12 3 2 3 10" xfId="4660"/>
    <cellStyle name="Normal 12 3 2 3 11" xfId="4661"/>
    <cellStyle name="Normal 12 3 2 3 2" xfId="4662"/>
    <cellStyle name="Normal 12 3 2 3 2 2" xfId="4663"/>
    <cellStyle name="Normal 12 3 2 3 2 2 2" xfId="4664"/>
    <cellStyle name="Normal 12 3 2 3 2 2 2 2" xfId="4665"/>
    <cellStyle name="Normal 12 3 2 3 2 2 2 2 2" xfId="4666"/>
    <cellStyle name="Normal 12 3 2 3 2 2 2 2 3" xfId="4667"/>
    <cellStyle name="Normal 12 3 2 3 2 2 2 3" xfId="4668"/>
    <cellStyle name="Normal 12 3 2 3 2 2 2 3 2" xfId="4669"/>
    <cellStyle name="Normal 12 3 2 3 2 2 2 3 3" xfId="4670"/>
    <cellStyle name="Normal 12 3 2 3 2 2 2 4" xfId="4671"/>
    <cellStyle name="Normal 12 3 2 3 2 2 2 5" xfId="4672"/>
    <cellStyle name="Normal 12 3 2 3 2 2 2 6" xfId="4673"/>
    <cellStyle name="Normal 12 3 2 3 2 2 2 7" xfId="4674"/>
    <cellStyle name="Normal 12 3 2 3 2 2 3" xfId="4675"/>
    <cellStyle name="Normal 12 3 2 3 2 2 3 2" xfId="4676"/>
    <cellStyle name="Normal 12 3 2 3 2 2 3 3" xfId="4677"/>
    <cellStyle name="Normal 12 3 2 3 2 2 4" xfId="4678"/>
    <cellStyle name="Normal 12 3 2 3 2 2 4 2" xfId="4679"/>
    <cellStyle name="Normal 12 3 2 3 2 2 4 3" xfId="4680"/>
    <cellStyle name="Normal 12 3 2 3 2 2 5" xfId="4681"/>
    <cellStyle name="Normal 12 3 2 3 2 2 6" xfId="4682"/>
    <cellStyle name="Normal 12 3 2 3 2 2 7" xfId="4683"/>
    <cellStyle name="Normal 12 3 2 3 2 2 8" xfId="4684"/>
    <cellStyle name="Normal 12 3 2 3 2 3" xfId="4685"/>
    <cellStyle name="Normal 12 3 2 3 2 3 2" xfId="4686"/>
    <cellStyle name="Normal 12 3 2 3 2 3 2 2" xfId="4687"/>
    <cellStyle name="Normal 12 3 2 3 2 3 2 3" xfId="4688"/>
    <cellStyle name="Normal 12 3 2 3 2 3 3" xfId="4689"/>
    <cellStyle name="Normal 12 3 2 3 2 3 3 2" xfId="4690"/>
    <cellStyle name="Normal 12 3 2 3 2 3 3 3" xfId="4691"/>
    <cellStyle name="Normal 12 3 2 3 2 3 4" xfId="4692"/>
    <cellStyle name="Normal 12 3 2 3 2 3 5" xfId="4693"/>
    <cellStyle name="Normal 12 3 2 3 2 3 6" xfId="4694"/>
    <cellStyle name="Normal 12 3 2 3 2 3 7" xfId="4695"/>
    <cellStyle name="Normal 12 3 2 3 2 4" xfId="4696"/>
    <cellStyle name="Normal 12 3 2 3 2 4 2" xfId="4697"/>
    <cellStyle name="Normal 12 3 2 3 2 4 3" xfId="4698"/>
    <cellStyle name="Normal 12 3 2 3 2 5" xfId="4699"/>
    <cellStyle name="Normal 12 3 2 3 2 5 2" xfId="4700"/>
    <cellStyle name="Normal 12 3 2 3 2 5 3" xfId="4701"/>
    <cellStyle name="Normal 12 3 2 3 2 6" xfId="4702"/>
    <cellStyle name="Normal 12 3 2 3 2 7" xfId="4703"/>
    <cellStyle name="Normal 12 3 2 3 2 8" xfId="4704"/>
    <cellStyle name="Normal 12 3 2 3 2 9" xfId="4705"/>
    <cellStyle name="Normal 12 3 2 3 3" xfId="4706"/>
    <cellStyle name="Normal 12 3 2 3 3 2" xfId="4707"/>
    <cellStyle name="Normal 12 3 2 3 3 2 2" xfId="4708"/>
    <cellStyle name="Normal 12 3 2 3 3 2 2 2" xfId="4709"/>
    <cellStyle name="Normal 12 3 2 3 3 2 2 3" xfId="4710"/>
    <cellStyle name="Normal 12 3 2 3 3 2 3" xfId="4711"/>
    <cellStyle name="Normal 12 3 2 3 3 2 3 2" xfId="4712"/>
    <cellStyle name="Normal 12 3 2 3 3 2 3 3" xfId="4713"/>
    <cellStyle name="Normal 12 3 2 3 3 2 4" xfId="4714"/>
    <cellStyle name="Normal 12 3 2 3 3 2 5" xfId="4715"/>
    <cellStyle name="Normal 12 3 2 3 3 2 6" xfId="4716"/>
    <cellStyle name="Normal 12 3 2 3 3 2 7" xfId="4717"/>
    <cellStyle name="Normal 12 3 2 3 3 3" xfId="4718"/>
    <cellStyle name="Normal 12 3 2 3 3 3 2" xfId="4719"/>
    <cellStyle name="Normal 12 3 2 3 3 3 3" xfId="4720"/>
    <cellStyle name="Normal 12 3 2 3 3 4" xfId="4721"/>
    <cellStyle name="Normal 12 3 2 3 3 4 2" xfId="4722"/>
    <cellStyle name="Normal 12 3 2 3 3 4 3" xfId="4723"/>
    <cellStyle name="Normal 12 3 2 3 3 5" xfId="4724"/>
    <cellStyle name="Normal 12 3 2 3 3 6" xfId="4725"/>
    <cellStyle name="Normal 12 3 2 3 3 7" xfId="4726"/>
    <cellStyle name="Normal 12 3 2 3 3 8" xfId="4727"/>
    <cellStyle name="Normal 12 3 2 3 4" xfId="4728"/>
    <cellStyle name="Normal 12 3 2 3 4 2" xfId="4729"/>
    <cellStyle name="Normal 12 3 2 3 4 2 2" xfId="4730"/>
    <cellStyle name="Normal 12 3 2 3 4 2 2 2" xfId="4731"/>
    <cellStyle name="Normal 12 3 2 3 4 2 2 3" xfId="4732"/>
    <cellStyle name="Normal 12 3 2 3 4 2 3" xfId="4733"/>
    <cellStyle name="Normal 12 3 2 3 4 2 3 2" xfId="4734"/>
    <cellStyle name="Normal 12 3 2 3 4 2 3 3" xfId="4735"/>
    <cellStyle name="Normal 12 3 2 3 4 2 4" xfId="4736"/>
    <cellStyle name="Normal 12 3 2 3 4 2 5" xfId="4737"/>
    <cellStyle name="Normal 12 3 2 3 4 2 6" xfId="4738"/>
    <cellStyle name="Normal 12 3 2 3 4 2 7" xfId="4739"/>
    <cellStyle name="Normal 12 3 2 3 4 3" xfId="4740"/>
    <cellStyle name="Normal 12 3 2 3 4 3 2" xfId="4741"/>
    <cellStyle name="Normal 12 3 2 3 4 3 3" xfId="4742"/>
    <cellStyle name="Normal 12 3 2 3 4 4" xfId="4743"/>
    <cellStyle name="Normal 12 3 2 3 4 4 2" xfId="4744"/>
    <cellStyle name="Normal 12 3 2 3 4 4 3" xfId="4745"/>
    <cellStyle name="Normal 12 3 2 3 4 5" xfId="4746"/>
    <cellStyle name="Normal 12 3 2 3 4 6" xfId="4747"/>
    <cellStyle name="Normal 12 3 2 3 4 7" xfId="4748"/>
    <cellStyle name="Normal 12 3 2 3 4 8" xfId="4749"/>
    <cellStyle name="Normal 12 3 2 3 5" xfId="4750"/>
    <cellStyle name="Normal 12 3 2 3 5 2" xfId="4751"/>
    <cellStyle name="Normal 12 3 2 3 5 2 2" xfId="4752"/>
    <cellStyle name="Normal 12 3 2 3 5 2 3" xfId="4753"/>
    <cellStyle name="Normal 12 3 2 3 5 3" xfId="4754"/>
    <cellStyle name="Normal 12 3 2 3 5 3 2" xfId="4755"/>
    <cellStyle name="Normal 12 3 2 3 5 3 3" xfId="4756"/>
    <cellStyle name="Normal 12 3 2 3 5 4" xfId="4757"/>
    <cellStyle name="Normal 12 3 2 3 5 5" xfId="4758"/>
    <cellStyle name="Normal 12 3 2 3 5 6" xfId="4759"/>
    <cellStyle name="Normal 12 3 2 3 5 7" xfId="4760"/>
    <cellStyle name="Normal 12 3 2 3 6" xfId="4761"/>
    <cellStyle name="Normal 12 3 2 3 6 2" xfId="4762"/>
    <cellStyle name="Normal 12 3 2 3 6 3" xfId="4763"/>
    <cellStyle name="Normal 12 3 2 3 7" xfId="4764"/>
    <cellStyle name="Normal 12 3 2 3 7 2" xfId="4765"/>
    <cellStyle name="Normal 12 3 2 3 7 3" xfId="4766"/>
    <cellStyle name="Normal 12 3 2 3 8" xfId="4767"/>
    <cellStyle name="Normal 12 3 2 3 9" xfId="4768"/>
    <cellStyle name="Normal 12 3 2 4" xfId="4769"/>
    <cellStyle name="Normal 12 3 2 4 2" xfId="4770"/>
    <cellStyle name="Normal 12 3 2 4 2 2" xfId="4771"/>
    <cellStyle name="Normal 12 3 2 4 2 2 2" xfId="4772"/>
    <cellStyle name="Normal 12 3 2 4 2 2 2 2" xfId="4773"/>
    <cellStyle name="Normal 12 3 2 4 2 2 2 3" xfId="4774"/>
    <cellStyle name="Normal 12 3 2 4 2 2 3" xfId="4775"/>
    <cellStyle name="Normal 12 3 2 4 2 2 3 2" xfId="4776"/>
    <cellStyle name="Normal 12 3 2 4 2 2 3 3" xfId="4777"/>
    <cellStyle name="Normal 12 3 2 4 2 2 4" xfId="4778"/>
    <cellStyle name="Normal 12 3 2 4 2 2 5" xfId="4779"/>
    <cellStyle name="Normal 12 3 2 4 2 2 6" xfId="4780"/>
    <cellStyle name="Normal 12 3 2 4 2 2 7" xfId="4781"/>
    <cellStyle name="Normal 12 3 2 4 2 3" xfId="4782"/>
    <cellStyle name="Normal 12 3 2 4 2 3 2" xfId="4783"/>
    <cellStyle name="Normal 12 3 2 4 2 3 3" xfId="4784"/>
    <cellStyle name="Normal 12 3 2 4 2 4" xfId="4785"/>
    <cellStyle name="Normal 12 3 2 4 2 4 2" xfId="4786"/>
    <cellStyle name="Normal 12 3 2 4 2 4 3" xfId="4787"/>
    <cellStyle name="Normal 12 3 2 4 2 5" xfId="4788"/>
    <cellStyle name="Normal 12 3 2 4 2 6" xfId="4789"/>
    <cellStyle name="Normal 12 3 2 4 2 7" xfId="4790"/>
    <cellStyle name="Normal 12 3 2 4 2 8" xfId="4791"/>
    <cellStyle name="Normal 12 3 2 4 3" xfId="4792"/>
    <cellStyle name="Normal 12 3 2 4 3 2" xfId="4793"/>
    <cellStyle name="Normal 12 3 2 4 3 2 2" xfId="4794"/>
    <cellStyle name="Normal 12 3 2 4 3 2 3" xfId="4795"/>
    <cellStyle name="Normal 12 3 2 4 3 3" xfId="4796"/>
    <cellStyle name="Normal 12 3 2 4 3 3 2" xfId="4797"/>
    <cellStyle name="Normal 12 3 2 4 3 3 3" xfId="4798"/>
    <cellStyle name="Normal 12 3 2 4 3 4" xfId="4799"/>
    <cellStyle name="Normal 12 3 2 4 3 5" xfId="4800"/>
    <cellStyle name="Normal 12 3 2 4 3 6" xfId="4801"/>
    <cellStyle name="Normal 12 3 2 4 3 7" xfId="4802"/>
    <cellStyle name="Normal 12 3 2 4 4" xfId="4803"/>
    <cellStyle name="Normal 12 3 2 4 4 2" xfId="4804"/>
    <cellStyle name="Normal 12 3 2 4 4 3" xfId="4805"/>
    <cellStyle name="Normal 12 3 2 4 5" xfId="4806"/>
    <cellStyle name="Normal 12 3 2 4 5 2" xfId="4807"/>
    <cellStyle name="Normal 12 3 2 4 5 3" xfId="4808"/>
    <cellStyle name="Normal 12 3 2 4 6" xfId="4809"/>
    <cellStyle name="Normal 12 3 2 4 7" xfId="4810"/>
    <cellStyle name="Normal 12 3 2 4 8" xfId="4811"/>
    <cellStyle name="Normal 12 3 2 4 9" xfId="4812"/>
    <cellStyle name="Normal 12 3 2 5" xfId="4813"/>
    <cellStyle name="Normal 12 3 2 5 2" xfId="4814"/>
    <cellStyle name="Normal 12 3 2 5 2 2" xfId="4815"/>
    <cellStyle name="Normal 12 3 2 5 2 2 2" xfId="4816"/>
    <cellStyle name="Normal 12 3 2 5 2 2 3" xfId="4817"/>
    <cellStyle name="Normal 12 3 2 5 2 3" xfId="4818"/>
    <cellStyle name="Normal 12 3 2 5 2 3 2" xfId="4819"/>
    <cellStyle name="Normal 12 3 2 5 2 3 3" xfId="4820"/>
    <cellStyle name="Normal 12 3 2 5 2 4" xfId="4821"/>
    <cellStyle name="Normal 12 3 2 5 2 5" xfId="4822"/>
    <cellStyle name="Normal 12 3 2 5 2 6" xfId="4823"/>
    <cellStyle name="Normal 12 3 2 5 2 7" xfId="4824"/>
    <cellStyle name="Normal 12 3 2 5 3" xfId="4825"/>
    <cellStyle name="Normal 12 3 2 5 3 2" xfId="4826"/>
    <cellStyle name="Normal 12 3 2 5 3 3" xfId="4827"/>
    <cellStyle name="Normal 12 3 2 5 4" xfId="4828"/>
    <cellStyle name="Normal 12 3 2 5 4 2" xfId="4829"/>
    <cellStyle name="Normal 12 3 2 5 4 3" xfId="4830"/>
    <cellStyle name="Normal 12 3 2 5 5" xfId="4831"/>
    <cellStyle name="Normal 12 3 2 5 6" xfId="4832"/>
    <cellStyle name="Normal 12 3 2 5 7" xfId="4833"/>
    <cellStyle name="Normal 12 3 2 5 8" xfId="4834"/>
    <cellStyle name="Normal 12 3 2 6" xfId="4835"/>
    <cellStyle name="Normal 12 3 2 6 2" xfId="4836"/>
    <cellStyle name="Normal 12 3 2 6 2 2" xfId="4837"/>
    <cellStyle name="Normal 12 3 2 6 2 2 2" xfId="4838"/>
    <cellStyle name="Normal 12 3 2 6 2 2 3" xfId="4839"/>
    <cellStyle name="Normal 12 3 2 6 2 3" xfId="4840"/>
    <cellStyle name="Normal 12 3 2 6 2 3 2" xfId="4841"/>
    <cellStyle name="Normal 12 3 2 6 2 3 3" xfId="4842"/>
    <cellStyle name="Normal 12 3 2 6 2 4" xfId="4843"/>
    <cellStyle name="Normal 12 3 2 6 2 5" xfId="4844"/>
    <cellStyle name="Normal 12 3 2 6 2 6" xfId="4845"/>
    <cellStyle name="Normal 12 3 2 6 2 7" xfId="4846"/>
    <cellStyle name="Normal 12 3 2 6 3" xfId="4847"/>
    <cellStyle name="Normal 12 3 2 6 3 2" xfId="4848"/>
    <cellStyle name="Normal 12 3 2 6 3 3" xfId="4849"/>
    <cellStyle name="Normal 12 3 2 6 4" xfId="4850"/>
    <cellStyle name="Normal 12 3 2 6 4 2" xfId="4851"/>
    <cellStyle name="Normal 12 3 2 6 4 3" xfId="4852"/>
    <cellStyle name="Normal 12 3 2 6 5" xfId="4853"/>
    <cellStyle name="Normal 12 3 2 6 6" xfId="4854"/>
    <cellStyle name="Normal 12 3 2 6 7" xfId="4855"/>
    <cellStyle name="Normal 12 3 2 6 8" xfId="4856"/>
    <cellStyle name="Normal 12 3 2 7" xfId="4857"/>
    <cellStyle name="Normal 12 3 2 7 2" xfId="4858"/>
    <cellStyle name="Normal 12 3 2 7 2 2" xfId="4859"/>
    <cellStyle name="Normal 12 3 2 7 2 3" xfId="4860"/>
    <cellStyle name="Normal 12 3 2 7 3" xfId="4861"/>
    <cellStyle name="Normal 12 3 2 7 3 2" xfId="4862"/>
    <cellStyle name="Normal 12 3 2 7 3 3" xfId="4863"/>
    <cellStyle name="Normal 12 3 2 7 4" xfId="4864"/>
    <cellStyle name="Normal 12 3 2 7 5" xfId="4865"/>
    <cellStyle name="Normal 12 3 2 7 6" xfId="4866"/>
    <cellStyle name="Normal 12 3 2 7 7" xfId="4867"/>
    <cellStyle name="Normal 12 3 2 8" xfId="4868"/>
    <cellStyle name="Normal 12 3 2 8 2" xfId="4869"/>
    <cellStyle name="Normal 12 3 2 8 3" xfId="4870"/>
    <cellStyle name="Normal 12 3 2 9" xfId="4871"/>
    <cellStyle name="Normal 12 3 2 9 2" xfId="4872"/>
    <cellStyle name="Normal 12 3 2 9 3" xfId="4873"/>
    <cellStyle name="Normal 12 3 3" xfId="4874"/>
    <cellStyle name="Normal 12 3 3 10" xfId="4875"/>
    <cellStyle name="Normal 12 3 3 11" xfId="4876"/>
    <cellStyle name="Normal 12 3 3 2" xfId="4877"/>
    <cellStyle name="Normal 12 3 3 2 2" xfId="4878"/>
    <cellStyle name="Normal 12 3 3 2 2 2" xfId="4879"/>
    <cellStyle name="Normal 12 3 3 2 2 2 2" xfId="4880"/>
    <cellStyle name="Normal 12 3 3 2 2 2 2 2" xfId="4881"/>
    <cellStyle name="Normal 12 3 3 2 2 2 2 3" xfId="4882"/>
    <cellStyle name="Normal 12 3 3 2 2 2 3" xfId="4883"/>
    <cellStyle name="Normal 12 3 3 2 2 2 3 2" xfId="4884"/>
    <cellStyle name="Normal 12 3 3 2 2 2 3 3" xfId="4885"/>
    <cellStyle name="Normal 12 3 3 2 2 2 4" xfId="4886"/>
    <cellStyle name="Normal 12 3 3 2 2 2 5" xfId="4887"/>
    <cellStyle name="Normal 12 3 3 2 2 2 6" xfId="4888"/>
    <cellStyle name="Normal 12 3 3 2 2 2 7" xfId="4889"/>
    <cellStyle name="Normal 12 3 3 2 2 3" xfId="4890"/>
    <cellStyle name="Normal 12 3 3 2 2 3 2" xfId="4891"/>
    <cellStyle name="Normal 12 3 3 2 2 3 3" xfId="4892"/>
    <cellStyle name="Normal 12 3 3 2 2 4" xfId="4893"/>
    <cellStyle name="Normal 12 3 3 2 2 4 2" xfId="4894"/>
    <cellStyle name="Normal 12 3 3 2 2 4 3" xfId="4895"/>
    <cellStyle name="Normal 12 3 3 2 2 5" xfId="4896"/>
    <cellStyle name="Normal 12 3 3 2 2 6" xfId="4897"/>
    <cellStyle name="Normal 12 3 3 2 2 7" xfId="4898"/>
    <cellStyle name="Normal 12 3 3 2 2 8" xfId="4899"/>
    <cellStyle name="Normal 12 3 3 2 3" xfId="4900"/>
    <cellStyle name="Normal 12 3 3 2 3 2" xfId="4901"/>
    <cellStyle name="Normal 12 3 3 2 3 2 2" xfId="4902"/>
    <cellStyle name="Normal 12 3 3 2 3 2 3" xfId="4903"/>
    <cellStyle name="Normal 12 3 3 2 3 3" xfId="4904"/>
    <cellStyle name="Normal 12 3 3 2 3 3 2" xfId="4905"/>
    <cellStyle name="Normal 12 3 3 2 3 3 3" xfId="4906"/>
    <cellStyle name="Normal 12 3 3 2 3 4" xfId="4907"/>
    <cellStyle name="Normal 12 3 3 2 3 5" xfId="4908"/>
    <cellStyle name="Normal 12 3 3 2 3 6" xfId="4909"/>
    <cellStyle name="Normal 12 3 3 2 3 7" xfId="4910"/>
    <cellStyle name="Normal 12 3 3 2 4" xfId="4911"/>
    <cellStyle name="Normal 12 3 3 2 4 2" xfId="4912"/>
    <cellStyle name="Normal 12 3 3 2 4 3" xfId="4913"/>
    <cellStyle name="Normal 12 3 3 2 5" xfId="4914"/>
    <cellStyle name="Normal 12 3 3 2 5 2" xfId="4915"/>
    <cellStyle name="Normal 12 3 3 2 5 3" xfId="4916"/>
    <cellStyle name="Normal 12 3 3 2 6" xfId="4917"/>
    <cellStyle name="Normal 12 3 3 2 7" xfId="4918"/>
    <cellStyle name="Normal 12 3 3 2 8" xfId="4919"/>
    <cellStyle name="Normal 12 3 3 2 9" xfId="4920"/>
    <cellStyle name="Normal 12 3 3 3" xfId="4921"/>
    <cellStyle name="Normal 12 3 3 3 2" xfId="4922"/>
    <cellStyle name="Normal 12 3 3 3 2 2" xfId="4923"/>
    <cellStyle name="Normal 12 3 3 3 2 2 2" xfId="4924"/>
    <cellStyle name="Normal 12 3 3 3 2 2 3" xfId="4925"/>
    <cellStyle name="Normal 12 3 3 3 2 3" xfId="4926"/>
    <cellStyle name="Normal 12 3 3 3 2 3 2" xfId="4927"/>
    <cellStyle name="Normal 12 3 3 3 2 3 3" xfId="4928"/>
    <cellStyle name="Normal 12 3 3 3 2 4" xfId="4929"/>
    <cellStyle name="Normal 12 3 3 3 2 5" xfId="4930"/>
    <cellStyle name="Normal 12 3 3 3 2 6" xfId="4931"/>
    <cellStyle name="Normal 12 3 3 3 2 7" xfId="4932"/>
    <cellStyle name="Normal 12 3 3 3 3" xfId="4933"/>
    <cellStyle name="Normal 12 3 3 3 3 2" xfId="4934"/>
    <cellStyle name="Normal 12 3 3 3 3 3" xfId="4935"/>
    <cellStyle name="Normal 12 3 3 3 4" xfId="4936"/>
    <cellStyle name="Normal 12 3 3 3 4 2" xfId="4937"/>
    <cellStyle name="Normal 12 3 3 3 4 3" xfId="4938"/>
    <cellStyle name="Normal 12 3 3 3 5" xfId="4939"/>
    <cellStyle name="Normal 12 3 3 3 6" xfId="4940"/>
    <cellStyle name="Normal 12 3 3 3 7" xfId="4941"/>
    <cellStyle name="Normal 12 3 3 3 8" xfId="4942"/>
    <cellStyle name="Normal 12 3 3 4" xfId="4943"/>
    <cellStyle name="Normal 12 3 3 4 2" xfId="4944"/>
    <cellStyle name="Normal 12 3 3 4 2 2" xfId="4945"/>
    <cellStyle name="Normal 12 3 3 4 2 2 2" xfId="4946"/>
    <cellStyle name="Normal 12 3 3 4 2 2 3" xfId="4947"/>
    <cellStyle name="Normal 12 3 3 4 2 3" xfId="4948"/>
    <cellStyle name="Normal 12 3 3 4 2 3 2" xfId="4949"/>
    <cellStyle name="Normal 12 3 3 4 2 3 3" xfId="4950"/>
    <cellStyle name="Normal 12 3 3 4 2 4" xfId="4951"/>
    <cellStyle name="Normal 12 3 3 4 2 5" xfId="4952"/>
    <cellStyle name="Normal 12 3 3 4 2 6" xfId="4953"/>
    <cellStyle name="Normal 12 3 3 4 2 7" xfId="4954"/>
    <cellStyle name="Normal 12 3 3 4 3" xfId="4955"/>
    <cellStyle name="Normal 12 3 3 4 3 2" xfId="4956"/>
    <cellStyle name="Normal 12 3 3 4 3 3" xfId="4957"/>
    <cellStyle name="Normal 12 3 3 4 4" xfId="4958"/>
    <cellStyle name="Normal 12 3 3 4 4 2" xfId="4959"/>
    <cellStyle name="Normal 12 3 3 4 4 3" xfId="4960"/>
    <cellStyle name="Normal 12 3 3 4 5" xfId="4961"/>
    <cellStyle name="Normal 12 3 3 4 6" xfId="4962"/>
    <cellStyle name="Normal 12 3 3 4 7" xfId="4963"/>
    <cellStyle name="Normal 12 3 3 4 8" xfId="4964"/>
    <cellStyle name="Normal 12 3 3 5" xfId="4965"/>
    <cellStyle name="Normal 12 3 3 5 2" xfId="4966"/>
    <cellStyle name="Normal 12 3 3 5 2 2" xfId="4967"/>
    <cellStyle name="Normal 12 3 3 5 2 3" xfId="4968"/>
    <cellStyle name="Normal 12 3 3 5 3" xfId="4969"/>
    <cellStyle name="Normal 12 3 3 5 3 2" xfId="4970"/>
    <cellStyle name="Normal 12 3 3 5 3 3" xfId="4971"/>
    <cellStyle name="Normal 12 3 3 5 4" xfId="4972"/>
    <cellStyle name="Normal 12 3 3 5 5" xfId="4973"/>
    <cellStyle name="Normal 12 3 3 5 6" xfId="4974"/>
    <cellStyle name="Normal 12 3 3 5 7" xfId="4975"/>
    <cellStyle name="Normal 12 3 3 6" xfId="4976"/>
    <cellStyle name="Normal 12 3 3 6 2" xfId="4977"/>
    <cellStyle name="Normal 12 3 3 6 3" xfId="4978"/>
    <cellStyle name="Normal 12 3 3 7" xfId="4979"/>
    <cellStyle name="Normal 12 3 3 7 2" xfId="4980"/>
    <cellStyle name="Normal 12 3 3 7 3" xfId="4981"/>
    <cellStyle name="Normal 12 3 3 8" xfId="4982"/>
    <cellStyle name="Normal 12 3 3 9" xfId="4983"/>
    <cellStyle name="Normal 12 3 4" xfId="4984"/>
    <cellStyle name="Normal 12 3 4 10" xfId="4985"/>
    <cellStyle name="Normal 12 3 4 11" xfId="4986"/>
    <cellStyle name="Normal 12 3 4 2" xfId="4987"/>
    <cellStyle name="Normal 12 3 4 2 2" xfId="4988"/>
    <cellStyle name="Normal 12 3 4 2 2 2" xfId="4989"/>
    <cellStyle name="Normal 12 3 4 2 2 2 2" xfId="4990"/>
    <cellStyle name="Normal 12 3 4 2 2 2 2 2" xfId="4991"/>
    <cellStyle name="Normal 12 3 4 2 2 2 2 3" xfId="4992"/>
    <cellStyle name="Normal 12 3 4 2 2 2 3" xfId="4993"/>
    <cellStyle name="Normal 12 3 4 2 2 2 3 2" xfId="4994"/>
    <cellStyle name="Normal 12 3 4 2 2 2 3 3" xfId="4995"/>
    <cellStyle name="Normal 12 3 4 2 2 2 4" xfId="4996"/>
    <cellStyle name="Normal 12 3 4 2 2 2 5" xfId="4997"/>
    <cellStyle name="Normal 12 3 4 2 2 2 6" xfId="4998"/>
    <cellStyle name="Normal 12 3 4 2 2 2 7" xfId="4999"/>
    <cellStyle name="Normal 12 3 4 2 2 3" xfId="5000"/>
    <cellStyle name="Normal 12 3 4 2 2 3 2" xfId="5001"/>
    <cellStyle name="Normal 12 3 4 2 2 3 3" xfId="5002"/>
    <cellStyle name="Normal 12 3 4 2 2 4" xfId="5003"/>
    <cellStyle name="Normal 12 3 4 2 2 4 2" xfId="5004"/>
    <cellStyle name="Normal 12 3 4 2 2 4 3" xfId="5005"/>
    <cellStyle name="Normal 12 3 4 2 2 5" xfId="5006"/>
    <cellStyle name="Normal 12 3 4 2 2 6" xfId="5007"/>
    <cellStyle name="Normal 12 3 4 2 2 7" xfId="5008"/>
    <cellStyle name="Normal 12 3 4 2 2 8" xfId="5009"/>
    <cellStyle name="Normal 12 3 4 2 3" xfId="5010"/>
    <cellStyle name="Normal 12 3 4 2 3 2" xfId="5011"/>
    <cellStyle name="Normal 12 3 4 2 3 2 2" xfId="5012"/>
    <cellStyle name="Normal 12 3 4 2 3 2 3" xfId="5013"/>
    <cellStyle name="Normal 12 3 4 2 3 3" xfId="5014"/>
    <cellStyle name="Normal 12 3 4 2 3 3 2" xfId="5015"/>
    <cellStyle name="Normal 12 3 4 2 3 3 3" xfId="5016"/>
    <cellStyle name="Normal 12 3 4 2 3 4" xfId="5017"/>
    <cellStyle name="Normal 12 3 4 2 3 5" xfId="5018"/>
    <cellStyle name="Normal 12 3 4 2 3 6" xfId="5019"/>
    <cellStyle name="Normal 12 3 4 2 3 7" xfId="5020"/>
    <cellStyle name="Normal 12 3 4 2 4" xfId="5021"/>
    <cellStyle name="Normal 12 3 4 2 4 2" xfId="5022"/>
    <cellStyle name="Normal 12 3 4 2 4 3" xfId="5023"/>
    <cellStyle name="Normal 12 3 4 2 5" xfId="5024"/>
    <cellStyle name="Normal 12 3 4 2 5 2" xfId="5025"/>
    <cellStyle name="Normal 12 3 4 2 5 3" xfId="5026"/>
    <cellStyle name="Normal 12 3 4 2 6" xfId="5027"/>
    <cellStyle name="Normal 12 3 4 2 7" xfId="5028"/>
    <cellStyle name="Normal 12 3 4 2 8" xfId="5029"/>
    <cellStyle name="Normal 12 3 4 2 9" xfId="5030"/>
    <cellStyle name="Normal 12 3 4 3" xfId="5031"/>
    <cellStyle name="Normal 12 3 4 3 2" xfId="5032"/>
    <cellStyle name="Normal 12 3 4 3 2 2" xfId="5033"/>
    <cellStyle name="Normal 12 3 4 3 2 2 2" xfId="5034"/>
    <cellStyle name="Normal 12 3 4 3 2 2 3" xfId="5035"/>
    <cellStyle name="Normal 12 3 4 3 2 3" xfId="5036"/>
    <cellStyle name="Normal 12 3 4 3 2 3 2" xfId="5037"/>
    <cellStyle name="Normal 12 3 4 3 2 3 3" xfId="5038"/>
    <cellStyle name="Normal 12 3 4 3 2 4" xfId="5039"/>
    <cellStyle name="Normal 12 3 4 3 2 5" xfId="5040"/>
    <cellStyle name="Normal 12 3 4 3 2 6" xfId="5041"/>
    <cellStyle name="Normal 12 3 4 3 2 7" xfId="5042"/>
    <cellStyle name="Normal 12 3 4 3 3" xfId="5043"/>
    <cellStyle name="Normal 12 3 4 3 3 2" xfId="5044"/>
    <cellStyle name="Normal 12 3 4 3 3 3" xfId="5045"/>
    <cellStyle name="Normal 12 3 4 3 4" xfId="5046"/>
    <cellStyle name="Normal 12 3 4 3 4 2" xfId="5047"/>
    <cellStyle name="Normal 12 3 4 3 4 3" xfId="5048"/>
    <cellStyle name="Normal 12 3 4 3 5" xfId="5049"/>
    <cellStyle name="Normal 12 3 4 3 6" xfId="5050"/>
    <cellStyle name="Normal 12 3 4 3 7" xfId="5051"/>
    <cellStyle name="Normal 12 3 4 3 8" xfId="5052"/>
    <cellStyle name="Normal 12 3 4 4" xfId="5053"/>
    <cellStyle name="Normal 12 3 4 4 2" xfId="5054"/>
    <cellStyle name="Normal 12 3 4 4 2 2" xfId="5055"/>
    <cellStyle name="Normal 12 3 4 4 2 2 2" xfId="5056"/>
    <cellStyle name="Normal 12 3 4 4 2 2 3" xfId="5057"/>
    <cellStyle name="Normal 12 3 4 4 2 3" xfId="5058"/>
    <cellStyle name="Normal 12 3 4 4 2 3 2" xfId="5059"/>
    <cellStyle name="Normal 12 3 4 4 2 3 3" xfId="5060"/>
    <cellStyle name="Normal 12 3 4 4 2 4" xfId="5061"/>
    <cellStyle name="Normal 12 3 4 4 2 5" xfId="5062"/>
    <cellStyle name="Normal 12 3 4 4 2 6" xfId="5063"/>
    <cellStyle name="Normal 12 3 4 4 2 7" xfId="5064"/>
    <cellStyle name="Normal 12 3 4 4 3" xfId="5065"/>
    <cellStyle name="Normal 12 3 4 4 3 2" xfId="5066"/>
    <cellStyle name="Normal 12 3 4 4 3 3" xfId="5067"/>
    <cellStyle name="Normal 12 3 4 4 4" xfId="5068"/>
    <cellStyle name="Normal 12 3 4 4 4 2" xfId="5069"/>
    <cellStyle name="Normal 12 3 4 4 4 3" xfId="5070"/>
    <cellStyle name="Normal 12 3 4 4 5" xfId="5071"/>
    <cellStyle name="Normal 12 3 4 4 6" xfId="5072"/>
    <cellStyle name="Normal 12 3 4 4 7" xfId="5073"/>
    <cellStyle name="Normal 12 3 4 4 8" xfId="5074"/>
    <cellStyle name="Normal 12 3 4 5" xfId="5075"/>
    <cellStyle name="Normal 12 3 4 5 2" xfId="5076"/>
    <cellStyle name="Normal 12 3 4 5 2 2" xfId="5077"/>
    <cellStyle name="Normal 12 3 4 5 2 3" xfId="5078"/>
    <cellStyle name="Normal 12 3 4 5 3" xfId="5079"/>
    <cellStyle name="Normal 12 3 4 5 3 2" xfId="5080"/>
    <cellStyle name="Normal 12 3 4 5 3 3" xfId="5081"/>
    <cellStyle name="Normal 12 3 4 5 4" xfId="5082"/>
    <cellStyle name="Normal 12 3 4 5 5" xfId="5083"/>
    <cellStyle name="Normal 12 3 4 5 6" xfId="5084"/>
    <cellStyle name="Normal 12 3 4 5 7" xfId="5085"/>
    <cellStyle name="Normal 12 3 4 6" xfId="5086"/>
    <cellStyle name="Normal 12 3 4 6 2" xfId="5087"/>
    <cellStyle name="Normal 12 3 4 6 3" xfId="5088"/>
    <cellStyle name="Normal 12 3 4 7" xfId="5089"/>
    <cellStyle name="Normal 12 3 4 7 2" xfId="5090"/>
    <cellStyle name="Normal 12 3 4 7 3" xfId="5091"/>
    <cellStyle name="Normal 12 3 4 8" xfId="5092"/>
    <cellStyle name="Normal 12 3 4 9" xfId="5093"/>
    <cellStyle name="Normal 12 3 5" xfId="5094"/>
    <cellStyle name="Normal 12 3 5 10" xfId="5095"/>
    <cellStyle name="Normal 12 3 5 11" xfId="5096"/>
    <cellStyle name="Normal 12 3 5 2" xfId="5097"/>
    <cellStyle name="Normal 12 3 5 2 2" xfId="5098"/>
    <cellStyle name="Normal 12 3 5 2 2 2" xfId="5099"/>
    <cellStyle name="Normal 12 3 5 2 2 2 2" xfId="5100"/>
    <cellStyle name="Normal 12 3 5 2 2 2 2 2" xfId="5101"/>
    <cellStyle name="Normal 12 3 5 2 2 2 2 3" xfId="5102"/>
    <cellStyle name="Normal 12 3 5 2 2 2 3" xfId="5103"/>
    <cellStyle name="Normal 12 3 5 2 2 2 3 2" xfId="5104"/>
    <cellStyle name="Normal 12 3 5 2 2 2 3 3" xfId="5105"/>
    <cellStyle name="Normal 12 3 5 2 2 2 4" xfId="5106"/>
    <cellStyle name="Normal 12 3 5 2 2 2 5" xfId="5107"/>
    <cellStyle name="Normal 12 3 5 2 2 2 6" xfId="5108"/>
    <cellStyle name="Normal 12 3 5 2 2 2 7" xfId="5109"/>
    <cellStyle name="Normal 12 3 5 2 2 3" xfId="5110"/>
    <cellStyle name="Normal 12 3 5 2 2 3 2" xfId="5111"/>
    <cellStyle name="Normal 12 3 5 2 2 3 3" xfId="5112"/>
    <cellStyle name="Normal 12 3 5 2 2 4" xfId="5113"/>
    <cellStyle name="Normal 12 3 5 2 2 4 2" xfId="5114"/>
    <cellStyle name="Normal 12 3 5 2 2 4 3" xfId="5115"/>
    <cellStyle name="Normal 12 3 5 2 2 5" xfId="5116"/>
    <cellStyle name="Normal 12 3 5 2 2 6" xfId="5117"/>
    <cellStyle name="Normal 12 3 5 2 2 7" xfId="5118"/>
    <cellStyle name="Normal 12 3 5 2 2 8" xfId="5119"/>
    <cellStyle name="Normal 12 3 5 2 3" xfId="5120"/>
    <cellStyle name="Normal 12 3 5 2 3 2" xfId="5121"/>
    <cellStyle name="Normal 12 3 5 2 3 2 2" xfId="5122"/>
    <cellStyle name="Normal 12 3 5 2 3 2 3" xfId="5123"/>
    <cellStyle name="Normal 12 3 5 2 3 3" xfId="5124"/>
    <cellStyle name="Normal 12 3 5 2 3 3 2" xfId="5125"/>
    <cellStyle name="Normal 12 3 5 2 3 3 3" xfId="5126"/>
    <cellStyle name="Normal 12 3 5 2 3 4" xfId="5127"/>
    <cellStyle name="Normal 12 3 5 2 3 5" xfId="5128"/>
    <cellStyle name="Normal 12 3 5 2 3 6" xfId="5129"/>
    <cellStyle name="Normal 12 3 5 2 3 7" xfId="5130"/>
    <cellStyle name="Normal 12 3 5 2 4" xfId="5131"/>
    <cellStyle name="Normal 12 3 5 2 4 2" xfId="5132"/>
    <cellStyle name="Normal 12 3 5 2 4 3" xfId="5133"/>
    <cellStyle name="Normal 12 3 5 2 5" xfId="5134"/>
    <cellStyle name="Normal 12 3 5 2 5 2" xfId="5135"/>
    <cellStyle name="Normal 12 3 5 2 5 3" xfId="5136"/>
    <cellStyle name="Normal 12 3 5 2 6" xfId="5137"/>
    <cellStyle name="Normal 12 3 5 2 7" xfId="5138"/>
    <cellStyle name="Normal 12 3 5 2 8" xfId="5139"/>
    <cellStyle name="Normal 12 3 5 2 9" xfId="5140"/>
    <cellStyle name="Normal 12 3 5 3" xfId="5141"/>
    <cellStyle name="Normal 12 3 5 3 2" xfId="5142"/>
    <cellStyle name="Normal 12 3 5 3 2 2" xfId="5143"/>
    <cellStyle name="Normal 12 3 5 3 2 2 2" xfId="5144"/>
    <cellStyle name="Normal 12 3 5 3 2 2 3" xfId="5145"/>
    <cellStyle name="Normal 12 3 5 3 2 3" xfId="5146"/>
    <cellStyle name="Normal 12 3 5 3 2 3 2" xfId="5147"/>
    <cellStyle name="Normal 12 3 5 3 2 3 3" xfId="5148"/>
    <cellStyle name="Normal 12 3 5 3 2 4" xfId="5149"/>
    <cellStyle name="Normal 12 3 5 3 2 5" xfId="5150"/>
    <cellStyle name="Normal 12 3 5 3 2 6" xfId="5151"/>
    <cellStyle name="Normal 12 3 5 3 2 7" xfId="5152"/>
    <cellStyle name="Normal 12 3 5 3 3" xfId="5153"/>
    <cellStyle name="Normal 12 3 5 3 3 2" xfId="5154"/>
    <cellStyle name="Normal 12 3 5 3 3 3" xfId="5155"/>
    <cellStyle name="Normal 12 3 5 3 4" xfId="5156"/>
    <cellStyle name="Normal 12 3 5 3 4 2" xfId="5157"/>
    <cellStyle name="Normal 12 3 5 3 4 3" xfId="5158"/>
    <cellStyle name="Normal 12 3 5 3 5" xfId="5159"/>
    <cellStyle name="Normal 12 3 5 3 6" xfId="5160"/>
    <cellStyle name="Normal 12 3 5 3 7" xfId="5161"/>
    <cellStyle name="Normal 12 3 5 3 8" xfId="5162"/>
    <cellStyle name="Normal 12 3 5 4" xfId="5163"/>
    <cellStyle name="Normal 12 3 5 4 2" xfId="5164"/>
    <cellStyle name="Normal 12 3 5 4 2 2" xfId="5165"/>
    <cellStyle name="Normal 12 3 5 4 2 2 2" xfId="5166"/>
    <cellStyle name="Normal 12 3 5 4 2 2 3" xfId="5167"/>
    <cellStyle name="Normal 12 3 5 4 2 3" xfId="5168"/>
    <cellStyle name="Normal 12 3 5 4 2 3 2" xfId="5169"/>
    <cellStyle name="Normal 12 3 5 4 2 3 3" xfId="5170"/>
    <cellStyle name="Normal 12 3 5 4 2 4" xfId="5171"/>
    <cellStyle name="Normal 12 3 5 4 2 5" xfId="5172"/>
    <cellStyle name="Normal 12 3 5 4 2 6" xfId="5173"/>
    <cellStyle name="Normal 12 3 5 4 2 7" xfId="5174"/>
    <cellStyle name="Normal 12 3 5 4 3" xfId="5175"/>
    <cellStyle name="Normal 12 3 5 4 3 2" xfId="5176"/>
    <cellStyle name="Normal 12 3 5 4 3 3" xfId="5177"/>
    <cellStyle name="Normal 12 3 5 4 4" xfId="5178"/>
    <cellStyle name="Normal 12 3 5 4 4 2" xfId="5179"/>
    <cellStyle name="Normal 12 3 5 4 4 3" xfId="5180"/>
    <cellStyle name="Normal 12 3 5 4 5" xfId="5181"/>
    <cellStyle name="Normal 12 3 5 4 6" xfId="5182"/>
    <cellStyle name="Normal 12 3 5 4 7" xfId="5183"/>
    <cellStyle name="Normal 12 3 5 4 8" xfId="5184"/>
    <cellStyle name="Normal 12 3 5 5" xfId="5185"/>
    <cellStyle name="Normal 12 3 5 5 2" xfId="5186"/>
    <cellStyle name="Normal 12 3 5 5 2 2" xfId="5187"/>
    <cellStyle name="Normal 12 3 5 5 2 3" xfId="5188"/>
    <cellStyle name="Normal 12 3 5 5 3" xfId="5189"/>
    <cellStyle name="Normal 12 3 5 5 3 2" xfId="5190"/>
    <cellStyle name="Normal 12 3 5 5 3 3" xfId="5191"/>
    <cellStyle name="Normal 12 3 5 5 4" xfId="5192"/>
    <cellStyle name="Normal 12 3 5 5 5" xfId="5193"/>
    <cellStyle name="Normal 12 3 5 5 6" xfId="5194"/>
    <cellStyle name="Normal 12 3 5 5 7" xfId="5195"/>
    <cellStyle name="Normal 12 3 5 6" xfId="5196"/>
    <cellStyle name="Normal 12 3 5 6 2" xfId="5197"/>
    <cellStyle name="Normal 12 3 5 6 3" xfId="5198"/>
    <cellStyle name="Normal 12 3 5 7" xfId="5199"/>
    <cellStyle name="Normal 12 3 5 7 2" xfId="5200"/>
    <cellStyle name="Normal 12 3 5 7 3" xfId="5201"/>
    <cellStyle name="Normal 12 3 5 8" xfId="5202"/>
    <cellStyle name="Normal 12 3 5 9" xfId="5203"/>
    <cellStyle name="Normal 12 3 6" xfId="5204"/>
    <cellStyle name="Normal 12 3 6 10" xfId="5205"/>
    <cellStyle name="Normal 12 3 6 11" xfId="5206"/>
    <cellStyle name="Normal 12 3 6 2" xfId="5207"/>
    <cellStyle name="Normal 12 3 6 2 2" xfId="5208"/>
    <cellStyle name="Normal 12 3 6 2 2 2" xfId="5209"/>
    <cellStyle name="Normal 12 3 6 2 2 2 2" xfId="5210"/>
    <cellStyle name="Normal 12 3 6 2 2 2 2 2" xfId="5211"/>
    <cellStyle name="Normal 12 3 6 2 2 2 2 3" xfId="5212"/>
    <cellStyle name="Normal 12 3 6 2 2 2 3" xfId="5213"/>
    <cellStyle name="Normal 12 3 6 2 2 2 3 2" xfId="5214"/>
    <cellStyle name="Normal 12 3 6 2 2 2 3 3" xfId="5215"/>
    <cellStyle name="Normal 12 3 6 2 2 2 4" xfId="5216"/>
    <cellStyle name="Normal 12 3 6 2 2 2 5" xfId="5217"/>
    <cellStyle name="Normal 12 3 6 2 2 2 6" xfId="5218"/>
    <cellStyle name="Normal 12 3 6 2 2 2 7" xfId="5219"/>
    <cellStyle name="Normal 12 3 6 2 2 3" xfId="5220"/>
    <cellStyle name="Normal 12 3 6 2 2 3 2" xfId="5221"/>
    <cellStyle name="Normal 12 3 6 2 2 3 3" xfId="5222"/>
    <cellStyle name="Normal 12 3 6 2 2 4" xfId="5223"/>
    <cellStyle name="Normal 12 3 6 2 2 4 2" xfId="5224"/>
    <cellStyle name="Normal 12 3 6 2 2 4 3" xfId="5225"/>
    <cellStyle name="Normal 12 3 6 2 2 5" xfId="5226"/>
    <cellStyle name="Normal 12 3 6 2 2 6" xfId="5227"/>
    <cellStyle name="Normal 12 3 6 2 2 7" xfId="5228"/>
    <cellStyle name="Normal 12 3 6 2 2 8" xfId="5229"/>
    <cellStyle name="Normal 12 3 6 2 3" xfId="5230"/>
    <cellStyle name="Normal 12 3 6 2 3 2" xfId="5231"/>
    <cellStyle name="Normal 12 3 6 2 3 2 2" xfId="5232"/>
    <cellStyle name="Normal 12 3 6 2 3 2 3" xfId="5233"/>
    <cellStyle name="Normal 12 3 6 2 3 3" xfId="5234"/>
    <cellStyle name="Normal 12 3 6 2 3 3 2" xfId="5235"/>
    <cellStyle name="Normal 12 3 6 2 3 3 3" xfId="5236"/>
    <cellStyle name="Normal 12 3 6 2 3 4" xfId="5237"/>
    <cellStyle name="Normal 12 3 6 2 3 5" xfId="5238"/>
    <cellStyle name="Normal 12 3 6 2 3 6" xfId="5239"/>
    <cellStyle name="Normal 12 3 6 2 3 7" xfId="5240"/>
    <cellStyle name="Normal 12 3 6 2 4" xfId="5241"/>
    <cellStyle name="Normal 12 3 6 2 4 2" xfId="5242"/>
    <cellStyle name="Normal 12 3 6 2 4 3" xfId="5243"/>
    <cellStyle name="Normal 12 3 6 2 5" xfId="5244"/>
    <cellStyle name="Normal 12 3 6 2 5 2" xfId="5245"/>
    <cellStyle name="Normal 12 3 6 2 5 3" xfId="5246"/>
    <cellStyle name="Normal 12 3 6 2 6" xfId="5247"/>
    <cellStyle name="Normal 12 3 6 2 7" xfId="5248"/>
    <cellStyle name="Normal 12 3 6 2 8" xfId="5249"/>
    <cellStyle name="Normal 12 3 6 2 9" xfId="5250"/>
    <cellStyle name="Normal 12 3 6 3" xfId="5251"/>
    <cellStyle name="Normal 12 3 6 3 2" xfId="5252"/>
    <cellStyle name="Normal 12 3 6 3 2 2" xfId="5253"/>
    <cellStyle name="Normal 12 3 6 3 2 2 2" xfId="5254"/>
    <cellStyle name="Normal 12 3 6 3 2 2 3" xfId="5255"/>
    <cellStyle name="Normal 12 3 6 3 2 3" xfId="5256"/>
    <cellStyle name="Normal 12 3 6 3 2 3 2" xfId="5257"/>
    <cellStyle name="Normal 12 3 6 3 2 3 3" xfId="5258"/>
    <cellStyle name="Normal 12 3 6 3 2 4" xfId="5259"/>
    <cellStyle name="Normal 12 3 6 3 2 5" xfId="5260"/>
    <cellStyle name="Normal 12 3 6 3 2 6" xfId="5261"/>
    <cellStyle name="Normal 12 3 6 3 2 7" xfId="5262"/>
    <cellStyle name="Normal 12 3 6 3 3" xfId="5263"/>
    <cellStyle name="Normal 12 3 6 3 3 2" xfId="5264"/>
    <cellStyle name="Normal 12 3 6 3 3 3" xfId="5265"/>
    <cellStyle name="Normal 12 3 6 3 4" xfId="5266"/>
    <cellStyle name="Normal 12 3 6 3 4 2" xfId="5267"/>
    <cellStyle name="Normal 12 3 6 3 4 3" xfId="5268"/>
    <cellStyle name="Normal 12 3 6 3 5" xfId="5269"/>
    <cellStyle name="Normal 12 3 6 3 6" xfId="5270"/>
    <cellStyle name="Normal 12 3 6 3 7" xfId="5271"/>
    <cellStyle name="Normal 12 3 6 3 8" xfId="5272"/>
    <cellStyle name="Normal 12 3 6 4" xfId="5273"/>
    <cellStyle name="Normal 12 3 6 4 2" xfId="5274"/>
    <cellStyle name="Normal 12 3 6 4 2 2" xfId="5275"/>
    <cellStyle name="Normal 12 3 6 4 2 2 2" xfId="5276"/>
    <cellStyle name="Normal 12 3 6 4 2 2 3" xfId="5277"/>
    <cellStyle name="Normal 12 3 6 4 2 3" xfId="5278"/>
    <cellStyle name="Normal 12 3 6 4 2 3 2" xfId="5279"/>
    <cellStyle name="Normal 12 3 6 4 2 3 3" xfId="5280"/>
    <cellStyle name="Normal 12 3 6 4 2 4" xfId="5281"/>
    <cellStyle name="Normal 12 3 6 4 2 5" xfId="5282"/>
    <cellStyle name="Normal 12 3 6 4 2 6" xfId="5283"/>
    <cellStyle name="Normal 12 3 6 4 2 7" xfId="5284"/>
    <cellStyle name="Normal 12 3 6 4 3" xfId="5285"/>
    <cellStyle name="Normal 12 3 6 4 3 2" xfId="5286"/>
    <cellStyle name="Normal 12 3 6 4 3 3" xfId="5287"/>
    <cellStyle name="Normal 12 3 6 4 4" xfId="5288"/>
    <cellStyle name="Normal 12 3 6 4 4 2" xfId="5289"/>
    <cellStyle name="Normal 12 3 6 4 4 3" xfId="5290"/>
    <cellStyle name="Normal 12 3 6 4 5" xfId="5291"/>
    <cellStyle name="Normal 12 3 6 4 6" xfId="5292"/>
    <cellStyle name="Normal 12 3 6 4 7" xfId="5293"/>
    <cellStyle name="Normal 12 3 6 4 8" xfId="5294"/>
    <cellStyle name="Normal 12 3 6 5" xfId="5295"/>
    <cellStyle name="Normal 12 3 6 5 2" xfId="5296"/>
    <cellStyle name="Normal 12 3 6 5 2 2" xfId="5297"/>
    <cellStyle name="Normal 12 3 6 5 2 3" xfId="5298"/>
    <cellStyle name="Normal 12 3 6 5 3" xfId="5299"/>
    <cellStyle name="Normal 12 3 6 5 3 2" xfId="5300"/>
    <cellStyle name="Normal 12 3 6 5 3 3" xfId="5301"/>
    <cellStyle name="Normal 12 3 6 5 4" xfId="5302"/>
    <cellStyle name="Normal 12 3 6 5 5" xfId="5303"/>
    <cellStyle name="Normal 12 3 6 5 6" xfId="5304"/>
    <cellStyle name="Normal 12 3 6 5 7" xfId="5305"/>
    <cellStyle name="Normal 12 3 6 6" xfId="5306"/>
    <cellStyle name="Normal 12 3 6 6 2" xfId="5307"/>
    <cellStyle name="Normal 12 3 6 6 3" xfId="5308"/>
    <cellStyle name="Normal 12 3 6 7" xfId="5309"/>
    <cellStyle name="Normal 12 3 6 7 2" xfId="5310"/>
    <cellStyle name="Normal 12 3 6 7 3" xfId="5311"/>
    <cellStyle name="Normal 12 3 6 8" xfId="5312"/>
    <cellStyle name="Normal 12 3 6 9" xfId="5313"/>
    <cellStyle name="Normal 12 3 7" xfId="5314"/>
    <cellStyle name="Normal 12 3 7 2" xfId="5315"/>
    <cellStyle name="Normal 12 3 7 2 2" xfId="5316"/>
    <cellStyle name="Normal 12 3 7 2 2 2" xfId="5317"/>
    <cellStyle name="Normal 12 3 7 2 2 2 2" xfId="5318"/>
    <cellStyle name="Normal 12 3 7 2 2 2 3" xfId="5319"/>
    <cellStyle name="Normal 12 3 7 2 2 3" xfId="5320"/>
    <cellStyle name="Normal 12 3 7 2 2 3 2" xfId="5321"/>
    <cellStyle name="Normal 12 3 7 2 2 3 3" xfId="5322"/>
    <cellStyle name="Normal 12 3 7 2 2 4" xfId="5323"/>
    <cellStyle name="Normal 12 3 7 2 2 5" xfId="5324"/>
    <cellStyle name="Normal 12 3 7 2 2 6" xfId="5325"/>
    <cellStyle name="Normal 12 3 7 2 2 7" xfId="5326"/>
    <cellStyle name="Normal 12 3 7 2 3" xfId="5327"/>
    <cellStyle name="Normal 12 3 7 2 3 2" xfId="5328"/>
    <cellStyle name="Normal 12 3 7 2 3 3" xfId="5329"/>
    <cellStyle name="Normal 12 3 7 2 4" xfId="5330"/>
    <cellStyle name="Normal 12 3 7 2 4 2" xfId="5331"/>
    <cellStyle name="Normal 12 3 7 2 4 3" xfId="5332"/>
    <cellStyle name="Normal 12 3 7 2 5" xfId="5333"/>
    <cellStyle name="Normal 12 3 7 2 6" xfId="5334"/>
    <cellStyle name="Normal 12 3 7 2 7" xfId="5335"/>
    <cellStyle name="Normal 12 3 7 2 8" xfId="5336"/>
    <cellStyle name="Normal 12 3 7 3" xfId="5337"/>
    <cellStyle name="Normal 12 3 7 3 2" xfId="5338"/>
    <cellStyle name="Normal 12 3 7 3 2 2" xfId="5339"/>
    <cellStyle name="Normal 12 3 7 3 2 3" xfId="5340"/>
    <cellStyle name="Normal 12 3 7 3 3" xfId="5341"/>
    <cellStyle name="Normal 12 3 7 3 3 2" xfId="5342"/>
    <cellStyle name="Normal 12 3 7 3 3 3" xfId="5343"/>
    <cellStyle name="Normal 12 3 7 3 4" xfId="5344"/>
    <cellStyle name="Normal 12 3 7 3 5" xfId="5345"/>
    <cellStyle name="Normal 12 3 7 3 6" xfId="5346"/>
    <cellStyle name="Normal 12 3 7 3 7" xfId="5347"/>
    <cellStyle name="Normal 12 3 7 4" xfId="5348"/>
    <cellStyle name="Normal 12 3 7 4 2" xfId="5349"/>
    <cellStyle name="Normal 12 3 7 4 3" xfId="5350"/>
    <cellStyle name="Normal 12 3 7 5" xfId="5351"/>
    <cellStyle name="Normal 12 3 7 5 2" xfId="5352"/>
    <cellStyle name="Normal 12 3 7 5 3" xfId="5353"/>
    <cellStyle name="Normal 12 3 7 6" xfId="5354"/>
    <cellStyle name="Normal 12 3 7 7" xfId="5355"/>
    <cellStyle name="Normal 12 3 7 8" xfId="5356"/>
    <cellStyle name="Normal 12 3 7 9" xfId="5357"/>
    <cellStyle name="Normal 12 3 8" xfId="5358"/>
    <cellStyle name="Normal 12 3 8 2" xfId="5359"/>
    <cellStyle name="Normal 12 3 8 2 2" xfId="5360"/>
    <cellStyle name="Normal 12 3 8 2 2 2" xfId="5361"/>
    <cellStyle name="Normal 12 3 8 2 2 3" xfId="5362"/>
    <cellStyle name="Normal 12 3 8 2 3" xfId="5363"/>
    <cellStyle name="Normal 12 3 8 2 3 2" xfId="5364"/>
    <cellStyle name="Normal 12 3 8 2 3 3" xfId="5365"/>
    <cellStyle name="Normal 12 3 8 2 4" xfId="5366"/>
    <cellStyle name="Normal 12 3 8 2 5" xfId="5367"/>
    <cellStyle name="Normal 12 3 8 2 6" xfId="5368"/>
    <cellStyle name="Normal 12 3 8 2 7" xfId="5369"/>
    <cellStyle name="Normal 12 3 8 3" xfId="5370"/>
    <cellStyle name="Normal 12 3 8 3 2" xfId="5371"/>
    <cellStyle name="Normal 12 3 8 3 3" xfId="5372"/>
    <cellStyle name="Normal 12 3 8 4" xfId="5373"/>
    <cellStyle name="Normal 12 3 8 4 2" xfId="5374"/>
    <cellStyle name="Normal 12 3 8 4 3" xfId="5375"/>
    <cellStyle name="Normal 12 3 8 5" xfId="5376"/>
    <cellStyle name="Normal 12 3 8 6" xfId="5377"/>
    <cellStyle name="Normal 12 3 8 7" xfId="5378"/>
    <cellStyle name="Normal 12 3 8 8" xfId="5379"/>
    <cellStyle name="Normal 12 3 9" xfId="5380"/>
    <cellStyle name="Normal 12 3 9 2" xfId="5381"/>
    <cellStyle name="Normal 12 3 9 2 2" xfId="5382"/>
    <cellStyle name="Normal 12 3 9 2 2 2" xfId="5383"/>
    <cellStyle name="Normal 12 3 9 2 2 3" xfId="5384"/>
    <cellStyle name="Normal 12 3 9 2 3" xfId="5385"/>
    <cellStyle name="Normal 12 3 9 2 3 2" xfId="5386"/>
    <cellStyle name="Normal 12 3 9 2 3 3" xfId="5387"/>
    <cellStyle name="Normal 12 3 9 2 4" xfId="5388"/>
    <cellStyle name="Normal 12 3 9 2 5" xfId="5389"/>
    <cellStyle name="Normal 12 3 9 2 6" xfId="5390"/>
    <cellStyle name="Normal 12 3 9 2 7" xfId="5391"/>
    <cellStyle name="Normal 12 3 9 3" xfId="5392"/>
    <cellStyle name="Normal 12 3 9 3 2" xfId="5393"/>
    <cellStyle name="Normal 12 3 9 3 3" xfId="5394"/>
    <cellStyle name="Normal 12 3 9 4" xfId="5395"/>
    <cellStyle name="Normal 12 3 9 4 2" xfId="5396"/>
    <cellStyle name="Normal 12 3 9 4 3" xfId="5397"/>
    <cellStyle name="Normal 12 3 9 5" xfId="5398"/>
    <cellStyle name="Normal 12 3 9 6" xfId="5399"/>
    <cellStyle name="Normal 12 3 9 7" xfId="5400"/>
    <cellStyle name="Normal 12 3 9 8" xfId="5401"/>
    <cellStyle name="Normal 12 4" xfId="5402"/>
    <cellStyle name="Normal 12 4 2" xfId="5403"/>
    <cellStyle name="Normal 12 5" xfId="5404"/>
    <cellStyle name="Normal 12 5 2" xfId="5405"/>
    <cellStyle name="Normal 12 5 3" xfId="5406"/>
    <cellStyle name="Normal 12 6" xfId="5407"/>
    <cellStyle name="Normal 12_2bhk_19122016" xfId="5408"/>
    <cellStyle name="Normal 13" xfId="5409"/>
    <cellStyle name="Normal 13 10" xfId="5410"/>
    <cellStyle name="Normal 13 10 10" xfId="5411"/>
    <cellStyle name="Normal 13 10 11" xfId="5412"/>
    <cellStyle name="Normal 13 10 12" xfId="5413"/>
    <cellStyle name="Normal 13 10 13" xfId="5414"/>
    <cellStyle name="Normal 13 10 14" xfId="5415"/>
    <cellStyle name="Normal 13 10 15" xfId="5416"/>
    <cellStyle name="Normal 13 10 16" xfId="5417"/>
    <cellStyle name="Normal 13 10 17" xfId="5418"/>
    <cellStyle name="Normal 13 10 18" xfId="5419"/>
    <cellStyle name="Normal 13 10 2" xfId="5420"/>
    <cellStyle name="Normal 13 10 2 2" xfId="5421"/>
    <cellStyle name="Normal 13 10 3" xfId="5422"/>
    <cellStyle name="Normal 13 10 3 2" xfId="5423"/>
    <cellStyle name="Normal 13 10 4" xfId="5424"/>
    <cellStyle name="Normal 13 10 4 2" xfId="5425"/>
    <cellStyle name="Normal 13 10 5" xfId="5426"/>
    <cellStyle name="Normal 13 10 5 2" xfId="5427"/>
    <cellStyle name="Normal 13 10 6" xfId="5428"/>
    <cellStyle name="Normal 13 10 6 2" xfId="5429"/>
    <cellStyle name="Normal 13 10 7" xfId="5430"/>
    <cellStyle name="Normal 13 10 7 2" xfId="5431"/>
    <cellStyle name="Normal 13 10 8" xfId="5432"/>
    <cellStyle name="Normal 13 10 8 2" xfId="5433"/>
    <cellStyle name="Normal 13 10 9" xfId="5434"/>
    <cellStyle name="Normal 13 11" xfId="5435"/>
    <cellStyle name="Normal 13 11 2" xfId="5436"/>
    <cellStyle name="Normal 13 12" xfId="5437"/>
    <cellStyle name="Normal 13 12 2" xfId="5438"/>
    <cellStyle name="Normal 13 13" xfId="5439"/>
    <cellStyle name="Normal 13 13 2" xfId="5440"/>
    <cellStyle name="Normal 13 14" xfId="5441"/>
    <cellStyle name="Normal 13 14 2" xfId="5442"/>
    <cellStyle name="Normal 13 15" xfId="5443"/>
    <cellStyle name="Normal 13 15 2" xfId="5444"/>
    <cellStyle name="Normal 13 16" xfId="5445"/>
    <cellStyle name="Normal 13 16 2" xfId="5446"/>
    <cellStyle name="Normal 13 17" xfId="5447"/>
    <cellStyle name="Normal 13 17 2" xfId="5448"/>
    <cellStyle name="Normal 13 18" xfId="5449"/>
    <cellStyle name="Normal 13 19" xfId="5450"/>
    <cellStyle name="Normal 13 2" xfId="5451"/>
    <cellStyle name="Normal 13 2 10" xfId="5452"/>
    <cellStyle name="Normal 13 2 11" xfId="5453"/>
    <cellStyle name="Normal 13 2 12" xfId="5454"/>
    <cellStyle name="Normal 13 2 13" xfId="5455"/>
    <cellStyle name="Normal 13 2 14" xfId="5456"/>
    <cellStyle name="Normal 13 2 15" xfId="5457"/>
    <cellStyle name="Normal 13 2 16" xfId="5458"/>
    <cellStyle name="Normal 13 2 17" xfId="5459"/>
    <cellStyle name="Normal 13 2 18" xfId="5460"/>
    <cellStyle name="Normal 13 2 19" xfId="5461"/>
    <cellStyle name="Normal 13 2 2" xfId="5462"/>
    <cellStyle name="Normal 13 2 2 10" xfId="5463"/>
    <cellStyle name="Normal 13 2 2 11" xfId="5464"/>
    <cellStyle name="Normal 13 2 2 12" xfId="5465"/>
    <cellStyle name="Normal 13 2 2 13" xfId="5466"/>
    <cellStyle name="Normal 13 2 2 14" xfId="5467"/>
    <cellStyle name="Normal 13 2 2 15" xfId="5468"/>
    <cellStyle name="Normal 13 2 2 16" xfId="5469"/>
    <cellStyle name="Normal 13 2 2 17" xfId="5470"/>
    <cellStyle name="Normal 13 2 2 18" xfId="5471"/>
    <cellStyle name="Normal 13 2 2 2" xfId="5472"/>
    <cellStyle name="Normal 13 2 2 2 2" xfId="5473"/>
    <cellStyle name="Normal 13 2 2 3" xfId="5474"/>
    <cellStyle name="Normal 13 2 2 3 2" xfId="5475"/>
    <cellStyle name="Normal 13 2 2 4" xfId="5476"/>
    <cellStyle name="Normal 13 2 2 4 2" xfId="5477"/>
    <cellStyle name="Normal 13 2 2 5" xfId="5478"/>
    <cellStyle name="Normal 13 2 2 5 2" xfId="5479"/>
    <cellStyle name="Normal 13 2 2 6" xfId="5480"/>
    <cellStyle name="Normal 13 2 2 6 2" xfId="5481"/>
    <cellStyle name="Normal 13 2 2 7" xfId="5482"/>
    <cellStyle name="Normal 13 2 2 7 2" xfId="5483"/>
    <cellStyle name="Normal 13 2 2 8" xfId="5484"/>
    <cellStyle name="Normal 13 2 2 8 2" xfId="5485"/>
    <cellStyle name="Normal 13 2 2 9" xfId="5486"/>
    <cellStyle name="Normal 13 2 3" xfId="5487"/>
    <cellStyle name="Normal 13 2 3 2" xfId="5488"/>
    <cellStyle name="Normal 13 2 4" xfId="5489"/>
    <cellStyle name="Normal 13 2 4 2" xfId="5490"/>
    <cellStyle name="Normal 13 2 5" xfId="5491"/>
    <cellStyle name="Normal 13 2 5 2" xfId="5492"/>
    <cellStyle name="Normal 13 2 6" xfId="5493"/>
    <cellStyle name="Normal 13 2 6 2" xfId="5494"/>
    <cellStyle name="Normal 13 2 7" xfId="5495"/>
    <cellStyle name="Normal 13 2 7 2" xfId="5496"/>
    <cellStyle name="Normal 13 2 8" xfId="5497"/>
    <cellStyle name="Normal 13 2 8 2" xfId="5498"/>
    <cellStyle name="Normal 13 2 9" xfId="5499"/>
    <cellStyle name="Normal 13 2 9 2" xfId="5500"/>
    <cellStyle name="Normal 13 2_Achampally-Gattubuthkur-Ganga-CRR" xfId="5501"/>
    <cellStyle name="Normal 13 20" xfId="5502"/>
    <cellStyle name="Normal 13 21" xfId="5503"/>
    <cellStyle name="Normal 13 22" xfId="5504"/>
    <cellStyle name="Normal 13 23" xfId="5505"/>
    <cellStyle name="Normal 13 24" xfId="5506"/>
    <cellStyle name="Normal 13 25" xfId="5507"/>
    <cellStyle name="Normal 13 26" xfId="5508"/>
    <cellStyle name="Normal 13 27" xfId="5509"/>
    <cellStyle name="Normal 13 3" xfId="5510"/>
    <cellStyle name="Normal 13 3 10" xfId="5511"/>
    <cellStyle name="Normal 13 3 11" xfId="5512"/>
    <cellStyle name="Normal 13 3 12" xfId="5513"/>
    <cellStyle name="Normal 13 3 13" xfId="5514"/>
    <cellStyle name="Normal 13 3 14" xfId="5515"/>
    <cellStyle name="Normal 13 3 15" xfId="5516"/>
    <cellStyle name="Normal 13 3 16" xfId="5517"/>
    <cellStyle name="Normal 13 3 17" xfId="5518"/>
    <cellStyle name="Normal 13 3 18" xfId="5519"/>
    <cellStyle name="Normal 13 3 2" xfId="5520"/>
    <cellStyle name="Normal 13 3 2 2" xfId="5521"/>
    <cellStyle name="Normal 13 3 3" xfId="5522"/>
    <cellStyle name="Normal 13 3 3 2" xfId="5523"/>
    <cellStyle name="Normal 13 3 4" xfId="5524"/>
    <cellStyle name="Normal 13 3 4 2" xfId="5525"/>
    <cellStyle name="Normal 13 3 5" xfId="5526"/>
    <cellStyle name="Normal 13 3 5 2" xfId="5527"/>
    <cellStyle name="Normal 13 3 6" xfId="5528"/>
    <cellStyle name="Normal 13 3 6 2" xfId="5529"/>
    <cellStyle name="Normal 13 3 7" xfId="5530"/>
    <cellStyle name="Normal 13 3 7 2" xfId="5531"/>
    <cellStyle name="Normal 13 3 8" xfId="5532"/>
    <cellStyle name="Normal 13 3 8 2" xfId="5533"/>
    <cellStyle name="Normal 13 3 9" xfId="5534"/>
    <cellStyle name="Normal 13 4" xfId="5535"/>
    <cellStyle name="Normal 13 4 10" xfId="5536"/>
    <cellStyle name="Normal 13 4 11" xfId="5537"/>
    <cellStyle name="Normal 13 4 12" xfId="5538"/>
    <cellStyle name="Normal 13 4 13" xfId="5539"/>
    <cellStyle name="Normal 13 4 14" xfId="5540"/>
    <cellStyle name="Normal 13 4 15" xfId="5541"/>
    <cellStyle name="Normal 13 4 16" xfId="5542"/>
    <cellStyle name="Normal 13 4 17" xfId="5543"/>
    <cellStyle name="Normal 13 4 18" xfId="5544"/>
    <cellStyle name="Normal 13 4 2" xfId="5545"/>
    <cellStyle name="Normal 13 4 2 2" xfId="5546"/>
    <cellStyle name="Normal 13 4 3" xfId="5547"/>
    <cellStyle name="Normal 13 4 3 2" xfId="5548"/>
    <cellStyle name="Normal 13 4 4" xfId="5549"/>
    <cellStyle name="Normal 13 4 4 2" xfId="5550"/>
    <cellStyle name="Normal 13 4 5" xfId="5551"/>
    <cellStyle name="Normal 13 4 5 2" xfId="5552"/>
    <cellStyle name="Normal 13 4 6" xfId="5553"/>
    <cellStyle name="Normal 13 4 6 2" xfId="5554"/>
    <cellStyle name="Normal 13 4 7" xfId="5555"/>
    <cellStyle name="Normal 13 4 7 2" xfId="5556"/>
    <cellStyle name="Normal 13 4 8" xfId="5557"/>
    <cellStyle name="Normal 13 4 8 2" xfId="5558"/>
    <cellStyle name="Normal 13 4 9" xfId="5559"/>
    <cellStyle name="Normal 13 5" xfId="5560"/>
    <cellStyle name="Normal 13 5 10" xfId="5561"/>
    <cellStyle name="Normal 13 5 11" xfId="5562"/>
    <cellStyle name="Normal 13 5 12" xfId="5563"/>
    <cellStyle name="Normal 13 5 13" xfId="5564"/>
    <cellStyle name="Normal 13 5 14" xfId="5565"/>
    <cellStyle name="Normal 13 5 15" xfId="5566"/>
    <cellStyle name="Normal 13 5 16" xfId="5567"/>
    <cellStyle name="Normal 13 5 17" xfId="5568"/>
    <cellStyle name="Normal 13 5 18" xfId="5569"/>
    <cellStyle name="Normal 13 5 2" xfId="5570"/>
    <cellStyle name="Normal 13 5 2 2" xfId="5571"/>
    <cellStyle name="Normal 13 5 3" xfId="5572"/>
    <cellStyle name="Normal 13 5 3 2" xfId="5573"/>
    <cellStyle name="Normal 13 5 4" xfId="5574"/>
    <cellStyle name="Normal 13 5 4 2" xfId="5575"/>
    <cellStyle name="Normal 13 5 5" xfId="5576"/>
    <cellStyle name="Normal 13 5 5 2" xfId="5577"/>
    <cellStyle name="Normal 13 5 6" xfId="5578"/>
    <cellStyle name="Normal 13 5 6 2" xfId="5579"/>
    <cellStyle name="Normal 13 5 7" xfId="5580"/>
    <cellStyle name="Normal 13 5 7 2" xfId="5581"/>
    <cellStyle name="Normal 13 5 8" xfId="5582"/>
    <cellStyle name="Normal 13 5 8 2" xfId="5583"/>
    <cellStyle name="Normal 13 5 9" xfId="5584"/>
    <cellStyle name="Normal 13 6" xfId="5585"/>
    <cellStyle name="Normal 13 6 10" xfId="5586"/>
    <cellStyle name="Normal 13 6 11" xfId="5587"/>
    <cellStyle name="Normal 13 6 12" xfId="5588"/>
    <cellStyle name="Normal 13 6 13" xfId="5589"/>
    <cellStyle name="Normal 13 6 14" xfId="5590"/>
    <cellStyle name="Normal 13 6 15" xfId="5591"/>
    <cellStyle name="Normal 13 6 16" xfId="5592"/>
    <cellStyle name="Normal 13 6 17" xfId="5593"/>
    <cellStyle name="Normal 13 6 18" xfId="5594"/>
    <cellStyle name="Normal 13 6 2" xfId="5595"/>
    <cellStyle name="Normal 13 6 2 2" xfId="5596"/>
    <cellStyle name="Normal 13 6 3" xfId="5597"/>
    <cellStyle name="Normal 13 6 3 2" xfId="5598"/>
    <cellStyle name="Normal 13 6 4" xfId="5599"/>
    <cellStyle name="Normal 13 6 4 2" xfId="5600"/>
    <cellStyle name="Normal 13 6 5" xfId="5601"/>
    <cellStyle name="Normal 13 6 5 2" xfId="5602"/>
    <cellStyle name="Normal 13 6 6" xfId="5603"/>
    <cellStyle name="Normal 13 6 6 2" xfId="5604"/>
    <cellStyle name="Normal 13 6 7" xfId="5605"/>
    <cellStyle name="Normal 13 6 7 2" xfId="5606"/>
    <cellStyle name="Normal 13 6 8" xfId="5607"/>
    <cellStyle name="Normal 13 6 8 2" xfId="5608"/>
    <cellStyle name="Normal 13 6 9" xfId="5609"/>
    <cellStyle name="Normal 13 7" xfId="5610"/>
    <cellStyle name="Normal 13 7 10" xfId="5611"/>
    <cellStyle name="Normal 13 7 11" xfId="5612"/>
    <cellStyle name="Normal 13 7 12" xfId="5613"/>
    <cellStyle name="Normal 13 7 13" xfId="5614"/>
    <cellStyle name="Normal 13 7 14" xfId="5615"/>
    <cellStyle name="Normal 13 7 15" xfId="5616"/>
    <cellStyle name="Normal 13 7 16" xfId="5617"/>
    <cellStyle name="Normal 13 7 17" xfId="5618"/>
    <cellStyle name="Normal 13 7 18" xfId="5619"/>
    <cellStyle name="Normal 13 7 2" xfId="5620"/>
    <cellStyle name="Normal 13 7 2 2" xfId="5621"/>
    <cellStyle name="Normal 13 7 3" xfId="5622"/>
    <cellStyle name="Normal 13 7 3 2" xfId="5623"/>
    <cellStyle name="Normal 13 7 4" xfId="5624"/>
    <cellStyle name="Normal 13 7 4 2" xfId="5625"/>
    <cellStyle name="Normal 13 7 5" xfId="5626"/>
    <cellStyle name="Normal 13 7 5 2" xfId="5627"/>
    <cellStyle name="Normal 13 7 6" xfId="5628"/>
    <cellStyle name="Normal 13 7 6 2" xfId="5629"/>
    <cellStyle name="Normal 13 7 7" xfId="5630"/>
    <cellStyle name="Normal 13 7 7 2" xfId="5631"/>
    <cellStyle name="Normal 13 7 8" xfId="5632"/>
    <cellStyle name="Normal 13 7 8 2" xfId="5633"/>
    <cellStyle name="Normal 13 7 9" xfId="5634"/>
    <cellStyle name="Normal 13 8" xfId="5635"/>
    <cellStyle name="Normal 13 8 10" xfId="5636"/>
    <cellStyle name="Normal 13 8 11" xfId="5637"/>
    <cellStyle name="Normal 13 8 12" xfId="5638"/>
    <cellStyle name="Normal 13 8 13" xfId="5639"/>
    <cellStyle name="Normal 13 8 14" xfId="5640"/>
    <cellStyle name="Normal 13 8 15" xfId="5641"/>
    <cellStyle name="Normal 13 8 16" xfId="5642"/>
    <cellStyle name="Normal 13 8 17" xfId="5643"/>
    <cellStyle name="Normal 13 8 18" xfId="5644"/>
    <cellStyle name="Normal 13 8 2" xfId="5645"/>
    <cellStyle name="Normal 13 8 2 2" xfId="5646"/>
    <cellStyle name="Normal 13 8 3" xfId="5647"/>
    <cellStyle name="Normal 13 8 3 2" xfId="5648"/>
    <cellStyle name="Normal 13 8 4" xfId="5649"/>
    <cellStyle name="Normal 13 8 4 2" xfId="5650"/>
    <cellStyle name="Normal 13 8 5" xfId="5651"/>
    <cellStyle name="Normal 13 8 5 2" xfId="5652"/>
    <cellStyle name="Normal 13 8 6" xfId="5653"/>
    <cellStyle name="Normal 13 8 6 2" xfId="5654"/>
    <cellStyle name="Normal 13 8 7" xfId="5655"/>
    <cellStyle name="Normal 13 8 7 2" xfId="5656"/>
    <cellStyle name="Normal 13 8 8" xfId="5657"/>
    <cellStyle name="Normal 13 8 8 2" xfId="5658"/>
    <cellStyle name="Normal 13 8 9" xfId="5659"/>
    <cellStyle name="Normal 13 9" xfId="5660"/>
    <cellStyle name="Normal 13 9 10" xfId="5661"/>
    <cellStyle name="Normal 13 9 11" xfId="5662"/>
    <cellStyle name="Normal 13 9 12" xfId="5663"/>
    <cellStyle name="Normal 13 9 13" xfId="5664"/>
    <cellStyle name="Normal 13 9 14" xfId="5665"/>
    <cellStyle name="Normal 13 9 15" xfId="5666"/>
    <cellStyle name="Normal 13 9 16" xfId="5667"/>
    <cellStyle name="Normal 13 9 17" xfId="5668"/>
    <cellStyle name="Normal 13 9 18" xfId="5669"/>
    <cellStyle name="Normal 13 9 2" xfId="5670"/>
    <cellStyle name="Normal 13 9 2 2" xfId="5671"/>
    <cellStyle name="Normal 13 9 3" xfId="5672"/>
    <cellStyle name="Normal 13 9 3 2" xfId="5673"/>
    <cellStyle name="Normal 13 9 4" xfId="5674"/>
    <cellStyle name="Normal 13 9 4 2" xfId="5675"/>
    <cellStyle name="Normal 13 9 5" xfId="5676"/>
    <cellStyle name="Normal 13 9 5 2" xfId="5677"/>
    <cellStyle name="Normal 13 9 6" xfId="5678"/>
    <cellStyle name="Normal 13 9 6 2" xfId="5679"/>
    <cellStyle name="Normal 13 9 7" xfId="5680"/>
    <cellStyle name="Normal 13 9 7 2" xfId="5681"/>
    <cellStyle name="Normal 13 9 8" xfId="5682"/>
    <cellStyle name="Normal 13 9 8 2" xfId="5683"/>
    <cellStyle name="Normal 13 9 9" xfId="5684"/>
    <cellStyle name="Normal 13_Achampally-Gattubuthkur-Ganga-CRR" xfId="5685"/>
    <cellStyle name="Normal 14" xfId="5686"/>
    <cellStyle name="Normal 14 10" xfId="5687"/>
    <cellStyle name="Normal 14 10 10" xfId="5688"/>
    <cellStyle name="Normal 14 10 11" xfId="5689"/>
    <cellStyle name="Normal 14 10 12" xfId="5690"/>
    <cellStyle name="Normal 14 10 13" xfId="5691"/>
    <cellStyle name="Normal 14 10 14" xfId="5692"/>
    <cellStyle name="Normal 14 10 15" xfId="5693"/>
    <cellStyle name="Normal 14 10 16" xfId="5694"/>
    <cellStyle name="Normal 14 10 17" xfId="5695"/>
    <cellStyle name="Normal 14 10 18" xfId="5696"/>
    <cellStyle name="Normal 14 10 2" xfId="5697"/>
    <cellStyle name="Normal 14 10 2 2" xfId="5698"/>
    <cellStyle name="Normal 14 10 3" xfId="5699"/>
    <cellStyle name="Normal 14 10 3 2" xfId="5700"/>
    <cellStyle name="Normal 14 10 4" xfId="5701"/>
    <cellStyle name="Normal 14 10 4 2" xfId="5702"/>
    <cellStyle name="Normal 14 10 5" xfId="5703"/>
    <cellStyle name="Normal 14 10 5 2" xfId="5704"/>
    <cellStyle name="Normal 14 10 6" xfId="5705"/>
    <cellStyle name="Normal 14 10 6 2" xfId="5706"/>
    <cellStyle name="Normal 14 10 7" xfId="5707"/>
    <cellStyle name="Normal 14 10 7 2" xfId="5708"/>
    <cellStyle name="Normal 14 10 8" xfId="5709"/>
    <cellStyle name="Normal 14 10 8 2" xfId="5710"/>
    <cellStyle name="Normal 14 10 9" xfId="5711"/>
    <cellStyle name="Normal 14 11" xfId="5712"/>
    <cellStyle name="Normal 14 11 2" xfId="5713"/>
    <cellStyle name="Normal 14 12" xfId="5714"/>
    <cellStyle name="Normal 14 12 2" xfId="5715"/>
    <cellStyle name="Normal 14 13" xfId="5716"/>
    <cellStyle name="Normal 14 13 2" xfId="5717"/>
    <cellStyle name="Normal 14 14" xfId="5718"/>
    <cellStyle name="Normal 14 14 2" xfId="5719"/>
    <cellStyle name="Normal 14 15" xfId="5720"/>
    <cellStyle name="Normal 14 15 2" xfId="5721"/>
    <cellStyle name="Normal 14 16" xfId="5722"/>
    <cellStyle name="Normal 14 16 2" xfId="5723"/>
    <cellStyle name="Normal 14 17" xfId="5724"/>
    <cellStyle name="Normal 14 17 2" xfId="5725"/>
    <cellStyle name="Normal 14 18" xfId="5726"/>
    <cellStyle name="Normal 14 19" xfId="5727"/>
    <cellStyle name="Normal 14 2" xfId="5728"/>
    <cellStyle name="Normal 14 2 10" xfId="5729"/>
    <cellStyle name="Normal 14 2 10 2" xfId="5730"/>
    <cellStyle name="Normal 14 2 10 3" xfId="5731"/>
    <cellStyle name="Normal 14 2 11" xfId="5732"/>
    <cellStyle name="Normal 14 2 12" xfId="5733"/>
    <cellStyle name="Normal 14 2 13" xfId="5734"/>
    <cellStyle name="Normal 14 2 14" xfId="5735"/>
    <cellStyle name="Normal 14 2 15" xfId="5736"/>
    <cellStyle name="Normal 14 2 16" xfId="5737"/>
    <cellStyle name="Normal 14 2 17" xfId="5738"/>
    <cellStyle name="Normal 14 2 18" xfId="5739"/>
    <cellStyle name="Normal 14 2 2" xfId="5740"/>
    <cellStyle name="Normal 14 2 2 10" xfId="5741"/>
    <cellStyle name="Normal 14 2 2 11" xfId="5742"/>
    <cellStyle name="Normal 14 2 2 12" xfId="5743"/>
    <cellStyle name="Normal 14 2 2 13" xfId="5744"/>
    <cellStyle name="Normal 14 2 2 2" xfId="5745"/>
    <cellStyle name="Normal 14 2 2 2 10" xfId="5746"/>
    <cellStyle name="Normal 14 2 2 2 11" xfId="5747"/>
    <cellStyle name="Normal 14 2 2 2 2" xfId="5748"/>
    <cellStyle name="Normal 14 2 2 2 3" xfId="5749"/>
    <cellStyle name="Normal 14 2 2 2 4" xfId="5750"/>
    <cellStyle name="Normal 14 2 2 2 5" xfId="5751"/>
    <cellStyle name="Normal 14 2 2 2 6" xfId="5752"/>
    <cellStyle name="Normal 14 2 2 2 7" xfId="5753"/>
    <cellStyle name="Normal 14 2 2 2 8" xfId="5754"/>
    <cellStyle name="Normal 14 2 2 2 9" xfId="5755"/>
    <cellStyle name="Normal 14 2 2 3" xfId="5756"/>
    <cellStyle name="Normal 14 2 2 3 10" xfId="5757"/>
    <cellStyle name="Normal 14 2 2 3 11" xfId="5758"/>
    <cellStyle name="Normal 14 2 2 3 2" xfId="5759"/>
    <cellStyle name="Normal 14 2 2 3 3" xfId="5760"/>
    <cellStyle name="Normal 14 2 2 3 4" xfId="5761"/>
    <cellStyle name="Normal 14 2 2 3 5" xfId="5762"/>
    <cellStyle name="Normal 14 2 2 3 6" xfId="5763"/>
    <cellStyle name="Normal 14 2 2 3 7" xfId="5764"/>
    <cellStyle name="Normal 14 2 2 3 8" xfId="5765"/>
    <cellStyle name="Normal 14 2 2 3 9" xfId="5766"/>
    <cellStyle name="Normal 14 2 2 4" xfId="5767"/>
    <cellStyle name="Normal 14 2 2 4 2" xfId="5768"/>
    <cellStyle name="Normal 14 2 2 4 3" xfId="5769"/>
    <cellStyle name="Normal 14 2 2 5" xfId="5770"/>
    <cellStyle name="Normal 14 2 2 5 2" xfId="5771"/>
    <cellStyle name="Normal 14 2 2 5 3" xfId="5772"/>
    <cellStyle name="Normal 14 2 2 6" xfId="5773"/>
    <cellStyle name="Normal 14 2 2 7" xfId="5774"/>
    <cellStyle name="Normal 14 2 2 8" xfId="5775"/>
    <cellStyle name="Normal 14 2 2 9" xfId="5776"/>
    <cellStyle name="Normal 14 2 3" xfId="5777"/>
    <cellStyle name="Normal 14 2 3 10" xfId="5778"/>
    <cellStyle name="Normal 14 2 3 11" xfId="5779"/>
    <cellStyle name="Normal 14 2 3 12" xfId="5780"/>
    <cellStyle name="Normal 14 2 3 13" xfId="5781"/>
    <cellStyle name="Normal 14 2 3 2" xfId="5782"/>
    <cellStyle name="Normal 14 2 3 2 10" xfId="5783"/>
    <cellStyle name="Normal 14 2 3 2 11" xfId="5784"/>
    <cellStyle name="Normal 14 2 3 2 2" xfId="5785"/>
    <cellStyle name="Normal 14 2 3 2 3" xfId="5786"/>
    <cellStyle name="Normal 14 2 3 2 4" xfId="5787"/>
    <cellStyle name="Normal 14 2 3 2 5" xfId="5788"/>
    <cellStyle name="Normal 14 2 3 2 6" xfId="5789"/>
    <cellStyle name="Normal 14 2 3 2 7" xfId="5790"/>
    <cellStyle name="Normal 14 2 3 2 8" xfId="5791"/>
    <cellStyle name="Normal 14 2 3 2 9" xfId="5792"/>
    <cellStyle name="Normal 14 2 3 3" xfId="5793"/>
    <cellStyle name="Normal 14 2 3 3 10" xfId="5794"/>
    <cellStyle name="Normal 14 2 3 3 11" xfId="5795"/>
    <cellStyle name="Normal 14 2 3 3 2" xfId="5796"/>
    <cellStyle name="Normal 14 2 3 3 3" xfId="5797"/>
    <cellStyle name="Normal 14 2 3 3 4" xfId="5798"/>
    <cellStyle name="Normal 14 2 3 3 5" xfId="5799"/>
    <cellStyle name="Normal 14 2 3 3 6" xfId="5800"/>
    <cellStyle name="Normal 14 2 3 3 7" xfId="5801"/>
    <cellStyle name="Normal 14 2 3 3 8" xfId="5802"/>
    <cellStyle name="Normal 14 2 3 3 9" xfId="5803"/>
    <cellStyle name="Normal 14 2 3 4" xfId="5804"/>
    <cellStyle name="Normal 14 2 3 4 2" xfId="5805"/>
    <cellStyle name="Normal 14 2 3 4 3" xfId="5806"/>
    <cellStyle name="Normal 14 2 3 5" xfId="5807"/>
    <cellStyle name="Normal 14 2 3 5 2" xfId="5808"/>
    <cellStyle name="Normal 14 2 3 5 3" xfId="5809"/>
    <cellStyle name="Normal 14 2 3 6" xfId="5810"/>
    <cellStyle name="Normal 14 2 3 7" xfId="5811"/>
    <cellStyle name="Normal 14 2 3 8" xfId="5812"/>
    <cellStyle name="Normal 14 2 3 9" xfId="5813"/>
    <cellStyle name="Normal 14 2 4" xfId="5814"/>
    <cellStyle name="Normal 14 2 4 10" xfId="5815"/>
    <cellStyle name="Normal 14 2 4 11" xfId="5816"/>
    <cellStyle name="Normal 14 2 4 12" xfId="5817"/>
    <cellStyle name="Normal 14 2 4 13" xfId="5818"/>
    <cellStyle name="Normal 14 2 4 2" xfId="5819"/>
    <cellStyle name="Normal 14 2 4 2 10" xfId="5820"/>
    <cellStyle name="Normal 14 2 4 2 11" xfId="5821"/>
    <cellStyle name="Normal 14 2 4 2 2" xfId="5822"/>
    <cellStyle name="Normal 14 2 4 2 3" xfId="5823"/>
    <cellStyle name="Normal 14 2 4 2 4" xfId="5824"/>
    <cellStyle name="Normal 14 2 4 2 5" xfId="5825"/>
    <cellStyle name="Normal 14 2 4 2 6" xfId="5826"/>
    <cellStyle name="Normal 14 2 4 2 7" xfId="5827"/>
    <cellStyle name="Normal 14 2 4 2 8" xfId="5828"/>
    <cellStyle name="Normal 14 2 4 2 9" xfId="5829"/>
    <cellStyle name="Normal 14 2 4 3" xfId="5830"/>
    <cellStyle name="Normal 14 2 4 3 10" xfId="5831"/>
    <cellStyle name="Normal 14 2 4 3 11" xfId="5832"/>
    <cellStyle name="Normal 14 2 4 3 2" xfId="5833"/>
    <cellStyle name="Normal 14 2 4 3 3" xfId="5834"/>
    <cellStyle name="Normal 14 2 4 3 4" xfId="5835"/>
    <cellStyle name="Normal 14 2 4 3 5" xfId="5836"/>
    <cellStyle name="Normal 14 2 4 3 6" xfId="5837"/>
    <cellStyle name="Normal 14 2 4 3 7" xfId="5838"/>
    <cellStyle name="Normal 14 2 4 3 8" xfId="5839"/>
    <cellStyle name="Normal 14 2 4 3 9" xfId="5840"/>
    <cellStyle name="Normal 14 2 4 4" xfId="5841"/>
    <cellStyle name="Normal 14 2 4 4 2" xfId="5842"/>
    <cellStyle name="Normal 14 2 4 4 3" xfId="5843"/>
    <cellStyle name="Normal 14 2 4 5" xfId="5844"/>
    <cellStyle name="Normal 14 2 4 5 2" xfId="5845"/>
    <cellStyle name="Normal 14 2 4 5 3" xfId="5846"/>
    <cellStyle name="Normal 14 2 4 6" xfId="5847"/>
    <cellStyle name="Normal 14 2 4 7" xfId="5848"/>
    <cellStyle name="Normal 14 2 4 8" xfId="5849"/>
    <cellStyle name="Normal 14 2 4 9" xfId="5850"/>
    <cellStyle name="Normal 14 2 5" xfId="5851"/>
    <cellStyle name="Normal 14 2 5 10" xfId="5852"/>
    <cellStyle name="Normal 14 2 5 11" xfId="5853"/>
    <cellStyle name="Normal 14 2 5 12" xfId="5854"/>
    <cellStyle name="Normal 14 2 5 13" xfId="5855"/>
    <cellStyle name="Normal 14 2 5 2" xfId="5856"/>
    <cellStyle name="Normal 14 2 5 2 10" xfId="5857"/>
    <cellStyle name="Normal 14 2 5 2 11" xfId="5858"/>
    <cellStyle name="Normal 14 2 5 2 2" xfId="5859"/>
    <cellStyle name="Normal 14 2 5 2 3" xfId="5860"/>
    <cellStyle name="Normal 14 2 5 2 4" xfId="5861"/>
    <cellStyle name="Normal 14 2 5 2 5" xfId="5862"/>
    <cellStyle name="Normal 14 2 5 2 6" xfId="5863"/>
    <cellStyle name="Normal 14 2 5 2 7" xfId="5864"/>
    <cellStyle name="Normal 14 2 5 2 8" xfId="5865"/>
    <cellStyle name="Normal 14 2 5 2 9" xfId="5866"/>
    <cellStyle name="Normal 14 2 5 3" xfId="5867"/>
    <cellStyle name="Normal 14 2 5 3 10" xfId="5868"/>
    <cellStyle name="Normal 14 2 5 3 11" xfId="5869"/>
    <cellStyle name="Normal 14 2 5 3 2" xfId="5870"/>
    <cellStyle name="Normal 14 2 5 3 3" xfId="5871"/>
    <cellStyle name="Normal 14 2 5 3 4" xfId="5872"/>
    <cellStyle name="Normal 14 2 5 3 5" xfId="5873"/>
    <cellStyle name="Normal 14 2 5 3 6" xfId="5874"/>
    <cellStyle name="Normal 14 2 5 3 7" xfId="5875"/>
    <cellStyle name="Normal 14 2 5 3 8" xfId="5876"/>
    <cellStyle name="Normal 14 2 5 3 9" xfId="5877"/>
    <cellStyle name="Normal 14 2 5 4" xfId="5878"/>
    <cellStyle name="Normal 14 2 5 4 2" xfId="5879"/>
    <cellStyle name="Normal 14 2 5 4 3" xfId="5880"/>
    <cellStyle name="Normal 14 2 5 5" xfId="5881"/>
    <cellStyle name="Normal 14 2 5 5 2" xfId="5882"/>
    <cellStyle name="Normal 14 2 5 5 3" xfId="5883"/>
    <cellStyle name="Normal 14 2 5 6" xfId="5884"/>
    <cellStyle name="Normal 14 2 5 7" xfId="5885"/>
    <cellStyle name="Normal 14 2 5 8" xfId="5886"/>
    <cellStyle name="Normal 14 2 5 9" xfId="5887"/>
    <cellStyle name="Normal 14 2 6" xfId="5888"/>
    <cellStyle name="Normal 14 2 6 10" xfId="5889"/>
    <cellStyle name="Normal 14 2 6 11" xfId="5890"/>
    <cellStyle name="Normal 14 2 6 12" xfId="5891"/>
    <cellStyle name="Normal 14 2 6 13" xfId="5892"/>
    <cellStyle name="Normal 14 2 6 2" xfId="5893"/>
    <cellStyle name="Normal 14 2 6 2 10" xfId="5894"/>
    <cellStyle name="Normal 14 2 6 2 11" xfId="5895"/>
    <cellStyle name="Normal 14 2 6 2 2" xfId="5896"/>
    <cellStyle name="Normal 14 2 6 2 3" xfId="5897"/>
    <cellStyle name="Normal 14 2 6 2 4" xfId="5898"/>
    <cellStyle name="Normal 14 2 6 2 5" xfId="5899"/>
    <cellStyle name="Normal 14 2 6 2 6" xfId="5900"/>
    <cellStyle name="Normal 14 2 6 2 7" xfId="5901"/>
    <cellStyle name="Normal 14 2 6 2 8" xfId="5902"/>
    <cellStyle name="Normal 14 2 6 2 9" xfId="5903"/>
    <cellStyle name="Normal 14 2 6 3" xfId="5904"/>
    <cellStyle name="Normal 14 2 6 3 10" xfId="5905"/>
    <cellStyle name="Normal 14 2 6 3 11" xfId="5906"/>
    <cellStyle name="Normal 14 2 6 3 2" xfId="5907"/>
    <cellStyle name="Normal 14 2 6 3 3" xfId="5908"/>
    <cellStyle name="Normal 14 2 6 3 4" xfId="5909"/>
    <cellStyle name="Normal 14 2 6 3 5" xfId="5910"/>
    <cellStyle name="Normal 14 2 6 3 6" xfId="5911"/>
    <cellStyle name="Normal 14 2 6 3 7" xfId="5912"/>
    <cellStyle name="Normal 14 2 6 3 8" xfId="5913"/>
    <cellStyle name="Normal 14 2 6 3 9" xfId="5914"/>
    <cellStyle name="Normal 14 2 6 4" xfId="5915"/>
    <cellStyle name="Normal 14 2 6 4 2" xfId="5916"/>
    <cellStyle name="Normal 14 2 6 4 3" xfId="5917"/>
    <cellStyle name="Normal 14 2 6 5" xfId="5918"/>
    <cellStyle name="Normal 14 2 6 5 2" xfId="5919"/>
    <cellStyle name="Normal 14 2 6 5 3" xfId="5920"/>
    <cellStyle name="Normal 14 2 6 6" xfId="5921"/>
    <cellStyle name="Normal 14 2 6 7" xfId="5922"/>
    <cellStyle name="Normal 14 2 6 8" xfId="5923"/>
    <cellStyle name="Normal 14 2 6 9" xfId="5924"/>
    <cellStyle name="Normal 14 2 7" xfId="5925"/>
    <cellStyle name="Normal 14 2 7 10" xfId="5926"/>
    <cellStyle name="Normal 14 2 7 11" xfId="5927"/>
    <cellStyle name="Normal 14 2 7 2" xfId="5928"/>
    <cellStyle name="Normal 14 2 7 3" xfId="5929"/>
    <cellStyle name="Normal 14 2 7 4" xfId="5930"/>
    <cellStyle name="Normal 14 2 7 5" xfId="5931"/>
    <cellStyle name="Normal 14 2 7 6" xfId="5932"/>
    <cellStyle name="Normal 14 2 7 7" xfId="5933"/>
    <cellStyle name="Normal 14 2 7 8" xfId="5934"/>
    <cellStyle name="Normal 14 2 7 9" xfId="5935"/>
    <cellStyle name="Normal 14 2 8" xfId="5936"/>
    <cellStyle name="Normal 14 2 8 10" xfId="5937"/>
    <cellStyle name="Normal 14 2 8 11" xfId="5938"/>
    <cellStyle name="Normal 14 2 8 2" xfId="5939"/>
    <cellStyle name="Normal 14 2 8 3" xfId="5940"/>
    <cellStyle name="Normal 14 2 8 4" xfId="5941"/>
    <cellStyle name="Normal 14 2 8 5" xfId="5942"/>
    <cellStyle name="Normal 14 2 8 6" xfId="5943"/>
    <cellStyle name="Normal 14 2 8 7" xfId="5944"/>
    <cellStyle name="Normal 14 2 8 8" xfId="5945"/>
    <cellStyle name="Normal 14 2 8 9" xfId="5946"/>
    <cellStyle name="Normal 14 2 9" xfId="5947"/>
    <cellStyle name="Normal 14 2 9 2" xfId="5948"/>
    <cellStyle name="Normal 14 2 9 3" xfId="5949"/>
    <cellStyle name="Normal 14 20" xfId="5950"/>
    <cellStyle name="Normal 14 21" xfId="5951"/>
    <cellStyle name="Normal 14 22" xfId="5952"/>
    <cellStyle name="Normal 14 23" xfId="5953"/>
    <cellStyle name="Normal 14 24" xfId="5954"/>
    <cellStyle name="Normal 14 25" xfId="5955"/>
    <cellStyle name="Normal 14 26" xfId="5956"/>
    <cellStyle name="Normal 14 27" xfId="5957"/>
    <cellStyle name="Normal 14 3" xfId="5958"/>
    <cellStyle name="Normal 14 3 10" xfId="5959"/>
    <cellStyle name="Normal 14 3 11" xfId="5960"/>
    <cellStyle name="Normal 14 3 12" xfId="5961"/>
    <cellStyle name="Normal 14 3 13" xfId="5962"/>
    <cellStyle name="Normal 14 3 14" xfId="5963"/>
    <cellStyle name="Normal 14 3 15" xfId="5964"/>
    <cellStyle name="Normal 14 3 16" xfId="5965"/>
    <cellStyle name="Normal 14 3 17" xfId="5966"/>
    <cellStyle name="Normal 14 3 18" xfId="5967"/>
    <cellStyle name="Normal 14 3 2" xfId="5968"/>
    <cellStyle name="Normal 14 3 2 2" xfId="5969"/>
    <cellStyle name="Normal 14 3 3" xfId="5970"/>
    <cellStyle name="Normal 14 3 3 2" xfId="5971"/>
    <cellStyle name="Normal 14 3 4" xfId="5972"/>
    <cellStyle name="Normal 14 3 4 2" xfId="5973"/>
    <cellStyle name="Normal 14 3 5" xfId="5974"/>
    <cellStyle name="Normal 14 3 5 2" xfId="5975"/>
    <cellStyle name="Normal 14 3 6" xfId="5976"/>
    <cellStyle name="Normal 14 3 6 2" xfId="5977"/>
    <cellStyle name="Normal 14 3 7" xfId="5978"/>
    <cellStyle name="Normal 14 3 7 2" xfId="5979"/>
    <cellStyle name="Normal 14 3 8" xfId="5980"/>
    <cellStyle name="Normal 14 3 8 2" xfId="5981"/>
    <cellStyle name="Normal 14 3 9" xfId="5982"/>
    <cellStyle name="Normal 14 4" xfId="5983"/>
    <cellStyle name="Normal 14 4 10" xfId="5984"/>
    <cellStyle name="Normal 14 4 11" xfId="5985"/>
    <cellStyle name="Normal 14 4 12" xfId="5986"/>
    <cellStyle name="Normal 14 4 13" xfId="5987"/>
    <cellStyle name="Normal 14 4 14" xfId="5988"/>
    <cellStyle name="Normal 14 4 15" xfId="5989"/>
    <cellStyle name="Normal 14 4 16" xfId="5990"/>
    <cellStyle name="Normal 14 4 17" xfId="5991"/>
    <cellStyle name="Normal 14 4 18" xfId="5992"/>
    <cellStyle name="Normal 14 4 2" xfId="5993"/>
    <cellStyle name="Normal 14 4 2 2" xfId="5994"/>
    <cellStyle name="Normal 14 4 3" xfId="5995"/>
    <cellStyle name="Normal 14 4 3 2" xfId="5996"/>
    <cellStyle name="Normal 14 4 4" xfId="5997"/>
    <cellStyle name="Normal 14 4 4 2" xfId="5998"/>
    <cellStyle name="Normal 14 4 5" xfId="5999"/>
    <cellStyle name="Normal 14 4 5 2" xfId="6000"/>
    <cellStyle name="Normal 14 4 6" xfId="6001"/>
    <cellStyle name="Normal 14 4 6 2" xfId="6002"/>
    <cellStyle name="Normal 14 4 7" xfId="6003"/>
    <cellStyle name="Normal 14 4 7 2" xfId="6004"/>
    <cellStyle name="Normal 14 4 8" xfId="6005"/>
    <cellStyle name="Normal 14 4 8 2" xfId="6006"/>
    <cellStyle name="Normal 14 4 9" xfId="6007"/>
    <cellStyle name="Normal 14 5" xfId="6008"/>
    <cellStyle name="Normal 14 5 10" xfId="6009"/>
    <cellStyle name="Normal 14 5 11" xfId="6010"/>
    <cellStyle name="Normal 14 5 12" xfId="6011"/>
    <cellStyle name="Normal 14 5 13" xfId="6012"/>
    <cellStyle name="Normal 14 5 14" xfId="6013"/>
    <cellStyle name="Normal 14 5 15" xfId="6014"/>
    <cellStyle name="Normal 14 5 16" xfId="6015"/>
    <cellStyle name="Normal 14 5 17" xfId="6016"/>
    <cellStyle name="Normal 14 5 18" xfId="6017"/>
    <cellStyle name="Normal 14 5 2" xfId="6018"/>
    <cellStyle name="Normal 14 5 2 2" xfId="6019"/>
    <cellStyle name="Normal 14 5 3" xfId="6020"/>
    <cellStyle name="Normal 14 5 3 2" xfId="6021"/>
    <cellStyle name="Normal 14 5 4" xfId="6022"/>
    <cellStyle name="Normal 14 5 4 2" xfId="6023"/>
    <cellStyle name="Normal 14 5 5" xfId="6024"/>
    <cellStyle name="Normal 14 5 5 2" xfId="6025"/>
    <cellStyle name="Normal 14 5 6" xfId="6026"/>
    <cellStyle name="Normal 14 5 6 2" xfId="6027"/>
    <cellStyle name="Normal 14 5 7" xfId="6028"/>
    <cellStyle name="Normal 14 5 7 2" xfId="6029"/>
    <cellStyle name="Normal 14 5 8" xfId="6030"/>
    <cellStyle name="Normal 14 5 8 2" xfId="6031"/>
    <cellStyle name="Normal 14 5 9" xfId="6032"/>
    <cellStyle name="Normal 14 6" xfId="6033"/>
    <cellStyle name="Normal 14 6 10" xfId="6034"/>
    <cellStyle name="Normal 14 6 11" xfId="6035"/>
    <cellStyle name="Normal 14 6 12" xfId="6036"/>
    <cellStyle name="Normal 14 6 13" xfId="6037"/>
    <cellStyle name="Normal 14 6 14" xfId="6038"/>
    <cellStyle name="Normal 14 6 15" xfId="6039"/>
    <cellStyle name="Normal 14 6 16" xfId="6040"/>
    <cellStyle name="Normal 14 6 17" xfId="6041"/>
    <cellStyle name="Normal 14 6 18" xfId="6042"/>
    <cellStyle name="Normal 14 6 2" xfId="6043"/>
    <cellStyle name="Normal 14 6 2 2" xfId="6044"/>
    <cellStyle name="Normal 14 6 3" xfId="6045"/>
    <cellStyle name="Normal 14 6 3 2" xfId="6046"/>
    <cellStyle name="Normal 14 6 4" xfId="6047"/>
    <cellStyle name="Normal 14 6 4 2" xfId="6048"/>
    <cellStyle name="Normal 14 6 5" xfId="6049"/>
    <cellStyle name="Normal 14 6 5 2" xfId="6050"/>
    <cellStyle name="Normal 14 6 6" xfId="6051"/>
    <cellStyle name="Normal 14 6 6 2" xfId="6052"/>
    <cellStyle name="Normal 14 6 7" xfId="6053"/>
    <cellStyle name="Normal 14 6 7 2" xfId="6054"/>
    <cellStyle name="Normal 14 6 8" xfId="6055"/>
    <cellStyle name="Normal 14 6 8 2" xfId="6056"/>
    <cellStyle name="Normal 14 6 9" xfId="6057"/>
    <cellStyle name="Normal 14 7" xfId="6058"/>
    <cellStyle name="Normal 14 7 10" xfId="6059"/>
    <cellStyle name="Normal 14 7 11" xfId="6060"/>
    <cellStyle name="Normal 14 7 12" xfId="6061"/>
    <cellStyle name="Normal 14 7 13" xfId="6062"/>
    <cellStyle name="Normal 14 7 14" xfId="6063"/>
    <cellStyle name="Normal 14 7 15" xfId="6064"/>
    <cellStyle name="Normal 14 7 16" xfId="6065"/>
    <cellStyle name="Normal 14 7 17" xfId="6066"/>
    <cellStyle name="Normal 14 7 18" xfId="6067"/>
    <cellStyle name="Normal 14 7 2" xfId="6068"/>
    <cellStyle name="Normal 14 7 2 2" xfId="6069"/>
    <cellStyle name="Normal 14 7 3" xfId="6070"/>
    <cellStyle name="Normal 14 7 3 2" xfId="6071"/>
    <cellStyle name="Normal 14 7 4" xfId="6072"/>
    <cellStyle name="Normal 14 7 4 2" xfId="6073"/>
    <cellStyle name="Normal 14 7 5" xfId="6074"/>
    <cellStyle name="Normal 14 7 5 2" xfId="6075"/>
    <cellStyle name="Normal 14 7 6" xfId="6076"/>
    <cellStyle name="Normal 14 7 6 2" xfId="6077"/>
    <cellStyle name="Normal 14 7 7" xfId="6078"/>
    <cellStyle name="Normal 14 7 7 2" xfId="6079"/>
    <cellStyle name="Normal 14 7 8" xfId="6080"/>
    <cellStyle name="Normal 14 7 8 2" xfId="6081"/>
    <cellStyle name="Normal 14 7 9" xfId="6082"/>
    <cellStyle name="Normal 14 8" xfId="6083"/>
    <cellStyle name="Normal 14 8 10" xfId="6084"/>
    <cellStyle name="Normal 14 8 11" xfId="6085"/>
    <cellStyle name="Normal 14 8 12" xfId="6086"/>
    <cellStyle name="Normal 14 8 13" xfId="6087"/>
    <cellStyle name="Normal 14 8 14" xfId="6088"/>
    <cellStyle name="Normal 14 8 15" xfId="6089"/>
    <cellStyle name="Normal 14 8 16" xfId="6090"/>
    <cellStyle name="Normal 14 8 17" xfId="6091"/>
    <cellStyle name="Normal 14 8 18" xfId="6092"/>
    <cellStyle name="Normal 14 8 2" xfId="6093"/>
    <cellStyle name="Normal 14 8 2 2" xfId="6094"/>
    <cellStyle name="Normal 14 8 3" xfId="6095"/>
    <cellStyle name="Normal 14 8 3 2" xfId="6096"/>
    <cellStyle name="Normal 14 8 4" xfId="6097"/>
    <cellStyle name="Normal 14 8 4 2" xfId="6098"/>
    <cellStyle name="Normal 14 8 5" xfId="6099"/>
    <cellStyle name="Normal 14 8 5 2" xfId="6100"/>
    <cellStyle name="Normal 14 8 6" xfId="6101"/>
    <cellStyle name="Normal 14 8 6 2" xfId="6102"/>
    <cellStyle name="Normal 14 8 7" xfId="6103"/>
    <cellStyle name="Normal 14 8 7 2" xfId="6104"/>
    <cellStyle name="Normal 14 8 8" xfId="6105"/>
    <cellStyle name="Normal 14 8 8 2" xfId="6106"/>
    <cellStyle name="Normal 14 8 9" xfId="6107"/>
    <cellStyle name="Normal 14 9" xfId="6108"/>
    <cellStyle name="Normal 14 9 10" xfId="6109"/>
    <cellStyle name="Normal 14 9 11" xfId="6110"/>
    <cellStyle name="Normal 14 9 12" xfId="6111"/>
    <cellStyle name="Normal 14 9 13" xfId="6112"/>
    <cellStyle name="Normal 14 9 14" xfId="6113"/>
    <cellStyle name="Normal 14 9 15" xfId="6114"/>
    <cellStyle name="Normal 14 9 16" xfId="6115"/>
    <cellStyle name="Normal 14 9 17" xfId="6116"/>
    <cellStyle name="Normal 14 9 18" xfId="6117"/>
    <cellStyle name="Normal 14 9 2" xfId="6118"/>
    <cellStyle name="Normal 14 9 2 2" xfId="6119"/>
    <cellStyle name="Normal 14 9 3" xfId="6120"/>
    <cellStyle name="Normal 14 9 3 2" xfId="6121"/>
    <cellStyle name="Normal 14 9 4" xfId="6122"/>
    <cellStyle name="Normal 14 9 4 2" xfId="6123"/>
    <cellStyle name="Normal 14 9 5" xfId="6124"/>
    <cellStyle name="Normal 14 9 5 2" xfId="6125"/>
    <cellStyle name="Normal 14 9 6" xfId="6126"/>
    <cellStyle name="Normal 14 9 6 2" xfId="6127"/>
    <cellStyle name="Normal 14 9 7" xfId="6128"/>
    <cellStyle name="Normal 14 9 7 2" xfId="6129"/>
    <cellStyle name="Normal 14 9 8" xfId="6130"/>
    <cellStyle name="Normal 14 9 8 2" xfId="6131"/>
    <cellStyle name="Normal 14 9 9" xfId="6132"/>
    <cellStyle name="Normal 14_Achampally-Gattubuthkur-Ganga-CRR" xfId="6133"/>
    <cellStyle name="Normal 15" xfId="6134"/>
    <cellStyle name="Normal 15 10" xfId="6135"/>
    <cellStyle name="Normal 15 10 10" xfId="6136"/>
    <cellStyle name="Normal 15 10 11" xfId="6137"/>
    <cellStyle name="Normal 15 10 12" xfId="6138"/>
    <cellStyle name="Normal 15 10 13" xfId="6139"/>
    <cellStyle name="Normal 15 10 14" xfId="6140"/>
    <cellStyle name="Normal 15 10 15" xfId="6141"/>
    <cellStyle name="Normal 15 10 16" xfId="6142"/>
    <cellStyle name="Normal 15 10 17" xfId="6143"/>
    <cellStyle name="Normal 15 10 18" xfId="6144"/>
    <cellStyle name="Normal 15 10 2" xfId="6145"/>
    <cellStyle name="Normal 15 10 2 2" xfId="6146"/>
    <cellStyle name="Normal 15 10 3" xfId="6147"/>
    <cellStyle name="Normal 15 10 3 2" xfId="6148"/>
    <cellStyle name="Normal 15 10 4" xfId="6149"/>
    <cellStyle name="Normal 15 10 4 2" xfId="6150"/>
    <cellStyle name="Normal 15 10 5" xfId="6151"/>
    <cellStyle name="Normal 15 10 5 2" xfId="6152"/>
    <cellStyle name="Normal 15 10 6" xfId="6153"/>
    <cellStyle name="Normal 15 10 6 2" xfId="6154"/>
    <cellStyle name="Normal 15 10 7" xfId="6155"/>
    <cellStyle name="Normal 15 10 7 2" xfId="6156"/>
    <cellStyle name="Normal 15 10 8" xfId="6157"/>
    <cellStyle name="Normal 15 10 8 2" xfId="6158"/>
    <cellStyle name="Normal 15 10 9" xfId="6159"/>
    <cellStyle name="Normal 15 11" xfId="6160"/>
    <cellStyle name="Normal 15 11 2" xfId="6161"/>
    <cellStyle name="Normal 15 12" xfId="6162"/>
    <cellStyle name="Normal 15 12 2" xfId="6163"/>
    <cellStyle name="Normal 15 13" xfId="6164"/>
    <cellStyle name="Normal 15 13 2" xfId="6165"/>
    <cellStyle name="Normal 15 14" xfId="6166"/>
    <cellStyle name="Normal 15 14 2" xfId="6167"/>
    <cellStyle name="Normal 15 15" xfId="6168"/>
    <cellStyle name="Normal 15 15 2" xfId="6169"/>
    <cellStyle name="Normal 15 16" xfId="6170"/>
    <cellStyle name="Normal 15 16 2" xfId="6171"/>
    <cellStyle name="Normal 15 17" xfId="6172"/>
    <cellStyle name="Normal 15 17 2" xfId="6173"/>
    <cellStyle name="Normal 15 18" xfId="6174"/>
    <cellStyle name="Normal 15 19" xfId="6175"/>
    <cellStyle name="Normal 15 2" xfId="6176"/>
    <cellStyle name="Normal 15 2 2" xfId="6177"/>
    <cellStyle name="Normal 15 2 2 2" xfId="6178"/>
    <cellStyle name="Normal 15 2 3" xfId="6179"/>
    <cellStyle name="Normal 15 2 3 2" xfId="6180"/>
    <cellStyle name="Normal 15 2 4" xfId="6181"/>
    <cellStyle name="Normal 15 2_Rukmapur (CPD)-wk" xfId="6182"/>
    <cellStyle name="Normal 15 20" xfId="6183"/>
    <cellStyle name="Normal 15 21" xfId="6184"/>
    <cellStyle name="Normal 15 22" xfId="6185"/>
    <cellStyle name="Normal 15 23" xfId="6186"/>
    <cellStyle name="Normal 15 24" xfId="6187"/>
    <cellStyle name="Normal 15 25" xfId="6188"/>
    <cellStyle name="Normal 15 26" xfId="6189"/>
    <cellStyle name="Normal 15 27" xfId="6190"/>
    <cellStyle name="Normal 15 3" xfId="6191"/>
    <cellStyle name="Normal 15 3 10" xfId="6192"/>
    <cellStyle name="Normal 15 3 11" xfId="6193"/>
    <cellStyle name="Normal 15 3 12" xfId="6194"/>
    <cellStyle name="Normal 15 3 13" xfId="6195"/>
    <cellStyle name="Normal 15 3 14" xfId="6196"/>
    <cellStyle name="Normal 15 3 15" xfId="6197"/>
    <cellStyle name="Normal 15 3 16" xfId="6198"/>
    <cellStyle name="Normal 15 3 17" xfId="6199"/>
    <cellStyle name="Normal 15 3 18" xfId="6200"/>
    <cellStyle name="Normal 15 3 2" xfId="6201"/>
    <cellStyle name="Normal 15 3 2 2" xfId="6202"/>
    <cellStyle name="Normal 15 3 3" xfId="6203"/>
    <cellStyle name="Normal 15 3 3 2" xfId="6204"/>
    <cellStyle name="Normal 15 3 4" xfId="6205"/>
    <cellStyle name="Normal 15 3 4 2" xfId="6206"/>
    <cellStyle name="Normal 15 3 5" xfId="6207"/>
    <cellStyle name="Normal 15 3 5 2" xfId="6208"/>
    <cellStyle name="Normal 15 3 6" xfId="6209"/>
    <cellStyle name="Normal 15 3 6 2" xfId="6210"/>
    <cellStyle name="Normal 15 3 7" xfId="6211"/>
    <cellStyle name="Normal 15 3 7 2" xfId="6212"/>
    <cellStyle name="Normal 15 3 8" xfId="6213"/>
    <cellStyle name="Normal 15 3 8 2" xfId="6214"/>
    <cellStyle name="Normal 15 3 9" xfId="6215"/>
    <cellStyle name="Normal 15 4" xfId="6216"/>
    <cellStyle name="Normal 15 4 10" xfId="6217"/>
    <cellStyle name="Normal 15 4 11" xfId="6218"/>
    <cellStyle name="Normal 15 4 12" xfId="6219"/>
    <cellStyle name="Normal 15 4 13" xfId="6220"/>
    <cellStyle name="Normal 15 4 14" xfId="6221"/>
    <cellStyle name="Normal 15 4 15" xfId="6222"/>
    <cellStyle name="Normal 15 4 16" xfId="6223"/>
    <cellStyle name="Normal 15 4 17" xfId="6224"/>
    <cellStyle name="Normal 15 4 18" xfId="6225"/>
    <cellStyle name="Normal 15 4 2" xfId="6226"/>
    <cellStyle name="Normal 15 4 2 2" xfId="6227"/>
    <cellStyle name="Normal 15 4 3" xfId="6228"/>
    <cellStyle name="Normal 15 4 3 2" xfId="6229"/>
    <cellStyle name="Normal 15 4 4" xfId="6230"/>
    <cellStyle name="Normal 15 4 4 2" xfId="6231"/>
    <cellStyle name="Normal 15 4 5" xfId="6232"/>
    <cellStyle name="Normal 15 4 5 2" xfId="6233"/>
    <cellStyle name="Normal 15 4 6" xfId="6234"/>
    <cellStyle name="Normal 15 4 6 2" xfId="6235"/>
    <cellStyle name="Normal 15 4 7" xfId="6236"/>
    <cellStyle name="Normal 15 4 7 2" xfId="6237"/>
    <cellStyle name="Normal 15 4 8" xfId="6238"/>
    <cellStyle name="Normal 15 4 8 2" xfId="6239"/>
    <cellStyle name="Normal 15 4 9" xfId="6240"/>
    <cellStyle name="Normal 15 5" xfId="6241"/>
    <cellStyle name="Normal 15 5 10" xfId="6242"/>
    <cellStyle name="Normal 15 5 11" xfId="6243"/>
    <cellStyle name="Normal 15 5 12" xfId="6244"/>
    <cellStyle name="Normal 15 5 13" xfId="6245"/>
    <cellStyle name="Normal 15 5 14" xfId="6246"/>
    <cellStyle name="Normal 15 5 15" xfId="6247"/>
    <cellStyle name="Normal 15 5 16" xfId="6248"/>
    <cellStyle name="Normal 15 5 17" xfId="6249"/>
    <cellStyle name="Normal 15 5 18" xfId="6250"/>
    <cellStyle name="Normal 15 5 2" xfId="6251"/>
    <cellStyle name="Normal 15 5 2 2" xfId="6252"/>
    <cellStyle name="Normal 15 5 3" xfId="6253"/>
    <cellStyle name="Normal 15 5 3 2" xfId="6254"/>
    <cellStyle name="Normal 15 5 4" xfId="6255"/>
    <cellStyle name="Normal 15 5 4 2" xfId="6256"/>
    <cellStyle name="Normal 15 5 5" xfId="6257"/>
    <cellStyle name="Normal 15 5 5 2" xfId="6258"/>
    <cellStyle name="Normal 15 5 6" xfId="6259"/>
    <cellStyle name="Normal 15 5 6 2" xfId="6260"/>
    <cellStyle name="Normal 15 5 7" xfId="6261"/>
    <cellStyle name="Normal 15 5 7 2" xfId="6262"/>
    <cellStyle name="Normal 15 5 8" xfId="6263"/>
    <cellStyle name="Normal 15 5 8 2" xfId="6264"/>
    <cellStyle name="Normal 15 5 9" xfId="6265"/>
    <cellStyle name="Normal 15 6" xfId="6266"/>
    <cellStyle name="Normal 15 6 10" xfId="6267"/>
    <cellStyle name="Normal 15 6 11" xfId="6268"/>
    <cellStyle name="Normal 15 6 12" xfId="6269"/>
    <cellStyle name="Normal 15 6 13" xfId="6270"/>
    <cellStyle name="Normal 15 6 14" xfId="6271"/>
    <cellStyle name="Normal 15 6 15" xfId="6272"/>
    <cellStyle name="Normal 15 6 16" xfId="6273"/>
    <cellStyle name="Normal 15 6 17" xfId="6274"/>
    <cellStyle name="Normal 15 6 18" xfId="6275"/>
    <cellStyle name="Normal 15 6 2" xfId="6276"/>
    <cellStyle name="Normal 15 6 2 2" xfId="6277"/>
    <cellStyle name="Normal 15 6 3" xfId="6278"/>
    <cellStyle name="Normal 15 6 3 2" xfId="6279"/>
    <cellStyle name="Normal 15 6 4" xfId="6280"/>
    <cellStyle name="Normal 15 6 4 2" xfId="6281"/>
    <cellStyle name="Normal 15 6 5" xfId="6282"/>
    <cellStyle name="Normal 15 6 5 2" xfId="6283"/>
    <cellStyle name="Normal 15 6 6" xfId="6284"/>
    <cellStyle name="Normal 15 6 6 2" xfId="6285"/>
    <cellStyle name="Normal 15 6 7" xfId="6286"/>
    <cellStyle name="Normal 15 6 7 2" xfId="6287"/>
    <cellStyle name="Normal 15 6 8" xfId="6288"/>
    <cellStyle name="Normal 15 6 8 2" xfId="6289"/>
    <cellStyle name="Normal 15 6 9" xfId="6290"/>
    <cellStyle name="Normal 15 7" xfId="6291"/>
    <cellStyle name="Normal 15 7 10" xfId="6292"/>
    <cellStyle name="Normal 15 7 11" xfId="6293"/>
    <cellStyle name="Normal 15 7 12" xfId="6294"/>
    <cellStyle name="Normal 15 7 13" xfId="6295"/>
    <cellStyle name="Normal 15 7 14" xfId="6296"/>
    <cellStyle name="Normal 15 7 15" xfId="6297"/>
    <cellStyle name="Normal 15 7 16" xfId="6298"/>
    <cellStyle name="Normal 15 7 17" xfId="6299"/>
    <cellStyle name="Normal 15 7 18" xfId="6300"/>
    <cellStyle name="Normal 15 7 2" xfId="6301"/>
    <cellStyle name="Normal 15 7 2 2" xfId="6302"/>
    <cellStyle name="Normal 15 7 3" xfId="6303"/>
    <cellStyle name="Normal 15 7 3 2" xfId="6304"/>
    <cellStyle name="Normal 15 7 4" xfId="6305"/>
    <cellStyle name="Normal 15 7 4 2" xfId="6306"/>
    <cellStyle name="Normal 15 7 5" xfId="6307"/>
    <cellStyle name="Normal 15 7 5 2" xfId="6308"/>
    <cellStyle name="Normal 15 7 6" xfId="6309"/>
    <cellStyle name="Normal 15 7 6 2" xfId="6310"/>
    <cellStyle name="Normal 15 7 7" xfId="6311"/>
    <cellStyle name="Normal 15 7 7 2" xfId="6312"/>
    <cellStyle name="Normal 15 7 8" xfId="6313"/>
    <cellStyle name="Normal 15 7 8 2" xfId="6314"/>
    <cellStyle name="Normal 15 7 9" xfId="6315"/>
    <cellStyle name="Normal 15 8" xfId="6316"/>
    <cellStyle name="Normal 15 8 10" xfId="6317"/>
    <cellStyle name="Normal 15 8 11" xfId="6318"/>
    <cellStyle name="Normal 15 8 12" xfId="6319"/>
    <cellStyle name="Normal 15 8 13" xfId="6320"/>
    <cellStyle name="Normal 15 8 14" xfId="6321"/>
    <cellStyle name="Normal 15 8 15" xfId="6322"/>
    <cellStyle name="Normal 15 8 16" xfId="6323"/>
    <cellStyle name="Normal 15 8 17" xfId="6324"/>
    <cellStyle name="Normal 15 8 18" xfId="6325"/>
    <cellStyle name="Normal 15 8 2" xfId="6326"/>
    <cellStyle name="Normal 15 8 2 2" xfId="6327"/>
    <cellStyle name="Normal 15 8 3" xfId="6328"/>
    <cellStyle name="Normal 15 8 3 2" xfId="6329"/>
    <cellStyle name="Normal 15 8 4" xfId="6330"/>
    <cellStyle name="Normal 15 8 4 2" xfId="6331"/>
    <cellStyle name="Normal 15 8 5" xfId="6332"/>
    <cellStyle name="Normal 15 8 5 2" xfId="6333"/>
    <cellStyle name="Normal 15 8 6" xfId="6334"/>
    <cellStyle name="Normal 15 8 6 2" xfId="6335"/>
    <cellStyle name="Normal 15 8 7" xfId="6336"/>
    <cellStyle name="Normal 15 8 7 2" xfId="6337"/>
    <cellStyle name="Normal 15 8 8" xfId="6338"/>
    <cellStyle name="Normal 15 8 8 2" xfId="6339"/>
    <cellStyle name="Normal 15 8 9" xfId="6340"/>
    <cellStyle name="Normal 15 9" xfId="6341"/>
    <cellStyle name="Normal 15 9 10" xfId="6342"/>
    <cellStyle name="Normal 15 9 11" xfId="6343"/>
    <cellStyle name="Normal 15 9 12" xfId="6344"/>
    <cellStyle name="Normal 15 9 13" xfId="6345"/>
    <cellStyle name="Normal 15 9 14" xfId="6346"/>
    <cellStyle name="Normal 15 9 15" xfId="6347"/>
    <cellStyle name="Normal 15 9 16" xfId="6348"/>
    <cellStyle name="Normal 15 9 17" xfId="6349"/>
    <cellStyle name="Normal 15 9 18" xfId="6350"/>
    <cellStyle name="Normal 15 9 2" xfId="6351"/>
    <cellStyle name="Normal 15 9 2 2" xfId="6352"/>
    <cellStyle name="Normal 15 9 3" xfId="6353"/>
    <cellStyle name="Normal 15 9 3 2" xfId="6354"/>
    <cellStyle name="Normal 15 9 4" xfId="6355"/>
    <cellStyle name="Normal 15 9 4 2" xfId="6356"/>
    <cellStyle name="Normal 15 9 5" xfId="6357"/>
    <cellStyle name="Normal 15 9 5 2" xfId="6358"/>
    <cellStyle name="Normal 15 9 6" xfId="6359"/>
    <cellStyle name="Normal 15 9 6 2" xfId="6360"/>
    <cellStyle name="Normal 15 9 7" xfId="6361"/>
    <cellStyle name="Normal 15 9 7 2" xfId="6362"/>
    <cellStyle name="Normal 15 9 8" xfId="6363"/>
    <cellStyle name="Normal 15 9 8 2" xfId="6364"/>
    <cellStyle name="Normal 15 9 9" xfId="6365"/>
    <cellStyle name="Normal 15_2bhk_19122016" xfId="6366"/>
    <cellStyle name="Normal 16" xfId="6367"/>
    <cellStyle name="Normal 16 2" xfId="6368"/>
    <cellStyle name="Normal 16 2 2" xfId="6369"/>
    <cellStyle name="Normal 16 2 2 10" xfId="6370"/>
    <cellStyle name="Normal 16 2 2 11" xfId="6371"/>
    <cellStyle name="Normal 16 2 2 12" xfId="6372"/>
    <cellStyle name="Normal 16 2 2 13" xfId="6373"/>
    <cellStyle name="Normal 16 2 2 2" xfId="6374"/>
    <cellStyle name="Normal 16 2 2 2 10" xfId="6375"/>
    <cellStyle name="Normal 16 2 2 2 11" xfId="6376"/>
    <cellStyle name="Normal 16 2 2 2 2" xfId="6377"/>
    <cellStyle name="Normal 16 2 2 2 3" xfId="6378"/>
    <cellStyle name="Normal 16 2 2 2 4" xfId="6379"/>
    <cellStyle name="Normal 16 2 2 2 5" xfId="6380"/>
    <cellStyle name="Normal 16 2 2 2 6" xfId="6381"/>
    <cellStyle name="Normal 16 2 2 2 7" xfId="6382"/>
    <cellStyle name="Normal 16 2 2 2 8" xfId="6383"/>
    <cellStyle name="Normal 16 2 2 2 9" xfId="6384"/>
    <cellStyle name="Normal 16 2 2 3" xfId="6385"/>
    <cellStyle name="Normal 16 2 2 3 10" xfId="6386"/>
    <cellStyle name="Normal 16 2 2 3 11" xfId="6387"/>
    <cellStyle name="Normal 16 2 2 3 2" xfId="6388"/>
    <cellStyle name="Normal 16 2 2 3 3" xfId="6389"/>
    <cellStyle name="Normal 16 2 2 3 4" xfId="6390"/>
    <cellStyle name="Normal 16 2 2 3 5" xfId="6391"/>
    <cellStyle name="Normal 16 2 2 3 6" xfId="6392"/>
    <cellStyle name="Normal 16 2 2 3 7" xfId="6393"/>
    <cellStyle name="Normal 16 2 2 3 8" xfId="6394"/>
    <cellStyle name="Normal 16 2 2 3 9" xfId="6395"/>
    <cellStyle name="Normal 16 2 2 4" xfId="6396"/>
    <cellStyle name="Normal 16 2 2 4 2" xfId="6397"/>
    <cellStyle name="Normal 16 2 2 4 3" xfId="6398"/>
    <cellStyle name="Normal 16 2 2 5" xfId="6399"/>
    <cellStyle name="Normal 16 2 2 6" xfId="6400"/>
    <cellStyle name="Normal 16 2 2 7" xfId="6401"/>
    <cellStyle name="Normal 16 2 2 8" xfId="6402"/>
    <cellStyle name="Normal 16 2 2 9" xfId="6403"/>
    <cellStyle name="Normal 16 2 3" xfId="6404"/>
    <cellStyle name="Normal 16 2 4" xfId="6405"/>
    <cellStyle name="Normal 16 2_Schedule-1" xfId="6406"/>
    <cellStyle name="Normal 16 3" xfId="6407"/>
    <cellStyle name="Normal 16 3 2" xfId="6408"/>
    <cellStyle name="Normal 16 3 2 2" xfId="6409"/>
    <cellStyle name="Normal 16 3 3" xfId="6410"/>
    <cellStyle name="Normal 16 4" xfId="6411"/>
    <cellStyle name="Normal 16 4 2" xfId="6412"/>
    <cellStyle name="Normal 16 4 3" xfId="6413"/>
    <cellStyle name="Normal 16 5" xfId="6414"/>
    <cellStyle name="Normal 16 5 2" xfId="6415"/>
    <cellStyle name="Normal 16 5 3" xfId="6416"/>
    <cellStyle name="Normal 16 6" xfId="6417"/>
    <cellStyle name="Normal 16 6 2" xfId="6418"/>
    <cellStyle name="Normal 16 7" xfId="6419"/>
    <cellStyle name="Normal 16 7 2" xfId="6420"/>
    <cellStyle name="Normal 16 8" xfId="6421"/>
    <cellStyle name="Normal 16 8 2" xfId="6422"/>
    <cellStyle name="Normal 16 9" xfId="6423"/>
    <cellStyle name="Normal 16_10.Estimate- BEERVELLY" xfId="6424"/>
    <cellStyle name="Normal 17" xfId="6425"/>
    <cellStyle name="Normal 17 10" xfId="6426"/>
    <cellStyle name="Normal 17 10 2" xfId="6427"/>
    <cellStyle name="Normal 17 11" xfId="6428"/>
    <cellStyle name="Normal 17 12" xfId="6429"/>
    <cellStyle name="Normal 17 13" xfId="6430"/>
    <cellStyle name="Normal 17 14" xfId="6431"/>
    <cellStyle name="Normal 17 15" xfId="6432"/>
    <cellStyle name="Normal 17 16" xfId="6433"/>
    <cellStyle name="Normal 17 17" xfId="6434"/>
    <cellStyle name="Normal 17 18" xfId="6435"/>
    <cellStyle name="Normal 17 19" xfId="6436"/>
    <cellStyle name="Normal 17 2" xfId="6437"/>
    <cellStyle name="Normal 17 2 2" xfId="6438"/>
    <cellStyle name="Normal 17 2 2 10" xfId="6439"/>
    <cellStyle name="Normal 17 2 2 11" xfId="6440"/>
    <cellStyle name="Normal 17 2 2 12" xfId="6441"/>
    <cellStyle name="Normal 17 2 2 13" xfId="6442"/>
    <cellStyle name="Normal 17 2 2 2" xfId="6443"/>
    <cellStyle name="Normal 17 2 2 2 10" xfId="6444"/>
    <cellStyle name="Normal 17 2 2 2 11" xfId="6445"/>
    <cellStyle name="Normal 17 2 2 2 2" xfId="6446"/>
    <cellStyle name="Normal 17 2 2 2 3" xfId="6447"/>
    <cellStyle name="Normal 17 2 2 2 4" xfId="6448"/>
    <cellStyle name="Normal 17 2 2 2 5" xfId="6449"/>
    <cellStyle name="Normal 17 2 2 2 6" xfId="6450"/>
    <cellStyle name="Normal 17 2 2 2 7" xfId="6451"/>
    <cellStyle name="Normal 17 2 2 2 8" xfId="6452"/>
    <cellStyle name="Normal 17 2 2 2 9" xfId="6453"/>
    <cellStyle name="Normal 17 2 2 3" xfId="6454"/>
    <cellStyle name="Normal 17 2 2 3 10" xfId="6455"/>
    <cellStyle name="Normal 17 2 2 3 11" xfId="6456"/>
    <cellStyle name="Normal 17 2 2 3 2" xfId="6457"/>
    <cellStyle name="Normal 17 2 2 3 3" xfId="6458"/>
    <cellStyle name="Normal 17 2 2 3 4" xfId="6459"/>
    <cellStyle name="Normal 17 2 2 3 5" xfId="6460"/>
    <cellStyle name="Normal 17 2 2 3 6" xfId="6461"/>
    <cellStyle name="Normal 17 2 2 3 7" xfId="6462"/>
    <cellStyle name="Normal 17 2 2 3 8" xfId="6463"/>
    <cellStyle name="Normal 17 2 2 3 9" xfId="6464"/>
    <cellStyle name="Normal 17 2 2 4" xfId="6465"/>
    <cellStyle name="Normal 17 2 2 4 2" xfId="6466"/>
    <cellStyle name="Normal 17 2 2 4 3" xfId="6467"/>
    <cellStyle name="Normal 17 2 2 5" xfId="6468"/>
    <cellStyle name="Normal 17 2 2 6" xfId="6469"/>
    <cellStyle name="Normal 17 2 2 7" xfId="6470"/>
    <cellStyle name="Normal 17 2 2 8" xfId="6471"/>
    <cellStyle name="Normal 17 2 2 9" xfId="6472"/>
    <cellStyle name="Normal 17 2 3" xfId="6473"/>
    <cellStyle name="Normal 17 2 3 10" xfId="6474"/>
    <cellStyle name="Normal 17 2 3 11" xfId="6475"/>
    <cellStyle name="Normal 17 2 3 12" xfId="6476"/>
    <cellStyle name="Normal 17 2 3 13" xfId="6477"/>
    <cellStyle name="Normal 17 2 3 2" xfId="6478"/>
    <cellStyle name="Normal 17 2 3 2 10" xfId="6479"/>
    <cellStyle name="Normal 17 2 3 2 11" xfId="6480"/>
    <cellStyle name="Normal 17 2 3 2 2" xfId="6481"/>
    <cellStyle name="Normal 17 2 3 2 3" xfId="6482"/>
    <cellStyle name="Normal 17 2 3 2 4" xfId="6483"/>
    <cellStyle name="Normal 17 2 3 2 5" xfId="6484"/>
    <cellStyle name="Normal 17 2 3 2 6" xfId="6485"/>
    <cellStyle name="Normal 17 2 3 2 7" xfId="6486"/>
    <cellStyle name="Normal 17 2 3 2 8" xfId="6487"/>
    <cellStyle name="Normal 17 2 3 2 9" xfId="6488"/>
    <cellStyle name="Normal 17 2 3 3" xfId="6489"/>
    <cellStyle name="Normal 17 2 3 3 10" xfId="6490"/>
    <cellStyle name="Normal 17 2 3 3 11" xfId="6491"/>
    <cellStyle name="Normal 17 2 3 3 2" xfId="6492"/>
    <cellStyle name="Normal 17 2 3 3 3" xfId="6493"/>
    <cellStyle name="Normal 17 2 3 3 4" xfId="6494"/>
    <cellStyle name="Normal 17 2 3 3 5" xfId="6495"/>
    <cellStyle name="Normal 17 2 3 3 6" xfId="6496"/>
    <cellStyle name="Normal 17 2 3 3 7" xfId="6497"/>
    <cellStyle name="Normal 17 2 3 3 8" xfId="6498"/>
    <cellStyle name="Normal 17 2 3 3 9" xfId="6499"/>
    <cellStyle name="Normal 17 2 3 4" xfId="6500"/>
    <cellStyle name="Normal 17 2 3 4 2" xfId="6501"/>
    <cellStyle name="Normal 17 2 3 4 3" xfId="6502"/>
    <cellStyle name="Normal 17 2 3 5" xfId="6503"/>
    <cellStyle name="Normal 17 2 3 5 2" xfId="6504"/>
    <cellStyle name="Normal 17 2 3 5 3" xfId="6505"/>
    <cellStyle name="Normal 17 2 3 6" xfId="6506"/>
    <cellStyle name="Normal 17 2 3 7" xfId="6507"/>
    <cellStyle name="Normal 17 2 3 8" xfId="6508"/>
    <cellStyle name="Normal 17 2 3 9" xfId="6509"/>
    <cellStyle name="Normal 17 2 4" xfId="6510"/>
    <cellStyle name="Normal 17 20" xfId="6511"/>
    <cellStyle name="Normal 17 3" xfId="6512"/>
    <cellStyle name="Normal 17 3 2" xfId="6513"/>
    <cellStyle name="Normal 17 3 3" xfId="6514"/>
    <cellStyle name="Normal 17 3 3 2" xfId="6515"/>
    <cellStyle name="Normal 17 3 3 3" xfId="6516"/>
    <cellStyle name="Normal 17 3 4" xfId="6517"/>
    <cellStyle name="Normal 17 3 4 2" xfId="6518"/>
    <cellStyle name="Normal 17 3 4 3" xfId="6519"/>
    <cellStyle name="Normal 17 3 5" xfId="6520"/>
    <cellStyle name="Normal 17 3 6" xfId="6521"/>
    <cellStyle name="Normal 17 3 7" xfId="6522"/>
    <cellStyle name="Normal 17 3 8" xfId="6523"/>
    <cellStyle name="Normal 17 4" xfId="6524"/>
    <cellStyle name="Normal 17 4 2" xfId="6525"/>
    <cellStyle name="Normal 17 5" xfId="6526"/>
    <cellStyle name="Normal 17 5 2" xfId="6527"/>
    <cellStyle name="Normal 17 6" xfId="6528"/>
    <cellStyle name="Normal 17 6 2" xfId="6529"/>
    <cellStyle name="Normal 17 7" xfId="6530"/>
    <cellStyle name="Normal 17 7 2" xfId="6531"/>
    <cellStyle name="Normal 17 8" xfId="6532"/>
    <cellStyle name="Normal 17 8 10" xfId="6533"/>
    <cellStyle name="Normal 17 8 11" xfId="6534"/>
    <cellStyle name="Normal 17 8 12" xfId="6535"/>
    <cellStyle name="Normal 17 8 13" xfId="6536"/>
    <cellStyle name="Normal 17 8 2" xfId="6537"/>
    <cellStyle name="Normal 17 8 2 10" xfId="6538"/>
    <cellStyle name="Normal 17 8 2 11" xfId="6539"/>
    <cellStyle name="Normal 17 8 2 2" xfId="6540"/>
    <cellStyle name="Normal 17 8 2 3" xfId="6541"/>
    <cellStyle name="Normal 17 8 2 4" xfId="6542"/>
    <cellStyle name="Normal 17 8 2 5" xfId="6543"/>
    <cellStyle name="Normal 17 8 2 6" xfId="6544"/>
    <cellStyle name="Normal 17 8 2 7" xfId="6545"/>
    <cellStyle name="Normal 17 8 2 8" xfId="6546"/>
    <cellStyle name="Normal 17 8 2 9" xfId="6547"/>
    <cellStyle name="Normal 17 8 3" xfId="6548"/>
    <cellStyle name="Normal 17 8 3 10" xfId="6549"/>
    <cellStyle name="Normal 17 8 3 11" xfId="6550"/>
    <cellStyle name="Normal 17 8 3 2" xfId="6551"/>
    <cellStyle name="Normal 17 8 3 3" xfId="6552"/>
    <cellStyle name="Normal 17 8 3 4" xfId="6553"/>
    <cellStyle name="Normal 17 8 3 5" xfId="6554"/>
    <cellStyle name="Normal 17 8 3 6" xfId="6555"/>
    <cellStyle name="Normal 17 8 3 7" xfId="6556"/>
    <cellStyle name="Normal 17 8 3 8" xfId="6557"/>
    <cellStyle name="Normal 17 8 3 9" xfId="6558"/>
    <cellStyle name="Normal 17 8 4" xfId="6559"/>
    <cellStyle name="Normal 17 8 4 2" xfId="6560"/>
    <cellStyle name="Normal 17 8 4 2 2" xfId="6561"/>
    <cellStyle name="Normal 17 8 4 3" xfId="6562"/>
    <cellStyle name="Normal 17 8 5" xfId="6563"/>
    <cellStyle name="Normal 17 8 5 2" xfId="6564"/>
    <cellStyle name="Normal 17 8 5 3" xfId="6565"/>
    <cellStyle name="Normal 17 8 6" xfId="6566"/>
    <cellStyle name="Normal 17 8 6 2" xfId="6567"/>
    <cellStyle name="Normal 17 8 6 3" xfId="6568"/>
    <cellStyle name="Normal 17 8 7" xfId="6569"/>
    <cellStyle name="Normal 17 8 8" xfId="6570"/>
    <cellStyle name="Normal 17 8 9" xfId="6571"/>
    <cellStyle name="Normal 17 9" xfId="6572"/>
    <cellStyle name="Normal 17 9 2" xfId="6573"/>
    <cellStyle name="Normal 17_2bhk_19122016" xfId="6574"/>
    <cellStyle name="Normal 18" xfId="6575"/>
    <cellStyle name="Normal 18 10" xfId="6576"/>
    <cellStyle name="Normal 18 11" xfId="6577"/>
    <cellStyle name="Normal 18 12" xfId="6578"/>
    <cellStyle name="Normal 18 13" xfId="6579"/>
    <cellStyle name="Normal 18 14" xfId="6580"/>
    <cellStyle name="Normal 18 15" xfId="6581"/>
    <cellStyle name="Normal 18 16" xfId="6582"/>
    <cellStyle name="Normal 18 17" xfId="6583"/>
    <cellStyle name="Normal 18 18" xfId="6584"/>
    <cellStyle name="Normal 18 2" xfId="6585"/>
    <cellStyle name="Normal 18 2 2" xfId="6586"/>
    <cellStyle name="Normal 18 2 3" xfId="6587"/>
    <cellStyle name="Normal 18 3" xfId="6588"/>
    <cellStyle name="Normal 18 3 2" xfId="6589"/>
    <cellStyle name="Normal 18 4" xfId="6590"/>
    <cellStyle name="Normal 18 4 2" xfId="6591"/>
    <cellStyle name="Normal 18 5" xfId="6592"/>
    <cellStyle name="Normal 18 5 2" xfId="6593"/>
    <cellStyle name="Normal 18 6" xfId="6594"/>
    <cellStyle name="Normal 18 6 2" xfId="6595"/>
    <cellStyle name="Normal 18 7" xfId="6596"/>
    <cellStyle name="Normal 18 7 2" xfId="6597"/>
    <cellStyle name="Normal 18 8" xfId="6598"/>
    <cellStyle name="Normal 18 8 2" xfId="6599"/>
    <cellStyle name="Normal 18 9" xfId="6600"/>
    <cellStyle name="Normal 19" xfId="6601"/>
    <cellStyle name="Normal 19 2" xfId="6602"/>
    <cellStyle name="Normal 19 2 2" xfId="6603"/>
    <cellStyle name="Normal 19 3" xfId="6604"/>
    <cellStyle name="Normal 19 5" xfId="6605"/>
    <cellStyle name="Normal 19 5 2" xfId="6606"/>
    <cellStyle name="Normal 2" xfId="6607"/>
    <cellStyle name="Normal 2 10" xfId="6608"/>
    <cellStyle name="Normal 2 10 2" xfId="6609"/>
    <cellStyle name="Normal 2 11" xfId="6610"/>
    <cellStyle name="Normal 2 11 2" xfId="6611"/>
    <cellStyle name="Normal 2 12" xfId="6612"/>
    <cellStyle name="Normal 2 12 2" xfId="6613"/>
    <cellStyle name="Normal 2 13" xfId="6614"/>
    <cellStyle name="Normal 2 13 2" xfId="6615"/>
    <cellStyle name="Normal 2 14" xfId="6616"/>
    <cellStyle name="Normal 2 14 2" xfId="6617"/>
    <cellStyle name="Normal 2 15" xfId="6618"/>
    <cellStyle name="Normal 2 15 2" xfId="6619"/>
    <cellStyle name="Normal 2 16" xfId="6620"/>
    <cellStyle name="Normal 2 16 2" xfId="6621"/>
    <cellStyle name="Normal 2 17" xfId="6622"/>
    <cellStyle name="Normal 2 17 2" xfId="6623"/>
    <cellStyle name="Normal 2 18" xfId="6624"/>
    <cellStyle name="Normal 2 18 2" xfId="6625"/>
    <cellStyle name="Normal 2 19" xfId="6626"/>
    <cellStyle name="Normal 2 19 2" xfId="6627"/>
    <cellStyle name="Normal 2 2" xfId="6628"/>
    <cellStyle name="Normal 2 2 10" xfId="6629"/>
    <cellStyle name="Normal 2 2 10 2" xfId="6630"/>
    <cellStyle name="Normal 2 2 11" xfId="6631"/>
    <cellStyle name="Normal 2 2 11 2" xfId="6632"/>
    <cellStyle name="Normal 2 2 12" xfId="6633"/>
    <cellStyle name="Normal 2 2 12 2" xfId="6634"/>
    <cellStyle name="Normal 2 2 13" xfId="6635"/>
    <cellStyle name="Normal 2 2 13 2" xfId="6636"/>
    <cellStyle name="Normal 2 2 14" xfId="6637"/>
    <cellStyle name="Normal 2 2 14 2" xfId="6638"/>
    <cellStyle name="Normal 2 2 15" xfId="6639"/>
    <cellStyle name="Normal 2 2 15 2" xfId="6640"/>
    <cellStyle name="Normal 2 2 16" xfId="6641"/>
    <cellStyle name="Normal 2 2 16 2" xfId="6642"/>
    <cellStyle name="Normal 2 2 17" xfId="6643"/>
    <cellStyle name="Normal 2 2 17 2" xfId="6644"/>
    <cellStyle name="Normal 2 2 18" xfId="6645"/>
    <cellStyle name="Normal 2 2 18 2" xfId="6646"/>
    <cellStyle name="Normal 2 2 19" xfId="6647"/>
    <cellStyle name="Normal 2 2 19 2" xfId="6648"/>
    <cellStyle name="Normal 2 2 2" xfId="6649"/>
    <cellStyle name="Normal 2 2 2 10" xfId="6650"/>
    <cellStyle name="Normal 2 2 2 10 2" xfId="6651"/>
    <cellStyle name="Normal 2 2 2 11" xfId="6652"/>
    <cellStyle name="Normal 2 2 2 11 2" xfId="6653"/>
    <cellStyle name="Normal 2 2 2 12" xfId="6654"/>
    <cellStyle name="Normal 2 2 2 13" xfId="6655"/>
    <cellStyle name="Normal 2 2 2 14" xfId="6656"/>
    <cellStyle name="Normal 2 2 2 15" xfId="6657"/>
    <cellStyle name="Normal 2 2 2 2" xfId="6658"/>
    <cellStyle name="Normal 2 2 2 2 2" xfId="6659"/>
    <cellStyle name="Normal 2 2 2 2 2 10" xfId="6660"/>
    <cellStyle name="Normal 2 2 2 2 2 11" xfId="6661"/>
    <cellStyle name="Normal 2 2 2 2 2 12" xfId="6662"/>
    <cellStyle name="Normal 2 2 2 2 2 13" xfId="6663"/>
    <cellStyle name="Normal 2 2 2 2 2 14" xfId="6664"/>
    <cellStyle name="Normal 2 2 2 2 2 15" xfId="6665"/>
    <cellStyle name="Normal 2 2 2 2 2 16" xfId="6666"/>
    <cellStyle name="Normal 2 2 2 2 2 17" xfId="6667"/>
    <cellStyle name="Normal 2 2 2 2 2 18" xfId="6668"/>
    <cellStyle name="Normal 2 2 2 2 2 2" xfId="6669"/>
    <cellStyle name="Normal 2 2 2 2 2 2 2" xfId="6670"/>
    <cellStyle name="Normal 2 2 2 2 2 3" xfId="6671"/>
    <cellStyle name="Normal 2 2 2 2 2 3 2" xfId="6672"/>
    <cellStyle name="Normal 2 2 2 2 2 4" xfId="6673"/>
    <cellStyle name="Normal 2 2 2 2 2 4 2" xfId="6674"/>
    <cellStyle name="Normal 2 2 2 2 2 5" xfId="6675"/>
    <cellStyle name="Normal 2 2 2 2 2 5 2" xfId="6676"/>
    <cellStyle name="Normal 2 2 2 2 2 6" xfId="6677"/>
    <cellStyle name="Normal 2 2 2 2 2 6 2" xfId="6678"/>
    <cellStyle name="Normal 2 2 2 2 2 7" xfId="6679"/>
    <cellStyle name="Normal 2 2 2 2 2 7 2" xfId="6680"/>
    <cellStyle name="Normal 2 2 2 2 2 8" xfId="6681"/>
    <cellStyle name="Normal 2 2 2 2 2 8 2" xfId="6682"/>
    <cellStyle name="Normal 2 2 2 2 2 9" xfId="6683"/>
    <cellStyle name="Normal 2 2 2 2 3" xfId="6684"/>
    <cellStyle name="Normal 2 2 2 3" xfId="6685"/>
    <cellStyle name="Normal 2 2 2 3 2" xfId="6686"/>
    <cellStyle name="Normal 2 2 2 3 3" xfId="6687"/>
    <cellStyle name="Normal 2 2 2 4" xfId="6688"/>
    <cellStyle name="Normal 2 2 2 4 2" xfId="6689"/>
    <cellStyle name="Normal 2 2 2 4 3" xfId="6690"/>
    <cellStyle name="Normal 2 2 2 5" xfId="6691"/>
    <cellStyle name="Normal 2 2 2 5 2" xfId="6692"/>
    <cellStyle name="Normal 2 2 2 5 3" xfId="6693"/>
    <cellStyle name="Normal 2 2 2 6" xfId="6694"/>
    <cellStyle name="Normal 2 2 2 6 2" xfId="6695"/>
    <cellStyle name="Normal 2 2 2 7" xfId="6696"/>
    <cellStyle name="Normal 2 2 2 7 2" xfId="6697"/>
    <cellStyle name="Normal 2 2 2 8" xfId="6698"/>
    <cellStyle name="Normal 2 2 2 8 2" xfId="6699"/>
    <cellStyle name="Normal 2 2 2 9" xfId="6700"/>
    <cellStyle name="Normal 2 2 2 9 2" xfId="6701"/>
    <cellStyle name="Normal 2 2 2_A163.00 Thimmajipet to Nertella pally 25.11.14" xfId="6702"/>
    <cellStyle name="Normal 2 2 20" xfId="6703"/>
    <cellStyle name="Normal 2 2 20 2" xfId="6704"/>
    <cellStyle name="Normal 2 2 21" xfId="6705"/>
    <cellStyle name="Normal 2 2 21 2" xfId="6706"/>
    <cellStyle name="Normal 2 2 22" xfId="6707"/>
    <cellStyle name="Normal 2 2 23" xfId="6708"/>
    <cellStyle name="Normal 2 2 24" xfId="6709"/>
    <cellStyle name="Normal 2 2 25" xfId="6710"/>
    <cellStyle name="Normal 2 2 25 2" xfId="6711"/>
    <cellStyle name="Normal 2 2 26" xfId="6712"/>
    <cellStyle name="Normal 2 2 27" xfId="6713"/>
    <cellStyle name="Normal 2 2 28" xfId="6714"/>
    <cellStyle name="Normal 2 2 29" xfId="6715"/>
    <cellStyle name="Normal 2 2 3" xfId="6716"/>
    <cellStyle name="Normal 2 2 3 10" xfId="6717"/>
    <cellStyle name="Normal 2 2 3 10 2" xfId="6718"/>
    <cellStyle name="Normal 2 2 3 11" xfId="6719"/>
    <cellStyle name="Normal 2 2 3 12" xfId="6720"/>
    <cellStyle name="Normal 2 2 3 13" xfId="6721"/>
    <cellStyle name="Normal 2 2 3 2" xfId="6722"/>
    <cellStyle name="Normal 2 2 3 2 2" xfId="6723"/>
    <cellStyle name="Normal 2 2 3 2 3" xfId="6724"/>
    <cellStyle name="Normal 2 2 3 3" xfId="6725"/>
    <cellStyle name="Normal 2 2 3 3 2" xfId="6726"/>
    <cellStyle name="Normal 2 2 3 4" xfId="6727"/>
    <cellStyle name="Normal 2 2 3 4 2" xfId="6728"/>
    <cellStyle name="Normal 2 2 3 5" xfId="6729"/>
    <cellStyle name="Normal 2 2 3 5 2" xfId="6730"/>
    <cellStyle name="Normal 2 2 3 6" xfId="6731"/>
    <cellStyle name="Normal 2 2 3 6 2" xfId="6732"/>
    <cellStyle name="Normal 2 2 3 7" xfId="6733"/>
    <cellStyle name="Normal 2 2 3 7 2" xfId="6734"/>
    <cellStyle name="Normal 2 2 3 8" xfId="6735"/>
    <cellStyle name="Normal 2 2 3 8 2" xfId="6736"/>
    <cellStyle name="Normal 2 2 3 9" xfId="6737"/>
    <cellStyle name="Normal 2 2 3 9 2" xfId="6738"/>
    <cellStyle name="Normal 2 2 3_Rukmapur (CPD)-wk" xfId="6739"/>
    <cellStyle name="Normal 2 2 30" xfId="6740"/>
    <cellStyle name="Normal 2 2 31" xfId="6741"/>
    <cellStyle name="Normal 2 2 31 2" xfId="6742"/>
    <cellStyle name="Normal 2 2 32" xfId="6743"/>
    <cellStyle name="Normal 2 2 33" xfId="6744"/>
    <cellStyle name="Normal 2 2 4" xfId="6745"/>
    <cellStyle name="Normal 2 2 4 10" xfId="6746"/>
    <cellStyle name="Normal 2 2 4 11" xfId="6747"/>
    <cellStyle name="Normal 2 2 4 12" xfId="6748"/>
    <cellStyle name="Normal 2 2 4 13" xfId="6749"/>
    <cellStyle name="Normal 2 2 4 14" xfId="6750"/>
    <cellStyle name="Normal 2 2 4 15" xfId="6751"/>
    <cellStyle name="Normal 2 2 4 16" xfId="6752"/>
    <cellStyle name="Normal 2 2 4 17" xfId="6753"/>
    <cellStyle name="Normal 2 2 4 18" xfId="6754"/>
    <cellStyle name="Normal 2 2 4 2" xfId="6755"/>
    <cellStyle name="Normal 2 2 4 2 2" xfId="6756"/>
    <cellStyle name="Normal 2 2 4 3" xfId="6757"/>
    <cellStyle name="Normal 2 2 4 3 2" xfId="6758"/>
    <cellStyle name="Normal 2 2 4 4" xfId="6759"/>
    <cellStyle name="Normal 2 2 4 4 2" xfId="6760"/>
    <cellStyle name="Normal 2 2 4 5" xfId="6761"/>
    <cellStyle name="Normal 2 2 4 5 2" xfId="6762"/>
    <cellStyle name="Normal 2 2 4 6" xfId="6763"/>
    <cellStyle name="Normal 2 2 4 6 2" xfId="6764"/>
    <cellStyle name="Normal 2 2 4 7" xfId="6765"/>
    <cellStyle name="Normal 2 2 4 7 2" xfId="6766"/>
    <cellStyle name="Normal 2 2 4 8" xfId="6767"/>
    <cellStyle name="Normal 2 2 4 8 2" xfId="6768"/>
    <cellStyle name="Normal 2 2 4 9" xfId="6769"/>
    <cellStyle name="Normal 2 2 5" xfId="6770"/>
    <cellStyle name="Normal 2 2 5 2" xfId="6771"/>
    <cellStyle name="Normal 2 2 5 2 2" xfId="6772"/>
    <cellStyle name="Normal 2 2 5 3" xfId="6773"/>
    <cellStyle name="Normal 2 2 5 3 2" xfId="6774"/>
    <cellStyle name="Normal 2 2 5 4" xfId="6775"/>
    <cellStyle name="Normal 2 2 6" xfId="6776"/>
    <cellStyle name="Normal 2 2 6 2" xfId="6777"/>
    <cellStyle name="Normal 2 2 6 3" xfId="6778"/>
    <cellStyle name="Normal 2 2 7" xfId="6779"/>
    <cellStyle name="Normal 2 2 7 2" xfId="6780"/>
    <cellStyle name="Normal 2 2 7 3" xfId="6781"/>
    <cellStyle name="Normal 2 2 8" xfId="6782"/>
    <cellStyle name="Normal 2 2 8 2" xfId="6783"/>
    <cellStyle name="Normal 2 2 8 2 2" xfId="6784"/>
    <cellStyle name="Normal 2 2 8 3" xfId="6785"/>
    <cellStyle name="Normal 2 2 9" xfId="6786"/>
    <cellStyle name="Normal 2 2 9 2" xfId="6787"/>
    <cellStyle name="Normal 2 2_125 CHERLA ITIKYAL ZP ROAD TO LINGASANIPALLY ZP ROAD - 30 LAKHS" xfId="6788"/>
    <cellStyle name="Normal 2 20" xfId="6789"/>
    <cellStyle name="Normal 2 20 2" xfId="6790"/>
    <cellStyle name="Normal 2 21" xfId="6791"/>
    <cellStyle name="Normal 2 21 2" xfId="6792"/>
    <cellStyle name="Normal 2 22" xfId="6793"/>
    <cellStyle name="Normal 2 22 2" xfId="6794"/>
    <cellStyle name="Normal 2 23" xfId="6795"/>
    <cellStyle name="Normal 2 23 2" xfId="6796"/>
    <cellStyle name="Normal 2 24" xfId="6797"/>
    <cellStyle name="Normal 2 25" xfId="6798"/>
    <cellStyle name="Normal 2 26" xfId="6799"/>
    <cellStyle name="Normal 2 27" xfId="6800"/>
    <cellStyle name="Normal 2 28" xfId="6801"/>
    <cellStyle name="Normal 2 29" xfId="6802"/>
    <cellStyle name="Normal 2 3" xfId="6803"/>
    <cellStyle name="Normal 2 3 10" xfId="6804"/>
    <cellStyle name="Normal 2 3 10 10" xfId="6805"/>
    <cellStyle name="Normal 2 3 10 11" xfId="6806"/>
    <cellStyle name="Normal 2 3 10 12" xfId="6807"/>
    <cellStyle name="Normal 2 3 10 13" xfId="6808"/>
    <cellStyle name="Normal 2 3 10 14" xfId="6809"/>
    <cellStyle name="Normal 2 3 10 15" xfId="6810"/>
    <cellStyle name="Normal 2 3 10 16" xfId="6811"/>
    <cellStyle name="Normal 2 3 10 17" xfId="6812"/>
    <cellStyle name="Normal 2 3 10 18" xfId="6813"/>
    <cellStyle name="Normal 2 3 10 2" xfId="6814"/>
    <cellStyle name="Normal 2 3 10 2 2" xfId="6815"/>
    <cellStyle name="Normal 2 3 10 3" xfId="6816"/>
    <cellStyle name="Normal 2 3 10 3 2" xfId="6817"/>
    <cellStyle name="Normal 2 3 10 4" xfId="6818"/>
    <cellStyle name="Normal 2 3 10 4 2" xfId="6819"/>
    <cellStyle name="Normal 2 3 10 5" xfId="6820"/>
    <cellStyle name="Normal 2 3 10 5 2" xfId="6821"/>
    <cellStyle name="Normal 2 3 10 6" xfId="6822"/>
    <cellStyle name="Normal 2 3 10 6 2" xfId="6823"/>
    <cellStyle name="Normal 2 3 10 7" xfId="6824"/>
    <cellStyle name="Normal 2 3 10 7 2" xfId="6825"/>
    <cellStyle name="Normal 2 3 10 8" xfId="6826"/>
    <cellStyle name="Normal 2 3 10 8 2" xfId="6827"/>
    <cellStyle name="Normal 2 3 10 9" xfId="6828"/>
    <cellStyle name="Normal 2 3 11" xfId="6829"/>
    <cellStyle name="Normal 2 3 11 10" xfId="6830"/>
    <cellStyle name="Normal 2 3 11 11" xfId="6831"/>
    <cellStyle name="Normal 2 3 11 12" xfId="6832"/>
    <cellStyle name="Normal 2 3 11 13" xfId="6833"/>
    <cellStyle name="Normal 2 3 11 14" xfId="6834"/>
    <cellStyle name="Normal 2 3 11 15" xfId="6835"/>
    <cellStyle name="Normal 2 3 11 16" xfId="6836"/>
    <cellStyle name="Normal 2 3 11 17" xfId="6837"/>
    <cellStyle name="Normal 2 3 11 18" xfId="6838"/>
    <cellStyle name="Normal 2 3 11 2" xfId="6839"/>
    <cellStyle name="Normal 2 3 11 2 2" xfId="6840"/>
    <cellStyle name="Normal 2 3 11 3" xfId="6841"/>
    <cellStyle name="Normal 2 3 11 3 2" xfId="6842"/>
    <cellStyle name="Normal 2 3 11 4" xfId="6843"/>
    <cellStyle name="Normal 2 3 11 4 2" xfId="6844"/>
    <cellStyle name="Normal 2 3 11 5" xfId="6845"/>
    <cellStyle name="Normal 2 3 11 5 2" xfId="6846"/>
    <cellStyle name="Normal 2 3 11 6" xfId="6847"/>
    <cellStyle name="Normal 2 3 11 6 2" xfId="6848"/>
    <cellStyle name="Normal 2 3 11 7" xfId="6849"/>
    <cellStyle name="Normal 2 3 11 7 2" xfId="6850"/>
    <cellStyle name="Normal 2 3 11 8" xfId="6851"/>
    <cellStyle name="Normal 2 3 11 8 2" xfId="6852"/>
    <cellStyle name="Normal 2 3 11 9" xfId="6853"/>
    <cellStyle name="Normal 2 3 12" xfId="6854"/>
    <cellStyle name="Normal 2 3 12 2" xfId="6855"/>
    <cellStyle name="Normal 2 3 13" xfId="6856"/>
    <cellStyle name="Normal 2 3 13 2" xfId="6857"/>
    <cellStyle name="Normal 2 3 14" xfId="6858"/>
    <cellStyle name="Normal 2 3 14 2" xfId="6859"/>
    <cellStyle name="Normal 2 3 15" xfId="6860"/>
    <cellStyle name="Normal 2 3 15 2" xfId="6861"/>
    <cellStyle name="Normal 2 3 16" xfId="6862"/>
    <cellStyle name="Normal 2 3 16 2" xfId="6863"/>
    <cellStyle name="Normal 2 3 17" xfId="6864"/>
    <cellStyle name="Normal 2 3 17 2" xfId="6865"/>
    <cellStyle name="Normal 2 3 18" xfId="6866"/>
    <cellStyle name="Normal 2 3 18 2" xfId="6867"/>
    <cellStyle name="Normal 2 3 19" xfId="6868"/>
    <cellStyle name="Normal 2 3 2" xfId="6869"/>
    <cellStyle name="Normal 2 3 2 2" xfId="6870"/>
    <cellStyle name="Normal 2 3 2 3" xfId="6871"/>
    <cellStyle name="Normal 2 3 2 4" xfId="6872"/>
    <cellStyle name="Normal 2 3 2_2015-16 MASTER CC ROAD &amp; DRAIN" xfId="6873"/>
    <cellStyle name="Normal 2 3 20" xfId="6874"/>
    <cellStyle name="Normal 2 3 21" xfId="6875"/>
    <cellStyle name="Normal 2 3 22" xfId="6876"/>
    <cellStyle name="Normal 2 3 23" xfId="6877"/>
    <cellStyle name="Normal 2 3 24" xfId="6878"/>
    <cellStyle name="Normal 2 3 25" xfId="6879"/>
    <cellStyle name="Normal 2 3 26" xfId="6880"/>
    <cellStyle name="Normal 2 3 27" xfId="6881"/>
    <cellStyle name="Normal 2 3 28" xfId="6882"/>
    <cellStyle name="Normal 2 3 3" xfId="6883"/>
    <cellStyle name="Normal 2 3 3 10" xfId="6884"/>
    <cellStyle name="Normal 2 3 3 11" xfId="6885"/>
    <cellStyle name="Normal 2 3 3 12" xfId="6886"/>
    <cellStyle name="Normal 2 3 3 13" xfId="6887"/>
    <cellStyle name="Normal 2 3 3 14" xfId="6888"/>
    <cellStyle name="Normal 2 3 3 15" xfId="6889"/>
    <cellStyle name="Normal 2 3 3 16" xfId="6890"/>
    <cellStyle name="Normal 2 3 3 17" xfId="6891"/>
    <cellStyle name="Normal 2 3 3 18" xfId="6892"/>
    <cellStyle name="Normal 2 3 3 2" xfId="6893"/>
    <cellStyle name="Normal 2 3 3 2 2" xfId="6894"/>
    <cellStyle name="Normal 2 3 3 3" xfId="6895"/>
    <cellStyle name="Normal 2 3 3 3 2" xfId="6896"/>
    <cellStyle name="Normal 2 3 3 4" xfId="6897"/>
    <cellStyle name="Normal 2 3 3 4 2" xfId="6898"/>
    <cellStyle name="Normal 2 3 3 5" xfId="6899"/>
    <cellStyle name="Normal 2 3 3 5 2" xfId="6900"/>
    <cellStyle name="Normal 2 3 3 6" xfId="6901"/>
    <cellStyle name="Normal 2 3 3 6 2" xfId="6902"/>
    <cellStyle name="Normal 2 3 3 7" xfId="6903"/>
    <cellStyle name="Normal 2 3 3 7 2" xfId="6904"/>
    <cellStyle name="Normal 2 3 3 8" xfId="6905"/>
    <cellStyle name="Normal 2 3 3 8 2" xfId="6906"/>
    <cellStyle name="Normal 2 3 3 9" xfId="6907"/>
    <cellStyle name="Normal 2 3 4" xfId="6908"/>
    <cellStyle name="Normal 2 3 4 10" xfId="6909"/>
    <cellStyle name="Normal 2 3 4 11" xfId="6910"/>
    <cellStyle name="Normal 2 3 4 12" xfId="6911"/>
    <cellStyle name="Normal 2 3 4 13" xfId="6912"/>
    <cellStyle name="Normal 2 3 4 14" xfId="6913"/>
    <cellStyle name="Normal 2 3 4 15" xfId="6914"/>
    <cellStyle name="Normal 2 3 4 16" xfId="6915"/>
    <cellStyle name="Normal 2 3 4 17" xfId="6916"/>
    <cellStyle name="Normal 2 3 4 18" xfId="6917"/>
    <cellStyle name="Normal 2 3 4 2" xfId="6918"/>
    <cellStyle name="Normal 2 3 4 2 2" xfId="6919"/>
    <cellStyle name="Normal 2 3 4 3" xfId="6920"/>
    <cellStyle name="Normal 2 3 4 3 2" xfId="6921"/>
    <cellStyle name="Normal 2 3 4 4" xfId="6922"/>
    <cellStyle name="Normal 2 3 4 4 2" xfId="6923"/>
    <cellStyle name="Normal 2 3 4 5" xfId="6924"/>
    <cellStyle name="Normal 2 3 4 5 2" xfId="6925"/>
    <cellStyle name="Normal 2 3 4 6" xfId="6926"/>
    <cellStyle name="Normal 2 3 4 6 2" xfId="6927"/>
    <cellStyle name="Normal 2 3 4 7" xfId="6928"/>
    <cellStyle name="Normal 2 3 4 7 2" xfId="6929"/>
    <cellStyle name="Normal 2 3 4 8" xfId="6930"/>
    <cellStyle name="Normal 2 3 4 8 2" xfId="6931"/>
    <cellStyle name="Normal 2 3 4 9" xfId="6932"/>
    <cellStyle name="Normal 2 3 5" xfId="6933"/>
    <cellStyle name="Normal 2 3 5 10" xfId="6934"/>
    <cellStyle name="Normal 2 3 5 11" xfId="6935"/>
    <cellStyle name="Normal 2 3 5 12" xfId="6936"/>
    <cellStyle name="Normal 2 3 5 13" xfId="6937"/>
    <cellStyle name="Normal 2 3 5 14" xfId="6938"/>
    <cellStyle name="Normal 2 3 5 15" xfId="6939"/>
    <cellStyle name="Normal 2 3 5 16" xfId="6940"/>
    <cellStyle name="Normal 2 3 5 17" xfId="6941"/>
    <cellStyle name="Normal 2 3 5 18" xfId="6942"/>
    <cellStyle name="Normal 2 3 5 2" xfId="6943"/>
    <cellStyle name="Normal 2 3 5 2 2" xfId="6944"/>
    <cellStyle name="Normal 2 3 5 3" xfId="6945"/>
    <cellStyle name="Normal 2 3 5 3 2" xfId="6946"/>
    <cellStyle name="Normal 2 3 5 4" xfId="6947"/>
    <cellStyle name="Normal 2 3 5 4 2" xfId="6948"/>
    <cellStyle name="Normal 2 3 5 5" xfId="6949"/>
    <cellStyle name="Normal 2 3 5 5 2" xfId="6950"/>
    <cellStyle name="Normal 2 3 5 6" xfId="6951"/>
    <cellStyle name="Normal 2 3 5 6 2" xfId="6952"/>
    <cellStyle name="Normal 2 3 5 7" xfId="6953"/>
    <cellStyle name="Normal 2 3 5 7 2" xfId="6954"/>
    <cellStyle name="Normal 2 3 5 8" xfId="6955"/>
    <cellStyle name="Normal 2 3 5 8 2" xfId="6956"/>
    <cellStyle name="Normal 2 3 5 9" xfId="6957"/>
    <cellStyle name="Normal 2 3 6" xfId="6958"/>
    <cellStyle name="Normal 2 3 6 10" xfId="6959"/>
    <cellStyle name="Normal 2 3 6 11" xfId="6960"/>
    <cellStyle name="Normal 2 3 6 12" xfId="6961"/>
    <cellStyle name="Normal 2 3 6 13" xfId="6962"/>
    <cellStyle name="Normal 2 3 6 14" xfId="6963"/>
    <cellStyle name="Normal 2 3 6 15" xfId="6964"/>
    <cellStyle name="Normal 2 3 6 16" xfId="6965"/>
    <cellStyle name="Normal 2 3 6 17" xfId="6966"/>
    <cellStyle name="Normal 2 3 6 18" xfId="6967"/>
    <cellStyle name="Normal 2 3 6 2" xfId="6968"/>
    <cellStyle name="Normal 2 3 6 2 2" xfId="6969"/>
    <cellStyle name="Normal 2 3 6 3" xfId="6970"/>
    <cellStyle name="Normal 2 3 6 3 2" xfId="6971"/>
    <cellStyle name="Normal 2 3 6 4" xfId="6972"/>
    <cellStyle name="Normal 2 3 6 4 2" xfId="6973"/>
    <cellStyle name="Normal 2 3 6 5" xfId="6974"/>
    <cellStyle name="Normal 2 3 6 5 2" xfId="6975"/>
    <cellStyle name="Normal 2 3 6 6" xfId="6976"/>
    <cellStyle name="Normal 2 3 6 6 2" xfId="6977"/>
    <cellStyle name="Normal 2 3 6 7" xfId="6978"/>
    <cellStyle name="Normal 2 3 6 7 2" xfId="6979"/>
    <cellStyle name="Normal 2 3 6 8" xfId="6980"/>
    <cellStyle name="Normal 2 3 6 8 2" xfId="6981"/>
    <cellStyle name="Normal 2 3 6 9" xfId="6982"/>
    <cellStyle name="Normal 2 3 7" xfId="6983"/>
    <cellStyle name="Normal 2 3 7 10" xfId="6984"/>
    <cellStyle name="Normal 2 3 7 11" xfId="6985"/>
    <cellStyle name="Normal 2 3 7 12" xfId="6986"/>
    <cellStyle name="Normal 2 3 7 13" xfId="6987"/>
    <cellStyle name="Normal 2 3 7 14" xfId="6988"/>
    <cellStyle name="Normal 2 3 7 15" xfId="6989"/>
    <cellStyle name="Normal 2 3 7 16" xfId="6990"/>
    <cellStyle name="Normal 2 3 7 17" xfId="6991"/>
    <cellStyle name="Normal 2 3 7 18" xfId="6992"/>
    <cellStyle name="Normal 2 3 7 2" xfId="6993"/>
    <cellStyle name="Normal 2 3 7 2 2" xfId="6994"/>
    <cellStyle name="Normal 2 3 7 3" xfId="6995"/>
    <cellStyle name="Normal 2 3 7 3 2" xfId="6996"/>
    <cellStyle name="Normal 2 3 7 4" xfId="6997"/>
    <cellStyle name="Normal 2 3 7 4 2" xfId="6998"/>
    <cellStyle name="Normal 2 3 7 5" xfId="6999"/>
    <cellStyle name="Normal 2 3 7 5 2" xfId="7000"/>
    <cellStyle name="Normal 2 3 7 6" xfId="7001"/>
    <cellStyle name="Normal 2 3 7 6 2" xfId="7002"/>
    <cellStyle name="Normal 2 3 7 7" xfId="7003"/>
    <cellStyle name="Normal 2 3 7 7 2" xfId="7004"/>
    <cellStyle name="Normal 2 3 7 8" xfId="7005"/>
    <cellStyle name="Normal 2 3 7 8 2" xfId="7006"/>
    <cellStyle name="Normal 2 3 7 9" xfId="7007"/>
    <cellStyle name="Normal 2 3 8" xfId="7008"/>
    <cellStyle name="Normal 2 3 8 10" xfId="7009"/>
    <cellStyle name="Normal 2 3 8 11" xfId="7010"/>
    <cellStyle name="Normal 2 3 8 12" xfId="7011"/>
    <cellStyle name="Normal 2 3 8 13" xfId="7012"/>
    <cellStyle name="Normal 2 3 8 14" xfId="7013"/>
    <cellStyle name="Normal 2 3 8 15" xfId="7014"/>
    <cellStyle name="Normal 2 3 8 16" xfId="7015"/>
    <cellStyle name="Normal 2 3 8 17" xfId="7016"/>
    <cellStyle name="Normal 2 3 8 18" xfId="7017"/>
    <cellStyle name="Normal 2 3 8 2" xfId="7018"/>
    <cellStyle name="Normal 2 3 8 2 2" xfId="7019"/>
    <cellStyle name="Normal 2 3 8 3" xfId="7020"/>
    <cellStyle name="Normal 2 3 8 3 2" xfId="7021"/>
    <cellStyle name="Normal 2 3 8 4" xfId="7022"/>
    <cellStyle name="Normal 2 3 8 4 2" xfId="7023"/>
    <cellStyle name="Normal 2 3 8 5" xfId="7024"/>
    <cellStyle name="Normal 2 3 8 5 2" xfId="7025"/>
    <cellStyle name="Normal 2 3 8 6" xfId="7026"/>
    <cellStyle name="Normal 2 3 8 6 2" xfId="7027"/>
    <cellStyle name="Normal 2 3 8 7" xfId="7028"/>
    <cellStyle name="Normal 2 3 8 7 2" xfId="7029"/>
    <cellStyle name="Normal 2 3 8 8" xfId="7030"/>
    <cellStyle name="Normal 2 3 8 8 2" xfId="7031"/>
    <cellStyle name="Normal 2 3 8 9" xfId="7032"/>
    <cellStyle name="Normal 2 3 9" xfId="7033"/>
    <cellStyle name="Normal 2 3 9 10" xfId="7034"/>
    <cellStyle name="Normal 2 3 9 11" xfId="7035"/>
    <cellStyle name="Normal 2 3 9 12" xfId="7036"/>
    <cellStyle name="Normal 2 3 9 13" xfId="7037"/>
    <cellStyle name="Normal 2 3 9 14" xfId="7038"/>
    <cellStyle name="Normal 2 3 9 15" xfId="7039"/>
    <cellStyle name="Normal 2 3 9 16" xfId="7040"/>
    <cellStyle name="Normal 2 3 9 17" xfId="7041"/>
    <cellStyle name="Normal 2 3 9 18" xfId="7042"/>
    <cellStyle name="Normal 2 3 9 2" xfId="7043"/>
    <cellStyle name="Normal 2 3 9 2 2" xfId="7044"/>
    <cellStyle name="Normal 2 3 9 3" xfId="7045"/>
    <cellStyle name="Normal 2 3 9 3 2" xfId="7046"/>
    <cellStyle name="Normal 2 3 9 4" xfId="7047"/>
    <cellStyle name="Normal 2 3 9 4 2" xfId="7048"/>
    <cellStyle name="Normal 2 3 9 5" xfId="7049"/>
    <cellStyle name="Normal 2 3 9 5 2" xfId="7050"/>
    <cellStyle name="Normal 2 3 9 6" xfId="7051"/>
    <cellStyle name="Normal 2 3 9 6 2" xfId="7052"/>
    <cellStyle name="Normal 2 3 9 7" xfId="7053"/>
    <cellStyle name="Normal 2 3 9 7 2" xfId="7054"/>
    <cellStyle name="Normal 2 3 9 8" xfId="7055"/>
    <cellStyle name="Normal 2 3 9 8 2" xfId="7056"/>
    <cellStyle name="Normal 2 3 9 9" xfId="7057"/>
    <cellStyle name="Normal 2 3_2015-16 MASTER CC ROAD &amp; DRAIN" xfId="7058"/>
    <cellStyle name="Normal 2 30" xfId="7059"/>
    <cellStyle name="Normal 2 31" xfId="7060"/>
    <cellStyle name="Normal 2 32" xfId="7061"/>
    <cellStyle name="Normal 2 33" xfId="7062"/>
    <cellStyle name="Normal 2 4" xfId="7063"/>
    <cellStyle name="Normal 2 4 10" xfId="7064"/>
    <cellStyle name="Normal 2 4 10 2" xfId="7065"/>
    <cellStyle name="Normal 2 4 11" xfId="7066"/>
    <cellStyle name="Normal 2 4 12" xfId="7067"/>
    <cellStyle name="Normal 2 4 13" xfId="7068"/>
    <cellStyle name="Normal 2 4 14" xfId="7069"/>
    <cellStyle name="Normal 2 4 15" xfId="7070"/>
    <cellStyle name="Normal 2 4 16" xfId="7071"/>
    <cellStyle name="Normal 2 4 17" xfId="7072"/>
    <cellStyle name="Normal 2 4 18" xfId="7073"/>
    <cellStyle name="Normal 2 4 2" xfId="7074"/>
    <cellStyle name="Normal 2 4 2 2" xfId="7075"/>
    <cellStyle name="Normal 2 4 2 2 2" xfId="7076"/>
    <cellStyle name="Normal 2 4 2 3" xfId="7077"/>
    <cellStyle name="Normal 2 4 3" xfId="7078"/>
    <cellStyle name="Normal 2 4 3 2" xfId="7079"/>
    <cellStyle name="Normal 2 4 3 3" xfId="7080"/>
    <cellStyle name="Normal 2 4 4" xfId="7081"/>
    <cellStyle name="Normal 2 4 4 2" xfId="7082"/>
    <cellStyle name="Normal 2 4 5" xfId="7083"/>
    <cellStyle name="Normal 2 4 5 2" xfId="7084"/>
    <cellStyle name="Normal 2 4 6" xfId="7085"/>
    <cellStyle name="Normal 2 4 6 2" xfId="7086"/>
    <cellStyle name="Normal 2 4 6 3" xfId="7087"/>
    <cellStyle name="Normal 2 4 7" xfId="7088"/>
    <cellStyle name="Normal 2 4 7 2" xfId="7089"/>
    <cellStyle name="Normal 2 4 8" xfId="7090"/>
    <cellStyle name="Normal 2 4 8 2" xfId="7091"/>
    <cellStyle name="Normal 2 4 9" xfId="7092"/>
    <cellStyle name="Normal 2 4_28 COLUMNS FOR PROPOSAL" xfId="7093"/>
    <cellStyle name="Normal 2 5" xfId="7094"/>
    <cellStyle name="Normal 2 5 10" xfId="7095"/>
    <cellStyle name="Normal 2 5 11" xfId="7096"/>
    <cellStyle name="Normal 2 5 12" xfId="7097"/>
    <cellStyle name="Normal 2 5 13" xfId="7098"/>
    <cellStyle name="Normal 2 5 14" xfId="7099"/>
    <cellStyle name="Normal 2 5 15" xfId="7100"/>
    <cellStyle name="Normal 2 5 16" xfId="7101"/>
    <cellStyle name="Normal 2 5 17" xfId="7102"/>
    <cellStyle name="Normal 2 5 18" xfId="7103"/>
    <cellStyle name="Normal 2 5 19" xfId="7104"/>
    <cellStyle name="Normal 2 5 2" xfId="7105"/>
    <cellStyle name="Normal 2 5 2 10" xfId="7106"/>
    <cellStyle name="Normal 2 5 2 11" xfId="7107"/>
    <cellStyle name="Normal 2 5 2 12" xfId="7108"/>
    <cellStyle name="Normal 2 5 2 13" xfId="7109"/>
    <cellStyle name="Normal 2 5 2 14" xfId="7110"/>
    <cellStyle name="Normal 2 5 2 15" xfId="7111"/>
    <cellStyle name="Normal 2 5 2 16" xfId="7112"/>
    <cellStyle name="Normal 2 5 2 17" xfId="7113"/>
    <cellStyle name="Normal 2 5 2 18" xfId="7114"/>
    <cellStyle name="Normal 2 5 2 2" xfId="7115"/>
    <cellStyle name="Normal 2 5 2 2 2" xfId="7116"/>
    <cellStyle name="Normal 2 5 2 2 2 2" xfId="7117"/>
    <cellStyle name="Normal 2 5 2 2 3" xfId="7118"/>
    <cellStyle name="Normal 2 5 2 3" xfId="7119"/>
    <cellStyle name="Normal 2 5 2 3 2" xfId="7120"/>
    <cellStyle name="Normal 2 5 2 4" xfId="7121"/>
    <cellStyle name="Normal 2 5 2 4 2" xfId="7122"/>
    <cellStyle name="Normal 2 5 2 5" xfId="7123"/>
    <cellStyle name="Normal 2 5 2 5 2" xfId="7124"/>
    <cellStyle name="Normal 2 5 2 6" xfId="7125"/>
    <cellStyle name="Normal 2 5 2 6 2" xfId="7126"/>
    <cellStyle name="Normal 2 5 2 7" xfId="7127"/>
    <cellStyle name="Normal 2 5 2 7 2" xfId="7128"/>
    <cellStyle name="Normal 2 5 2 8" xfId="7129"/>
    <cellStyle name="Normal 2 5 2 8 2" xfId="7130"/>
    <cellStyle name="Normal 2 5 2 9" xfId="7131"/>
    <cellStyle name="Normal 2 5 3" xfId="7132"/>
    <cellStyle name="Normal 2 5 3 2" xfId="7133"/>
    <cellStyle name="Normal 2 5 4" xfId="7134"/>
    <cellStyle name="Normal 2 5 4 2" xfId="7135"/>
    <cellStyle name="Normal 2 5 5" xfId="7136"/>
    <cellStyle name="Normal 2 5 5 2" xfId="7137"/>
    <cellStyle name="Normal 2 5 6" xfId="7138"/>
    <cellStyle name="Normal 2 5 6 2" xfId="7139"/>
    <cellStyle name="Normal 2 5 7" xfId="7140"/>
    <cellStyle name="Normal 2 5 7 2" xfId="7141"/>
    <cellStyle name="Normal 2 5 8" xfId="7142"/>
    <cellStyle name="Normal 2 5 8 2" xfId="7143"/>
    <cellStyle name="Normal 2 5 9" xfId="7144"/>
    <cellStyle name="Normal 2 5 9 2" xfId="7145"/>
    <cellStyle name="Normal 2 5_Achampally-Gattubuthkur-Ganga-CRR" xfId="7146"/>
    <cellStyle name="Normal 2 6" xfId="7147"/>
    <cellStyle name="Normal 2 6 2" xfId="7148"/>
    <cellStyle name="Normal 2 6 2 2" xfId="7149"/>
    <cellStyle name="Normal 2 6 3" xfId="7150"/>
    <cellStyle name="Normal 2 6 3 2" xfId="7151"/>
    <cellStyle name="Normal 2 6 4" xfId="7152"/>
    <cellStyle name="Normal 2 63" xfId="7153"/>
    <cellStyle name="Normal 2 63 2" xfId="7154"/>
    <cellStyle name="Normal 2 7" xfId="7155"/>
    <cellStyle name="Normal 2 7 2" xfId="7156"/>
    <cellStyle name="Normal 2 7 3" xfId="7157"/>
    <cellStyle name="Normal 2 7 4" xfId="7158"/>
    <cellStyle name="Normal 2 8" xfId="7159"/>
    <cellStyle name="Normal 2 8 2" xfId="7160"/>
    <cellStyle name="Normal 2 9" xfId="7161"/>
    <cellStyle name="Normal 2 9 2" xfId="7162"/>
    <cellStyle name="Normal 2_1 Bonguloor Modified model school type 1.200" xfId="7163"/>
    <cellStyle name="Normal 20" xfId="7164"/>
    <cellStyle name="Normal 20 10" xfId="7165"/>
    <cellStyle name="Normal 20 11" xfId="7166"/>
    <cellStyle name="Normal 20 12" xfId="7167"/>
    <cellStyle name="Normal 20 13" xfId="7168"/>
    <cellStyle name="Normal 20 14" xfId="7169"/>
    <cellStyle name="Normal 20 15" xfId="7170"/>
    <cellStyle name="Normal 20 16" xfId="7171"/>
    <cellStyle name="Normal 20 17" xfId="7172"/>
    <cellStyle name="Normal 20 18" xfId="7173"/>
    <cellStyle name="Normal 20 19" xfId="7174"/>
    <cellStyle name="Normal 20 2" xfId="7175"/>
    <cellStyle name="Normal 20 2 10" xfId="7176"/>
    <cellStyle name="Normal 20 2 11" xfId="7177"/>
    <cellStyle name="Normal 20 2 12" xfId="7178"/>
    <cellStyle name="Normal 20 2 13" xfId="7179"/>
    <cellStyle name="Normal 20 2 2" xfId="7180"/>
    <cellStyle name="Normal 20 2 2 10" xfId="7181"/>
    <cellStyle name="Normal 20 2 2 11" xfId="7182"/>
    <cellStyle name="Normal 20 2 2 2" xfId="7183"/>
    <cellStyle name="Normal 20 2 2 2 2" xfId="7184"/>
    <cellStyle name="Normal 20 2 2 2 3" xfId="7185"/>
    <cellStyle name="Normal 20 2 2 3" xfId="7186"/>
    <cellStyle name="Normal 20 2 2 4" xfId="7187"/>
    <cellStyle name="Normal 20 2 2 5" xfId="7188"/>
    <cellStyle name="Normal 20 2 2 6" xfId="7189"/>
    <cellStyle name="Normal 20 2 2 7" xfId="7190"/>
    <cellStyle name="Normal 20 2 2 8" xfId="7191"/>
    <cellStyle name="Normal 20 2 2 9" xfId="7192"/>
    <cellStyle name="Normal 20 2 3" xfId="7193"/>
    <cellStyle name="Normal 20 2 3 10" xfId="7194"/>
    <cellStyle name="Normal 20 2 3 11" xfId="7195"/>
    <cellStyle name="Normal 20 2 3 2" xfId="7196"/>
    <cellStyle name="Normal 20 2 3 3" xfId="7197"/>
    <cellStyle name="Normal 20 2 3 4" xfId="7198"/>
    <cellStyle name="Normal 20 2 3 5" xfId="7199"/>
    <cellStyle name="Normal 20 2 3 6" xfId="7200"/>
    <cellStyle name="Normal 20 2 3 7" xfId="7201"/>
    <cellStyle name="Normal 20 2 3 8" xfId="7202"/>
    <cellStyle name="Normal 20 2 3 9" xfId="7203"/>
    <cellStyle name="Normal 20 2 4" xfId="7204"/>
    <cellStyle name="Normal 20 2 4 2" xfId="7205"/>
    <cellStyle name="Normal 20 2 4 2 2" xfId="7206"/>
    <cellStyle name="Normal 20 2 4 2 3" xfId="7207"/>
    <cellStyle name="Normal 20 2 4 3" xfId="7208"/>
    <cellStyle name="Normal 20 2 4 4" xfId="7209"/>
    <cellStyle name="Normal 20 2 5" xfId="7210"/>
    <cellStyle name="Normal 20 2 5 2" xfId="7211"/>
    <cellStyle name="Normal 20 2 5 3" xfId="7212"/>
    <cellStyle name="Normal 20 2 6" xfId="7213"/>
    <cellStyle name="Normal 20 2 7" xfId="7214"/>
    <cellStyle name="Normal 20 2 8" xfId="7215"/>
    <cellStyle name="Normal 20 2 9" xfId="7216"/>
    <cellStyle name="Normal 20 3" xfId="7217"/>
    <cellStyle name="Normal 20 3 10" xfId="7218"/>
    <cellStyle name="Normal 20 3 11" xfId="7219"/>
    <cellStyle name="Normal 20 3 12" xfId="7220"/>
    <cellStyle name="Normal 20 3 13" xfId="7221"/>
    <cellStyle name="Normal 20 3 2" xfId="7222"/>
    <cellStyle name="Normal 20 3 2 10" xfId="7223"/>
    <cellStyle name="Normal 20 3 2 11" xfId="7224"/>
    <cellStyle name="Normal 20 3 2 2" xfId="7225"/>
    <cellStyle name="Normal 20 3 2 3" xfId="7226"/>
    <cellStyle name="Normal 20 3 2 4" xfId="7227"/>
    <cellStyle name="Normal 20 3 2 5" xfId="7228"/>
    <cellStyle name="Normal 20 3 2 6" xfId="7229"/>
    <cellStyle name="Normal 20 3 2 7" xfId="7230"/>
    <cellStyle name="Normal 20 3 2 8" xfId="7231"/>
    <cellStyle name="Normal 20 3 2 9" xfId="7232"/>
    <cellStyle name="Normal 20 3 3" xfId="7233"/>
    <cellStyle name="Normal 20 3 3 10" xfId="7234"/>
    <cellStyle name="Normal 20 3 3 11" xfId="7235"/>
    <cellStyle name="Normal 20 3 3 2" xfId="7236"/>
    <cellStyle name="Normal 20 3 3 3" xfId="7237"/>
    <cellStyle name="Normal 20 3 3 4" xfId="7238"/>
    <cellStyle name="Normal 20 3 3 5" xfId="7239"/>
    <cellStyle name="Normal 20 3 3 6" xfId="7240"/>
    <cellStyle name="Normal 20 3 3 7" xfId="7241"/>
    <cellStyle name="Normal 20 3 3 8" xfId="7242"/>
    <cellStyle name="Normal 20 3 3 9" xfId="7243"/>
    <cellStyle name="Normal 20 3 4" xfId="7244"/>
    <cellStyle name="Normal 20 3 4 2" xfId="7245"/>
    <cellStyle name="Normal 20 3 4 3" xfId="7246"/>
    <cellStyle name="Normal 20 3 5" xfId="7247"/>
    <cellStyle name="Normal 20 3 6" xfId="7248"/>
    <cellStyle name="Normal 20 3 7" xfId="7249"/>
    <cellStyle name="Normal 20 3 8" xfId="7250"/>
    <cellStyle name="Normal 20 3 9" xfId="7251"/>
    <cellStyle name="Normal 20 4" xfId="7252"/>
    <cellStyle name="Normal 20 4 10" xfId="7253"/>
    <cellStyle name="Normal 20 4 11" xfId="7254"/>
    <cellStyle name="Normal 20 4 12" xfId="7255"/>
    <cellStyle name="Normal 20 4 13" xfId="7256"/>
    <cellStyle name="Normal 20 4 2" xfId="7257"/>
    <cellStyle name="Normal 20 4 2 10" xfId="7258"/>
    <cellStyle name="Normal 20 4 2 11" xfId="7259"/>
    <cellStyle name="Normal 20 4 2 2" xfId="7260"/>
    <cellStyle name="Normal 20 4 2 3" xfId="7261"/>
    <cellStyle name="Normal 20 4 2 4" xfId="7262"/>
    <cellStyle name="Normal 20 4 2 5" xfId="7263"/>
    <cellStyle name="Normal 20 4 2 6" xfId="7264"/>
    <cellStyle name="Normal 20 4 2 7" xfId="7265"/>
    <cellStyle name="Normal 20 4 2 8" xfId="7266"/>
    <cellStyle name="Normal 20 4 2 9" xfId="7267"/>
    <cellStyle name="Normal 20 4 3" xfId="7268"/>
    <cellStyle name="Normal 20 4 3 10" xfId="7269"/>
    <cellStyle name="Normal 20 4 3 11" xfId="7270"/>
    <cellStyle name="Normal 20 4 3 2" xfId="7271"/>
    <cellStyle name="Normal 20 4 3 3" xfId="7272"/>
    <cellStyle name="Normal 20 4 3 4" xfId="7273"/>
    <cellStyle name="Normal 20 4 3 5" xfId="7274"/>
    <cellStyle name="Normal 20 4 3 6" xfId="7275"/>
    <cellStyle name="Normal 20 4 3 7" xfId="7276"/>
    <cellStyle name="Normal 20 4 3 8" xfId="7277"/>
    <cellStyle name="Normal 20 4 3 9" xfId="7278"/>
    <cellStyle name="Normal 20 4 4" xfId="7279"/>
    <cellStyle name="Normal 20 4 4 2" xfId="7280"/>
    <cellStyle name="Normal 20 4 4 3" xfId="7281"/>
    <cellStyle name="Normal 20 4 5" xfId="7282"/>
    <cellStyle name="Normal 20 4 5 2" xfId="7283"/>
    <cellStyle name="Normal 20 4 5 3" xfId="7284"/>
    <cellStyle name="Normal 20 4 6" xfId="7285"/>
    <cellStyle name="Normal 20 4 7" xfId="7286"/>
    <cellStyle name="Normal 20 4 8" xfId="7287"/>
    <cellStyle name="Normal 20 4 9" xfId="7288"/>
    <cellStyle name="Normal 20 5" xfId="7289"/>
    <cellStyle name="Normal 20 5 10" xfId="7290"/>
    <cellStyle name="Normal 20 5 11" xfId="7291"/>
    <cellStyle name="Normal 20 5 12" xfId="7292"/>
    <cellStyle name="Normal 20 5 13" xfId="7293"/>
    <cellStyle name="Normal 20 5 2" xfId="7294"/>
    <cellStyle name="Normal 20 5 2 10" xfId="7295"/>
    <cellStyle name="Normal 20 5 2 11" xfId="7296"/>
    <cellStyle name="Normal 20 5 2 2" xfId="7297"/>
    <cellStyle name="Normal 20 5 2 3" xfId="7298"/>
    <cellStyle name="Normal 20 5 2 4" xfId="7299"/>
    <cellStyle name="Normal 20 5 2 5" xfId="7300"/>
    <cellStyle name="Normal 20 5 2 6" xfId="7301"/>
    <cellStyle name="Normal 20 5 2 7" xfId="7302"/>
    <cellStyle name="Normal 20 5 2 8" xfId="7303"/>
    <cellStyle name="Normal 20 5 2 9" xfId="7304"/>
    <cellStyle name="Normal 20 5 3" xfId="7305"/>
    <cellStyle name="Normal 20 5 3 10" xfId="7306"/>
    <cellStyle name="Normal 20 5 3 11" xfId="7307"/>
    <cellStyle name="Normal 20 5 3 2" xfId="7308"/>
    <cellStyle name="Normal 20 5 3 3" xfId="7309"/>
    <cellStyle name="Normal 20 5 3 4" xfId="7310"/>
    <cellStyle name="Normal 20 5 3 5" xfId="7311"/>
    <cellStyle name="Normal 20 5 3 6" xfId="7312"/>
    <cellStyle name="Normal 20 5 3 7" xfId="7313"/>
    <cellStyle name="Normal 20 5 3 8" xfId="7314"/>
    <cellStyle name="Normal 20 5 3 9" xfId="7315"/>
    <cellStyle name="Normal 20 5 4" xfId="7316"/>
    <cellStyle name="Normal 20 5 4 2" xfId="7317"/>
    <cellStyle name="Normal 20 5 4 3" xfId="7318"/>
    <cellStyle name="Normal 20 5 5" xfId="7319"/>
    <cellStyle name="Normal 20 5 5 2" xfId="7320"/>
    <cellStyle name="Normal 20 5 5 3" xfId="7321"/>
    <cellStyle name="Normal 20 5 6" xfId="7322"/>
    <cellStyle name="Normal 20 5 7" xfId="7323"/>
    <cellStyle name="Normal 20 5 8" xfId="7324"/>
    <cellStyle name="Normal 20 5 9" xfId="7325"/>
    <cellStyle name="Normal 20 6" xfId="7326"/>
    <cellStyle name="Normal 20 6 10" xfId="7327"/>
    <cellStyle name="Normal 20 6 11" xfId="7328"/>
    <cellStyle name="Normal 20 6 12" xfId="7329"/>
    <cellStyle name="Normal 20 6 13" xfId="7330"/>
    <cellStyle name="Normal 20 6 2" xfId="7331"/>
    <cellStyle name="Normal 20 6 2 10" xfId="7332"/>
    <cellStyle name="Normal 20 6 2 11" xfId="7333"/>
    <cellStyle name="Normal 20 6 2 2" xfId="7334"/>
    <cellStyle name="Normal 20 6 2 3" xfId="7335"/>
    <cellStyle name="Normal 20 6 2 4" xfId="7336"/>
    <cellStyle name="Normal 20 6 2 5" xfId="7337"/>
    <cellStyle name="Normal 20 6 2 6" xfId="7338"/>
    <cellStyle name="Normal 20 6 2 7" xfId="7339"/>
    <cellStyle name="Normal 20 6 2 8" xfId="7340"/>
    <cellStyle name="Normal 20 6 2 9" xfId="7341"/>
    <cellStyle name="Normal 20 6 3" xfId="7342"/>
    <cellStyle name="Normal 20 6 3 10" xfId="7343"/>
    <cellStyle name="Normal 20 6 3 11" xfId="7344"/>
    <cellStyle name="Normal 20 6 3 2" xfId="7345"/>
    <cellStyle name="Normal 20 6 3 3" xfId="7346"/>
    <cellStyle name="Normal 20 6 3 4" xfId="7347"/>
    <cellStyle name="Normal 20 6 3 5" xfId="7348"/>
    <cellStyle name="Normal 20 6 3 6" xfId="7349"/>
    <cellStyle name="Normal 20 6 3 7" xfId="7350"/>
    <cellStyle name="Normal 20 6 3 8" xfId="7351"/>
    <cellStyle name="Normal 20 6 3 9" xfId="7352"/>
    <cellStyle name="Normal 20 6 4" xfId="7353"/>
    <cellStyle name="Normal 20 6 4 2" xfId="7354"/>
    <cellStyle name="Normal 20 6 4 3" xfId="7355"/>
    <cellStyle name="Normal 20 6 5" xfId="7356"/>
    <cellStyle name="Normal 20 6 5 2" xfId="7357"/>
    <cellStyle name="Normal 20 6 5 3" xfId="7358"/>
    <cellStyle name="Normal 20 6 6" xfId="7359"/>
    <cellStyle name="Normal 20 6 7" xfId="7360"/>
    <cellStyle name="Normal 20 6 8" xfId="7361"/>
    <cellStyle name="Normal 20 6 9" xfId="7362"/>
    <cellStyle name="Normal 20 7" xfId="7363"/>
    <cellStyle name="Normal 20 7 10" xfId="7364"/>
    <cellStyle name="Normal 20 7 11" xfId="7365"/>
    <cellStyle name="Normal 20 7 12" xfId="7366"/>
    <cellStyle name="Normal 20 7 13" xfId="7367"/>
    <cellStyle name="Normal 20 7 2" xfId="7368"/>
    <cellStyle name="Normal 20 7 2 10" xfId="7369"/>
    <cellStyle name="Normal 20 7 2 11" xfId="7370"/>
    <cellStyle name="Normal 20 7 2 2" xfId="7371"/>
    <cellStyle name="Normal 20 7 2 3" xfId="7372"/>
    <cellStyle name="Normal 20 7 2 4" xfId="7373"/>
    <cellStyle name="Normal 20 7 2 5" xfId="7374"/>
    <cellStyle name="Normal 20 7 2 6" xfId="7375"/>
    <cellStyle name="Normal 20 7 2 7" xfId="7376"/>
    <cellStyle name="Normal 20 7 2 8" xfId="7377"/>
    <cellStyle name="Normal 20 7 2 9" xfId="7378"/>
    <cellStyle name="Normal 20 7 3" xfId="7379"/>
    <cellStyle name="Normal 20 7 3 10" xfId="7380"/>
    <cellStyle name="Normal 20 7 3 11" xfId="7381"/>
    <cellStyle name="Normal 20 7 3 2" xfId="7382"/>
    <cellStyle name="Normal 20 7 3 3" xfId="7383"/>
    <cellStyle name="Normal 20 7 3 4" xfId="7384"/>
    <cellStyle name="Normal 20 7 3 5" xfId="7385"/>
    <cellStyle name="Normal 20 7 3 6" xfId="7386"/>
    <cellStyle name="Normal 20 7 3 7" xfId="7387"/>
    <cellStyle name="Normal 20 7 3 8" xfId="7388"/>
    <cellStyle name="Normal 20 7 3 9" xfId="7389"/>
    <cellStyle name="Normal 20 7 4" xfId="7390"/>
    <cellStyle name="Normal 20 7 4 2" xfId="7391"/>
    <cellStyle name="Normal 20 7 4 3" xfId="7392"/>
    <cellStyle name="Normal 20 7 5" xfId="7393"/>
    <cellStyle name="Normal 20 7 5 2" xfId="7394"/>
    <cellStyle name="Normal 20 7 5 3" xfId="7395"/>
    <cellStyle name="Normal 20 7 6" xfId="7396"/>
    <cellStyle name="Normal 20 7 7" xfId="7397"/>
    <cellStyle name="Normal 20 7 8" xfId="7398"/>
    <cellStyle name="Normal 20 7 9" xfId="7399"/>
    <cellStyle name="Normal 20 8" xfId="7400"/>
    <cellStyle name="Normal 20 8 10" xfId="7401"/>
    <cellStyle name="Normal 20 8 11" xfId="7402"/>
    <cellStyle name="Normal 20 8 2" xfId="7403"/>
    <cellStyle name="Normal 20 8 3" xfId="7404"/>
    <cellStyle name="Normal 20 8 4" xfId="7405"/>
    <cellStyle name="Normal 20 8 5" xfId="7406"/>
    <cellStyle name="Normal 20 8 6" xfId="7407"/>
    <cellStyle name="Normal 20 8 7" xfId="7408"/>
    <cellStyle name="Normal 20 8 8" xfId="7409"/>
    <cellStyle name="Normal 20 8 9" xfId="7410"/>
    <cellStyle name="Normal 20 9" xfId="7411"/>
    <cellStyle name="Normal 20 9 10" xfId="7412"/>
    <cellStyle name="Normal 20 9 11" xfId="7413"/>
    <cellStyle name="Normal 20 9 2" xfId="7414"/>
    <cellStyle name="Normal 20 9 3" xfId="7415"/>
    <cellStyle name="Normal 20 9 4" xfId="7416"/>
    <cellStyle name="Normal 20 9 5" xfId="7417"/>
    <cellStyle name="Normal 20 9 6" xfId="7418"/>
    <cellStyle name="Normal 20 9 7" xfId="7419"/>
    <cellStyle name="Normal 20 9 8" xfId="7420"/>
    <cellStyle name="Normal 20 9 9" xfId="7421"/>
    <cellStyle name="Normal 21" xfId="7422"/>
    <cellStyle name="Normal 21 2" xfId="7423"/>
    <cellStyle name="Normal 21 2 2" xfId="7424"/>
    <cellStyle name="Normal 21 3" xfId="7425"/>
    <cellStyle name="Normal 21 4" xfId="7426"/>
    <cellStyle name="Normal 21 5" xfId="7427"/>
    <cellStyle name="Normal 21 5 2" xfId="7428"/>
    <cellStyle name="Normal 21 6" xfId="7429"/>
    <cellStyle name="Normal 22" xfId="7430"/>
    <cellStyle name="Normal 22 10" xfId="7431"/>
    <cellStyle name="Normal 22 11" xfId="7432"/>
    <cellStyle name="Normal 22 12" xfId="7433"/>
    <cellStyle name="Normal 22 13" xfId="7434"/>
    <cellStyle name="Normal 22 14" xfId="7435"/>
    <cellStyle name="Normal 22 15" xfId="7436"/>
    <cellStyle name="Normal 22 16" xfId="7437"/>
    <cellStyle name="Normal 22 17" xfId="7438"/>
    <cellStyle name="Normal 22 18" xfId="7439"/>
    <cellStyle name="Normal 22 2" xfId="7440"/>
    <cellStyle name="Normal 22 2 10" xfId="7441"/>
    <cellStyle name="Normal 22 2 11" xfId="7442"/>
    <cellStyle name="Normal 22 2 12" xfId="7443"/>
    <cellStyle name="Normal 22 2 13" xfId="7444"/>
    <cellStyle name="Normal 22 2 2" xfId="7445"/>
    <cellStyle name="Normal 22 2 2 10" xfId="7446"/>
    <cellStyle name="Normal 22 2 2 11" xfId="7447"/>
    <cellStyle name="Normal 22 2 2 2" xfId="7448"/>
    <cellStyle name="Normal 22 2 2 2 2" xfId="7449"/>
    <cellStyle name="Normal 22 2 2 2 3" xfId="7450"/>
    <cellStyle name="Normal 22 2 2 3" xfId="7451"/>
    <cellStyle name="Normal 22 2 2 4" xfId="7452"/>
    <cellStyle name="Normal 22 2 2 5" xfId="7453"/>
    <cellStyle name="Normal 22 2 2 6" xfId="7454"/>
    <cellStyle name="Normal 22 2 2 7" xfId="7455"/>
    <cellStyle name="Normal 22 2 2 8" xfId="7456"/>
    <cellStyle name="Normal 22 2 2 9" xfId="7457"/>
    <cellStyle name="Normal 22 2 3" xfId="7458"/>
    <cellStyle name="Normal 22 2 3 10" xfId="7459"/>
    <cellStyle name="Normal 22 2 3 11" xfId="7460"/>
    <cellStyle name="Normal 22 2 3 2" xfId="7461"/>
    <cellStyle name="Normal 22 2 3 3" xfId="7462"/>
    <cellStyle name="Normal 22 2 3 4" xfId="7463"/>
    <cellStyle name="Normal 22 2 3 5" xfId="7464"/>
    <cellStyle name="Normal 22 2 3 6" xfId="7465"/>
    <cellStyle name="Normal 22 2 3 7" xfId="7466"/>
    <cellStyle name="Normal 22 2 3 8" xfId="7467"/>
    <cellStyle name="Normal 22 2 3 9" xfId="7468"/>
    <cellStyle name="Normal 22 2 4" xfId="7469"/>
    <cellStyle name="Normal 22 2 4 2" xfId="7470"/>
    <cellStyle name="Normal 22 2 4 3" xfId="7471"/>
    <cellStyle name="Normal 22 2 5" xfId="7472"/>
    <cellStyle name="Normal 22 2 6" xfId="7473"/>
    <cellStyle name="Normal 22 2 7" xfId="7474"/>
    <cellStyle name="Normal 22 2 8" xfId="7475"/>
    <cellStyle name="Normal 22 2 9" xfId="7476"/>
    <cellStyle name="Normal 22 3" xfId="7477"/>
    <cellStyle name="Normal 22 3 10" xfId="7478"/>
    <cellStyle name="Normal 22 3 11" xfId="7479"/>
    <cellStyle name="Normal 22 3 12" xfId="7480"/>
    <cellStyle name="Normal 22 3 13" xfId="7481"/>
    <cellStyle name="Normal 22 3 2" xfId="7482"/>
    <cellStyle name="Normal 22 3 2 10" xfId="7483"/>
    <cellStyle name="Normal 22 3 2 11" xfId="7484"/>
    <cellStyle name="Normal 22 3 2 2" xfId="7485"/>
    <cellStyle name="Normal 22 3 2 3" xfId="7486"/>
    <cellStyle name="Normal 22 3 2 4" xfId="7487"/>
    <cellStyle name="Normal 22 3 2 5" xfId="7488"/>
    <cellStyle name="Normal 22 3 2 6" xfId="7489"/>
    <cellStyle name="Normal 22 3 2 7" xfId="7490"/>
    <cellStyle name="Normal 22 3 2 8" xfId="7491"/>
    <cellStyle name="Normal 22 3 2 9" xfId="7492"/>
    <cellStyle name="Normal 22 3 3" xfId="7493"/>
    <cellStyle name="Normal 22 3 3 10" xfId="7494"/>
    <cellStyle name="Normal 22 3 3 11" xfId="7495"/>
    <cellStyle name="Normal 22 3 3 2" xfId="7496"/>
    <cellStyle name="Normal 22 3 3 3" xfId="7497"/>
    <cellStyle name="Normal 22 3 3 4" xfId="7498"/>
    <cellStyle name="Normal 22 3 3 5" xfId="7499"/>
    <cellStyle name="Normal 22 3 3 6" xfId="7500"/>
    <cellStyle name="Normal 22 3 3 7" xfId="7501"/>
    <cellStyle name="Normal 22 3 3 8" xfId="7502"/>
    <cellStyle name="Normal 22 3 3 9" xfId="7503"/>
    <cellStyle name="Normal 22 3 4" xfId="7504"/>
    <cellStyle name="Normal 22 3 4 2" xfId="7505"/>
    <cellStyle name="Normal 22 3 4 3" xfId="7506"/>
    <cellStyle name="Normal 22 3 5" xfId="7507"/>
    <cellStyle name="Normal 22 3 5 2" xfId="7508"/>
    <cellStyle name="Normal 22 3 5 3" xfId="7509"/>
    <cellStyle name="Normal 22 3 6" xfId="7510"/>
    <cellStyle name="Normal 22 3 7" xfId="7511"/>
    <cellStyle name="Normal 22 3 8" xfId="7512"/>
    <cellStyle name="Normal 22 3 9" xfId="7513"/>
    <cellStyle name="Normal 22 4" xfId="7514"/>
    <cellStyle name="Normal 22 4 10" xfId="7515"/>
    <cellStyle name="Normal 22 4 11" xfId="7516"/>
    <cellStyle name="Normal 22 4 12" xfId="7517"/>
    <cellStyle name="Normal 22 4 13" xfId="7518"/>
    <cellStyle name="Normal 22 4 2" xfId="7519"/>
    <cellStyle name="Normal 22 4 2 10" xfId="7520"/>
    <cellStyle name="Normal 22 4 2 11" xfId="7521"/>
    <cellStyle name="Normal 22 4 2 2" xfId="7522"/>
    <cellStyle name="Normal 22 4 2 3" xfId="7523"/>
    <cellStyle name="Normal 22 4 2 4" xfId="7524"/>
    <cellStyle name="Normal 22 4 2 5" xfId="7525"/>
    <cellStyle name="Normal 22 4 2 6" xfId="7526"/>
    <cellStyle name="Normal 22 4 2 7" xfId="7527"/>
    <cellStyle name="Normal 22 4 2 8" xfId="7528"/>
    <cellStyle name="Normal 22 4 2 9" xfId="7529"/>
    <cellStyle name="Normal 22 4 3" xfId="7530"/>
    <cellStyle name="Normal 22 4 3 10" xfId="7531"/>
    <cellStyle name="Normal 22 4 3 11" xfId="7532"/>
    <cellStyle name="Normal 22 4 3 2" xfId="7533"/>
    <cellStyle name="Normal 22 4 3 3" xfId="7534"/>
    <cellStyle name="Normal 22 4 3 4" xfId="7535"/>
    <cellStyle name="Normal 22 4 3 5" xfId="7536"/>
    <cellStyle name="Normal 22 4 3 6" xfId="7537"/>
    <cellStyle name="Normal 22 4 3 7" xfId="7538"/>
    <cellStyle name="Normal 22 4 3 8" xfId="7539"/>
    <cellStyle name="Normal 22 4 3 9" xfId="7540"/>
    <cellStyle name="Normal 22 4 4" xfId="7541"/>
    <cellStyle name="Normal 22 4 4 2" xfId="7542"/>
    <cellStyle name="Normal 22 4 4 3" xfId="7543"/>
    <cellStyle name="Normal 22 4 5" xfId="7544"/>
    <cellStyle name="Normal 22 4 5 2" xfId="7545"/>
    <cellStyle name="Normal 22 4 5 3" xfId="7546"/>
    <cellStyle name="Normal 22 4 6" xfId="7547"/>
    <cellStyle name="Normal 22 4 7" xfId="7548"/>
    <cellStyle name="Normal 22 4 8" xfId="7549"/>
    <cellStyle name="Normal 22 4 9" xfId="7550"/>
    <cellStyle name="Normal 22 5" xfId="7551"/>
    <cellStyle name="Normal 22 5 10" xfId="7552"/>
    <cellStyle name="Normal 22 5 11" xfId="7553"/>
    <cellStyle name="Normal 22 5 12" xfId="7554"/>
    <cellStyle name="Normal 22 5 13" xfId="7555"/>
    <cellStyle name="Normal 22 5 2" xfId="7556"/>
    <cellStyle name="Normal 22 5 2 10" xfId="7557"/>
    <cellStyle name="Normal 22 5 2 11" xfId="7558"/>
    <cellStyle name="Normal 22 5 2 2" xfId="7559"/>
    <cellStyle name="Normal 22 5 2 3" xfId="7560"/>
    <cellStyle name="Normal 22 5 2 4" xfId="7561"/>
    <cellStyle name="Normal 22 5 2 5" xfId="7562"/>
    <cellStyle name="Normal 22 5 2 6" xfId="7563"/>
    <cellStyle name="Normal 22 5 2 7" xfId="7564"/>
    <cellStyle name="Normal 22 5 2 8" xfId="7565"/>
    <cellStyle name="Normal 22 5 2 9" xfId="7566"/>
    <cellStyle name="Normal 22 5 3" xfId="7567"/>
    <cellStyle name="Normal 22 5 3 10" xfId="7568"/>
    <cellStyle name="Normal 22 5 3 11" xfId="7569"/>
    <cellStyle name="Normal 22 5 3 2" xfId="7570"/>
    <cellStyle name="Normal 22 5 3 3" xfId="7571"/>
    <cellStyle name="Normal 22 5 3 4" xfId="7572"/>
    <cellStyle name="Normal 22 5 3 5" xfId="7573"/>
    <cellStyle name="Normal 22 5 3 6" xfId="7574"/>
    <cellStyle name="Normal 22 5 3 7" xfId="7575"/>
    <cellStyle name="Normal 22 5 3 8" xfId="7576"/>
    <cellStyle name="Normal 22 5 3 9" xfId="7577"/>
    <cellStyle name="Normal 22 5 4" xfId="7578"/>
    <cellStyle name="Normal 22 5 4 2" xfId="7579"/>
    <cellStyle name="Normal 22 5 4 3" xfId="7580"/>
    <cellStyle name="Normal 22 5 5" xfId="7581"/>
    <cellStyle name="Normal 22 5 5 2" xfId="7582"/>
    <cellStyle name="Normal 22 5 5 3" xfId="7583"/>
    <cellStyle name="Normal 22 5 6" xfId="7584"/>
    <cellStyle name="Normal 22 5 7" xfId="7585"/>
    <cellStyle name="Normal 22 5 8" xfId="7586"/>
    <cellStyle name="Normal 22 5 9" xfId="7587"/>
    <cellStyle name="Normal 22 6" xfId="7588"/>
    <cellStyle name="Normal 22 6 10" xfId="7589"/>
    <cellStyle name="Normal 22 6 11" xfId="7590"/>
    <cellStyle name="Normal 22 6 12" xfId="7591"/>
    <cellStyle name="Normal 22 6 13" xfId="7592"/>
    <cellStyle name="Normal 22 6 2" xfId="7593"/>
    <cellStyle name="Normal 22 6 2 10" xfId="7594"/>
    <cellStyle name="Normal 22 6 2 11" xfId="7595"/>
    <cellStyle name="Normal 22 6 2 2" xfId="7596"/>
    <cellStyle name="Normal 22 6 2 3" xfId="7597"/>
    <cellStyle name="Normal 22 6 2 4" xfId="7598"/>
    <cellStyle name="Normal 22 6 2 5" xfId="7599"/>
    <cellStyle name="Normal 22 6 2 6" xfId="7600"/>
    <cellStyle name="Normal 22 6 2 7" xfId="7601"/>
    <cellStyle name="Normal 22 6 2 8" xfId="7602"/>
    <cellStyle name="Normal 22 6 2 9" xfId="7603"/>
    <cellStyle name="Normal 22 6 3" xfId="7604"/>
    <cellStyle name="Normal 22 6 3 10" xfId="7605"/>
    <cellStyle name="Normal 22 6 3 11" xfId="7606"/>
    <cellStyle name="Normal 22 6 3 2" xfId="7607"/>
    <cellStyle name="Normal 22 6 3 3" xfId="7608"/>
    <cellStyle name="Normal 22 6 3 4" xfId="7609"/>
    <cellStyle name="Normal 22 6 3 5" xfId="7610"/>
    <cellStyle name="Normal 22 6 3 6" xfId="7611"/>
    <cellStyle name="Normal 22 6 3 7" xfId="7612"/>
    <cellStyle name="Normal 22 6 3 8" xfId="7613"/>
    <cellStyle name="Normal 22 6 3 9" xfId="7614"/>
    <cellStyle name="Normal 22 6 4" xfId="7615"/>
    <cellStyle name="Normal 22 6 4 2" xfId="7616"/>
    <cellStyle name="Normal 22 6 4 3" xfId="7617"/>
    <cellStyle name="Normal 22 6 5" xfId="7618"/>
    <cellStyle name="Normal 22 6 5 2" xfId="7619"/>
    <cellStyle name="Normal 22 6 5 3" xfId="7620"/>
    <cellStyle name="Normal 22 6 6" xfId="7621"/>
    <cellStyle name="Normal 22 6 7" xfId="7622"/>
    <cellStyle name="Normal 22 6 8" xfId="7623"/>
    <cellStyle name="Normal 22 6 9" xfId="7624"/>
    <cellStyle name="Normal 22 7" xfId="7625"/>
    <cellStyle name="Normal 22 7 10" xfId="7626"/>
    <cellStyle name="Normal 22 7 11" xfId="7627"/>
    <cellStyle name="Normal 22 7 2" xfId="7628"/>
    <cellStyle name="Normal 22 7 3" xfId="7629"/>
    <cellStyle name="Normal 22 7 4" xfId="7630"/>
    <cellStyle name="Normal 22 7 5" xfId="7631"/>
    <cellStyle name="Normal 22 7 6" xfId="7632"/>
    <cellStyle name="Normal 22 7 7" xfId="7633"/>
    <cellStyle name="Normal 22 7 8" xfId="7634"/>
    <cellStyle name="Normal 22 7 9" xfId="7635"/>
    <cellStyle name="Normal 22 8" xfId="7636"/>
    <cellStyle name="Normal 22 8 10" xfId="7637"/>
    <cellStyle name="Normal 22 8 11" xfId="7638"/>
    <cellStyle name="Normal 22 8 2" xfId="7639"/>
    <cellStyle name="Normal 22 8 3" xfId="7640"/>
    <cellStyle name="Normal 22 8 4" xfId="7641"/>
    <cellStyle name="Normal 22 8 5" xfId="7642"/>
    <cellStyle name="Normal 22 8 6" xfId="7643"/>
    <cellStyle name="Normal 22 8 7" xfId="7644"/>
    <cellStyle name="Normal 22 8 8" xfId="7645"/>
    <cellStyle name="Normal 22 8 9" xfId="7646"/>
    <cellStyle name="Normal 22 9" xfId="7647"/>
    <cellStyle name="Normal 22 9 2" xfId="7648"/>
    <cellStyle name="Normal 22 9 2 2" xfId="7649"/>
    <cellStyle name="Normal 22 9 3" xfId="7650"/>
    <cellStyle name="Normal 23" xfId="7651"/>
    <cellStyle name="Normal 23 10" xfId="7652"/>
    <cellStyle name="Normal 23 10 2" xfId="7653"/>
    <cellStyle name="Normal 23 10 2 2" xfId="7654"/>
    <cellStyle name="Normal 23 10 2 2 2" xfId="7655"/>
    <cellStyle name="Normal 23 10 2 2 3" xfId="7656"/>
    <cellStyle name="Normal 23 10 2 3" xfId="7657"/>
    <cellStyle name="Normal 23 10 2 3 2" xfId="7658"/>
    <cellStyle name="Normal 23 10 2 3 3" xfId="7659"/>
    <cellStyle name="Normal 23 10 2 4" xfId="7660"/>
    <cellStyle name="Normal 23 10 2 5" xfId="7661"/>
    <cellStyle name="Normal 23 10 2 6" xfId="7662"/>
    <cellStyle name="Normal 23 10 2 7" xfId="7663"/>
    <cellStyle name="Normal 23 10 3" xfId="7664"/>
    <cellStyle name="Normal 23 10 3 2" xfId="7665"/>
    <cellStyle name="Normal 23 10 3 3" xfId="7666"/>
    <cellStyle name="Normal 23 10 4" xfId="7667"/>
    <cellStyle name="Normal 23 10 4 2" xfId="7668"/>
    <cellStyle name="Normal 23 10 4 3" xfId="7669"/>
    <cellStyle name="Normal 23 10 5" xfId="7670"/>
    <cellStyle name="Normal 23 10 6" xfId="7671"/>
    <cellStyle name="Normal 23 10 7" xfId="7672"/>
    <cellStyle name="Normal 23 10 8" xfId="7673"/>
    <cellStyle name="Normal 23 11" xfId="7674"/>
    <cellStyle name="Normal 23 11 2" xfId="7675"/>
    <cellStyle name="Normal 23 11 2 2" xfId="7676"/>
    <cellStyle name="Normal 23 11 2 3" xfId="7677"/>
    <cellStyle name="Normal 23 11 3" xfId="7678"/>
    <cellStyle name="Normal 23 11 3 2" xfId="7679"/>
    <cellStyle name="Normal 23 11 3 3" xfId="7680"/>
    <cellStyle name="Normal 23 11 4" xfId="7681"/>
    <cellStyle name="Normal 23 11 5" xfId="7682"/>
    <cellStyle name="Normal 23 11 6" xfId="7683"/>
    <cellStyle name="Normal 23 11 7" xfId="7684"/>
    <cellStyle name="Normal 23 12" xfId="7685"/>
    <cellStyle name="Normal 23 12 2" xfId="7686"/>
    <cellStyle name="Normal 23 12 2 2" xfId="7687"/>
    <cellStyle name="Normal 23 12 2 3" xfId="7688"/>
    <cellStyle name="Normal 23 12 3" xfId="7689"/>
    <cellStyle name="Normal 23 12 3 2" xfId="7690"/>
    <cellStyle name="Normal 23 12 3 3" xfId="7691"/>
    <cellStyle name="Normal 23 12 4" xfId="7692"/>
    <cellStyle name="Normal 23 12 5" xfId="7693"/>
    <cellStyle name="Normal 23 12 6" xfId="7694"/>
    <cellStyle name="Normal 23 12 7" xfId="7695"/>
    <cellStyle name="Normal 23 13" xfId="7696"/>
    <cellStyle name="Normal 23 13 2" xfId="7697"/>
    <cellStyle name="Normal 23 13 3" xfId="7698"/>
    <cellStyle name="Normal 23 14" xfId="7699"/>
    <cellStyle name="Normal 23 14 2" xfId="7700"/>
    <cellStyle name="Normal 23 14 3" xfId="7701"/>
    <cellStyle name="Normal 23 15" xfId="7702"/>
    <cellStyle name="Normal 23 16" xfId="7703"/>
    <cellStyle name="Normal 23 17" xfId="7704"/>
    <cellStyle name="Normal 23 18" xfId="7705"/>
    <cellStyle name="Normal 23 2" xfId="7706"/>
    <cellStyle name="Normal 23 2 2" xfId="7707"/>
    <cellStyle name="Normal 23 2 3" xfId="7708"/>
    <cellStyle name="Normal 23 3" xfId="7709"/>
    <cellStyle name="Normal 23 3 10" xfId="7710"/>
    <cellStyle name="Normal 23 3 10 2" xfId="7711"/>
    <cellStyle name="Normal 23 3 10 3" xfId="7712"/>
    <cellStyle name="Normal 23 3 11" xfId="7713"/>
    <cellStyle name="Normal 23 3 12" xfId="7714"/>
    <cellStyle name="Normal 23 3 13" xfId="7715"/>
    <cellStyle name="Normal 23 3 14" xfId="7716"/>
    <cellStyle name="Normal 23 3 2" xfId="7717"/>
    <cellStyle name="Normal 23 3 2 10" xfId="7718"/>
    <cellStyle name="Normal 23 3 2 11" xfId="7719"/>
    <cellStyle name="Normal 23 3 2 2" xfId="7720"/>
    <cellStyle name="Normal 23 3 2 2 2" xfId="7721"/>
    <cellStyle name="Normal 23 3 2 2 2 2" xfId="7722"/>
    <cellStyle name="Normal 23 3 2 2 2 2 2" xfId="7723"/>
    <cellStyle name="Normal 23 3 2 2 2 2 2 2" xfId="7724"/>
    <cellStyle name="Normal 23 3 2 2 2 2 2 3" xfId="7725"/>
    <cellStyle name="Normal 23 3 2 2 2 2 3" xfId="7726"/>
    <cellStyle name="Normal 23 3 2 2 2 2 3 2" xfId="7727"/>
    <cellStyle name="Normal 23 3 2 2 2 2 3 3" xfId="7728"/>
    <cellStyle name="Normal 23 3 2 2 2 2 4" xfId="7729"/>
    <cellStyle name="Normal 23 3 2 2 2 2 5" xfId="7730"/>
    <cellStyle name="Normal 23 3 2 2 2 2 6" xfId="7731"/>
    <cellStyle name="Normal 23 3 2 2 2 2 7" xfId="7732"/>
    <cellStyle name="Normal 23 3 2 2 2 3" xfId="7733"/>
    <cellStyle name="Normal 23 3 2 2 2 3 2" xfId="7734"/>
    <cellStyle name="Normal 23 3 2 2 2 3 3" xfId="7735"/>
    <cellStyle name="Normal 23 3 2 2 2 4" xfId="7736"/>
    <cellStyle name="Normal 23 3 2 2 2 4 2" xfId="7737"/>
    <cellStyle name="Normal 23 3 2 2 2 4 3" xfId="7738"/>
    <cellStyle name="Normal 23 3 2 2 2 5" xfId="7739"/>
    <cellStyle name="Normal 23 3 2 2 2 6" xfId="7740"/>
    <cellStyle name="Normal 23 3 2 2 2 7" xfId="7741"/>
    <cellStyle name="Normal 23 3 2 2 2 8" xfId="7742"/>
    <cellStyle name="Normal 23 3 2 2 3" xfId="7743"/>
    <cellStyle name="Normal 23 3 2 2 3 2" xfId="7744"/>
    <cellStyle name="Normal 23 3 2 2 3 2 2" xfId="7745"/>
    <cellStyle name="Normal 23 3 2 2 3 2 3" xfId="7746"/>
    <cellStyle name="Normal 23 3 2 2 3 3" xfId="7747"/>
    <cellStyle name="Normal 23 3 2 2 3 3 2" xfId="7748"/>
    <cellStyle name="Normal 23 3 2 2 3 3 3" xfId="7749"/>
    <cellStyle name="Normal 23 3 2 2 3 4" xfId="7750"/>
    <cellStyle name="Normal 23 3 2 2 3 5" xfId="7751"/>
    <cellStyle name="Normal 23 3 2 2 3 6" xfId="7752"/>
    <cellStyle name="Normal 23 3 2 2 3 7" xfId="7753"/>
    <cellStyle name="Normal 23 3 2 2 4" xfId="7754"/>
    <cellStyle name="Normal 23 3 2 2 4 2" xfId="7755"/>
    <cellStyle name="Normal 23 3 2 2 4 3" xfId="7756"/>
    <cellStyle name="Normal 23 3 2 2 5" xfId="7757"/>
    <cellStyle name="Normal 23 3 2 2 5 2" xfId="7758"/>
    <cellStyle name="Normal 23 3 2 2 5 3" xfId="7759"/>
    <cellStyle name="Normal 23 3 2 2 6" xfId="7760"/>
    <cellStyle name="Normal 23 3 2 2 7" xfId="7761"/>
    <cellStyle name="Normal 23 3 2 2 8" xfId="7762"/>
    <cellStyle name="Normal 23 3 2 2 9" xfId="7763"/>
    <cellStyle name="Normal 23 3 2 3" xfId="7764"/>
    <cellStyle name="Normal 23 3 2 3 2" xfId="7765"/>
    <cellStyle name="Normal 23 3 2 3 2 2" xfId="7766"/>
    <cellStyle name="Normal 23 3 2 3 2 2 2" xfId="7767"/>
    <cellStyle name="Normal 23 3 2 3 2 2 3" xfId="7768"/>
    <cellStyle name="Normal 23 3 2 3 2 3" xfId="7769"/>
    <cellStyle name="Normal 23 3 2 3 2 3 2" xfId="7770"/>
    <cellStyle name="Normal 23 3 2 3 2 3 3" xfId="7771"/>
    <cellStyle name="Normal 23 3 2 3 2 4" xfId="7772"/>
    <cellStyle name="Normal 23 3 2 3 2 5" xfId="7773"/>
    <cellStyle name="Normal 23 3 2 3 2 6" xfId="7774"/>
    <cellStyle name="Normal 23 3 2 3 2 7" xfId="7775"/>
    <cellStyle name="Normal 23 3 2 3 3" xfId="7776"/>
    <cellStyle name="Normal 23 3 2 3 3 2" xfId="7777"/>
    <cellStyle name="Normal 23 3 2 3 3 3" xfId="7778"/>
    <cellStyle name="Normal 23 3 2 3 4" xfId="7779"/>
    <cellStyle name="Normal 23 3 2 3 4 2" xfId="7780"/>
    <cellStyle name="Normal 23 3 2 3 4 3" xfId="7781"/>
    <cellStyle name="Normal 23 3 2 3 5" xfId="7782"/>
    <cellStyle name="Normal 23 3 2 3 6" xfId="7783"/>
    <cellStyle name="Normal 23 3 2 3 7" xfId="7784"/>
    <cellStyle name="Normal 23 3 2 3 8" xfId="7785"/>
    <cellStyle name="Normal 23 3 2 4" xfId="7786"/>
    <cellStyle name="Normal 23 3 2 4 2" xfId="7787"/>
    <cellStyle name="Normal 23 3 2 4 2 2" xfId="7788"/>
    <cellStyle name="Normal 23 3 2 4 2 2 2" xfId="7789"/>
    <cellStyle name="Normal 23 3 2 4 2 2 3" xfId="7790"/>
    <cellStyle name="Normal 23 3 2 4 2 3" xfId="7791"/>
    <cellStyle name="Normal 23 3 2 4 2 3 2" xfId="7792"/>
    <cellStyle name="Normal 23 3 2 4 2 3 3" xfId="7793"/>
    <cellStyle name="Normal 23 3 2 4 2 4" xfId="7794"/>
    <cellStyle name="Normal 23 3 2 4 2 5" xfId="7795"/>
    <cellStyle name="Normal 23 3 2 4 2 6" xfId="7796"/>
    <cellStyle name="Normal 23 3 2 4 2 7" xfId="7797"/>
    <cellStyle name="Normal 23 3 2 4 3" xfId="7798"/>
    <cellStyle name="Normal 23 3 2 4 3 2" xfId="7799"/>
    <cellStyle name="Normal 23 3 2 4 3 3" xfId="7800"/>
    <cellStyle name="Normal 23 3 2 4 4" xfId="7801"/>
    <cellStyle name="Normal 23 3 2 4 4 2" xfId="7802"/>
    <cellStyle name="Normal 23 3 2 4 4 3" xfId="7803"/>
    <cellStyle name="Normal 23 3 2 4 5" xfId="7804"/>
    <cellStyle name="Normal 23 3 2 4 6" xfId="7805"/>
    <cellStyle name="Normal 23 3 2 4 7" xfId="7806"/>
    <cellStyle name="Normal 23 3 2 4 8" xfId="7807"/>
    <cellStyle name="Normal 23 3 2 5" xfId="7808"/>
    <cellStyle name="Normal 23 3 2 5 2" xfId="7809"/>
    <cellStyle name="Normal 23 3 2 5 2 2" xfId="7810"/>
    <cellStyle name="Normal 23 3 2 5 2 3" xfId="7811"/>
    <cellStyle name="Normal 23 3 2 5 3" xfId="7812"/>
    <cellStyle name="Normal 23 3 2 5 3 2" xfId="7813"/>
    <cellStyle name="Normal 23 3 2 5 3 3" xfId="7814"/>
    <cellStyle name="Normal 23 3 2 5 4" xfId="7815"/>
    <cellStyle name="Normal 23 3 2 5 5" xfId="7816"/>
    <cellStyle name="Normal 23 3 2 5 6" xfId="7817"/>
    <cellStyle name="Normal 23 3 2 5 7" xfId="7818"/>
    <cellStyle name="Normal 23 3 2 6" xfId="7819"/>
    <cellStyle name="Normal 23 3 2 6 2" xfId="7820"/>
    <cellStyle name="Normal 23 3 2 6 3" xfId="7821"/>
    <cellStyle name="Normal 23 3 2 7" xfId="7822"/>
    <cellStyle name="Normal 23 3 2 7 2" xfId="7823"/>
    <cellStyle name="Normal 23 3 2 7 3" xfId="7824"/>
    <cellStyle name="Normal 23 3 2 8" xfId="7825"/>
    <cellStyle name="Normal 23 3 2 9" xfId="7826"/>
    <cellStyle name="Normal 23 3 3" xfId="7827"/>
    <cellStyle name="Normal 23 3 3 10" xfId="7828"/>
    <cellStyle name="Normal 23 3 3 11" xfId="7829"/>
    <cellStyle name="Normal 23 3 3 2" xfId="7830"/>
    <cellStyle name="Normal 23 3 3 2 2" xfId="7831"/>
    <cellStyle name="Normal 23 3 3 2 2 2" xfId="7832"/>
    <cellStyle name="Normal 23 3 3 2 2 2 2" xfId="7833"/>
    <cellStyle name="Normal 23 3 3 2 2 2 2 2" xfId="7834"/>
    <cellStyle name="Normal 23 3 3 2 2 2 2 3" xfId="7835"/>
    <cellStyle name="Normal 23 3 3 2 2 2 3" xfId="7836"/>
    <cellStyle name="Normal 23 3 3 2 2 2 3 2" xfId="7837"/>
    <cellStyle name="Normal 23 3 3 2 2 2 3 3" xfId="7838"/>
    <cellStyle name="Normal 23 3 3 2 2 2 4" xfId="7839"/>
    <cellStyle name="Normal 23 3 3 2 2 2 5" xfId="7840"/>
    <cellStyle name="Normal 23 3 3 2 2 2 6" xfId="7841"/>
    <cellStyle name="Normal 23 3 3 2 2 2 7" xfId="7842"/>
    <cellStyle name="Normal 23 3 3 2 2 3" xfId="7843"/>
    <cellStyle name="Normal 23 3 3 2 2 3 2" xfId="7844"/>
    <cellStyle name="Normal 23 3 3 2 2 3 3" xfId="7845"/>
    <cellStyle name="Normal 23 3 3 2 2 4" xfId="7846"/>
    <cellStyle name="Normal 23 3 3 2 2 4 2" xfId="7847"/>
    <cellStyle name="Normal 23 3 3 2 2 4 3" xfId="7848"/>
    <cellStyle name="Normal 23 3 3 2 2 5" xfId="7849"/>
    <cellStyle name="Normal 23 3 3 2 2 6" xfId="7850"/>
    <cellStyle name="Normal 23 3 3 2 2 7" xfId="7851"/>
    <cellStyle name="Normal 23 3 3 2 2 8" xfId="7852"/>
    <cellStyle name="Normal 23 3 3 2 3" xfId="7853"/>
    <cellStyle name="Normal 23 3 3 2 3 2" xfId="7854"/>
    <cellStyle name="Normal 23 3 3 2 3 2 2" xfId="7855"/>
    <cellStyle name="Normal 23 3 3 2 3 2 3" xfId="7856"/>
    <cellStyle name="Normal 23 3 3 2 3 3" xfId="7857"/>
    <cellStyle name="Normal 23 3 3 2 3 3 2" xfId="7858"/>
    <cellStyle name="Normal 23 3 3 2 3 3 3" xfId="7859"/>
    <cellStyle name="Normal 23 3 3 2 3 4" xfId="7860"/>
    <cellStyle name="Normal 23 3 3 2 3 5" xfId="7861"/>
    <cellStyle name="Normal 23 3 3 2 3 6" xfId="7862"/>
    <cellStyle name="Normal 23 3 3 2 3 7" xfId="7863"/>
    <cellStyle name="Normal 23 3 3 2 4" xfId="7864"/>
    <cellStyle name="Normal 23 3 3 2 4 2" xfId="7865"/>
    <cellStyle name="Normal 23 3 3 2 4 3" xfId="7866"/>
    <cellStyle name="Normal 23 3 3 2 5" xfId="7867"/>
    <cellStyle name="Normal 23 3 3 2 5 2" xfId="7868"/>
    <cellStyle name="Normal 23 3 3 2 5 3" xfId="7869"/>
    <cellStyle name="Normal 23 3 3 2 6" xfId="7870"/>
    <cellStyle name="Normal 23 3 3 2 7" xfId="7871"/>
    <cellStyle name="Normal 23 3 3 2 8" xfId="7872"/>
    <cellStyle name="Normal 23 3 3 2 9" xfId="7873"/>
    <cellStyle name="Normal 23 3 3 3" xfId="7874"/>
    <cellStyle name="Normal 23 3 3 3 2" xfId="7875"/>
    <cellStyle name="Normal 23 3 3 3 2 2" xfId="7876"/>
    <cellStyle name="Normal 23 3 3 3 2 2 2" xfId="7877"/>
    <cellStyle name="Normal 23 3 3 3 2 2 3" xfId="7878"/>
    <cellStyle name="Normal 23 3 3 3 2 3" xfId="7879"/>
    <cellStyle name="Normal 23 3 3 3 2 3 2" xfId="7880"/>
    <cellStyle name="Normal 23 3 3 3 2 3 3" xfId="7881"/>
    <cellStyle name="Normal 23 3 3 3 2 4" xfId="7882"/>
    <cellStyle name="Normal 23 3 3 3 2 5" xfId="7883"/>
    <cellStyle name="Normal 23 3 3 3 2 6" xfId="7884"/>
    <cellStyle name="Normal 23 3 3 3 2 7" xfId="7885"/>
    <cellStyle name="Normal 23 3 3 3 3" xfId="7886"/>
    <cellStyle name="Normal 23 3 3 3 3 2" xfId="7887"/>
    <cellStyle name="Normal 23 3 3 3 3 3" xfId="7888"/>
    <cellStyle name="Normal 23 3 3 3 4" xfId="7889"/>
    <cellStyle name="Normal 23 3 3 3 4 2" xfId="7890"/>
    <cellStyle name="Normal 23 3 3 3 4 3" xfId="7891"/>
    <cellStyle name="Normal 23 3 3 3 5" xfId="7892"/>
    <cellStyle name="Normal 23 3 3 3 6" xfId="7893"/>
    <cellStyle name="Normal 23 3 3 3 7" xfId="7894"/>
    <cellStyle name="Normal 23 3 3 3 8" xfId="7895"/>
    <cellStyle name="Normal 23 3 3 4" xfId="7896"/>
    <cellStyle name="Normal 23 3 3 4 2" xfId="7897"/>
    <cellStyle name="Normal 23 3 3 4 2 2" xfId="7898"/>
    <cellStyle name="Normal 23 3 3 4 2 2 2" xfId="7899"/>
    <cellStyle name="Normal 23 3 3 4 2 2 3" xfId="7900"/>
    <cellStyle name="Normal 23 3 3 4 2 3" xfId="7901"/>
    <cellStyle name="Normal 23 3 3 4 2 3 2" xfId="7902"/>
    <cellStyle name="Normal 23 3 3 4 2 3 3" xfId="7903"/>
    <cellStyle name="Normal 23 3 3 4 2 4" xfId="7904"/>
    <cellStyle name="Normal 23 3 3 4 2 5" xfId="7905"/>
    <cellStyle name="Normal 23 3 3 4 2 6" xfId="7906"/>
    <cellStyle name="Normal 23 3 3 4 2 7" xfId="7907"/>
    <cellStyle name="Normal 23 3 3 4 3" xfId="7908"/>
    <cellStyle name="Normal 23 3 3 4 3 2" xfId="7909"/>
    <cellStyle name="Normal 23 3 3 4 3 3" xfId="7910"/>
    <cellStyle name="Normal 23 3 3 4 4" xfId="7911"/>
    <cellStyle name="Normal 23 3 3 4 4 2" xfId="7912"/>
    <cellStyle name="Normal 23 3 3 4 4 3" xfId="7913"/>
    <cellStyle name="Normal 23 3 3 4 5" xfId="7914"/>
    <cellStyle name="Normal 23 3 3 4 6" xfId="7915"/>
    <cellStyle name="Normal 23 3 3 4 7" xfId="7916"/>
    <cellStyle name="Normal 23 3 3 4 8" xfId="7917"/>
    <cellStyle name="Normal 23 3 3 5" xfId="7918"/>
    <cellStyle name="Normal 23 3 3 5 2" xfId="7919"/>
    <cellStyle name="Normal 23 3 3 5 2 2" xfId="7920"/>
    <cellStyle name="Normal 23 3 3 5 2 3" xfId="7921"/>
    <cellStyle name="Normal 23 3 3 5 3" xfId="7922"/>
    <cellStyle name="Normal 23 3 3 5 3 2" xfId="7923"/>
    <cellStyle name="Normal 23 3 3 5 3 3" xfId="7924"/>
    <cellStyle name="Normal 23 3 3 5 4" xfId="7925"/>
    <cellStyle name="Normal 23 3 3 5 5" xfId="7926"/>
    <cellStyle name="Normal 23 3 3 5 6" xfId="7927"/>
    <cellStyle name="Normal 23 3 3 5 7" xfId="7928"/>
    <cellStyle name="Normal 23 3 3 6" xfId="7929"/>
    <cellStyle name="Normal 23 3 3 6 2" xfId="7930"/>
    <cellStyle name="Normal 23 3 3 6 3" xfId="7931"/>
    <cellStyle name="Normal 23 3 3 7" xfId="7932"/>
    <cellStyle name="Normal 23 3 3 7 2" xfId="7933"/>
    <cellStyle name="Normal 23 3 3 7 3" xfId="7934"/>
    <cellStyle name="Normal 23 3 3 8" xfId="7935"/>
    <cellStyle name="Normal 23 3 3 9" xfId="7936"/>
    <cellStyle name="Normal 23 3 4" xfId="7937"/>
    <cellStyle name="Normal 23 3 4 2" xfId="7938"/>
    <cellStyle name="Normal 23 3 4 2 2" xfId="7939"/>
    <cellStyle name="Normal 23 3 4 2 2 2" xfId="7940"/>
    <cellStyle name="Normal 23 3 4 2 2 2 2" xfId="7941"/>
    <cellStyle name="Normal 23 3 4 2 2 2 3" xfId="7942"/>
    <cellStyle name="Normal 23 3 4 2 2 3" xfId="7943"/>
    <cellStyle name="Normal 23 3 4 2 2 3 2" xfId="7944"/>
    <cellStyle name="Normal 23 3 4 2 2 3 3" xfId="7945"/>
    <cellStyle name="Normal 23 3 4 2 2 4" xfId="7946"/>
    <cellStyle name="Normal 23 3 4 2 2 5" xfId="7947"/>
    <cellStyle name="Normal 23 3 4 2 2 6" xfId="7948"/>
    <cellStyle name="Normal 23 3 4 2 2 7" xfId="7949"/>
    <cellStyle name="Normal 23 3 4 2 3" xfId="7950"/>
    <cellStyle name="Normal 23 3 4 2 3 2" xfId="7951"/>
    <cellStyle name="Normal 23 3 4 2 3 3" xfId="7952"/>
    <cellStyle name="Normal 23 3 4 2 4" xfId="7953"/>
    <cellStyle name="Normal 23 3 4 2 4 2" xfId="7954"/>
    <cellStyle name="Normal 23 3 4 2 4 3" xfId="7955"/>
    <cellStyle name="Normal 23 3 4 2 5" xfId="7956"/>
    <cellStyle name="Normal 23 3 4 2 6" xfId="7957"/>
    <cellStyle name="Normal 23 3 4 2 7" xfId="7958"/>
    <cellStyle name="Normal 23 3 4 2 8" xfId="7959"/>
    <cellStyle name="Normal 23 3 4 3" xfId="7960"/>
    <cellStyle name="Normal 23 3 4 3 2" xfId="7961"/>
    <cellStyle name="Normal 23 3 4 3 2 2" xfId="7962"/>
    <cellStyle name="Normal 23 3 4 3 2 3" xfId="7963"/>
    <cellStyle name="Normal 23 3 4 3 3" xfId="7964"/>
    <cellStyle name="Normal 23 3 4 3 3 2" xfId="7965"/>
    <cellStyle name="Normal 23 3 4 3 3 3" xfId="7966"/>
    <cellStyle name="Normal 23 3 4 3 4" xfId="7967"/>
    <cellStyle name="Normal 23 3 4 3 5" xfId="7968"/>
    <cellStyle name="Normal 23 3 4 3 6" xfId="7969"/>
    <cellStyle name="Normal 23 3 4 3 7" xfId="7970"/>
    <cellStyle name="Normal 23 3 4 4" xfId="7971"/>
    <cellStyle name="Normal 23 3 4 4 2" xfId="7972"/>
    <cellStyle name="Normal 23 3 4 4 3" xfId="7973"/>
    <cellStyle name="Normal 23 3 4 5" xfId="7974"/>
    <cellStyle name="Normal 23 3 4 5 2" xfId="7975"/>
    <cellStyle name="Normal 23 3 4 5 3" xfId="7976"/>
    <cellStyle name="Normal 23 3 4 6" xfId="7977"/>
    <cellStyle name="Normal 23 3 4 7" xfId="7978"/>
    <cellStyle name="Normal 23 3 4 8" xfId="7979"/>
    <cellStyle name="Normal 23 3 4 9" xfId="7980"/>
    <cellStyle name="Normal 23 3 5" xfId="7981"/>
    <cellStyle name="Normal 23 3 5 2" xfId="7982"/>
    <cellStyle name="Normal 23 3 5 2 2" xfId="7983"/>
    <cellStyle name="Normal 23 3 5 2 2 2" xfId="7984"/>
    <cellStyle name="Normal 23 3 5 2 2 3" xfId="7985"/>
    <cellStyle name="Normal 23 3 5 2 3" xfId="7986"/>
    <cellStyle name="Normal 23 3 5 2 3 2" xfId="7987"/>
    <cellStyle name="Normal 23 3 5 2 3 3" xfId="7988"/>
    <cellStyle name="Normal 23 3 5 2 4" xfId="7989"/>
    <cellStyle name="Normal 23 3 5 2 5" xfId="7990"/>
    <cellStyle name="Normal 23 3 5 2 6" xfId="7991"/>
    <cellStyle name="Normal 23 3 5 2 7" xfId="7992"/>
    <cellStyle name="Normal 23 3 5 3" xfId="7993"/>
    <cellStyle name="Normal 23 3 5 3 2" xfId="7994"/>
    <cellStyle name="Normal 23 3 5 3 3" xfId="7995"/>
    <cellStyle name="Normal 23 3 5 4" xfId="7996"/>
    <cellStyle name="Normal 23 3 5 4 2" xfId="7997"/>
    <cellStyle name="Normal 23 3 5 4 3" xfId="7998"/>
    <cellStyle name="Normal 23 3 5 5" xfId="7999"/>
    <cellStyle name="Normal 23 3 5 6" xfId="8000"/>
    <cellStyle name="Normal 23 3 5 7" xfId="8001"/>
    <cellStyle name="Normal 23 3 5 8" xfId="8002"/>
    <cellStyle name="Normal 23 3 6" xfId="8003"/>
    <cellStyle name="Normal 23 3 6 2" xfId="8004"/>
    <cellStyle name="Normal 23 3 6 2 2" xfId="8005"/>
    <cellStyle name="Normal 23 3 6 2 2 2" xfId="8006"/>
    <cellStyle name="Normal 23 3 6 2 2 3" xfId="8007"/>
    <cellStyle name="Normal 23 3 6 2 3" xfId="8008"/>
    <cellStyle name="Normal 23 3 6 2 3 2" xfId="8009"/>
    <cellStyle name="Normal 23 3 6 2 3 3" xfId="8010"/>
    <cellStyle name="Normal 23 3 6 2 4" xfId="8011"/>
    <cellStyle name="Normal 23 3 6 2 5" xfId="8012"/>
    <cellStyle name="Normal 23 3 6 2 6" xfId="8013"/>
    <cellStyle name="Normal 23 3 6 2 7" xfId="8014"/>
    <cellStyle name="Normal 23 3 6 3" xfId="8015"/>
    <cellStyle name="Normal 23 3 6 3 2" xfId="8016"/>
    <cellStyle name="Normal 23 3 6 3 3" xfId="8017"/>
    <cellStyle name="Normal 23 3 6 4" xfId="8018"/>
    <cellStyle name="Normal 23 3 6 4 2" xfId="8019"/>
    <cellStyle name="Normal 23 3 6 4 3" xfId="8020"/>
    <cellStyle name="Normal 23 3 6 5" xfId="8021"/>
    <cellStyle name="Normal 23 3 6 6" xfId="8022"/>
    <cellStyle name="Normal 23 3 6 7" xfId="8023"/>
    <cellStyle name="Normal 23 3 6 8" xfId="8024"/>
    <cellStyle name="Normal 23 3 7" xfId="8025"/>
    <cellStyle name="Normal 23 3 7 2" xfId="8026"/>
    <cellStyle name="Normal 23 3 7 2 2" xfId="8027"/>
    <cellStyle name="Normal 23 3 7 2 3" xfId="8028"/>
    <cellStyle name="Normal 23 3 7 3" xfId="8029"/>
    <cellStyle name="Normal 23 3 7 3 2" xfId="8030"/>
    <cellStyle name="Normal 23 3 7 3 3" xfId="8031"/>
    <cellStyle name="Normal 23 3 7 4" xfId="8032"/>
    <cellStyle name="Normal 23 3 7 5" xfId="8033"/>
    <cellStyle name="Normal 23 3 7 6" xfId="8034"/>
    <cellStyle name="Normal 23 3 7 7" xfId="8035"/>
    <cellStyle name="Normal 23 3 8" xfId="8036"/>
    <cellStyle name="Normal 23 3 9" xfId="8037"/>
    <cellStyle name="Normal 23 3 9 2" xfId="8038"/>
    <cellStyle name="Normal 23 3 9 3" xfId="8039"/>
    <cellStyle name="Normal 23 4" xfId="8040"/>
    <cellStyle name="Normal 23 4 10" xfId="8041"/>
    <cellStyle name="Normal 23 4 11" xfId="8042"/>
    <cellStyle name="Normal 23 4 12" xfId="8043"/>
    <cellStyle name="Normal 23 4 2" xfId="8044"/>
    <cellStyle name="Normal 23 4 2 2" xfId="8045"/>
    <cellStyle name="Normal 23 4 2 2 2" xfId="8046"/>
    <cellStyle name="Normal 23 4 2 2 2 2" xfId="8047"/>
    <cellStyle name="Normal 23 4 2 2 2 2 2" xfId="8048"/>
    <cellStyle name="Normal 23 4 2 2 2 2 3" xfId="8049"/>
    <cellStyle name="Normal 23 4 2 2 2 3" xfId="8050"/>
    <cellStyle name="Normal 23 4 2 2 2 3 2" xfId="8051"/>
    <cellStyle name="Normal 23 4 2 2 2 3 3" xfId="8052"/>
    <cellStyle name="Normal 23 4 2 2 2 4" xfId="8053"/>
    <cellStyle name="Normal 23 4 2 2 2 5" xfId="8054"/>
    <cellStyle name="Normal 23 4 2 2 2 6" xfId="8055"/>
    <cellStyle name="Normal 23 4 2 2 2 7" xfId="8056"/>
    <cellStyle name="Normal 23 4 2 2 3" xfId="8057"/>
    <cellStyle name="Normal 23 4 2 2 3 2" xfId="8058"/>
    <cellStyle name="Normal 23 4 2 2 3 3" xfId="8059"/>
    <cellStyle name="Normal 23 4 2 2 4" xfId="8060"/>
    <cellStyle name="Normal 23 4 2 2 4 2" xfId="8061"/>
    <cellStyle name="Normal 23 4 2 2 4 3" xfId="8062"/>
    <cellStyle name="Normal 23 4 2 2 5" xfId="8063"/>
    <cellStyle name="Normal 23 4 2 2 6" xfId="8064"/>
    <cellStyle name="Normal 23 4 2 2 7" xfId="8065"/>
    <cellStyle name="Normal 23 4 2 2 8" xfId="8066"/>
    <cellStyle name="Normal 23 4 2 3" xfId="8067"/>
    <cellStyle name="Normal 23 4 2 3 2" xfId="8068"/>
    <cellStyle name="Normal 23 4 2 3 2 2" xfId="8069"/>
    <cellStyle name="Normal 23 4 2 3 2 3" xfId="8070"/>
    <cellStyle name="Normal 23 4 2 3 3" xfId="8071"/>
    <cellStyle name="Normal 23 4 2 3 3 2" xfId="8072"/>
    <cellStyle name="Normal 23 4 2 3 3 3" xfId="8073"/>
    <cellStyle name="Normal 23 4 2 3 4" xfId="8074"/>
    <cellStyle name="Normal 23 4 2 3 5" xfId="8075"/>
    <cellStyle name="Normal 23 4 2 3 6" xfId="8076"/>
    <cellStyle name="Normal 23 4 2 3 7" xfId="8077"/>
    <cellStyle name="Normal 23 4 2 4" xfId="8078"/>
    <cellStyle name="Normal 23 4 2 4 2" xfId="8079"/>
    <cellStyle name="Normal 23 4 2 4 3" xfId="8080"/>
    <cellStyle name="Normal 23 4 2 5" xfId="8081"/>
    <cellStyle name="Normal 23 4 2 5 2" xfId="8082"/>
    <cellStyle name="Normal 23 4 2 5 3" xfId="8083"/>
    <cellStyle name="Normal 23 4 2 6" xfId="8084"/>
    <cellStyle name="Normal 23 4 2 7" xfId="8085"/>
    <cellStyle name="Normal 23 4 2 8" xfId="8086"/>
    <cellStyle name="Normal 23 4 2 9" xfId="8087"/>
    <cellStyle name="Normal 23 4 3" xfId="8088"/>
    <cellStyle name="Normal 23 4 3 2" xfId="8089"/>
    <cellStyle name="Normal 23 4 3 2 2" xfId="8090"/>
    <cellStyle name="Normal 23 4 3 2 2 2" xfId="8091"/>
    <cellStyle name="Normal 23 4 3 2 2 3" xfId="8092"/>
    <cellStyle name="Normal 23 4 3 2 3" xfId="8093"/>
    <cellStyle name="Normal 23 4 3 2 3 2" xfId="8094"/>
    <cellStyle name="Normal 23 4 3 2 3 3" xfId="8095"/>
    <cellStyle name="Normal 23 4 3 2 4" xfId="8096"/>
    <cellStyle name="Normal 23 4 3 2 5" xfId="8097"/>
    <cellStyle name="Normal 23 4 3 2 6" xfId="8098"/>
    <cellStyle name="Normal 23 4 3 2 7" xfId="8099"/>
    <cellStyle name="Normal 23 4 3 3" xfId="8100"/>
    <cellStyle name="Normal 23 4 3 3 2" xfId="8101"/>
    <cellStyle name="Normal 23 4 3 3 3" xfId="8102"/>
    <cellStyle name="Normal 23 4 3 4" xfId="8103"/>
    <cellStyle name="Normal 23 4 3 4 2" xfId="8104"/>
    <cellStyle name="Normal 23 4 3 4 3" xfId="8105"/>
    <cellStyle name="Normal 23 4 3 5" xfId="8106"/>
    <cellStyle name="Normal 23 4 3 6" xfId="8107"/>
    <cellStyle name="Normal 23 4 3 7" xfId="8108"/>
    <cellStyle name="Normal 23 4 3 8" xfId="8109"/>
    <cellStyle name="Normal 23 4 4" xfId="8110"/>
    <cellStyle name="Normal 23 4 4 2" xfId="8111"/>
    <cellStyle name="Normal 23 4 4 2 2" xfId="8112"/>
    <cellStyle name="Normal 23 4 4 2 2 2" xfId="8113"/>
    <cellStyle name="Normal 23 4 4 2 2 3" xfId="8114"/>
    <cellStyle name="Normal 23 4 4 2 3" xfId="8115"/>
    <cellStyle name="Normal 23 4 4 2 3 2" xfId="8116"/>
    <cellStyle name="Normal 23 4 4 2 3 3" xfId="8117"/>
    <cellStyle name="Normal 23 4 4 2 4" xfId="8118"/>
    <cellStyle name="Normal 23 4 4 2 5" xfId="8119"/>
    <cellStyle name="Normal 23 4 4 2 6" xfId="8120"/>
    <cellStyle name="Normal 23 4 4 2 7" xfId="8121"/>
    <cellStyle name="Normal 23 4 4 3" xfId="8122"/>
    <cellStyle name="Normal 23 4 4 3 2" xfId="8123"/>
    <cellStyle name="Normal 23 4 4 3 3" xfId="8124"/>
    <cellStyle name="Normal 23 4 4 4" xfId="8125"/>
    <cellStyle name="Normal 23 4 4 4 2" xfId="8126"/>
    <cellStyle name="Normal 23 4 4 4 3" xfId="8127"/>
    <cellStyle name="Normal 23 4 4 5" xfId="8128"/>
    <cellStyle name="Normal 23 4 4 6" xfId="8129"/>
    <cellStyle name="Normal 23 4 4 7" xfId="8130"/>
    <cellStyle name="Normal 23 4 4 8" xfId="8131"/>
    <cellStyle name="Normal 23 4 5" xfId="8132"/>
    <cellStyle name="Normal 23 4 5 2" xfId="8133"/>
    <cellStyle name="Normal 23 4 5 2 2" xfId="8134"/>
    <cellStyle name="Normal 23 4 5 2 3" xfId="8135"/>
    <cellStyle name="Normal 23 4 5 3" xfId="8136"/>
    <cellStyle name="Normal 23 4 5 3 2" xfId="8137"/>
    <cellStyle name="Normal 23 4 5 3 3" xfId="8138"/>
    <cellStyle name="Normal 23 4 5 4" xfId="8139"/>
    <cellStyle name="Normal 23 4 5 5" xfId="8140"/>
    <cellStyle name="Normal 23 4 5 6" xfId="8141"/>
    <cellStyle name="Normal 23 4 5 7" xfId="8142"/>
    <cellStyle name="Normal 23 4 6" xfId="8143"/>
    <cellStyle name="Normal 23 4 7" xfId="8144"/>
    <cellStyle name="Normal 23 4 7 2" xfId="8145"/>
    <cellStyle name="Normal 23 4 7 3" xfId="8146"/>
    <cellStyle name="Normal 23 4 8" xfId="8147"/>
    <cellStyle name="Normal 23 4 8 2" xfId="8148"/>
    <cellStyle name="Normal 23 4 8 3" xfId="8149"/>
    <cellStyle name="Normal 23 4 9" xfId="8150"/>
    <cellStyle name="Normal 23 5" xfId="8151"/>
    <cellStyle name="Normal 23 5 10" xfId="8152"/>
    <cellStyle name="Normal 23 5 11" xfId="8153"/>
    <cellStyle name="Normal 23 5 12" xfId="8154"/>
    <cellStyle name="Normal 23 5 2" xfId="8155"/>
    <cellStyle name="Normal 23 5 2 2" xfId="8156"/>
    <cellStyle name="Normal 23 5 2 2 2" xfId="8157"/>
    <cellStyle name="Normal 23 5 2 2 2 2" xfId="8158"/>
    <cellStyle name="Normal 23 5 2 2 2 2 2" xfId="8159"/>
    <cellStyle name="Normal 23 5 2 2 2 2 3" xfId="8160"/>
    <cellStyle name="Normal 23 5 2 2 2 3" xfId="8161"/>
    <cellStyle name="Normal 23 5 2 2 2 3 2" xfId="8162"/>
    <cellStyle name="Normal 23 5 2 2 2 3 3" xfId="8163"/>
    <cellStyle name="Normal 23 5 2 2 2 4" xfId="8164"/>
    <cellStyle name="Normal 23 5 2 2 2 5" xfId="8165"/>
    <cellStyle name="Normal 23 5 2 2 2 6" xfId="8166"/>
    <cellStyle name="Normal 23 5 2 2 2 7" xfId="8167"/>
    <cellStyle name="Normal 23 5 2 2 3" xfId="8168"/>
    <cellStyle name="Normal 23 5 2 2 3 2" xfId="8169"/>
    <cellStyle name="Normal 23 5 2 2 3 3" xfId="8170"/>
    <cellStyle name="Normal 23 5 2 2 4" xfId="8171"/>
    <cellStyle name="Normal 23 5 2 2 4 2" xfId="8172"/>
    <cellStyle name="Normal 23 5 2 2 4 3" xfId="8173"/>
    <cellStyle name="Normal 23 5 2 2 5" xfId="8174"/>
    <cellStyle name="Normal 23 5 2 2 6" xfId="8175"/>
    <cellStyle name="Normal 23 5 2 2 7" xfId="8176"/>
    <cellStyle name="Normal 23 5 2 2 8" xfId="8177"/>
    <cellStyle name="Normal 23 5 2 3" xfId="8178"/>
    <cellStyle name="Normal 23 5 2 3 2" xfId="8179"/>
    <cellStyle name="Normal 23 5 2 3 2 2" xfId="8180"/>
    <cellStyle name="Normal 23 5 2 3 2 3" xfId="8181"/>
    <cellStyle name="Normal 23 5 2 3 3" xfId="8182"/>
    <cellStyle name="Normal 23 5 2 3 3 2" xfId="8183"/>
    <cellStyle name="Normal 23 5 2 3 3 3" xfId="8184"/>
    <cellStyle name="Normal 23 5 2 3 4" xfId="8185"/>
    <cellStyle name="Normal 23 5 2 3 5" xfId="8186"/>
    <cellStyle name="Normal 23 5 2 3 6" xfId="8187"/>
    <cellStyle name="Normal 23 5 2 3 7" xfId="8188"/>
    <cellStyle name="Normal 23 5 2 4" xfId="8189"/>
    <cellStyle name="Normal 23 5 2 4 2" xfId="8190"/>
    <cellStyle name="Normal 23 5 2 4 3" xfId="8191"/>
    <cellStyle name="Normal 23 5 2 5" xfId="8192"/>
    <cellStyle name="Normal 23 5 2 5 2" xfId="8193"/>
    <cellStyle name="Normal 23 5 2 5 3" xfId="8194"/>
    <cellStyle name="Normal 23 5 2 6" xfId="8195"/>
    <cellStyle name="Normal 23 5 2 7" xfId="8196"/>
    <cellStyle name="Normal 23 5 2 8" xfId="8197"/>
    <cellStyle name="Normal 23 5 2 9" xfId="8198"/>
    <cellStyle name="Normal 23 5 3" xfId="8199"/>
    <cellStyle name="Normal 23 5 3 2" xfId="8200"/>
    <cellStyle name="Normal 23 5 3 2 2" xfId="8201"/>
    <cellStyle name="Normal 23 5 3 2 2 2" xfId="8202"/>
    <cellStyle name="Normal 23 5 3 2 2 3" xfId="8203"/>
    <cellStyle name="Normal 23 5 3 2 3" xfId="8204"/>
    <cellStyle name="Normal 23 5 3 2 3 2" xfId="8205"/>
    <cellStyle name="Normal 23 5 3 2 3 3" xfId="8206"/>
    <cellStyle name="Normal 23 5 3 2 4" xfId="8207"/>
    <cellStyle name="Normal 23 5 3 2 5" xfId="8208"/>
    <cellStyle name="Normal 23 5 3 2 6" xfId="8209"/>
    <cellStyle name="Normal 23 5 3 2 7" xfId="8210"/>
    <cellStyle name="Normal 23 5 3 3" xfId="8211"/>
    <cellStyle name="Normal 23 5 3 3 2" xfId="8212"/>
    <cellStyle name="Normal 23 5 3 3 3" xfId="8213"/>
    <cellStyle name="Normal 23 5 3 4" xfId="8214"/>
    <cellStyle name="Normal 23 5 3 4 2" xfId="8215"/>
    <cellStyle name="Normal 23 5 3 4 3" xfId="8216"/>
    <cellStyle name="Normal 23 5 3 5" xfId="8217"/>
    <cellStyle name="Normal 23 5 3 6" xfId="8218"/>
    <cellStyle name="Normal 23 5 3 7" xfId="8219"/>
    <cellStyle name="Normal 23 5 3 8" xfId="8220"/>
    <cellStyle name="Normal 23 5 4" xfId="8221"/>
    <cellStyle name="Normal 23 5 4 2" xfId="8222"/>
    <cellStyle name="Normal 23 5 4 2 2" xfId="8223"/>
    <cellStyle name="Normal 23 5 4 2 2 2" xfId="8224"/>
    <cellStyle name="Normal 23 5 4 2 2 3" xfId="8225"/>
    <cellStyle name="Normal 23 5 4 2 3" xfId="8226"/>
    <cellStyle name="Normal 23 5 4 2 3 2" xfId="8227"/>
    <cellStyle name="Normal 23 5 4 2 3 3" xfId="8228"/>
    <cellStyle name="Normal 23 5 4 2 4" xfId="8229"/>
    <cellStyle name="Normal 23 5 4 2 5" xfId="8230"/>
    <cellStyle name="Normal 23 5 4 2 6" xfId="8231"/>
    <cellStyle name="Normal 23 5 4 2 7" xfId="8232"/>
    <cellStyle name="Normal 23 5 4 3" xfId="8233"/>
    <cellStyle name="Normal 23 5 4 3 2" xfId="8234"/>
    <cellStyle name="Normal 23 5 4 3 3" xfId="8235"/>
    <cellStyle name="Normal 23 5 4 4" xfId="8236"/>
    <cellStyle name="Normal 23 5 4 4 2" xfId="8237"/>
    <cellStyle name="Normal 23 5 4 4 3" xfId="8238"/>
    <cellStyle name="Normal 23 5 4 5" xfId="8239"/>
    <cellStyle name="Normal 23 5 4 6" xfId="8240"/>
    <cellStyle name="Normal 23 5 4 7" xfId="8241"/>
    <cellStyle name="Normal 23 5 4 8" xfId="8242"/>
    <cellStyle name="Normal 23 5 5" xfId="8243"/>
    <cellStyle name="Normal 23 5 5 2" xfId="8244"/>
    <cellStyle name="Normal 23 5 5 2 2" xfId="8245"/>
    <cellStyle name="Normal 23 5 5 2 3" xfId="8246"/>
    <cellStyle name="Normal 23 5 5 3" xfId="8247"/>
    <cellStyle name="Normal 23 5 5 3 2" xfId="8248"/>
    <cellStyle name="Normal 23 5 5 3 3" xfId="8249"/>
    <cellStyle name="Normal 23 5 5 4" xfId="8250"/>
    <cellStyle name="Normal 23 5 5 5" xfId="8251"/>
    <cellStyle name="Normal 23 5 5 6" xfId="8252"/>
    <cellStyle name="Normal 23 5 5 7" xfId="8253"/>
    <cellStyle name="Normal 23 5 6" xfId="8254"/>
    <cellStyle name="Normal 23 5 7" xfId="8255"/>
    <cellStyle name="Normal 23 5 7 2" xfId="8256"/>
    <cellStyle name="Normal 23 5 7 3" xfId="8257"/>
    <cellStyle name="Normal 23 5 8" xfId="8258"/>
    <cellStyle name="Normal 23 5 8 2" xfId="8259"/>
    <cellStyle name="Normal 23 5 8 3" xfId="8260"/>
    <cellStyle name="Normal 23 5 9" xfId="8261"/>
    <cellStyle name="Normal 23 6" xfId="8262"/>
    <cellStyle name="Normal 23 6 10" xfId="8263"/>
    <cellStyle name="Normal 23 6 11" xfId="8264"/>
    <cellStyle name="Normal 23 6 12" xfId="8265"/>
    <cellStyle name="Normal 23 6 2" xfId="8266"/>
    <cellStyle name="Normal 23 6 2 2" xfId="8267"/>
    <cellStyle name="Normal 23 6 2 2 2" xfId="8268"/>
    <cellStyle name="Normal 23 6 2 2 2 2" xfId="8269"/>
    <cellStyle name="Normal 23 6 2 2 2 2 2" xfId="8270"/>
    <cellStyle name="Normal 23 6 2 2 2 2 3" xfId="8271"/>
    <cellStyle name="Normal 23 6 2 2 2 3" xfId="8272"/>
    <cellStyle name="Normal 23 6 2 2 2 3 2" xfId="8273"/>
    <cellStyle name="Normal 23 6 2 2 2 3 3" xfId="8274"/>
    <cellStyle name="Normal 23 6 2 2 2 4" xfId="8275"/>
    <cellStyle name="Normal 23 6 2 2 2 5" xfId="8276"/>
    <cellStyle name="Normal 23 6 2 2 2 6" xfId="8277"/>
    <cellStyle name="Normal 23 6 2 2 2 7" xfId="8278"/>
    <cellStyle name="Normal 23 6 2 2 3" xfId="8279"/>
    <cellStyle name="Normal 23 6 2 2 3 2" xfId="8280"/>
    <cellStyle name="Normal 23 6 2 2 3 3" xfId="8281"/>
    <cellStyle name="Normal 23 6 2 2 4" xfId="8282"/>
    <cellStyle name="Normal 23 6 2 2 4 2" xfId="8283"/>
    <cellStyle name="Normal 23 6 2 2 4 3" xfId="8284"/>
    <cellStyle name="Normal 23 6 2 2 5" xfId="8285"/>
    <cellStyle name="Normal 23 6 2 2 6" xfId="8286"/>
    <cellStyle name="Normal 23 6 2 2 7" xfId="8287"/>
    <cellStyle name="Normal 23 6 2 2 8" xfId="8288"/>
    <cellStyle name="Normal 23 6 2 3" xfId="8289"/>
    <cellStyle name="Normal 23 6 2 3 2" xfId="8290"/>
    <cellStyle name="Normal 23 6 2 3 2 2" xfId="8291"/>
    <cellStyle name="Normal 23 6 2 3 2 3" xfId="8292"/>
    <cellStyle name="Normal 23 6 2 3 3" xfId="8293"/>
    <cellStyle name="Normal 23 6 2 3 3 2" xfId="8294"/>
    <cellStyle name="Normal 23 6 2 3 3 3" xfId="8295"/>
    <cellStyle name="Normal 23 6 2 3 4" xfId="8296"/>
    <cellStyle name="Normal 23 6 2 3 5" xfId="8297"/>
    <cellStyle name="Normal 23 6 2 3 6" xfId="8298"/>
    <cellStyle name="Normal 23 6 2 3 7" xfId="8299"/>
    <cellStyle name="Normal 23 6 2 4" xfId="8300"/>
    <cellStyle name="Normal 23 6 2 4 2" xfId="8301"/>
    <cellStyle name="Normal 23 6 2 4 3" xfId="8302"/>
    <cellStyle name="Normal 23 6 2 5" xfId="8303"/>
    <cellStyle name="Normal 23 6 2 5 2" xfId="8304"/>
    <cellStyle name="Normal 23 6 2 5 3" xfId="8305"/>
    <cellStyle name="Normal 23 6 2 6" xfId="8306"/>
    <cellStyle name="Normal 23 6 2 7" xfId="8307"/>
    <cellStyle name="Normal 23 6 2 8" xfId="8308"/>
    <cellStyle name="Normal 23 6 2 9" xfId="8309"/>
    <cellStyle name="Normal 23 6 3" xfId="8310"/>
    <cellStyle name="Normal 23 6 3 2" xfId="8311"/>
    <cellStyle name="Normal 23 6 3 2 2" xfId="8312"/>
    <cellStyle name="Normal 23 6 3 2 2 2" xfId="8313"/>
    <cellStyle name="Normal 23 6 3 2 2 3" xfId="8314"/>
    <cellStyle name="Normal 23 6 3 2 3" xfId="8315"/>
    <cellStyle name="Normal 23 6 3 2 3 2" xfId="8316"/>
    <cellStyle name="Normal 23 6 3 2 3 3" xfId="8317"/>
    <cellStyle name="Normal 23 6 3 2 4" xfId="8318"/>
    <cellStyle name="Normal 23 6 3 2 5" xfId="8319"/>
    <cellStyle name="Normal 23 6 3 2 6" xfId="8320"/>
    <cellStyle name="Normal 23 6 3 2 7" xfId="8321"/>
    <cellStyle name="Normal 23 6 3 3" xfId="8322"/>
    <cellStyle name="Normal 23 6 3 3 2" xfId="8323"/>
    <cellStyle name="Normal 23 6 3 3 3" xfId="8324"/>
    <cellStyle name="Normal 23 6 3 4" xfId="8325"/>
    <cellStyle name="Normal 23 6 3 4 2" xfId="8326"/>
    <cellStyle name="Normal 23 6 3 4 3" xfId="8327"/>
    <cellStyle name="Normal 23 6 3 5" xfId="8328"/>
    <cellStyle name="Normal 23 6 3 6" xfId="8329"/>
    <cellStyle name="Normal 23 6 3 7" xfId="8330"/>
    <cellStyle name="Normal 23 6 3 8" xfId="8331"/>
    <cellStyle name="Normal 23 6 4" xfId="8332"/>
    <cellStyle name="Normal 23 6 4 2" xfId="8333"/>
    <cellStyle name="Normal 23 6 4 2 2" xfId="8334"/>
    <cellStyle name="Normal 23 6 4 2 2 2" xfId="8335"/>
    <cellStyle name="Normal 23 6 4 2 2 3" xfId="8336"/>
    <cellStyle name="Normal 23 6 4 2 3" xfId="8337"/>
    <cellStyle name="Normal 23 6 4 2 3 2" xfId="8338"/>
    <cellStyle name="Normal 23 6 4 2 3 3" xfId="8339"/>
    <cellStyle name="Normal 23 6 4 2 4" xfId="8340"/>
    <cellStyle name="Normal 23 6 4 2 5" xfId="8341"/>
    <cellStyle name="Normal 23 6 4 2 6" xfId="8342"/>
    <cellStyle name="Normal 23 6 4 2 7" xfId="8343"/>
    <cellStyle name="Normal 23 6 4 3" xfId="8344"/>
    <cellStyle name="Normal 23 6 4 3 2" xfId="8345"/>
    <cellStyle name="Normal 23 6 4 3 3" xfId="8346"/>
    <cellStyle name="Normal 23 6 4 4" xfId="8347"/>
    <cellStyle name="Normal 23 6 4 4 2" xfId="8348"/>
    <cellStyle name="Normal 23 6 4 4 3" xfId="8349"/>
    <cellStyle name="Normal 23 6 4 5" xfId="8350"/>
    <cellStyle name="Normal 23 6 4 6" xfId="8351"/>
    <cellStyle name="Normal 23 6 4 7" xfId="8352"/>
    <cellStyle name="Normal 23 6 4 8" xfId="8353"/>
    <cellStyle name="Normal 23 6 5" xfId="8354"/>
    <cellStyle name="Normal 23 6 5 2" xfId="8355"/>
    <cellStyle name="Normal 23 6 5 2 2" xfId="8356"/>
    <cellStyle name="Normal 23 6 5 2 3" xfId="8357"/>
    <cellStyle name="Normal 23 6 5 3" xfId="8358"/>
    <cellStyle name="Normal 23 6 5 3 2" xfId="8359"/>
    <cellStyle name="Normal 23 6 5 3 3" xfId="8360"/>
    <cellStyle name="Normal 23 6 5 4" xfId="8361"/>
    <cellStyle name="Normal 23 6 5 5" xfId="8362"/>
    <cellStyle name="Normal 23 6 5 6" xfId="8363"/>
    <cellStyle name="Normal 23 6 5 7" xfId="8364"/>
    <cellStyle name="Normal 23 6 6" xfId="8365"/>
    <cellStyle name="Normal 23 6 7" xfId="8366"/>
    <cellStyle name="Normal 23 6 7 2" xfId="8367"/>
    <cellStyle name="Normal 23 6 7 3" xfId="8368"/>
    <cellStyle name="Normal 23 6 8" xfId="8369"/>
    <cellStyle name="Normal 23 6 8 2" xfId="8370"/>
    <cellStyle name="Normal 23 6 8 3" xfId="8371"/>
    <cellStyle name="Normal 23 6 9" xfId="8372"/>
    <cellStyle name="Normal 23 7" xfId="8373"/>
    <cellStyle name="Normal 23 7 10" xfId="8374"/>
    <cellStyle name="Normal 23 7 11" xfId="8375"/>
    <cellStyle name="Normal 23 7 12" xfId="8376"/>
    <cellStyle name="Normal 23 7 2" xfId="8377"/>
    <cellStyle name="Normal 23 7 2 2" xfId="8378"/>
    <cellStyle name="Normal 23 7 2 2 2" xfId="8379"/>
    <cellStyle name="Normal 23 7 2 2 2 2" xfId="8380"/>
    <cellStyle name="Normal 23 7 2 2 2 2 2" xfId="8381"/>
    <cellStyle name="Normal 23 7 2 2 2 2 3" xfId="8382"/>
    <cellStyle name="Normal 23 7 2 2 2 3" xfId="8383"/>
    <cellStyle name="Normal 23 7 2 2 2 3 2" xfId="8384"/>
    <cellStyle name="Normal 23 7 2 2 2 3 3" xfId="8385"/>
    <cellStyle name="Normal 23 7 2 2 2 4" xfId="8386"/>
    <cellStyle name="Normal 23 7 2 2 2 5" xfId="8387"/>
    <cellStyle name="Normal 23 7 2 2 2 6" xfId="8388"/>
    <cellStyle name="Normal 23 7 2 2 2 7" xfId="8389"/>
    <cellStyle name="Normal 23 7 2 2 3" xfId="8390"/>
    <cellStyle name="Normal 23 7 2 2 3 2" xfId="8391"/>
    <cellStyle name="Normal 23 7 2 2 3 3" xfId="8392"/>
    <cellStyle name="Normal 23 7 2 2 4" xfId="8393"/>
    <cellStyle name="Normal 23 7 2 2 4 2" xfId="8394"/>
    <cellStyle name="Normal 23 7 2 2 4 3" xfId="8395"/>
    <cellStyle name="Normal 23 7 2 2 5" xfId="8396"/>
    <cellStyle name="Normal 23 7 2 2 6" xfId="8397"/>
    <cellStyle name="Normal 23 7 2 2 7" xfId="8398"/>
    <cellStyle name="Normal 23 7 2 2 8" xfId="8399"/>
    <cellStyle name="Normal 23 7 2 3" xfId="8400"/>
    <cellStyle name="Normal 23 7 2 3 2" xfId="8401"/>
    <cellStyle name="Normal 23 7 2 3 2 2" xfId="8402"/>
    <cellStyle name="Normal 23 7 2 3 2 3" xfId="8403"/>
    <cellStyle name="Normal 23 7 2 3 3" xfId="8404"/>
    <cellStyle name="Normal 23 7 2 3 3 2" xfId="8405"/>
    <cellStyle name="Normal 23 7 2 3 3 3" xfId="8406"/>
    <cellStyle name="Normal 23 7 2 3 4" xfId="8407"/>
    <cellStyle name="Normal 23 7 2 3 5" xfId="8408"/>
    <cellStyle name="Normal 23 7 2 3 6" xfId="8409"/>
    <cellStyle name="Normal 23 7 2 3 7" xfId="8410"/>
    <cellStyle name="Normal 23 7 2 4" xfId="8411"/>
    <cellStyle name="Normal 23 7 2 4 2" xfId="8412"/>
    <cellStyle name="Normal 23 7 2 4 3" xfId="8413"/>
    <cellStyle name="Normal 23 7 2 5" xfId="8414"/>
    <cellStyle name="Normal 23 7 2 5 2" xfId="8415"/>
    <cellStyle name="Normal 23 7 2 5 3" xfId="8416"/>
    <cellStyle name="Normal 23 7 2 6" xfId="8417"/>
    <cellStyle name="Normal 23 7 2 7" xfId="8418"/>
    <cellStyle name="Normal 23 7 2 8" xfId="8419"/>
    <cellStyle name="Normal 23 7 2 9" xfId="8420"/>
    <cellStyle name="Normal 23 7 3" xfId="8421"/>
    <cellStyle name="Normal 23 7 3 2" xfId="8422"/>
    <cellStyle name="Normal 23 7 3 2 2" xfId="8423"/>
    <cellStyle name="Normal 23 7 3 2 2 2" xfId="8424"/>
    <cellStyle name="Normal 23 7 3 2 2 3" xfId="8425"/>
    <cellStyle name="Normal 23 7 3 2 3" xfId="8426"/>
    <cellStyle name="Normal 23 7 3 2 3 2" xfId="8427"/>
    <cellStyle name="Normal 23 7 3 2 3 3" xfId="8428"/>
    <cellStyle name="Normal 23 7 3 2 4" xfId="8429"/>
    <cellStyle name="Normal 23 7 3 2 5" xfId="8430"/>
    <cellStyle name="Normal 23 7 3 2 6" xfId="8431"/>
    <cellStyle name="Normal 23 7 3 2 7" xfId="8432"/>
    <cellStyle name="Normal 23 7 3 3" xfId="8433"/>
    <cellStyle name="Normal 23 7 3 3 2" xfId="8434"/>
    <cellStyle name="Normal 23 7 3 3 3" xfId="8435"/>
    <cellStyle name="Normal 23 7 3 4" xfId="8436"/>
    <cellStyle name="Normal 23 7 3 4 2" xfId="8437"/>
    <cellStyle name="Normal 23 7 3 4 3" xfId="8438"/>
    <cellStyle name="Normal 23 7 3 5" xfId="8439"/>
    <cellStyle name="Normal 23 7 3 6" xfId="8440"/>
    <cellStyle name="Normal 23 7 3 7" xfId="8441"/>
    <cellStyle name="Normal 23 7 3 8" xfId="8442"/>
    <cellStyle name="Normal 23 7 4" xfId="8443"/>
    <cellStyle name="Normal 23 7 4 2" xfId="8444"/>
    <cellStyle name="Normal 23 7 4 2 2" xfId="8445"/>
    <cellStyle name="Normal 23 7 4 2 2 2" xfId="8446"/>
    <cellStyle name="Normal 23 7 4 2 2 3" xfId="8447"/>
    <cellStyle name="Normal 23 7 4 2 3" xfId="8448"/>
    <cellStyle name="Normal 23 7 4 2 3 2" xfId="8449"/>
    <cellStyle name="Normal 23 7 4 2 3 3" xfId="8450"/>
    <cellStyle name="Normal 23 7 4 2 4" xfId="8451"/>
    <cellStyle name="Normal 23 7 4 2 5" xfId="8452"/>
    <cellStyle name="Normal 23 7 4 2 6" xfId="8453"/>
    <cellStyle name="Normal 23 7 4 2 7" xfId="8454"/>
    <cellStyle name="Normal 23 7 4 3" xfId="8455"/>
    <cellStyle name="Normal 23 7 4 3 2" xfId="8456"/>
    <cellStyle name="Normal 23 7 4 3 3" xfId="8457"/>
    <cellStyle name="Normal 23 7 4 4" xfId="8458"/>
    <cellStyle name="Normal 23 7 4 4 2" xfId="8459"/>
    <cellStyle name="Normal 23 7 4 4 3" xfId="8460"/>
    <cellStyle name="Normal 23 7 4 5" xfId="8461"/>
    <cellStyle name="Normal 23 7 4 6" xfId="8462"/>
    <cellStyle name="Normal 23 7 4 7" xfId="8463"/>
    <cellStyle name="Normal 23 7 4 8" xfId="8464"/>
    <cellStyle name="Normal 23 7 5" xfId="8465"/>
    <cellStyle name="Normal 23 7 5 2" xfId="8466"/>
    <cellStyle name="Normal 23 7 5 2 2" xfId="8467"/>
    <cellStyle name="Normal 23 7 5 2 3" xfId="8468"/>
    <cellStyle name="Normal 23 7 5 3" xfId="8469"/>
    <cellStyle name="Normal 23 7 5 3 2" xfId="8470"/>
    <cellStyle name="Normal 23 7 5 3 3" xfId="8471"/>
    <cellStyle name="Normal 23 7 5 4" xfId="8472"/>
    <cellStyle name="Normal 23 7 5 5" xfId="8473"/>
    <cellStyle name="Normal 23 7 5 6" xfId="8474"/>
    <cellStyle name="Normal 23 7 5 7" xfId="8475"/>
    <cellStyle name="Normal 23 7 6" xfId="8476"/>
    <cellStyle name="Normal 23 7 7" xfId="8477"/>
    <cellStyle name="Normal 23 7 7 2" xfId="8478"/>
    <cellStyle name="Normal 23 7 7 3" xfId="8479"/>
    <cellStyle name="Normal 23 7 8" xfId="8480"/>
    <cellStyle name="Normal 23 7 8 2" xfId="8481"/>
    <cellStyle name="Normal 23 7 8 3" xfId="8482"/>
    <cellStyle name="Normal 23 7 9" xfId="8483"/>
    <cellStyle name="Normal 23 8" xfId="8484"/>
    <cellStyle name="Normal 23 8 10" xfId="8485"/>
    <cellStyle name="Normal 23 8 2" xfId="8486"/>
    <cellStyle name="Normal 23 8 2 2" xfId="8487"/>
    <cellStyle name="Normal 23 8 2 2 2" xfId="8488"/>
    <cellStyle name="Normal 23 8 2 2 2 2" xfId="8489"/>
    <cellStyle name="Normal 23 8 2 2 2 3" xfId="8490"/>
    <cellStyle name="Normal 23 8 2 2 3" xfId="8491"/>
    <cellStyle name="Normal 23 8 2 2 3 2" xfId="8492"/>
    <cellStyle name="Normal 23 8 2 2 3 3" xfId="8493"/>
    <cellStyle name="Normal 23 8 2 2 4" xfId="8494"/>
    <cellStyle name="Normal 23 8 2 2 5" xfId="8495"/>
    <cellStyle name="Normal 23 8 2 2 6" xfId="8496"/>
    <cellStyle name="Normal 23 8 2 2 7" xfId="8497"/>
    <cellStyle name="Normal 23 8 2 3" xfId="8498"/>
    <cellStyle name="Normal 23 8 2 3 2" xfId="8499"/>
    <cellStyle name="Normal 23 8 2 3 3" xfId="8500"/>
    <cellStyle name="Normal 23 8 2 4" xfId="8501"/>
    <cellStyle name="Normal 23 8 2 4 2" xfId="8502"/>
    <cellStyle name="Normal 23 8 2 4 3" xfId="8503"/>
    <cellStyle name="Normal 23 8 2 5" xfId="8504"/>
    <cellStyle name="Normal 23 8 2 6" xfId="8505"/>
    <cellStyle name="Normal 23 8 2 7" xfId="8506"/>
    <cellStyle name="Normal 23 8 2 8" xfId="8507"/>
    <cellStyle name="Normal 23 8 3" xfId="8508"/>
    <cellStyle name="Normal 23 8 3 2" xfId="8509"/>
    <cellStyle name="Normal 23 8 3 2 2" xfId="8510"/>
    <cellStyle name="Normal 23 8 3 2 3" xfId="8511"/>
    <cellStyle name="Normal 23 8 3 3" xfId="8512"/>
    <cellStyle name="Normal 23 8 3 3 2" xfId="8513"/>
    <cellStyle name="Normal 23 8 3 3 3" xfId="8514"/>
    <cellStyle name="Normal 23 8 3 4" xfId="8515"/>
    <cellStyle name="Normal 23 8 3 5" xfId="8516"/>
    <cellStyle name="Normal 23 8 3 6" xfId="8517"/>
    <cellStyle name="Normal 23 8 3 7" xfId="8518"/>
    <cellStyle name="Normal 23 8 4" xfId="8519"/>
    <cellStyle name="Normal 23 8 5" xfId="8520"/>
    <cellStyle name="Normal 23 8 5 2" xfId="8521"/>
    <cellStyle name="Normal 23 8 5 3" xfId="8522"/>
    <cellStyle name="Normal 23 8 6" xfId="8523"/>
    <cellStyle name="Normal 23 8 6 2" xfId="8524"/>
    <cellStyle name="Normal 23 8 6 3" xfId="8525"/>
    <cellStyle name="Normal 23 8 7" xfId="8526"/>
    <cellStyle name="Normal 23 8 8" xfId="8527"/>
    <cellStyle name="Normal 23 8 9" xfId="8528"/>
    <cellStyle name="Normal 23 9" xfId="8529"/>
    <cellStyle name="Normal 23 9 2" xfId="8530"/>
    <cellStyle name="Normal 23 9 2 2" xfId="8531"/>
    <cellStyle name="Normal 23 9 2 2 2" xfId="8532"/>
    <cellStyle name="Normal 23 9 2 2 3" xfId="8533"/>
    <cellStyle name="Normal 23 9 2 3" xfId="8534"/>
    <cellStyle name="Normal 23 9 2 3 2" xfId="8535"/>
    <cellStyle name="Normal 23 9 2 3 3" xfId="8536"/>
    <cellStyle name="Normal 23 9 2 4" xfId="8537"/>
    <cellStyle name="Normal 23 9 2 5" xfId="8538"/>
    <cellStyle name="Normal 23 9 2 6" xfId="8539"/>
    <cellStyle name="Normal 23 9 2 7" xfId="8540"/>
    <cellStyle name="Normal 23 9 3" xfId="8541"/>
    <cellStyle name="Normal 23 9 3 2" xfId="8542"/>
    <cellStyle name="Normal 23 9 3 3" xfId="8543"/>
    <cellStyle name="Normal 23 9 4" xfId="8544"/>
    <cellStyle name="Normal 23 9 4 2" xfId="8545"/>
    <cellStyle name="Normal 23 9 4 3" xfId="8546"/>
    <cellStyle name="Normal 23 9 5" xfId="8547"/>
    <cellStyle name="Normal 23 9 6" xfId="8548"/>
    <cellStyle name="Normal 23 9 7" xfId="8549"/>
    <cellStyle name="Normal 23 9 8" xfId="8550"/>
    <cellStyle name="Normal 24" xfId="8551"/>
    <cellStyle name="Normal 24 2" xfId="8552"/>
    <cellStyle name="Normal 24 2 2" xfId="8553"/>
    <cellStyle name="Normal 24 3" xfId="8554"/>
    <cellStyle name="Normal 24 4" xfId="8555"/>
    <cellStyle name="Normal 24 5" xfId="8556"/>
    <cellStyle name="Normal 24 5 2" xfId="8557"/>
    <cellStyle name="Normal 25" xfId="8558"/>
    <cellStyle name="Normal 25 2" xfId="8559"/>
    <cellStyle name="Normal 25 2 2" xfId="8560"/>
    <cellStyle name="Normal 25 3" xfId="8561"/>
    <cellStyle name="Normal 25 3 2" xfId="8562"/>
    <cellStyle name="Normal 25 3 2 2" xfId="8563"/>
    <cellStyle name="Normal 25 3 2 3" xfId="8564"/>
    <cellStyle name="Normal 25 3 3" xfId="8565"/>
    <cellStyle name="Normal 25 3 3 2" xfId="8566"/>
    <cellStyle name="Normal 25 3 3 3" xfId="8567"/>
    <cellStyle name="Normal 25 3 4" xfId="8568"/>
    <cellStyle name="Normal 25 3 5" xfId="8569"/>
    <cellStyle name="Normal 25 3 6" xfId="8570"/>
    <cellStyle name="Normal 25 3 7" xfId="8571"/>
    <cellStyle name="Normal 25 4" xfId="8572"/>
    <cellStyle name="Normal 25 5" xfId="8573"/>
    <cellStyle name="Normal 25 5 2" xfId="8574"/>
    <cellStyle name="Normal 25_29-Col-unconnected GP" xfId="8575"/>
    <cellStyle name="Normal 26" xfId="8576"/>
    <cellStyle name="Normal 26 2" xfId="8577"/>
    <cellStyle name="Normal 26 2 2" xfId="8578"/>
    <cellStyle name="Normal 26 3" xfId="8579"/>
    <cellStyle name="Normal 26 4" xfId="8580"/>
    <cellStyle name="Normal 26 5" xfId="8581"/>
    <cellStyle name="Normal 26 5 2" xfId="8582"/>
    <cellStyle name="Normal 27" xfId="8583"/>
    <cellStyle name="Normal 27 2" xfId="8584"/>
    <cellStyle name="Normal 27 3" xfId="8585"/>
    <cellStyle name="Normal 27 4" xfId="8586"/>
    <cellStyle name="Normal 27 5" xfId="8587"/>
    <cellStyle name="Normal 27 5 2" xfId="8588"/>
    <cellStyle name="Normal 27 6" xfId="8589"/>
    <cellStyle name="Normal 28" xfId="8590"/>
    <cellStyle name="Normal 28 10" xfId="8591"/>
    <cellStyle name="Normal 28 10 2" xfId="8592"/>
    <cellStyle name="Normal 28 10 2 2" xfId="8593"/>
    <cellStyle name="Normal 28 10 2 3" xfId="8594"/>
    <cellStyle name="Normal 28 10 3" xfId="8595"/>
    <cellStyle name="Normal 28 10 3 2" xfId="8596"/>
    <cellStyle name="Normal 28 10 3 3" xfId="8597"/>
    <cellStyle name="Normal 28 10 4" xfId="8598"/>
    <cellStyle name="Normal 28 10 5" xfId="8599"/>
    <cellStyle name="Normal 28 10 6" xfId="8600"/>
    <cellStyle name="Normal 28 10 7" xfId="8601"/>
    <cellStyle name="Normal 28 11" xfId="8602"/>
    <cellStyle name="Normal 28 12" xfId="8603"/>
    <cellStyle name="Normal 28 12 2" xfId="8604"/>
    <cellStyle name="Normal 28 12 3" xfId="8605"/>
    <cellStyle name="Normal 28 13" xfId="8606"/>
    <cellStyle name="Normal 28 13 2" xfId="8607"/>
    <cellStyle name="Normal 28 13 3" xfId="8608"/>
    <cellStyle name="Normal 28 14" xfId="8609"/>
    <cellStyle name="Normal 28 15" xfId="8610"/>
    <cellStyle name="Normal 28 16" xfId="8611"/>
    <cellStyle name="Normal 28 17" xfId="8612"/>
    <cellStyle name="Normal 28 2" xfId="8613"/>
    <cellStyle name="Normal 28 2 10" xfId="8614"/>
    <cellStyle name="Normal 28 2 10 2" xfId="8615"/>
    <cellStyle name="Normal 28 2 10 3" xfId="8616"/>
    <cellStyle name="Normal 28 2 11" xfId="8617"/>
    <cellStyle name="Normal 28 2 12" xfId="8618"/>
    <cellStyle name="Normal 28 2 13" xfId="8619"/>
    <cellStyle name="Normal 28 2 14" xfId="8620"/>
    <cellStyle name="Normal 28 2 2" xfId="8621"/>
    <cellStyle name="Normal 28 2 2 10" xfId="8622"/>
    <cellStyle name="Normal 28 2 2 11" xfId="8623"/>
    <cellStyle name="Normal 28 2 2 2" xfId="8624"/>
    <cellStyle name="Normal 28 2 2 2 2" xfId="8625"/>
    <cellStyle name="Normal 28 2 2 2 2 2" xfId="8626"/>
    <cellStyle name="Normal 28 2 2 2 2 2 2" xfId="8627"/>
    <cellStyle name="Normal 28 2 2 2 2 2 2 2" xfId="8628"/>
    <cellStyle name="Normal 28 2 2 2 2 2 2 3" xfId="8629"/>
    <cellStyle name="Normal 28 2 2 2 2 2 3" xfId="8630"/>
    <cellStyle name="Normal 28 2 2 2 2 2 3 2" xfId="8631"/>
    <cellStyle name="Normal 28 2 2 2 2 2 3 3" xfId="8632"/>
    <cellStyle name="Normal 28 2 2 2 2 2 4" xfId="8633"/>
    <cellStyle name="Normal 28 2 2 2 2 2 5" xfId="8634"/>
    <cellStyle name="Normal 28 2 2 2 2 2 6" xfId="8635"/>
    <cellStyle name="Normal 28 2 2 2 2 2 7" xfId="8636"/>
    <cellStyle name="Normal 28 2 2 2 2 3" xfId="8637"/>
    <cellStyle name="Normal 28 2 2 2 2 3 2" xfId="8638"/>
    <cellStyle name="Normal 28 2 2 2 2 3 3" xfId="8639"/>
    <cellStyle name="Normal 28 2 2 2 2 4" xfId="8640"/>
    <cellStyle name="Normal 28 2 2 2 2 4 2" xfId="8641"/>
    <cellStyle name="Normal 28 2 2 2 2 4 3" xfId="8642"/>
    <cellStyle name="Normal 28 2 2 2 2 5" xfId="8643"/>
    <cellStyle name="Normal 28 2 2 2 2 6" xfId="8644"/>
    <cellStyle name="Normal 28 2 2 2 2 7" xfId="8645"/>
    <cellStyle name="Normal 28 2 2 2 2 8" xfId="8646"/>
    <cellStyle name="Normal 28 2 2 2 3" xfId="8647"/>
    <cellStyle name="Normal 28 2 2 2 3 2" xfId="8648"/>
    <cellStyle name="Normal 28 2 2 2 3 2 2" xfId="8649"/>
    <cellStyle name="Normal 28 2 2 2 3 2 3" xfId="8650"/>
    <cellStyle name="Normal 28 2 2 2 3 3" xfId="8651"/>
    <cellStyle name="Normal 28 2 2 2 3 3 2" xfId="8652"/>
    <cellStyle name="Normal 28 2 2 2 3 3 3" xfId="8653"/>
    <cellStyle name="Normal 28 2 2 2 3 4" xfId="8654"/>
    <cellStyle name="Normal 28 2 2 2 3 5" xfId="8655"/>
    <cellStyle name="Normal 28 2 2 2 3 6" xfId="8656"/>
    <cellStyle name="Normal 28 2 2 2 3 7" xfId="8657"/>
    <cellStyle name="Normal 28 2 2 2 4" xfId="8658"/>
    <cellStyle name="Normal 28 2 2 2 4 2" xfId="8659"/>
    <cellStyle name="Normal 28 2 2 2 4 3" xfId="8660"/>
    <cellStyle name="Normal 28 2 2 2 5" xfId="8661"/>
    <cellStyle name="Normal 28 2 2 2 5 2" xfId="8662"/>
    <cellStyle name="Normal 28 2 2 2 5 3" xfId="8663"/>
    <cellStyle name="Normal 28 2 2 2 6" xfId="8664"/>
    <cellStyle name="Normal 28 2 2 2 7" xfId="8665"/>
    <cellStyle name="Normal 28 2 2 2 8" xfId="8666"/>
    <cellStyle name="Normal 28 2 2 2 9" xfId="8667"/>
    <cellStyle name="Normal 28 2 2 3" xfId="8668"/>
    <cellStyle name="Normal 28 2 2 3 2" xfId="8669"/>
    <cellStyle name="Normal 28 2 2 3 2 2" xfId="8670"/>
    <cellStyle name="Normal 28 2 2 3 2 2 2" xfId="8671"/>
    <cellStyle name="Normal 28 2 2 3 2 2 3" xfId="8672"/>
    <cellStyle name="Normal 28 2 2 3 2 3" xfId="8673"/>
    <cellStyle name="Normal 28 2 2 3 2 3 2" xfId="8674"/>
    <cellStyle name="Normal 28 2 2 3 2 3 3" xfId="8675"/>
    <cellStyle name="Normal 28 2 2 3 2 4" xfId="8676"/>
    <cellStyle name="Normal 28 2 2 3 2 5" xfId="8677"/>
    <cellStyle name="Normal 28 2 2 3 2 6" xfId="8678"/>
    <cellStyle name="Normal 28 2 2 3 2 7" xfId="8679"/>
    <cellStyle name="Normal 28 2 2 3 3" xfId="8680"/>
    <cellStyle name="Normal 28 2 2 3 3 2" xfId="8681"/>
    <cellStyle name="Normal 28 2 2 3 3 3" xfId="8682"/>
    <cellStyle name="Normal 28 2 2 3 4" xfId="8683"/>
    <cellStyle name="Normal 28 2 2 3 4 2" xfId="8684"/>
    <cellStyle name="Normal 28 2 2 3 4 3" xfId="8685"/>
    <cellStyle name="Normal 28 2 2 3 5" xfId="8686"/>
    <cellStyle name="Normal 28 2 2 3 6" xfId="8687"/>
    <cellStyle name="Normal 28 2 2 3 7" xfId="8688"/>
    <cellStyle name="Normal 28 2 2 3 8" xfId="8689"/>
    <cellStyle name="Normal 28 2 2 4" xfId="8690"/>
    <cellStyle name="Normal 28 2 2 4 2" xfId="8691"/>
    <cellStyle name="Normal 28 2 2 4 2 2" xfId="8692"/>
    <cellStyle name="Normal 28 2 2 4 2 2 2" xfId="8693"/>
    <cellStyle name="Normal 28 2 2 4 2 2 3" xfId="8694"/>
    <cellStyle name="Normal 28 2 2 4 2 3" xfId="8695"/>
    <cellStyle name="Normal 28 2 2 4 2 3 2" xfId="8696"/>
    <cellStyle name="Normal 28 2 2 4 2 3 3" xfId="8697"/>
    <cellStyle name="Normal 28 2 2 4 2 4" xfId="8698"/>
    <cellStyle name="Normal 28 2 2 4 2 5" xfId="8699"/>
    <cellStyle name="Normal 28 2 2 4 2 6" xfId="8700"/>
    <cellStyle name="Normal 28 2 2 4 2 7" xfId="8701"/>
    <cellStyle name="Normal 28 2 2 4 3" xfId="8702"/>
    <cellStyle name="Normal 28 2 2 4 3 2" xfId="8703"/>
    <cellStyle name="Normal 28 2 2 4 3 3" xfId="8704"/>
    <cellStyle name="Normal 28 2 2 4 4" xfId="8705"/>
    <cellStyle name="Normal 28 2 2 4 4 2" xfId="8706"/>
    <cellStyle name="Normal 28 2 2 4 4 3" xfId="8707"/>
    <cellStyle name="Normal 28 2 2 4 5" xfId="8708"/>
    <cellStyle name="Normal 28 2 2 4 6" xfId="8709"/>
    <cellStyle name="Normal 28 2 2 4 7" xfId="8710"/>
    <cellStyle name="Normal 28 2 2 4 8" xfId="8711"/>
    <cellStyle name="Normal 28 2 2 5" xfId="8712"/>
    <cellStyle name="Normal 28 2 2 5 2" xfId="8713"/>
    <cellStyle name="Normal 28 2 2 5 2 2" xfId="8714"/>
    <cellStyle name="Normal 28 2 2 5 2 3" xfId="8715"/>
    <cellStyle name="Normal 28 2 2 5 3" xfId="8716"/>
    <cellStyle name="Normal 28 2 2 5 3 2" xfId="8717"/>
    <cellStyle name="Normal 28 2 2 5 3 3" xfId="8718"/>
    <cellStyle name="Normal 28 2 2 5 4" xfId="8719"/>
    <cellStyle name="Normal 28 2 2 5 5" xfId="8720"/>
    <cellStyle name="Normal 28 2 2 5 6" xfId="8721"/>
    <cellStyle name="Normal 28 2 2 5 7" xfId="8722"/>
    <cellStyle name="Normal 28 2 2 6" xfId="8723"/>
    <cellStyle name="Normal 28 2 2 6 2" xfId="8724"/>
    <cellStyle name="Normal 28 2 2 6 3" xfId="8725"/>
    <cellStyle name="Normal 28 2 2 7" xfId="8726"/>
    <cellStyle name="Normal 28 2 2 7 2" xfId="8727"/>
    <cellStyle name="Normal 28 2 2 7 3" xfId="8728"/>
    <cellStyle name="Normal 28 2 2 8" xfId="8729"/>
    <cellStyle name="Normal 28 2 2 9" xfId="8730"/>
    <cellStyle name="Normal 28 2 3" xfId="8731"/>
    <cellStyle name="Normal 28 2 3 10" xfId="8732"/>
    <cellStyle name="Normal 28 2 3 11" xfId="8733"/>
    <cellStyle name="Normal 28 2 3 2" xfId="8734"/>
    <cellStyle name="Normal 28 2 3 2 2" xfId="8735"/>
    <cellStyle name="Normal 28 2 3 2 2 2" xfId="8736"/>
    <cellStyle name="Normal 28 2 3 2 2 2 2" xfId="8737"/>
    <cellStyle name="Normal 28 2 3 2 2 2 2 2" xfId="8738"/>
    <cellStyle name="Normal 28 2 3 2 2 2 2 3" xfId="8739"/>
    <cellStyle name="Normal 28 2 3 2 2 2 3" xfId="8740"/>
    <cellStyle name="Normal 28 2 3 2 2 2 3 2" xfId="8741"/>
    <cellStyle name="Normal 28 2 3 2 2 2 3 3" xfId="8742"/>
    <cellStyle name="Normal 28 2 3 2 2 2 4" xfId="8743"/>
    <cellStyle name="Normal 28 2 3 2 2 2 5" xfId="8744"/>
    <cellStyle name="Normal 28 2 3 2 2 2 6" xfId="8745"/>
    <cellStyle name="Normal 28 2 3 2 2 2 7" xfId="8746"/>
    <cellStyle name="Normal 28 2 3 2 2 3" xfId="8747"/>
    <cellStyle name="Normal 28 2 3 2 2 3 2" xfId="8748"/>
    <cellStyle name="Normal 28 2 3 2 2 3 3" xfId="8749"/>
    <cellStyle name="Normal 28 2 3 2 2 4" xfId="8750"/>
    <cellStyle name="Normal 28 2 3 2 2 4 2" xfId="8751"/>
    <cellStyle name="Normal 28 2 3 2 2 4 3" xfId="8752"/>
    <cellStyle name="Normal 28 2 3 2 2 5" xfId="8753"/>
    <cellStyle name="Normal 28 2 3 2 2 6" xfId="8754"/>
    <cellStyle name="Normal 28 2 3 2 2 7" xfId="8755"/>
    <cellStyle name="Normal 28 2 3 2 2 8" xfId="8756"/>
    <cellStyle name="Normal 28 2 3 2 3" xfId="8757"/>
    <cellStyle name="Normal 28 2 3 2 3 2" xfId="8758"/>
    <cellStyle name="Normal 28 2 3 2 3 2 2" xfId="8759"/>
    <cellStyle name="Normal 28 2 3 2 3 2 3" xfId="8760"/>
    <cellStyle name="Normal 28 2 3 2 3 3" xfId="8761"/>
    <cellStyle name="Normal 28 2 3 2 3 3 2" xfId="8762"/>
    <cellStyle name="Normal 28 2 3 2 3 3 3" xfId="8763"/>
    <cellStyle name="Normal 28 2 3 2 3 4" xfId="8764"/>
    <cellStyle name="Normal 28 2 3 2 3 5" xfId="8765"/>
    <cellStyle name="Normal 28 2 3 2 3 6" xfId="8766"/>
    <cellStyle name="Normal 28 2 3 2 3 7" xfId="8767"/>
    <cellStyle name="Normal 28 2 3 2 4" xfId="8768"/>
    <cellStyle name="Normal 28 2 3 2 4 2" xfId="8769"/>
    <cellStyle name="Normal 28 2 3 2 4 3" xfId="8770"/>
    <cellStyle name="Normal 28 2 3 2 5" xfId="8771"/>
    <cellStyle name="Normal 28 2 3 2 5 2" xfId="8772"/>
    <cellStyle name="Normal 28 2 3 2 5 3" xfId="8773"/>
    <cellStyle name="Normal 28 2 3 2 6" xfId="8774"/>
    <cellStyle name="Normal 28 2 3 2 7" xfId="8775"/>
    <cellStyle name="Normal 28 2 3 2 8" xfId="8776"/>
    <cellStyle name="Normal 28 2 3 2 9" xfId="8777"/>
    <cellStyle name="Normal 28 2 3 3" xfId="8778"/>
    <cellStyle name="Normal 28 2 3 3 2" xfId="8779"/>
    <cellStyle name="Normal 28 2 3 3 2 2" xfId="8780"/>
    <cellStyle name="Normal 28 2 3 3 2 2 2" xfId="8781"/>
    <cellStyle name="Normal 28 2 3 3 2 2 3" xfId="8782"/>
    <cellStyle name="Normal 28 2 3 3 2 3" xfId="8783"/>
    <cellStyle name="Normal 28 2 3 3 2 3 2" xfId="8784"/>
    <cellStyle name="Normal 28 2 3 3 2 3 3" xfId="8785"/>
    <cellStyle name="Normal 28 2 3 3 2 4" xfId="8786"/>
    <cellStyle name="Normal 28 2 3 3 2 5" xfId="8787"/>
    <cellStyle name="Normal 28 2 3 3 2 6" xfId="8788"/>
    <cellStyle name="Normal 28 2 3 3 2 7" xfId="8789"/>
    <cellStyle name="Normal 28 2 3 3 3" xfId="8790"/>
    <cellStyle name="Normal 28 2 3 3 3 2" xfId="8791"/>
    <cellStyle name="Normal 28 2 3 3 3 3" xfId="8792"/>
    <cellStyle name="Normal 28 2 3 3 4" xfId="8793"/>
    <cellStyle name="Normal 28 2 3 3 4 2" xfId="8794"/>
    <cellStyle name="Normal 28 2 3 3 4 3" xfId="8795"/>
    <cellStyle name="Normal 28 2 3 3 5" xfId="8796"/>
    <cellStyle name="Normal 28 2 3 3 6" xfId="8797"/>
    <cellStyle name="Normal 28 2 3 3 7" xfId="8798"/>
    <cellStyle name="Normal 28 2 3 3 8" xfId="8799"/>
    <cellStyle name="Normal 28 2 3 4" xfId="8800"/>
    <cellStyle name="Normal 28 2 3 4 2" xfId="8801"/>
    <cellStyle name="Normal 28 2 3 4 2 2" xfId="8802"/>
    <cellStyle name="Normal 28 2 3 4 2 2 2" xfId="8803"/>
    <cellStyle name="Normal 28 2 3 4 2 2 3" xfId="8804"/>
    <cellStyle name="Normal 28 2 3 4 2 3" xfId="8805"/>
    <cellStyle name="Normal 28 2 3 4 2 3 2" xfId="8806"/>
    <cellStyle name="Normal 28 2 3 4 2 3 3" xfId="8807"/>
    <cellStyle name="Normal 28 2 3 4 2 4" xfId="8808"/>
    <cellStyle name="Normal 28 2 3 4 2 5" xfId="8809"/>
    <cellStyle name="Normal 28 2 3 4 2 6" xfId="8810"/>
    <cellStyle name="Normal 28 2 3 4 2 7" xfId="8811"/>
    <cellStyle name="Normal 28 2 3 4 3" xfId="8812"/>
    <cellStyle name="Normal 28 2 3 4 3 2" xfId="8813"/>
    <cellStyle name="Normal 28 2 3 4 3 3" xfId="8814"/>
    <cellStyle name="Normal 28 2 3 4 4" xfId="8815"/>
    <cellStyle name="Normal 28 2 3 4 4 2" xfId="8816"/>
    <cellStyle name="Normal 28 2 3 4 4 3" xfId="8817"/>
    <cellStyle name="Normal 28 2 3 4 5" xfId="8818"/>
    <cellStyle name="Normal 28 2 3 4 6" xfId="8819"/>
    <cellStyle name="Normal 28 2 3 4 7" xfId="8820"/>
    <cellStyle name="Normal 28 2 3 4 8" xfId="8821"/>
    <cellStyle name="Normal 28 2 3 5" xfId="8822"/>
    <cellStyle name="Normal 28 2 3 5 2" xfId="8823"/>
    <cellStyle name="Normal 28 2 3 5 2 2" xfId="8824"/>
    <cellStyle name="Normal 28 2 3 5 2 3" xfId="8825"/>
    <cellStyle name="Normal 28 2 3 5 3" xfId="8826"/>
    <cellStyle name="Normal 28 2 3 5 3 2" xfId="8827"/>
    <cellStyle name="Normal 28 2 3 5 3 3" xfId="8828"/>
    <cellStyle name="Normal 28 2 3 5 4" xfId="8829"/>
    <cellStyle name="Normal 28 2 3 5 5" xfId="8830"/>
    <cellStyle name="Normal 28 2 3 5 6" xfId="8831"/>
    <cellStyle name="Normal 28 2 3 5 7" xfId="8832"/>
    <cellStyle name="Normal 28 2 3 6" xfId="8833"/>
    <cellStyle name="Normal 28 2 3 6 2" xfId="8834"/>
    <cellStyle name="Normal 28 2 3 6 3" xfId="8835"/>
    <cellStyle name="Normal 28 2 3 7" xfId="8836"/>
    <cellStyle name="Normal 28 2 3 7 2" xfId="8837"/>
    <cellStyle name="Normal 28 2 3 7 3" xfId="8838"/>
    <cellStyle name="Normal 28 2 3 8" xfId="8839"/>
    <cellStyle name="Normal 28 2 3 9" xfId="8840"/>
    <cellStyle name="Normal 28 2 4" xfId="8841"/>
    <cellStyle name="Normal 28 2 4 2" xfId="8842"/>
    <cellStyle name="Normal 28 2 4 2 2" xfId="8843"/>
    <cellStyle name="Normal 28 2 4 2 2 2" xfId="8844"/>
    <cellStyle name="Normal 28 2 4 2 2 2 2" xfId="8845"/>
    <cellStyle name="Normal 28 2 4 2 2 2 3" xfId="8846"/>
    <cellStyle name="Normal 28 2 4 2 2 3" xfId="8847"/>
    <cellStyle name="Normal 28 2 4 2 2 3 2" xfId="8848"/>
    <cellStyle name="Normal 28 2 4 2 2 3 3" xfId="8849"/>
    <cellStyle name="Normal 28 2 4 2 2 4" xfId="8850"/>
    <cellStyle name="Normal 28 2 4 2 2 5" xfId="8851"/>
    <cellStyle name="Normal 28 2 4 2 2 6" xfId="8852"/>
    <cellStyle name="Normal 28 2 4 2 2 7" xfId="8853"/>
    <cellStyle name="Normal 28 2 4 2 3" xfId="8854"/>
    <cellStyle name="Normal 28 2 4 2 3 2" xfId="8855"/>
    <cellStyle name="Normal 28 2 4 2 3 3" xfId="8856"/>
    <cellStyle name="Normal 28 2 4 2 4" xfId="8857"/>
    <cellStyle name="Normal 28 2 4 2 4 2" xfId="8858"/>
    <cellStyle name="Normal 28 2 4 2 4 3" xfId="8859"/>
    <cellStyle name="Normal 28 2 4 2 5" xfId="8860"/>
    <cellStyle name="Normal 28 2 4 2 6" xfId="8861"/>
    <cellStyle name="Normal 28 2 4 2 7" xfId="8862"/>
    <cellStyle name="Normal 28 2 4 2 8" xfId="8863"/>
    <cellStyle name="Normal 28 2 4 3" xfId="8864"/>
    <cellStyle name="Normal 28 2 4 3 2" xfId="8865"/>
    <cellStyle name="Normal 28 2 4 3 2 2" xfId="8866"/>
    <cellStyle name="Normal 28 2 4 3 2 3" xfId="8867"/>
    <cellStyle name="Normal 28 2 4 3 3" xfId="8868"/>
    <cellStyle name="Normal 28 2 4 3 3 2" xfId="8869"/>
    <cellStyle name="Normal 28 2 4 3 3 3" xfId="8870"/>
    <cellStyle name="Normal 28 2 4 3 4" xfId="8871"/>
    <cellStyle name="Normal 28 2 4 3 5" xfId="8872"/>
    <cellStyle name="Normal 28 2 4 3 6" xfId="8873"/>
    <cellStyle name="Normal 28 2 4 3 7" xfId="8874"/>
    <cellStyle name="Normal 28 2 4 4" xfId="8875"/>
    <cellStyle name="Normal 28 2 4 4 2" xfId="8876"/>
    <cellStyle name="Normal 28 2 4 4 3" xfId="8877"/>
    <cellStyle name="Normal 28 2 4 5" xfId="8878"/>
    <cellStyle name="Normal 28 2 4 5 2" xfId="8879"/>
    <cellStyle name="Normal 28 2 4 5 3" xfId="8880"/>
    <cellStyle name="Normal 28 2 4 6" xfId="8881"/>
    <cellStyle name="Normal 28 2 4 7" xfId="8882"/>
    <cellStyle name="Normal 28 2 4 8" xfId="8883"/>
    <cellStyle name="Normal 28 2 4 9" xfId="8884"/>
    <cellStyle name="Normal 28 2 5" xfId="8885"/>
    <cellStyle name="Normal 28 2 5 2" xfId="8886"/>
    <cellStyle name="Normal 28 2 5 2 2" xfId="8887"/>
    <cellStyle name="Normal 28 2 5 2 2 2" xfId="8888"/>
    <cellStyle name="Normal 28 2 5 2 2 3" xfId="8889"/>
    <cellStyle name="Normal 28 2 5 2 3" xfId="8890"/>
    <cellStyle name="Normal 28 2 5 2 3 2" xfId="8891"/>
    <cellStyle name="Normal 28 2 5 2 3 3" xfId="8892"/>
    <cellStyle name="Normal 28 2 5 2 4" xfId="8893"/>
    <cellStyle name="Normal 28 2 5 2 5" xfId="8894"/>
    <cellStyle name="Normal 28 2 5 2 6" xfId="8895"/>
    <cellStyle name="Normal 28 2 5 2 7" xfId="8896"/>
    <cellStyle name="Normal 28 2 5 3" xfId="8897"/>
    <cellStyle name="Normal 28 2 5 3 2" xfId="8898"/>
    <cellStyle name="Normal 28 2 5 3 3" xfId="8899"/>
    <cellStyle name="Normal 28 2 5 4" xfId="8900"/>
    <cellStyle name="Normal 28 2 5 4 2" xfId="8901"/>
    <cellStyle name="Normal 28 2 5 4 3" xfId="8902"/>
    <cellStyle name="Normal 28 2 5 5" xfId="8903"/>
    <cellStyle name="Normal 28 2 5 6" xfId="8904"/>
    <cellStyle name="Normal 28 2 5 7" xfId="8905"/>
    <cellStyle name="Normal 28 2 5 8" xfId="8906"/>
    <cellStyle name="Normal 28 2 6" xfId="8907"/>
    <cellStyle name="Normal 28 2 6 2" xfId="8908"/>
    <cellStyle name="Normal 28 2 6 2 2" xfId="8909"/>
    <cellStyle name="Normal 28 2 6 2 2 2" xfId="8910"/>
    <cellStyle name="Normal 28 2 6 2 2 3" xfId="8911"/>
    <cellStyle name="Normal 28 2 6 2 3" xfId="8912"/>
    <cellStyle name="Normal 28 2 6 2 3 2" xfId="8913"/>
    <cellStyle name="Normal 28 2 6 2 3 3" xfId="8914"/>
    <cellStyle name="Normal 28 2 6 2 4" xfId="8915"/>
    <cellStyle name="Normal 28 2 6 2 5" xfId="8916"/>
    <cellStyle name="Normal 28 2 6 2 6" xfId="8917"/>
    <cellStyle name="Normal 28 2 6 2 7" xfId="8918"/>
    <cellStyle name="Normal 28 2 6 3" xfId="8919"/>
    <cellStyle name="Normal 28 2 6 3 2" xfId="8920"/>
    <cellStyle name="Normal 28 2 6 3 3" xfId="8921"/>
    <cellStyle name="Normal 28 2 6 4" xfId="8922"/>
    <cellStyle name="Normal 28 2 6 4 2" xfId="8923"/>
    <cellStyle name="Normal 28 2 6 4 3" xfId="8924"/>
    <cellStyle name="Normal 28 2 6 5" xfId="8925"/>
    <cellStyle name="Normal 28 2 6 6" xfId="8926"/>
    <cellStyle name="Normal 28 2 6 7" xfId="8927"/>
    <cellStyle name="Normal 28 2 6 8" xfId="8928"/>
    <cellStyle name="Normal 28 2 7" xfId="8929"/>
    <cellStyle name="Normal 28 2 7 2" xfId="8930"/>
    <cellStyle name="Normal 28 2 7 2 2" xfId="8931"/>
    <cellStyle name="Normal 28 2 7 2 3" xfId="8932"/>
    <cellStyle name="Normal 28 2 7 3" xfId="8933"/>
    <cellStyle name="Normal 28 2 7 3 2" xfId="8934"/>
    <cellStyle name="Normal 28 2 7 3 3" xfId="8935"/>
    <cellStyle name="Normal 28 2 7 4" xfId="8936"/>
    <cellStyle name="Normal 28 2 7 5" xfId="8937"/>
    <cellStyle name="Normal 28 2 7 6" xfId="8938"/>
    <cellStyle name="Normal 28 2 7 7" xfId="8939"/>
    <cellStyle name="Normal 28 2 8" xfId="8940"/>
    <cellStyle name="Normal 28 2 9" xfId="8941"/>
    <cellStyle name="Normal 28 2 9 2" xfId="8942"/>
    <cellStyle name="Normal 28 2 9 3" xfId="8943"/>
    <cellStyle name="Normal 28 3" xfId="8944"/>
    <cellStyle name="Normal 28 3 10" xfId="8945"/>
    <cellStyle name="Normal 28 3 11" xfId="8946"/>
    <cellStyle name="Normal 28 3 2" xfId="8947"/>
    <cellStyle name="Normal 28 3 2 2" xfId="8948"/>
    <cellStyle name="Normal 28 3 2 2 2" xfId="8949"/>
    <cellStyle name="Normal 28 3 2 2 2 2" xfId="8950"/>
    <cellStyle name="Normal 28 3 2 2 2 2 2" xfId="8951"/>
    <cellStyle name="Normal 28 3 2 2 2 2 3" xfId="8952"/>
    <cellStyle name="Normal 28 3 2 2 2 3" xfId="8953"/>
    <cellStyle name="Normal 28 3 2 2 2 3 2" xfId="8954"/>
    <cellStyle name="Normal 28 3 2 2 2 3 3" xfId="8955"/>
    <cellStyle name="Normal 28 3 2 2 2 4" xfId="8956"/>
    <cellStyle name="Normal 28 3 2 2 2 5" xfId="8957"/>
    <cellStyle name="Normal 28 3 2 2 2 6" xfId="8958"/>
    <cellStyle name="Normal 28 3 2 2 2 7" xfId="8959"/>
    <cellStyle name="Normal 28 3 2 2 3" xfId="8960"/>
    <cellStyle name="Normal 28 3 2 2 3 2" xfId="8961"/>
    <cellStyle name="Normal 28 3 2 2 3 3" xfId="8962"/>
    <cellStyle name="Normal 28 3 2 2 4" xfId="8963"/>
    <cellStyle name="Normal 28 3 2 2 4 2" xfId="8964"/>
    <cellStyle name="Normal 28 3 2 2 4 3" xfId="8965"/>
    <cellStyle name="Normal 28 3 2 2 5" xfId="8966"/>
    <cellStyle name="Normal 28 3 2 2 6" xfId="8967"/>
    <cellStyle name="Normal 28 3 2 2 7" xfId="8968"/>
    <cellStyle name="Normal 28 3 2 2 8" xfId="8969"/>
    <cellStyle name="Normal 28 3 2 3" xfId="8970"/>
    <cellStyle name="Normal 28 3 2 3 2" xfId="8971"/>
    <cellStyle name="Normal 28 3 2 3 2 2" xfId="8972"/>
    <cellStyle name="Normal 28 3 2 3 2 3" xfId="8973"/>
    <cellStyle name="Normal 28 3 2 3 3" xfId="8974"/>
    <cellStyle name="Normal 28 3 2 3 3 2" xfId="8975"/>
    <cellStyle name="Normal 28 3 2 3 3 3" xfId="8976"/>
    <cellStyle name="Normal 28 3 2 3 4" xfId="8977"/>
    <cellStyle name="Normal 28 3 2 3 5" xfId="8978"/>
    <cellStyle name="Normal 28 3 2 3 6" xfId="8979"/>
    <cellStyle name="Normal 28 3 2 3 7" xfId="8980"/>
    <cellStyle name="Normal 28 3 2 4" xfId="8981"/>
    <cellStyle name="Normal 28 3 2 4 2" xfId="8982"/>
    <cellStyle name="Normal 28 3 2 4 3" xfId="8983"/>
    <cellStyle name="Normal 28 3 2 5" xfId="8984"/>
    <cellStyle name="Normal 28 3 2 5 2" xfId="8985"/>
    <cellStyle name="Normal 28 3 2 5 3" xfId="8986"/>
    <cellStyle name="Normal 28 3 2 6" xfId="8987"/>
    <cellStyle name="Normal 28 3 2 7" xfId="8988"/>
    <cellStyle name="Normal 28 3 2 8" xfId="8989"/>
    <cellStyle name="Normal 28 3 2 9" xfId="8990"/>
    <cellStyle name="Normal 28 3 3" xfId="8991"/>
    <cellStyle name="Normal 28 3 3 2" xfId="8992"/>
    <cellStyle name="Normal 28 3 3 2 2" xfId="8993"/>
    <cellStyle name="Normal 28 3 3 2 2 2" xfId="8994"/>
    <cellStyle name="Normal 28 3 3 2 2 3" xfId="8995"/>
    <cellStyle name="Normal 28 3 3 2 3" xfId="8996"/>
    <cellStyle name="Normal 28 3 3 2 3 2" xfId="8997"/>
    <cellStyle name="Normal 28 3 3 2 3 3" xfId="8998"/>
    <cellStyle name="Normal 28 3 3 2 4" xfId="8999"/>
    <cellStyle name="Normal 28 3 3 2 5" xfId="9000"/>
    <cellStyle name="Normal 28 3 3 2 6" xfId="9001"/>
    <cellStyle name="Normal 28 3 3 2 7" xfId="9002"/>
    <cellStyle name="Normal 28 3 3 3" xfId="9003"/>
    <cellStyle name="Normal 28 3 3 3 2" xfId="9004"/>
    <cellStyle name="Normal 28 3 3 3 3" xfId="9005"/>
    <cellStyle name="Normal 28 3 3 4" xfId="9006"/>
    <cellStyle name="Normal 28 3 3 4 2" xfId="9007"/>
    <cellStyle name="Normal 28 3 3 4 3" xfId="9008"/>
    <cellStyle name="Normal 28 3 3 5" xfId="9009"/>
    <cellStyle name="Normal 28 3 3 6" xfId="9010"/>
    <cellStyle name="Normal 28 3 3 7" xfId="9011"/>
    <cellStyle name="Normal 28 3 3 8" xfId="9012"/>
    <cellStyle name="Normal 28 3 4" xfId="9013"/>
    <cellStyle name="Normal 28 3 4 2" xfId="9014"/>
    <cellStyle name="Normal 28 3 4 2 2" xfId="9015"/>
    <cellStyle name="Normal 28 3 4 2 2 2" xfId="9016"/>
    <cellStyle name="Normal 28 3 4 2 2 3" xfId="9017"/>
    <cellStyle name="Normal 28 3 4 2 3" xfId="9018"/>
    <cellStyle name="Normal 28 3 4 2 3 2" xfId="9019"/>
    <cellStyle name="Normal 28 3 4 2 3 3" xfId="9020"/>
    <cellStyle name="Normal 28 3 4 2 4" xfId="9021"/>
    <cellStyle name="Normal 28 3 4 2 5" xfId="9022"/>
    <cellStyle name="Normal 28 3 4 2 6" xfId="9023"/>
    <cellStyle name="Normal 28 3 4 2 7" xfId="9024"/>
    <cellStyle name="Normal 28 3 4 3" xfId="9025"/>
    <cellStyle name="Normal 28 3 4 3 2" xfId="9026"/>
    <cellStyle name="Normal 28 3 4 3 3" xfId="9027"/>
    <cellStyle name="Normal 28 3 4 4" xfId="9028"/>
    <cellStyle name="Normal 28 3 4 4 2" xfId="9029"/>
    <cellStyle name="Normal 28 3 4 4 3" xfId="9030"/>
    <cellStyle name="Normal 28 3 4 5" xfId="9031"/>
    <cellStyle name="Normal 28 3 4 6" xfId="9032"/>
    <cellStyle name="Normal 28 3 4 7" xfId="9033"/>
    <cellStyle name="Normal 28 3 4 8" xfId="9034"/>
    <cellStyle name="Normal 28 3 5" xfId="9035"/>
    <cellStyle name="Normal 28 3 5 2" xfId="9036"/>
    <cellStyle name="Normal 28 3 5 2 2" xfId="9037"/>
    <cellStyle name="Normal 28 3 5 2 3" xfId="9038"/>
    <cellStyle name="Normal 28 3 5 3" xfId="9039"/>
    <cellStyle name="Normal 28 3 5 3 2" xfId="9040"/>
    <cellStyle name="Normal 28 3 5 3 3" xfId="9041"/>
    <cellStyle name="Normal 28 3 5 4" xfId="9042"/>
    <cellStyle name="Normal 28 3 5 5" xfId="9043"/>
    <cellStyle name="Normal 28 3 5 6" xfId="9044"/>
    <cellStyle name="Normal 28 3 5 7" xfId="9045"/>
    <cellStyle name="Normal 28 3 6" xfId="9046"/>
    <cellStyle name="Normal 28 3 6 2" xfId="9047"/>
    <cellStyle name="Normal 28 3 6 3" xfId="9048"/>
    <cellStyle name="Normal 28 3 7" xfId="9049"/>
    <cellStyle name="Normal 28 3 7 2" xfId="9050"/>
    <cellStyle name="Normal 28 3 7 3" xfId="9051"/>
    <cellStyle name="Normal 28 3 8" xfId="9052"/>
    <cellStyle name="Normal 28 3 9" xfId="9053"/>
    <cellStyle name="Normal 28 4" xfId="9054"/>
    <cellStyle name="Normal 28 4 10" xfId="9055"/>
    <cellStyle name="Normal 28 4 11" xfId="9056"/>
    <cellStyle name="Normal 28 4 2" xfId="9057"/>
    <cellStyle name="Normal 28 4 2 2" xfId="9058"/>
    <cellStyle name="Normal 28 4 2 2 2" xfId="9059"/>
    <cellStyle name="Normal 28 4 2 2 2 2" xfId="9060"/>
    <cellStyle name="Normal 28 4 2 2 2 2 2" xfId="9061"/>
    <cellStyle name="Normal 28 4 2 2 2 2 3" xfId="9062"/>
    <cellStyle name="Normal 28 4 2 2 2 3" xfId="9063"/>
    <cellStyle name="Normal 28 4 2 2 2 3 2" xfId="9064"/>
    <cellStyle name="Normal 28 4 2 2 2 3 3" xfId="9065"/>
    <cellStyle name="Normal 28 4 2 2 2 4" xfId="9066"/>
    <cellStyle name="Normal 28 4 2 2 2 5" xfId="9067"/>
    <cellStyle name="Normal 28 4 2 2 2 6" xfId="9068"/>
    <cellStyle name="Normal 28 4 2 2 2 7" xfId="9069"/>
    <cellStyle name="Normal 28 4 2 2 3" xfId="9070"/>
    <cellStyle name="Normal 28 4 2 2 3 2" xfId="9071"/>
    <cellStyle name="Normal 28 4 2 2 3 3" xfId="9072"/>
    <cellStyle name="Normal 28 4 2 2 4" xfId="9073"/>
    <cellStyle name="Normal 28 4 2 2 4 2" xfId="9074"/>
    <cellStyle name="Normal 28 4 2 2 4 3" xfId="9075"/>
    <cellStyle name="Normal 28 4 2 2 5" xfId="9076"/>
    <cellStyle name="Normal 28 4 2 2 6" xfId="9077"/>
    <cellStyle name="Normal 28 4 2 2 7" xfId="9078"/>
    <cellStyle name="Normal 28 4 2 2 8" xfId="9079"/>
    <cellStyle name="Normal 28 4 2 3" xfId="9080"/>
    <cellStyle name="Normal 28 4 2 3 2" xfId="9081"/>
    <cellStyle name="Normal 28 4 2 3 2 2" xfId="9082"/>
    <cellStyle name="Normal 28 4 2 3 2 3" xfId="9083"/>
    <cellStyle name="Normal 28 4 2 3 3" xfId="9084"/>
    <cellStyle name="Normal 28 4 2 3 3 2" xfId="9085"/>
    <cellStyle name="Normal 28 4 2 3 3 3" xfId="9086"/>
    <cellStyle name="Normal 28 4 2 3 4" xfId="9087"/>
    <cellStyle name="Normal 28 4 2 3 5" xfId="9088"/>
    <cellStyle name="Normal 28 4 2 3 6" xfId="9089"/>
    <cellStyle name="Normal 28 4 2 3 7" xfId="9090"/>
    <cellStyle name="Normal 28 4 2 4" xfId="9091"/>
    <cellStyle name="Normal 28 4 2 4 2" xfId="9092"/>
    <cellStyle name="Normal 28 4 2 4 3" xfId="9093"/>
    <cellStyle name="Normal 28 4 2 5" xfId="9094"/>
    <cellStyle name="Normal 28 4 2 5 2" xfId="9095"/>
    <cellStyle name="Normal 28 4 2 5 3" xfId="9096"/>
    <cellStyle name="Normal 28 4 2 6" xfId="9097"/>
    <cellStyle name="Normal 28 4 2 7" xfId="9098"/>
    <cellStyle name="Normal 28 4 2 8" xfId="9099"/>
    <cellStyle name="Normal 28 4 2 9" xfId="9100"/>
    <cellStyle name="Normal 28 4 3" xfId="9101"/>
    <cellStyle name="Normal 28 4 3 2" xfId="9102"/>
    <cellStyle name="Normal 28 4 3 2 2" xfId="9103"/>
    <cellStyle name="Normal 28 4 3 2 2 2" xfId="9104"/>
    <cellStyle name="Normal 28 4 3 2 2 3" xfId="9105"/>
    <cellStyle name="Normal 28 4 3 2 3" xfId="9106"/>
    <cellStyle name="Normal 28 4 3 2 3 2" xfId="9107"/>
    <cellStyle name="Normal 28 4 3 2 3 3" xfId="9108"/>
    <cellStyle name="Normal 28 4 3 2 4" xfId="9109"/>
    <cellStyle name="Normal 28 4 3 2 5" xfId="9110"/>
    <cellStyle name="Normal 28 4 3 2 6" xfId="9111"/>
    <cellStyle name="Normal 28 4 3 2 7" xfId="9112"/>
    <cellStyle name="Normal 28 4 3 3" xfId="9113"/>
    <cellStyle name="Normal 28 4 3 3 2" xfId="9114"/>
    <cellStyle name="Normal 28 4 3 3 3" xfId="9115"/>
    <cellStyle name="Normal 28 4 3 4" xfId="9116"/>
    <cellStyle name="Normal 28 4 3 4 2" xfId="9117"/>
    <cellStyle name="Normal 28 4 3 4 3" xfId="9118"/>
    <cellStyle name="Normal 28 4 3 5" xfId="9119"/>
    <cellStyle name="Normal 28 4 3 6" xfId="9120"/>
    <cellStyle name="Normal 28 4 3 7" xfId="9121"/>
    <cellStyle name="Normal 28 4 3 8" xfId="9122"/>
    <cellStyle name="Normal 28 4 4" xfId="9123"/>
    <cellStyle name="Normal 28 4 4 2" xfId="9124"/>
    <cellStyle name="Normal 28 4 4 2 2" xfId="9125"/>
    <cellStyle name="Normal 28 4 4 2 2 2" xfId="9126"/>
    <cellStyle name="Normal 28 4 4 2 2 3" xfId="9127"/>
    <cellStyle name="Normal 28 4 4 2 3" xfId="9128"/>
    <cellStyle name="Normal 28 4 4 2 3 2" xfId="9129"/>
    <cellStyle name="Normal 28 4 4 2 3 3" xfId="9130"/>
    <cellStyle name="Normal 28 4 4 2 4" xfId="9131"/>
    <cellStyle name="Normal 28 4 4 2 5" xfId="9132"/>
    <cellStyle name="Normal 28 4 4 2 6" xfId="9133"/>
    <cellStyle name="Normal 28 4 4 2 7" xfId="9134"/>
    <cellStyle name="Normal 28 4 4 3" xfId="9135"/>
    <cellStyle name="Normal 28 4 4 3 2" xfId="9136"/>
    <cellStyle name="Normal 28 4 4 3 3" xfId="9137"/>
    <cellStyle name="Normal 28 4 4 4" xfId="9138"/>
    <cellStyle name="Normal 28 4 4 4 2" xfId="9139"/>
    <cellStyle name="Normal 28 4 4 4 3" xfId="9140"/>
    <cellStyle name="Normal 28 4 4 5" xfId="9141"/>
    <cellStyle name="Normal 28 4 4 6" xfId="9142"/>
    <cellStyle name="Normal 28 4 4 7" xfId="9143"/>
    <cellStyle name="Normal 28 4 4 8" xfId="9144"/>
    <cellStyle name="Normal 28 4 5" xfId="9145"/>
    <cellStyle name="Normal 28 4 5 2" xfId="9146"/>
    <cellStyle name="Normal 28 4 5 2 2" xfId="9147"/>
    <cellStyle name="Normal 28 4 5 2 3" xfId="9148"/>
    <cellStyle name="Normal 28 4 5 3" xfId="9149"/>
    <cellStyle name="Normal 28 4 5 3 2" xfId="9150"/>
    <cellStyle name="Normal 28 4 5 3 3" xfId="9151"/>
    <cellStyle name="Normal 28 4 5 4" xfId="9152"/>
    <cellStyle name="Normal 28 4 5 5" xfId="9153"/>
    <cellStyle name="Normal 28 4 5 6" xfId="9154"/>
    <cellStyle name="Normal 28 4 5 7" xfId="9155"/>
    <cellStyle name="Normal 28 4 6" xfId="9156"/>
    <cellStyle name="Normal 28 4 6 2" xfId="9157"/>
    <cellStyle name="Normal 28 4 6 3" xfId="9158"/>
    <cellStyle name="Normal 28 4 7" xfId="9159"/>
    <cellStyle name="Normal 28 4 7 2" xfId="9160"/>
    <cellStyle name="Normal 28 4 7 3" xfId="9161"/>
    <cellStyle name="Normal 28 4 8" xfId="9162"/>
    <cellStyle name="Normal 28 4 9" xfId="9163"/>
    <cellStyle name="Normal 28 5" xfId="9164"/>
    <cellStyle name="Normal 28 5 10" xfId="9165"/>
    <cellStyle name="Normal 28 5 11" xfId="9166"/>
    <cellStyle name="Normal 28 5 2" xfId="9167"/>
    <cellStyle name="Normal 28 5 2 2" xfId="9168"/>
    <cellStyle name="Normal 28 5 2 2 2" xfId="9169"/>
    <cellStyle name="Normal 28 5 2 2 2 2" xfId="9170"/>
    <cellStyle name="Normal 28 5 2 2 2 2 2" xfId="9171"/>
    <cellStyle name="Normal 28 5 2 2 2 2 3" xfId="9172"/>
    <cellStyle name="Normal 28 5 2 2 2 3" xfId="9173"/>
    <cellStyle name="Normal 28 5 2 2 2 3 2" xfId="9174"/>
    <cellStyle name="Normal 28 5 2 2 2 3 3" xfId="9175"/>
    <cellStyle name="Normal 28 5 2 2 2 4" xfId="9176"/>
    <cellStyle name="Normal 28 5 2 2 2 5" xfId="9177"/>
    <cellStyle name="Normal 28 5 2 2 2 6" xfId="9178"/>
    <cellStyle name="Normal 28 5 2 2 2 7" xfId="9179"/>
    <cellStyle name="Normal 28 5 2 2 3" xfId="9180"/>
    <cellStyle name="Normal 28 5 2 2 3 2" xfId="9181"/>
    <cellStyle name="Normal 28 5 2 2 3 3" xfId="9182"/>
    <cellStyle name="Normal 28 5 2 2 4" xfId="9183"/>
    <cellStyle name="Normal 28 5 2 2 4 2" xfId="9184"/>
    <cellStyle name="Normal 28 5 2 2 4 3" xfId="9185"/>
    <cellStyle name="Normal 28 5 2 2 5" xfId="9186"/>
    <cellStyle name="Normal 28 5 2 2 6" xfId="9187"/>
    <cellStyle name="Normal 28 5 2 2 7" xfId="9188"/>
    <cellStyle name="Normal 28 5 2 2 8" xfId="9189"/>
    <cellStyle name="Normal 28 5 2 3" xfId="9190"/>
    <cellStyle name="Normal 28 5 2 3 2" xfId="9191"/>
    <cellStyle name="Normal 28 5 2 3 2 2" xfId="9192"/>
    <cellStyle name="Normal 28 5 2 3 2 3" xfId="9193"/>
    <cellStyle name="Normal 28 5 2 3 3" xfId="9194"/>
    <cellStyle name="Normal 28 5 2 3 3 2" xfId="9195"/>
    <cellStyle name="Normal 28 5 2 3 3 3" xfId="9196"/>
    <cellStyle name="Normal 28 5 2 3 4" xfId="9197"/>
    <cellStyle name="Normal 28 5 2 3 5" xfId="9198"/>
    <cellStyle name="Normal 28 5 2 3 6" xfId="9199"/>
    <cellStyle name="Normal 28 5 2 3 7" xfId="9200"/>
    <cellStyle name="Normal 28 5 2 4" xfId="9201"/>
    <cellStyle name="Normal 28 5 2 4 2" xfId="9202"/>
    <cellStyle name="Normal 28 5 2 4 3" xfId="9203"/>
    <cellStyle name="Normal 28 5 2 5" xfId="9204"/>
    <cellStyle name="Normal 28 5 2 5 2" xfId="9205"/>
    <cellStyle name="Normal 28 5 2 5 3" xfId="9206"/>
    <cellStyle name="Normal 28 5 2 6" xfId="9207"/>
    <cellStyle name="Normal 28 5 2 7" xfId="9208"/>
    <cellStyle name="Normal 28 5 2 8" xfId="9209"/>
    <cellStyle name="Normal 28 5 2 9" xfId="9210"/>
    <cellStyle name="Normal 28 5 3" xfId="9211"/>
    <cellStyle name="Normal 28 5 3 2" xfId="9212"/>
    <cellStyle name="Normal 28 5 3 2 2" xfId="9213"/>
    <cellStyle name="Normal 28 5 3 2 2 2" xfId="9214"/>
    <cellStyle name="Normal 28 5 3 2 2 3" xfId="9215"/>
    <cellStyle name="Normal 28 5 3 2 3" xfId="9216"/>
    <cellStyle name="Normal 28 5 3 2 3 2" xfId="9217"/>
    <cellStyle name="Normal 28 5 3 2 3 3" xfId="9218"/>
    <cellStyle name="Normal 28 5 3 2 4" xfId="9219"/>
    <cellStyle name="Normal 28 5 3 2 5" xfId="9220"/>
    <cellStyle name="Normal 28 5 3 2 6" xfId="9221"/>
    <cellStyle name="Normal 28 5 3 2 7" xfId="9222"/>
    <cellStyle name="Normal 28 5 3 3" xfId="9223"/>
    <cellStyle name="Normal 28 5 3 3 2" xfId="9224"/>
    <cellStyle name="Normal 28 5 3 3 3" xfId="9225"/>
    <cellStyle name="Normal 28 5 3 4" xfId="9226"/>
    <cellStyle name="Normal 28 5 3 4 2" xfId="9227"/>
    <cellStyle name="Normal 28 5 3 4 3" xfId="9228"/>
    <cellStyle name="Normal 28 5 3 5" xfId="9229"/>
    <cellStyle name="Normal 28 5 3 6" xfId="9230"/>
    <cellStyle name="Normal 28 5 3 7" xfId="9231"/>
    <cellStyle name="Normal 28 5 3 8" xfId="9232"/>
    <cellStyle name="Normal 28 5 4" xfId="9233"/>
    <cellStyle name="Normal 28 5 4 2" xfId="9234"/>
    <cellStyle name="Normal 28 5 4 2 2" xfId="9235"/>
    <cellStyle name="Normal 28 5 4 2 2 2" xfId="9236"/>
    <cellStyle name="Normal 28 5 4 2 2 3" xfId="9237"/>
    <cellStyle name="Normal 28 5 4 2 3" xfId="9238"/>
    <cellStyle name="Normal 28 5 4 2 3 2" xfId="9239"/>
    <cellStyle name="Normal 28 5 4 2 3 3" xfId="9240"/>
    <cellStyle name="Normal 28 5 4 2 4" xfId="9241"/>
    <cellStyle name="Normal 28 5 4 2 5" xfId="9242"/>
    <cellStyle name="Normal 28 5 4 2 6" xfId="9243"/>
    <cellStyle name="Normal 28 5 4 2 7" xfId="9244"/>
    <cellStyle name="Normal 28 5 4 3" xfId="9245"/>
    <cellStyle name="Normal 28 5 4 3 2" xfId="9246"/>
    <cellStyle name="Normal 28 5 4 3 3" xfId="9247"/>
    <cellStyle name="Normal 28 5 4 4" xfId="9248"/>
    <cellStyle name="Normal 28 5 4 4 2" xfId="9249"/>
    <cellStyle name="Normal 28 5 4 4 3" xfId="9250"/>
    <cellStyle name="Normal 28 5 4 5" xfId="9251"/>
    <cellStyle name="Normal 28 5 4 6" xfId="9252"/>
    <cellStyle name="Normal 28 5 4 7" xfId="9253"/>
    <cellStyle name="Normal 28 5 4 8" xfId="9254"/>
    <cellStyle name="Normal 28 5 5" xfId="9255"/>
    <cellStyle name="Normal 28 5 5 2" xfId="9256"/>
    <cellStyle name="Normal 28 5 5 2 2" xfId="9257"/>
    <cellStyle name="Normal 28 5 5 2 3" xfId="9258"/>
    <cellStyle name="Normal 28 5 5 3" xfId="9259"/>
    <cellStyle name="Normal 28 5 5 3 2" xfId="9260"/>
    <cellStyle name="Normal 28 5 5 3 3" xfId="9261"/>
    <cellStyle name="Normal 28 5 5 4" xfId="9262"/>
    <cellStyle name="Normal 28 5 5 5" xfId="9263"/>
    <cellStyle name="Normal 28 5 5 6" xfId="9264"/>
    <cellStyle name="Normal 28 5 5 7" xfId="9265"/>
    <cellStyle name="Normal 28 5 6" xfId="9266"/>
    <cellStyle name="Normal 28 5 6 2" xfId="9267"/>
    <cellStyle name="Normal 28 5 6 3" xfId="9268"/>
    <cellStyle name="Normal 28 5 7" xfId="9269"/>
    <cellStyle name="Normal 28 5 7 2" xfId="9270"/>
    <cellStyle name="Normal 28 5 7 3" xfId="9271"/>
    <cellStyle name="Normal 28 5 8" xfId="9272"/>
    <cellStyle name="Normal 28 5 9" xfId="9273"/>
    <cellStyle name="Normal 28 6" xfId="9274"/>
    <cellStyle name="Normal 28 6 10" xfId="9275"/>
    <cellStyle name="Normal 28 6 11" xfId="9276"/>
    <cellStyle name="Normal 28 6 2" xfId="9277"/>
    <cellStyle name="Normal 28 6 2 2" xfId="9278"/>
    <cellStyle name="Normal 28 6 2 2 2" xfId="9279"/>
    <cellStyle name="Normal 28 6 2 2 2 2" xfId="9280"/>
    <cellStyle name="Normal 28 6 2 2 2 2 2" xfId="9281"/>
    <cellStyle name="Normal 28 6 2 2 2 2 3" xfId="9282"/>
    <cellStyle name="Normal 28 6 2 2 2 3" xfId="9283"/>
    <cellStyle name="Normal 28 6 2 2 2 3 2" xfId="9284"/>
    <cellStyle name="Normal 28 6 2 2 2 3 3" xfId="9285"/>
    <cellStyle name="Normal 28 6 2 2 2 4" xfId="9286"/>
    <cellStyle name="Normal 28 6 2 2 2 5" xfId="9287"/>
    <cellStyle name="Normal 28 6 2 2 2 6" xfId="9288"/>
    <cellStyle name="Normal 28 6 2 2 2 7" xfId="9289"/>
    <cellStyle name="Normal 28 6 2 2 3" xfId="9290"/>
    <cellStyle name="Normal 28 6 2 2 3 2" xfId="9291"/>
    <cellStyle name="Normal 28 6 2 2 3 3" xfId="9292"/>
    <cellStyle name="Normal 28 6 2 2 4" xfId="9293"/>
    <cellStyle name="Normal 28 6 2 2 4 2" xfId="9294"/>
    <cellStyle name="Normal 28 6 2 2 4 3" xfId="9295"/>
    <cellStyle name="Normal 28 6 2 2 5" xfId="9296"/>
    <cellStyle name="Normal 28 6 2 2 6" xfId="9297"/>
    <cellStyle name="Normal 28 6 2 2 7" xfId="9298"/>
    <cellStyle name="Normal 28 6 2 2 8" xfId="9299"/>
    <cellStyle name="Normal 28 6 2 3" xfId="9300"/>
    <cellStyle name="Normal 28 6 2 3 2" xfId="9301"/>
    <cellStyle name="Normal 28 6 2 3 2 2" xfId="9302"/>
    <cellStyle name="Normal 28 6 2 3 2 3" xfId="9303"/>
    <cellStyle name="Normal 28 6 2 3 3" xfId="9304"/>
    <cellStyle name="Normal 28 6 2 3 3 2" xfId="9305"/>
    <cellStyle name="Normal 28 6 2 3 3 3" xfId="9306"/>
    <cellStyle name="Normal 28 6 2 3 4" xfId="9307"/>
    <cellStyle name="Normal 28 6 2 3 5" xfId="9308"/>
    <cellStyle name="Normal 28 6 2 3 6" xfId="9309"/>
    <cellStyle name="Normal 28 6 2 3 7" xfId="9310"/>
    <cellStyle name="Normal 28 6 2 4" xfId="9311"/>
    <cellStyle name="Normal 28 6 2 4 2" xfId="9312"/>
    <cellStyle name="Normal 28 6 2 4 3" xfId="9313"/>
    <cellStyle name="Normal 28 6 2 5" xfId="9314"/>
    <cellStyle name="Normal 28 6 2 5 2" xfId="9315"/>
    <cellStyle name="Normal 28 6 2 5 3" xfId="9316"/>
    <cellStyle name="Normal 28 6 2 6" xfId="9317"/>
    <cellStyle name="Normal 28 6 2 7" xfId="9318"/>
    <cellStyle name="Normal 28 6 2 8" xfId="9319"/>
    <cellStyle name="Normal 28 6 2 9" xfId="9320"/>
    <cellStyle name="Normal 28 6 3" xfId="9321"/>
    <cellStyle name="Normal 28 6 3 2" xfId="9322"/>
    <cellStyle name="Normal 28 6 3 2 2" xfId="9323"/>
    <cellStyle name="Normal 28 6 3 2 2 2" xfId="9324"/>
    <cellStyle name="Normal 28 6 3 2 2 3" xfId="9325"/>
    <cellStyle name="Normal 28 6 3 2 3" xfId="9326"/>
    <cellStyle name="Normal 28 6 3 2 3 2" xfId="9327"/>
    <cellStyle name="Normal 28 6 3 2 3 3" xfId="9328"/>
    <cellStyle name="Normal 28 6 3 2 4" xfId="9329"/>
    <cellStyle name="Normal 28 6 3 2 5" xfId="9330"/>
    <cellStyle name="Normal 28 6 3 2 6" xfId="9331"/>
    <cellStyle name="Normal 28 6 3 2 7" xfId="9332"/>
    <cellStyle name="Normal 28 6 3 3" xfId="9333"/>
    <cellStyle name="Normal 28 6 3 3 2" xfId="9334"/>
    <cellStyle name="Normal 28 6 3 3 3" xfId="9335"/>
    <cellStyle name="Normal 28 6 3 4" xfId="9336"/>
    <cellStyle name="Normal 28 6 3 4 2" xfId="9337"/>
    <cellStyle name="Normal 28 6 3 4 3" xfId="9338"/>
    <cellStyle name="Normal 28 6 3 5" xfId="9339"/>
    <cellStyle name="Normal 28 6 3 6" xfId="9340"/>
    <cellStyle name="Normal 28 6 3 7" xfId="9341"/>
    <cellStyle name="Normal 28 6 3 8" xfId="9342"/>
    <cellStyle name="Normal 28 6 4" xfId="9343"/>
    <cellStyle name="Normal 28 6 4 2" xfId="9344"/>
    <cellStyle name="Normal 28 6 4 2 2" xfId="9345"/>
    <cellStyle name="Normal 28 6 4 2 2 2" xfId="9346"/>
    <cellStyle name="Normal 28 6 4 2 2 3" xfId="9347"/>
    <cellStyle name="Normal 28 6 4 2 3" xfId="9348"/>
    <cellStyle name="Normal 28 6 4 2 3 2" xfId="9349"/>
    <cellStyle name="Normal 28 6 4 2 3 3" xfId="9350"/>
    <cellStyle name="Normal 28 6 4 2 4" xfId="9351"/>
    <cellStyle name="Normal 28 6 4 2 5" xfId="9352"/>
    <cellStyle name="Normal 28 6 4 2 6" xfId="9353"/>
    <cellStyle name="Normal 28 6 4 2 7" xfId="9354"/>
    <cellStyle name="Normal 28 6 4 3" xfId="9355"/>
    <cellStyle name="Normal 28 6 4 3 2" xfId="9356"/>
    <cellStyle name="Normal 28 6 4 3 3" xfId="9357"/>
    <cellStyle name="Normal 28 6 4 4" xfId="9358"/>
    <cellStyle name="Normal 28 6 4 4 2" xfId="9359"/>
    <cellStyle name="Normal 28 6 4 4 3" xfId="9360"/>
    <cellStyle name="Normal 28 6 4 5" xfId="9361"/>
    <cellStyle name="Normal 28 6 4 6" xfId="9362"/>
    <cellStyle name="Normal 28 6 4 7" xfId="9363"/>
    <cellStyle name="Normal 28 6 4 8" xfId="9364"/>
    <cellStyle name="Normal 28 6 5" xfId="9365"/>
    <cellStyle name="Normal 28 6 5 2" xfId="9366"/>
    <cellStyle name="Normal 28 6 5 2 2" xfId="9367"/>
    <cellStyle name="Normal 28 6 5 2 3" xfId="9368"/>
    <cellStyle name="Normal 28 6 5 3" xfId="9369"/>
    <cellStyle name="Normal 28 6 5 3 2" xfId="9370"/>
    <cellStyle name="Normal 28 6 5 3 3" xfId="9371"/>
    <cellStyle name="Normal 28 6 5 4" xfId="9372"/>
    <cellStyle name="Normal 28 6 5 5" xfId="9373"/>
    <cellStyle name="Normal 28 6 5 6" xfId="9374"/>
    <cellStyle name="Normal 28 6 5 7" xfId="9375"/>
    <cellStyle name="Normal 28 6 6" xfId="9376"/>
    <cellStyle name="Normal 28 6 6 2" xfId="9377"/>
    <cellStyle name="Normal 28 6 6 3" xfId="9378"/>
    <cellStyle name="Normal 28 6 7" xfId="9379"/>
    <cellStyle name="Normal 28 6 7 2" xfId="9380"/>
    <cellStyle name="Normal 28 6 7 3" xfId="9381"/>
    <cellStyle name="Normal 28 6 8" xfId="9382"/>
    <cellStyle name="Normal 28 6 9" xfId="9383"/>
    <cellStyle name="Normal 28 7" xfId="9384"/>
    <cellStyle name="Normal 28 7 2" xfId="9385"/>
    <cellStyle name="Normal 28 7 2 2" xfId="9386"/>
    <cellStyle name="Normal 28 7 2 2 2" xfId="9387"/>
    <cellStyle name="Normal 28 7 2 2 2 2" xfId="9388"/>
    <cellStyle name="Normal 28 7 2 2 2 3" xfId="9389"/>
    <cellStyle name="Normal 28 7 2 2 3" xfId="9390"/>
    <cellStyle name="Normal 28 7 2 2 3 2" xfId="9391"/>
    <cellStyle name="Normal 28 7 2 2 3 3" xfId="9392"/>
    <cellStyle name="Normal 28 7 2 2 4" xfId="9393"/>
    <cellStyle name="Normal 28 7 2 2 5" xfId="9394"/>
    <cellStyle name="Normal 28 7 2 2 6" xfId="9395"/>
    <cellStyle name="Normal 28 7 2 2 7" xfId="9396"/>
    <cellStyle name="Normal 28 7 2 3" xfId="9397"/>
    <cellStyle name="Normal 28 7 2 3 2" xfId="9398"/>
    <cellStyle name="Normal 28 7 2 3 3" xfId="9399"/>
    <cellStyle name="Normal 28 7 2 4" xfId="9400"/>
    <cellStyle name="Normal 28 7 2 4 2" xfId="9401"/>
    <cellStyle name="Normal 28 7 2 4 3" xfId="9402"/>
    <cellStyle name="Normal 28 7 2 5" xfId="9403"/>
    <cellStyle name="Normal 28 7 2 6" xfId="9404"/>
    <cellStyle name="Normal 28 7 2 7" xfId="9405"/>
    <cellStyle name="Normal 28 7 2 8" xfId="9406"/>
    <cellStyle name="Normal 28 7 3" xfId="9407"/>
    <cellStyle name="Normal 28 7 3 2" xfId="9408"/>
    <cellStyle name="Normal 28 7 3 2 2" xfId="9409"/>
    <cellStyle name="Normal 28 7 3 2 3" xfId="9410"/>
    <cellStyle name="Normal 28 7 3 3" xfId="9411"/>
    <cellStyle name="Normal 28 7 3 3 2" xfId="9412"/>
    <cellStyle name="Normal 28 7 3 3 3" xfId="9413"/>
    <cellStyle name="Normal 28 7 3 4" xfId="9414"/>
    <cellStyle name="Normal 28 7 3 5" xfId="9415"/>
    <cellStyle name="Normal 28 7 3 6" xfId="9416"/>
    <cellStyle name="Normal 28 7 3 7" xfId="9417"/>
    <cellStyle name="Normal 28 7 4" xfId="9418"/>
    <cellStyle name="Normal 28 7 4 2" xfId="9419"/>
    <cellStyle name="Normal 28 7 4 3" xfId="9420"/>
    <cellStyle name="Normal 28 7 5" xfId="9421"/>
    <cellStyle name="Normal 28 7 5 2" xfId="9422"/>
    <cellStyle name="Normal 28 7 5 3" xfId="9423"/>
    <cellStyle name="Normal 28 7 6" xfId="9424"/>
    <cellStyle name="Normal 28 7 7" xfId="9425"/>
    <cellStyle name="Normal 28 7 8" xfId="9426"/>
    <cellStyle name="Normal 28 7 9" xfId="9427"/>
    <cellStyle name="Normal 28 8" xfId="9428"/>
    <cellStyle name="Normal 28 8 2" xfId="9429"/>
    <cellStyle name="Normal 28 8 2 2" xfId="9430"/>
    <cellStyle name="Normal 28 8 2 2 2" xfId="9431"/>
    <cellStyle name="Normal 28 8 2 2 3" xfId="9432"/>
    <cellStyle name="Normal 28 8 2 3" xfId="9433"/>
    <cellStyle name="Normal 28 8 2 3 2" xfId="9434"/>
    <cellStyle name="Normal 28 8 2 3 3" xfId="9435"/>
    <cellStyle name="Normal 28 8 2 4" xfId="9436"/>
    <cellStyle name="Normal 28 8 2 5" xfId="9437"/>
    <cellStyle name="Normal 28 8 2 6" xfId="9438"/>
    <cellStyle name="Normal 28 8 2 7" xfId="9439"/>
    <cellStyle name="Normal 28 8 3" xfId="9440"/>
    <cellStyle name="Normal 28 8 3 2" xfId="9441"/>
    <cellStyle name="Normal 28 8 3 3" xfId="9442"/>
    <cellStyle name="Normal 28 8 4" xfId="9443"/>
    <cellStyle name="Normal 28 8 4 2" xfId="9444"/>
    <cellStyle name="Normal 28 8 4 3" xfId="9445"/>
    <cellStyle name="Normal 28 8 5" xfId="9446"/>
    <cellStyle name="Normal 28 8 6" xfId="9447"/>
    <cellStyle name="Normal 28 8 7" xfId="9448"/>
    <cellStyle name="Normal 28 8 8" xfId="9449"/>
    <cellStyle name="Normal 28 9" xfId="9450"/>
    <cellStyle name="Normal 28 9 2" xfId="9451"/>
    <cellStyle name="Normal 28 9 2 2" xfId="9452"/>
    <cellStyle name="Normal 28 9 2 2 2" xfId="9453"/>
    <cellStyle name="Normal 28 9 2 2 3" xfId="9454"/>
    <cellStyle name="Normal 28 9 2 3" xfId="9455"/>
    <cellStyle name="Normal 28 9 2 3 2" xfId="9456"/>
    <cellStyle name="Normal 28 9 2 3 3" xfId="9457"/>
    <cellStyle name="Normal 28 9 2 4" xfId="9458"/>
    <cellStyle name="Normal 28 9 2 5" xfId="9459"/>
    <cellStyle name="Normal 28 9 2 6" xfId="9460"/>
    <cellStyle name="Normal 28 9 2 7" xfId="9461"/>
    <cellStyle name="Normal 28 9 3" xfId="9462"/>
    <cellStyle name="Normal 28 9 3 2" xfId="9463"/>
    <cellStyle name="Normal 28 9 3 3" xfId="9464"/>
    <cellStyle name="Normal 28 9 4" xfId="9465"/>
    <cellStyle name="Normal 28 9 4 2" xfId="9466"/>
    <cellStyle name="Normal 28 9 4 3" xfId="9467"/>
    <cellStyle name="Normal 28 9 5" xfId="9468"/>
    <cellStyle name="Normal 28 9 6" xfId="9469"/>
    <cellStyle name="Normal 28 9 7" xfId="9470"/>
    <cellStyle name="Normal 28 9 8" xfId="9471"/>
    <cellStyle name="Normal 29" xfId="9472"/>
    <cellStyle name="Normal 29 10" xfId="9473"/>
    <cellStyle name="Normal 29 10 2" xfId="9474"/>
    <cellStyle name="Normal 29 10 2 2" xfId="9475"/>
    <cellStyle name="Normal 29 10 2 3" xfId="9476"/>
    <cellStyle name="Normal 29 10 3" xfId="9477"/>
    <cellStyle name="Normal 29 10 3 2" xfId="9478"/>
    <cellStyle name="Normal 29 10 3 3" xfId="9479"/>
    <cellStyle name="Normal 29 10 4" xfId="9480"/>
    <cellStyle name="Normal 29 10 5" xfId="9481"/>
    <cellStyle name="Normal 29 10 6" xfId="9482"/>
    <cellStyle name="Normal 29 10 7" xfId="9483"/>
    <cellStyle name="Normal 29 11" xfId="9484"/>
    <cellStyle name="Normal 29 11 2" xfId="9485"/>
    <cellStyle name="Normal 29 11 3" xfId="9486"/>
    <cellStyle name="Normal 29 12" xfId="9487"/>
    <cellStyle name="Normal 29 12 2" xfId="9488"/>
    <cellStyle name="Normal 29 12 3" xfId="9489"/>
    <cellStyle name="Normal 29 13" xfId="9490"/>
    <cellStyle name="Normal 29 13 2" xfId="9491"/>
    <cellStyle name="Normal 29 13 3" xfId="9492"/>
    <cellStyle name="Normal 29 14" xfId="9493"/>
    <cellStyle name="Normal 29 15" xfId="9494"/>
    <cellStyle name="Normal 29 16" xfId="9495"/>
    <cellStyle name="Normal 29 2" xfId="9496"/>
    <cellStyle name="Normal 29 2 10" xfId="9497"/>
    <cellStyle name="Normal 29 2 10 2" xfId="9498"/>
    <cellStyle name="Normal 29 2 10 3" xfId="9499"/>
    <cellStyle name="Normal 29 2 11" xfId="9500"/>
    <cellStyle name="Normal 29 2 12" xfId="9501"/>
    <cellStyle name="Normal 29 2 13" xfId="9502"/>
    <cellStyle name="Normal 29 2 14" xfId="9503"/>
    <cellStyle name="Normal 29 2 2" xfId="9504"/>
    <cellStyle name="Normal 29 2 2 10" xfId="9505"/>
    <cellStyle name="Normal 29 2 2 11" xfId="9506"/>
    <cellStyle name="Normal 29 2 2 2" xfId="9507"/>
    <cellStyle name="Normal 29 2 2 2 2" xfId="9508"/>
    <cellStyle name="Normal 29 2 2 2 2 2" xfId="9509"/>
    <cellStyle name="Normal 29 2 2 2 2 2 2" xfId="9510"/>
    <cellStyle name="Normal 29 2 2 2 2 2 2 2" xfId="9511"/>
    <cellStyle name="Normal 29 2 2 2 2 2 2 3" xfId="9512"/>
    <cellStyle name="Normal 29 2 2 2 2 2 3" xfId="9513"/>
    <cellStyle name="Normal 29 2 2 2 2 2 3 2" xfId="9514"/>
    <cellStyle name="Normal 29 2 2 2 2 2 3 3" xfId="9515"/>
    <cellStyle name="Normal 29 2 2 2 2 2 4" xfId="9516"/>
    <cellStyle name="Normal 29 2 2 2 2 2 5" xfId="9517"/>
    <cellStyle name="Normal 29 2 2 2 2 2 6" xfId="9518"/>
    <cellStyle name="Normal 29 2 2 2 2 2 7" xfId="9519"/>
    <cellStyle name="Normal 29 2 2 2 2 3" xfId="9520"/>
    <cellStyle name="Normal 29 2 2 2 2 3 2" xfId="9521"/>
    <cellStyle name="Normal 29 2 2 2 2 3 3" xfId="9522"/>
    <cellStyle name="Normal 29 2 2 2 2 4" xfId="9523"/>
    <cellStyle name="Normal 29 2 2 2 2 4 2" xfId="9524"/>
    <cellStyle name="Normal 29 2 2 2 2 4 3" xfId="9525"/>
    <cellStyle name="Normal 29 2 2 2 2 5" xfId="9526"/>
    <cellStyle name="Normal 29 2 2 2 2 6" xfId="9527"/>
    <cellStyle name="Normal 29 2 2 2 2 7" xfId="9528"/>
    <cellStyle name="Normal 29 2 2 2 2 8" xfId="9529"/>
    <cellStyle name="Normal 29 2 2 2 3" xfId="9530"/>
    <cellStyle name="Normal 29 2 2 2 3 2" xfId="9531"/>
    <cellStyle name="Normal 29 2 2 2 3 2 2" xfId="9532"/>
    <cellStyle name="Normal 29 2 2 2 3 2 3" xfId="9533"/>
    <cellStyle name="Normal 29 2 2 2 3 3" xfId="9534"/>
    <cellStyle name="Normal 29 2 2 2 3 3 2" xfId="9535"/>
    <cellStyle name="Normal 29 2 2 2 3 3 3" xfId="9536"/>
    <cellStyle name="Normal 29 2 2 2 3 4" xfId="9537"/>
    <cellStyle name="Normal 29 2 2 2 3 5" xfId="9538"/>
    <cellStyle name="Normal 29 2 2 2 3 6" xfId="9539"/>
    <cellStyle name="Normal 29 2 2 2 3 7" xfId="9540"/>
    <cellStyle name="Normal 29 2 2 2 4" xfId="9541"/>
    <cellStyle name="Normal 29 2 2 2 4 2" xfId="9542"/>
    <cellStyle name="Normal 29 2 2 2 4 3" xfId="9543"/>
    <cellStyle name="Normal 29 2 2 2 5" xfId="9544"/>
    <cellStyle name="Normal 29 2 2 2 5 2" xfId="9545"/>
    <cellStyle name="Normal 29 2 2 2 5 3" xfId="9546"/>
    <cellStyle name="Normal 29 2 2 2 6" xfId="9547"/>
    <cellStyle name="Normal 29 2 2 2 7" xfId="9548"/>
    <cellStyle name="Normal 29 2 2 2 8" xfId="9549"/>
    <cellStyle name="Normal 29 2 2 2 9" xfId="9550"/>
    <cellStyle name="Normal 29 2 2 3" xfId="9551"/>
    <cellStyle name="Normal 29 2 2 3 2" xfId="9552"/>
    <cellStyle name="Normal 29 2 2 3 2 2" xfId="9553"/>
    <cellStyle name="Normal 29 2 2 3 2 2 2" xfId="9554"/>
    <cellStyle name="Normal 29 2 2 3 2 2 3" xfId="9555"/>
    <cellStyle name="Normal 29 2 2 3 2 3" xfId="9556"/>
    <cellStyle name="Normal 29 2 2 3 2 3 2" xfId="9557"/>
    <cellStyle name="Normal 29 2 2 3 2 3 3" xfId="9558"/>
    <cellStyle name="Normal 29 2 2 3 2 4" xfId="9559"/>
    <cellStyle name="Normal 29 2 2 3 2 5" xfId="9560"/>
    <cellStyle name="Normal 29 2 2 3 2 6" xfId="9561"/>
    <cellStyle name="Normal 29 2 2 3 2 7" xfId="9562"/>
    <cellStyle name="Normal 29 2 2 3 3" xfId="9563"/>
    <cellStyle name="Normal 29 2 2 3 3 2" xfId="9564"/>
    <cellStyle name="Normal 29 2 2 3 3 3" xfId="9565"/>
    <cellStyle name="Normal 29 2 2 3 4" xfId="9566"/>
    <cellStyle name="Normal 29 2 2 3 4 2" xfId="9567"/>
    <cellStyle name="Normal 29 2 2 3 4 3" xfId="9568"/>
    <cellStyle name="Normal 29 2 2 3 5" xfId="9569"/>
    <cellStyle name="Normal 29 2 2 3 6" xfId="9570"/>
    <cellStyle name="Normal 29 2 2 3 7" xfId="9571"/>
    <cellStyle name="Normal 29 2 2 3 8" xfId="9572"/>
    <cellStyle name="Normal 29 2 2 4" xfId="9573"/>
    <cellStyle name="Normal 29 2 2 4 2" xfId="9574"/>
    <cellStyle name="Normal 29 2 2 4 2 2" xfId="9575"/>
    <cellStyle name="Normal 29 2 2 4 2 2 2" xfId="9576"/>
    <cellStyle name="Normal 29 2 2 4 2 2 3" xfId="9577"/>
    <cellStyle name="Normal 29 2 2 4 2 3" xfId="9578"/>
    <cellStyle name="Normal 29 2 2 4 2 3 2" xfId="9579"/>
    <cellStyle name="Normal 29 2 2 4 2 3 3" xfId="9580"/>
    <cellStyle name="Normal 29 2 2 4 2 4" xfId="9581"/>
    <cellStyle name="Normal 29 2 2 4 2 5" xfId="9582"/>
    <cellStyle name="Normal 29 2 2 4 2 6" xfId="9583"/>
    <cellStyle name="Normal 29 2 2 4 2 7" xfId="9584"/>
    <cellStyle name="Normal 29 2 2 4 3" xfId="9585"/>
    <cellStyle name="Normal 29 2 2 4 3 2" xfId="9586"/>
    <cellStyle name="Normal 29 2 2 4 3 3" xfId="9587"/>
    <cellStyle name="Normal 29 2 2 4 4" xfId="9588"/>
    <cellStyle name="Normal 29 2 2 4 4 2" xfId="9589"/>
    <cellStyle name="Normal 29 2 2 4 4 3" xfId="9590"/>
    <cellStyle name="Normal 29 2 2 4 5" xfId="9591"/>
    <cellStyle name="Normal 29 2 2 4 6" xfId="9592"/>
    <cellStyle name="Normal 29 2 2 4 7" xfId="9593"/>
    <cellStyle name="Normal 29 2 2 4 8" xfId="9594"/>
    <cellStyle name="Normal 29 2 2 5" xfId="9595"/>
    <cellStyle name="Normal 29 2 2 5 2" xfId="9596"/>
    <cellStyle name="Normal 29 2 2 5 2 2" xfId="9597"/>
    <cellStyle name="Normal 29 2 2 5 2 3" xfId="9598"/>
    <cellStyle name="Normal 29 2 2 5 3" xfId="9599"/>
    <cellStyle name="Normal 29 2 2 5 3 2" xfId="9600"/>
    <cellStyle name="Normal 29 2 2 5 3 3" xfId="9601"/>
    <cellStyle name="Normal 29 2 2 5 4" xfId="9602"/>
    <cellStyle name="Normal 29 2 2 5 5" xfId="9603"/>
    <cellStyle name="Normal 29 2 2 5 6" xfId="9604"/>
    <cellStyle name="Normal 29 2 2 5 7" xfId="9605"/>
    <cellStyle name="Normal 29 2 2 6" xfId="9606"/>
    <cellStyle name="Normal 29 2 2 6 2" xfId="9607"/>
    <cellStyle name="Normal 29 2 2 6 3" xfId="9608"/>
    <cellStyle name="Normal 29 2 2 7" xfId="9609"/>
    <cellStyle name="Normal 29 2 2 7 2" xfId="9610"/>
    <cellStyle name="Normal 29 2 2 7 3" xfId="9611"/>
    <cellStyle name="Normal 29 2 2 8" xfId="9612"/>
    <cellStyle name="Normal 29 2 2 9" xfId="9613"/>
    <cellStyle name="Normal 29 2 3" xfId="9614"/>
    <cellStyle name="Normal 29 2 3 10" xfId="9615"/>
    <cellStyle name="Normal 29 2 3 11" xfId="9616"/>
    <cellStyle name="Normal 29 2 3 2" xfId="9617"/>
    <cellStyle name="Normal 29 2 3 2 2" xfId="9618"/>
    <cellStyle name="Normal 29 2 3 2 2 2" xfId="9619"/>
    <cellStyle name="Normal 29 2 3 2 2 2 2" xfId="9620"/>
    <cellStyle name="Normal 29 2 3 2 2 2 2 2" xfId="9621"/>
    <cellStyle name="Normal 29 2 3 2 2 2 2 3" xfId="9622"/>
    <cellStyle name="Normal 29 2 3 2 2 2 3" xfId="9623"/>
    <cellStyle name="Normal 29 2 3 2 2 2 3 2" xfId="9624"/>
    <cellStyle name="Normal 29 2 3 2 2 2 3 3" xfId="9625"/>
    <cellStyle name="Normal 29 2 3 2 2 2 4" xfId="9626"/>
    <cellStyle name="Normal 29 2 3 2 2 2 5" xfId="9627"/>
    <cellStyle name="Normal 29 2 3 2 2 2 6" xfId="9628"/>
    <cellStyle name="Normal 29 2 3 2 2 2 7" xfId="9629"/>
    <cellStyle name="Normal 29 2 3 2 2 3" xfId="9630"/>
    <cellStyle name="Normal 29 2 3 2 2 3 2" xfId="9631"/>
    <cellStyle name="Normal 29 2 3 2 2 3 3" xfId="9632"/>
    <cellStyle name="Normal 29 2 3 2 2 4" xfId="9633"/>
    <cellStyle name="Normal 29 2 3 2 2 4 2" xfId="9634"/>
    <cellStyle name="Normal 29 2 3 2 2 4 3" xfId="9635"/>
    <cellStyle name="Normal 29 2 3 2 2 5" xfId="9636"/>
    <cellStyle name="Normal 29 2 3 2 2 6" xfId="9637"/>
    <cellStyle name="Normal 29 2 3 2 2 7" xfId="9638"/>
    <cellStyle name="Normal 29 2 3 2 2 8" xfId="9639"/>
    <cellStyle name="Normal 29 2 3 2 3" xfId="9640"/>
    <cellStyle name="Normal 29 2 3 2 3 2" xfId="9641"/>
    <cellStyle name="Normal 29 2 3 2 3 2 2" xfId="9642"/>
    <cellStyle name="Normal 29 2 3 2 3 2 3" xfId="9643"/>
    <cellStyle name="Normal 29 2 3 2 3 3" xfId="9644"/>
    <cellStyle name="Normal 29 2 3 2 3 3 2" xfId="9645"/>
    <cellStyle name="Normal 29 2 3 2 3 3 3" xfId="9646"/>
    <cellStyle name="Normal 29 2 3 2 3 4" xfId="9647"/>
    <cellStyle name="Normal 29 2 3 2 3 5" xfId="9648"/>
    <cellStyle name="Normal 29 2 3 2 3 6" xfId="9649"/>
    <cellStyle name="Normal 29 2 3 2 3 7" xfId="9650"/>
    <cellStyle name="Normal 29 2 3 2 4" xfId="9651"/>
    <cellStyle name="Normal 29 2 3 2 4 2" xfId="9652"/>
    <cellStyle name="Normal 29 2 3 2 4 3" xfId="9653"/>
    <cellStyle name="Normal 29 2 3 2 5" xfId="9654"/>
    <cellStyle name="Normal 29 2 3 2 5 2" xfId="9655"/>
    <cellStyle name="Normal 29 2 3 2 5 3" xfId="9656"/>
    <cellStyle name="Normal 29 2 3 2 6" xfId="9657"/>
    <cellStyle name="Normal 29 2 3 2 7" xfId="9658"/>
    <cellStyle name="Normal 29 2 3 2 8" xfId="9659"/>
    <cellStyle name="Normal 29 2 3 2 9" xfId="9660"/>
    <cellStyle name="Normal 29 2 3 3" xfId="9661"/>
    <cellStyle name="Normal 29 2 3 3 2" xfId="9662"/>
    <cellStyle name="Normal 29 2 3 3 2 2" xfId="9663"/>
    <cellStyle name="Normal 29 2 3 3 2 2 2" xfId="9664"/>
    <cellStyle name="Normal 29 2 3 3 2 2 3" xfId="9665"/>
    <cellStyle name="Normal 29 2 3 3 2 3" xfId="9666"/>
    <cellStyle name="Normal 29 2 3 3 2 3 2" xfId="9667"/>
    <cellStyle name="Normal 29 2 3 3 2 3 3" xfId="9668"/>
    <cellStyle name="Normal 29 2 3 3 2 4" xfId="9669"/>
    <cellStyle name="Normal 29 2 3 3 2 5" xfId="9670"/>
    <cellStyle name="Normal 29 2 3 3 2 6" xfId="9671"/>
    <cellStyle name="Normal 29 2 3 3 2 7" xfId="9672"/>
    <cellStyle name="Normal 29 2 3 3 3" xfId="9673"/>
    <cellStyle name="Normal 29 2 3 3 3 2" xfId="9674"/>
    <cellStyle name="Normal 29 2 3 3 3 3" xfId="9675"/>
    <cellStyle name="Normal 29 2 3 3 4" xfId="9676"/>
    <cellStyle name="Normal 29 2 3 3 4 2" xfId="9677"/>
    <cellStyle name="Normal 29 2 3 3 4 3" xfId="9678"/>
    <cellStyle name="Normal 29 2 3 3 5" xfId="9679"/>
    <cellStyle name="Normal 29 2 3 3 6" xfId="9680"/>
    <cellStyle name="Normal 29 2 3 3 7" xfId="9681"/>
    <cellStyle name="Normal 29 2 3 3 8" xfId="9682"/>
    <cellStyle name="Normal 29 2 3 4" xfId="9683"/>
    <cellStyle name="Normal 29 2 3 4 2" xfId="9684"/>
    <cellStyle name="Normal 29 2 3 4 2 2" xfId="9685"/>
    <cellStyle name="Normal 29 2 3 4 2 2 2" xfId="9686"/>
    <cellStyle name="Normal 29 2 3 4 2 2 3" xfId="9687"/>
    <cellStyle name="Normal 29 2 3 4 2 3" xfId="9688"/>
    <cellStyle name="Normal 29 2 3 4 2 3 2" xfId="9689"/>
    <cellStyle name="Normal 29 2 3 4 2 3 3" xfId="9690"/>
    <cellStyle name="Normal 29 2 3 4 2 4" xfId="9691"/>
    <cellStyle name="Normal 29 2 3 4 2 5" xfId="9692"/>
    <cellStyle name="Normal 29 2 3 4 2 6" xfId="9693"/>
    <cellStyle name="Normal 29 2 3 4 2 7" xfId="9694"/>
    <cellStyle name="Normal 29 2 3 4 3" xfId="9695"/>
    <cellStyle name="Normal 29 2 3 4 3 2" xfId="9696"/>
    <cellStyle name="Normal 29 2 3 4 3 3" xfId="9697"/>
    <cellStyle name="Normal 29 2 3 4 4" xfId="9698"/>
    <cellStyle name="Normal 29 2 3 4 4 2" xfId="9699"/>
    <cellStyle name="Normal 29 2 3 4 4 3" xfId="9700"/>
    <cellStyle name="Normal 29 2 3 4 5" xfId="9701"/>
    <cellStyle name="Normal 29 2 3 4 6" xfId="9702"/>
    <cellStyle name="Normal 29 2 3 4 7" xfId="9703"/>
    <cellStyle name="Normal 29 2 3 4 8" xfId="9704"/>
    <cellStyle name="Normal 29 2 3 5" xfId="9705"/>
    <cellStyle name="Normal 29 2 3 5 2" xfId="9706"/>
    <cellStyle name="Normal 29 2 3 5 2 2" xfId="9707"/>
    <cellStyle name="Normal 29 2 3 5 2 3" xfId="9708"/>
    <cellStyle name="Normal 29 2 3 5 3" xfId="9709"/>
    <cellStyle name="Normal 29 2 3 5 3 2" xfId="9710"/>
    <cellStyle name="Normal 29 2 3 5 3 3" xfId="9711"/>
    <cellStyle name="Normal 29 2 3 5 4" xfId="9712"/>
    <cellStyle name="Normal 29 2 3 5 5" xfId="9713"/>
    <cellStyle name="Normal 29 2 3 5 6" xfId="9714"/>
    <cellStyle name="Normal 29 2 3 5 7" xfId="9715"/>
    <cellStyle name="Normal 29 2 3 6" xfId="9716"/>
    <cellStyle name="Normal 29 2 3 6 2" xfId="9717"/>
    <cellStyle name="Normal 29 2 3 6 3" xfId="9718"/>
    <cellStyle name="Normal 29 2 3 7" xfId="9719"/>
    <cellStyle name="Normal 29 2 3 7 2" xfId="9720"/>
    <cellStyle name="Normal 29 2 3 7 3" xfId="9721"/>
    <cellStyle name="Normal 29 2 3 8" xfId="9722"/>
    <cellStyle name="Normal 29 2 3 9" xfId="9723"/>
    <cellStyle name="Normal 29 2 4" xfId="9724"/>
    <cellStyle name="Normal 29 2 4 2" xfId="9725"/>
    <cellStyle name="Normal 29 2 4 2 2" xfId="9726"/>
    <cellStyle name="Normal 29 2 4 2 2 2" xfId="9727"/>
    <cellStyle name="Normal 29 2 4 2 2 2 2" xfId="9728"/>
    <cellStyle name="Normal 29 2 4 2 2 2 3" xfId="9729"/>
    <cellStyle name="Normal 29 2 4 2 2 3" xfId="9730"/>
    <cellStyle name="Normal 29 2 4 2 2 3 2" xfId="9731"/>
    <cellStyle name="Normal 29 2 4 2 2 3 3" xfId="9732"/>
    <cellStyle name="Normal 29 2 4 2 2 4" xfId="9733"/>
    <cellStyle name="Normal 29 2 4 2 2 5" xfId="9734"/>
    <cellStyle name="Normal 29 2 4 2 2 6" xfId="9735"/>
    <cellStyle name="Normal 29 2 4 2 2 7" xfId="9736"/>
    <cellStyle name="Normal 29 2 4 2 3" xfId="9737"/>
    <cellStyle name="Normal 29 2 4 2 3 2" xfId="9738"/>
    <cellStyle name="Normal 29 2 4 2 3 3" xfId="9739"/>
    <cellStyle name="Normal 29 2 4 2 4" xfId="9740"/>
    <cellStyle name="Normal 29 2 4 2 4 2" xfId="9741"/>
    <cellStyle name="Normal 29 2 4 2 4 3" xfId="9742"/>
    <cellStyle name="Normal 29 2 4 2 5" xfId="9743"/>
    <cellStyle name="Normal 29 2 4 2 6" xfId="9744"/>
    <cellStyle name="Normal 29 2 4 2 7" xfId="9745"/>
    <cellStyle name="Normal 29 2 4 2 8" xfId="9746"/>
    <cellStyle name="Normal 29 2 4 3" xfId="9747"/>
    <cellStyle name="Normal 29 2 4 3 2" xfId="9748"/>
    <cellStyle name="Normal 29 2 4 3 2 2" xfId="9749"/>
    <cellStyle name="Normal 29 2 4 3 2 3" xfId="9750"/>
    <cellStyle name="Normal 29 2 4 3 3" xfId="9751"/>
    <cellStyle name="Normal 29 2 4 3 3 2" xfId="9752"/>
    <cellStyle name="Normal 29 2 4 3 3 3" xfId="9753"/>
    <cellStyle name="Normal 29 2 4 3 4" xfId="9754"/>
    <cellStyle name="Normal 29 2 4 3 5" xfId="9755"/>
    <cellStyle name="Normal 29 2 4 3 6" xfId="9756"/>
    <cellStyle name="Normal 29 2 4 3 7" xfId="9757"/>
    <cellStyle name="Normal 29 2 4 4" xfId="9758"/>
    <cellStyle name="Normal 29 2 4 4 2" xfId="9759"/>
    <cellStyle name="Normal 29 2 4 4 3" xfId="9760"/>
    <cellStyle name="Normal 29 2 4 5" xfId="9761"/>
    <cellStyle name="Normal 29 2 4 5 2" xfId="9762"/>
    <cellStyle name="Normal 29 2 4 5 3" xfId="9763"/>
    <cellStyle name="Normal 29 2 4 6" xfId="9764"/>
    <cellStyle name="Normal 29 2 4 7" xfId="9765"/>
    <cellStyle name="Normal 29 2 4 8" xfId="9766"/>
    <cellStyle name="Normal 29 2 4 9" xfId="9767"/>
    <cellStyle name="Normal 29 2 5" xfId="9768"/>
    <cellStyle name="Normal 29 2 5 2" xfId="9769"/>
    <cellStyle name="Normal 29 2 5 2 2" xfId="9770"/>
    <cellStyle name="Normal 29 2 5 2 2 2" xfId="9771"/>
    <cellStyle name="Normal 29 2 5 2 2 3" xfId="9772"/>
    <cellStyle name="Normal 29 2 5 2 3" xfId="9773"/>
    <cellStyle name="Normal 29 2 5 2 3 2" xfId="9774"/>
    <cellStyle name="Normal 29 2 5 2 3 3" xfId="9775"/>
    <cellStyle name="Normal 29 2 5 2 4" xfId="9776"/>
    <cellStyle name="Normal 29 2 5 2 5" xfId="9777"/>
    <cellStyle name="Normal 29 2 5 2 6" xfId="9778"/>
    <cellStyle name="Normal 29 2 5 2 7" xfId="9779"/>
    <cellStyle name="Normal 29 2 5 3" xfId="9780"/>
    <cellStyle name="Normal 29 2 5 3 2" xfId="9781"/>
    <cellStyle name="Normal 29 2 5 3 3" xfId="9782"/>
    <cellStyle name="Normal 29 2 5 4" xfId="9783"/>
    <cellStyle name="Normal 29 2 5 4 2" xfId="9784"/>
    <cellStyle name="Normal 29 2 5 4 3" xfId="9785"/>
    <cellStyle name="Normal 29 2 5 5" xfId="9786"/>
    <cellStyle name="Normal 29 2 5 6" xfId="9787"/>
    <cellStyle name="Normal 29 2 5 7" xfId="9788"/>
    <cellStyle name="Normal 29 2 5 8" xfId="9789"/>
    <cellStyle name="Normal 29 2 6" xfId="9790"/>
    <cellStyle name="Normal 29 2 6 2" xfId="9791"/>
    <cellStyle name="Normal 29 2 6 2 2" xfId="9792"/>
    <cellStyle name="Normal 29 2 6 2 2 2" xfId="9793"/>
    <cellStyle name="Normal 29 2 6 2 2 3" xfId="9794"/>
    <cellStyle name="Normal 29 2 6 2 3" xfId="9795"/>
    <cellStyle name="Normal 29 2 6 2 3 2" xfId="9796"/>
    <cellStyle name="Normal 29 2 6 2 3 3" xfId="9797"/>
    <cellStyle name="Normal 29 2 6 2 4" xfId="9798"/>
    <cellStyle name="Normal 29 2 6 2 5" xfId="9799"/>
    <cellStyle name="Normal 29 2 6 2 6" xfId="9800"/>
    <cellStyle name="Normal 29 2 6 2 7" xfId="9801"/>
    <cellStyle name="Normal 29 2 6 3" xfId="9802"/>
    <cellStyle name="Normal 29 2 6 3 2" xfId="9803"/>
    <cellStyle name="Normal 29 2 6 3 3" xfId="9804"/>
    <cellStyle name="Normal 29 2 6 4" xfId="9805"/>
    <cellStyle name="Normal 29 2 6 4 2" xfId="9806"/>
    <cellStyle name="Normal 29 2 6 4 3" xfId="9807"/>
    <cellStyle name="Normal 29 2 6 5" xfId="9808"/>
    <cellStyle name="Normal 29 2 6 6" xfId="9809"/>
    <cellStyle name="Normal 29 2 6 7" xfId="9810"/>
    <cellStyle name="Normal 29 2 6 8" xfId="9811"/>
    <cellStyle name="Normal 29 2 7" xfId="9812"/>
    <cellStyle name="Normal 29 2 7 2" xfId="9813"/>
    <cellStyle name="Normal 29 2 7 2 2" xfId="9814"/>
    <cellStyle name="Normal 29 2 7 2 3" xfId="9815"/>
    <cellStyle name="Normal 29 2 7 3" xfId="9816"/>
    <cellStyle name="Normal 29 2 7 3 2" xfId="9817"/>
    <cellStyle name="Normal 29 2 7 3 3" xfId="9818"/>
    <cellStyle name="Normal 29 2 7 4" xfId="9819"/>
    <cellStyle name="Normal 29 2 7 5" xfId="9820"/>
    <cellStyle name="Normal 29 2 7 6" xfId="9821"/>
    <cellStyle name="Normal 29 2 7 7" xfId="9822"/>
    <cellStyle name="Normal 29 2 8" xfId="9823"/>
    <cellStyle name="Normal 29 2 9" xfId="9824"/>
    <cellStyle name="Normal 29 2 9 2" xfId="9825"/>
    <cellStyle name="Normal 29 2 9 3" xfId="9826"/>
    <cellStyle name="Normal 29 3" xfId="9827"/>
    <cellStyle name="Normal 29 3 10" xfId="9828"/>
    <cellStyle name="Normal 29 3 11" xfId="9829"/>
    <cellStyle name="Normal 29 3 2" xfId="9830"/>
    <cellStyle name="Normal 29 3 2 2" xfId="9831"/>
    <cellStyle name="Normal 29 3 2 2 2" xfId="9832"/>
    <cellStyle name="Normal 29 3 2 2 2 2" xfId="9833"/>
    <cellStyle name="Normal 29 3 2 2 2 2 2" xfId="9834"/>
    <cellStyle name="Normal 29 3 2 2 2 2 3" xfId="9835"/>
    <cellStyle name="Normal 29 3 2 2 2 3" xfId="9836"/>
    <cellStyle name="Normal 29 3 2 2 2 3 2" xfId="9837"/>
    <cellStyle name="Normal 29 3 2 2 2 3 3" xfId="9838"/>
    <cellStyle name="Normal 29 3 2 2 2 4" xfId="9839"/>
    <cellStyle name="Normal 29 3 2 2 2 5" xfId="9840"/>
    <cellStyle name="Normal 29 3 2 2 2 6" xfId="9841"/>
    <cellStyle name="Normal 29 3 2 2 2 7" xfId="9842"/>
    <cellStyle name="Normal 29 3 2 2 3" xfId="9843"/>
    <cellStyle name="Normal 29 3 2 2 3 2" xfId="9844"/>
    <cellStyle name="Normal 29 3 2 2 3 3" xfId="9845"/>
    <cellStyle name="Normal 29 3 2 2 4" xfId="9846"/>
    <cellStyle name="Normal 29 3 2 2 4 2" xfId="9847"/>
    <cellStyle name="Normal 29 3 2 2 4 3" xfId="9848"/>
    <cellStyle name="Normal 29 3 2 2 5" xfId="9849"/>
    <cellStyle name="Normal 29 3 2 2 6" xfId="9850"/>
    <cellStyle name="Normal 29 3 2 2 7" xfId="9851"/>
    <cellStyle name="Normal 29 3 2 2 8" xfId="9852"/>
    <cellStyle name="Normal 29 3 2 3" xfId="9853"/>
    <cellStyle name="Normal 29 3 2 3 2" xfId="9854"/>
    <cellStyle name="Normal 29 3 2 3 2 2" xfId="9855"/>
    <cellStyle name="Normal 29 3 2 3 2 3" xfId="9856"/>
    <cellStyle name="Normal 29 3 2 3 3" xfId="9857"/>
    <cellStyle name="Normal 29 3 2 3 3 2" xfId="9858"/>
    <cellStyle name="Normal 29 3 2 3 3 3" xfId="9859"/>
    <cellStyle name="Normal 29 3 2 3 4" xfId="9860"/>
    <cellStyle name="Normal 29 3 2 3 5" xfId="9861"/>
    <cellStyle name="Normal 29 3 2 3 6" xfId="9862"/>
    <cellStyle name="Normal 29 3 2 3 7" xfId="9863"/>
    <cellStyle name="Normal 29 3 2 4" xfId="9864"/>
    <cellStyle name="Normal 29 3 2 4 2" xfId="9865"/>
    <cellStyle name="Normal 29 3 2 4 3" xfId="9866"/>
    <cellStyle name="Normal 29 3 2 5" xfId="9867"/>
    <cellStyle name="Normal 29 3 2 5 2" xfId="9868"/>
    <cellStyle name="Normal 29 3 2 5 3" xfId="9869"/>
    <cellStyle name="Normal 29 3 2 6" xfId="9870"/>
    <cellStyle name="Normal 29 3 2 7" xfId="9871"/>
    <cellStyle name="Normal 29 3 2 8" xfId="9872"/>
    <cellStyle name="Normal 29 3 2 9" xfId="9873"/>
    <cellStyle name="Normal 29 3 3" xfId="9874"/>
    <cellStyle name="Normal 29 3 3 2" xfId="9875"/>
    <cellStyle name="Normal 29 3 3 2 2" xfId="9876"/>
    <cellStyle name="Normal 29 3 3 2 2 2" xfId="9877"/>
    <cellStyle name="Normal 29 3 3 2 2 3" xfId="9878"/>
    <cellStyle name="Normal 29 3 3 2 3" xfId="9879"/>
    <cellStyle name="Normal 29 3 3 2 3 2" xfId="9880"/>
    <cellStyle name="Normal 29 3 3 2 3 3" xfId="9881"/>
    <cellStyle name="Normal 29 3 3 2 4" xfId="9882"/>
    <cellStyle name="Normal 29 3 3 2 5" xfId="9883"/>
    <cellStyle name="Normal 29 3 3 2 6" xfId="9884"/>
    <cellStyle name="Normal 29 3 3 2 7" xfId="9885"/>
    <cellStyle name="Normal 29 3 3 3" xfId="9886"/>
    <cellStyle name="Normal 29 3 3 3 2" xfId="9887"/>
    <cellStyle name="Normal 29 3 3 3 3" xfId="9888"/>
    <cellStyle name="Normal 29 3 3 4" xfId="9889"/>
    <cellStyle name="Normal 29 3 3 4 2" xfId="9890"/>
    <cellStyle name="Normal 29 3 3 4 3" xfId="9891"/>
    <cellStyle name="Normal 29 3 3 5" xfId="9892"/>
    <cellStyle name="Normal 29 3 3 6" xfId="9893"/>
    <cellStyle name="Normal 29 3 3 7" xfId="9894"/>
    <cellStyle name="Normal 29 3 3 8" xfId="9895"/>
    <cellStyle name="Normal 29 3 4" xfId="9896"/>
    <cellStyle name="Normal 29 3 4 2" xfId="9897"/>
    <cellStyle name="Normal 29 3 4 2 2" xfId="9898"/>
    <cellStyle name="Normal 29 3 4 2 2 2" xfId="9899"/>
    <cellStyle name="Normal 29 3 4 2 2 3" xfId="9900"/>
    <cellStyle name="Normal 29 3 4 2 3" xfId="9901"/>
    <cellStyle name="Normal 29 3 4 2 3 2" xfId="9902"/>
    <cellStyle name="Normal 29 3 4 2 3 3" xfId="9903"/>
    <cellStyle name="Normal 29 3 4 2 4" xfId="9904"/>
    <cellStyle name="Normal 29 3 4 2 5" xfId="9905"/>
    <cellStyle name="Normal 29 3 4 2 6" xfId="9906"/>
    <cellStyle name="Normal 29 3 4 2 7" xfId="9907"/>
    <cellStyle name="Normal 29 3 4 3" xfId="9908"/>
    <cellStyle name="Normal 29 3 4 3 2" xfId="9909"/>
    <cellStyle name="Normal 29 3 4 3 3" xfId="9910"/>
    <cellStyle name="Normal 29 3 4 4" xfId="9911"/>
    <cellStyle name="Normal 29 3 4 4 2" xfId="9912"/>
    <cellStyle name="Normal 29 3 4 4 3" xfId="9913"/>
    <cellStyle name="Normal 29 3 4 5" xfId="9914"/>
    <cellStyle name="Normal 29 3 4 6" xfId="9915"/>
    <cellStyle name="Normal 29 3 4 7" xfId="9916"/>
    <cellStyle name="Normal 29 3 4 8" xfId="9917"/>
    <cellStyle name="Normal 29 3 5" xfId="9918"/>
    <cellStyle name="Normal 29 3 5 2" xfId="9919"/>
    <cellStyle name="Normal 29 3 5 2 2" xfId="9920"/>
    <cellStyle name="Normal 29 3 5 2 3" xfId="9921"/>
    <cellStyle name="Normal 29 3 5 3" xfId="9922"/>
    <cellStyle name="Normal 29 3 5 3 2" xfId="9923"/>
    <cellStyle name="Normal 29 3 5 3 3" xfId="9924"/>
    <cellStyle name="Normal 29 3 5 4" xfId="9925"/>
    <cellStyle name="Normal 29 3 5 5" xfId="9926"/>
    <cellStyle name="Normal 29 3 5 6" xfId="9927"/>
    <cellStyle name="Normal 29 3 5 7" xfId="9928"/>
    <cellStyle name="Normal 29 3 6" xfId="9929"/>
    <cellStyle name="Normal 29 3 6 2" xfId="9930"/>
    <cellStyle name="Normal 29 3 6 3" xfId="9931"/>
    <cellStyle name="Normal 29 3 7" xfId="9932"/>
    <cellStyle name="Normal 29 3 7 2" xfId="9933"/>
    <cellStyle name="Normal 29 3 7 3" xfId="9934"/>
    <cellStyle name="Normal 29 3 8" xfId="9935"/>
    <cellStyle name="Normal 29 3 9" xfId="9936"/>
    <cellStyle name="Normal 29 4" xfId="9937"/>
    <cellStyle name="Normal 29 4 10" xfId="9938"/>
    <cellStyle name="Normal 29 4 11" xfId="9939"/>
    <cellStyle name="Normal 29 4 2" xfId="9940"/>
    <cellStyle name="Normal 29 4 2 2" xfId="9941"/>
    <cellStyle name="Normal 29 4 2 2 2" xfId="9942"/>
    <cellStyle name="Normal 29 4 2 2 2 2" xfId="9943"/>
    <cellStyle name="Normal 29 4 2 2 2 2 2" xfId="9944"/>
    <cellStyle name="Normal 29 4 2 2 2 2 3" xfId="9945"/>
    <cellStyle name="Normal 29 4 2 2 2 3" xfId="9946"/>
    <cellStyle name="Normal 29 4 2 2 2 3 2" xfId="9947"/>
    <cellStyle name="Normal 29 4 2 2 2 3 3" xfId="9948"/>
    <cellStyle name="Normal 29 4 2 2 2 4" xfId="9949"/>
    <cellStyle name="Normal 29 4 2 2 2 5" xfId="9950"/>
    <cellStyle name="Normal 29 4 2 2 2 6" xfId="9951"/>
    <cellStyle name="Normal 29 4 2 2 2 7" xfId="9952"/>
    <cellStyle name="Normal 29 4 2 2 3" xfId="9953"/>
    <cellStyle name="Normal 29 4 2 2 3 2" xfId="9954"/>
    <cellStyle name="Normal 29 4 2 2 3 3" xfId="9955"/>
    <cellStyle name="Normal 29 4 2 2 4" xfId="9956"/>
    <cellStyle name="Normal 29 4 2 2 4 2" xfId="9957"/>
    <cellStyle name="Normal 29 4 2 2 4 3" xfId="9958"/>
    <cellStyle name="Normal 29 4 2 2 5" xfId="9959"/>
    <cellStyle name="Normal 29 4 2 2 6" xfId="9960"/>
    <cellStyle name="Normal 29 4 2 2 7" xfId="9961"/>
    <cellStyle name="Normal 29 4 2 2 8" xfId="9962"/>
    <cellStyle name="Normal 29 4 2 3" xfId="9963"/>
    <cellStyle name="Normal 29 4 2 3 2" xfId="9964"/>
    <cellStyle name="Normal 29 4 2 3 2 2" xfId="9965"/>
    <cellStyle name="Normal 29 4 2 3 2 3" xfId="9966"/>
    <cellStyle name="Normal 29 4 2 3 3" xfId="9967"/>
    <cellStyle name="Normal 29 4 2 3 3 2" xfId="9968"/>
    <cellStyle name="Normal 29 4 2 3 3 3" xfId="9969"/>
    <cellStyle name="Normal 29 4 2 3 4" xfId="9970"/>
    <cellStyle name="Normal 29 4 2 3 5" xfId="9971"/>
    <cellStyle name="Normal 29 4 2 3 6" xfId="9972"/>
    <cellStyle name="Normal 29 4 2 3 7" xfId="9973"/>
    <cellStyle name="Normal 29 4 2 4" xfId="9974"/>
    <cellStyle name="Normal 29 4 2 4 2" xfId="9975"/>
    <cellStyle name="Normal 29 4 2 4 3" xfId="9976"/>
    <cellStyle name="Normal 29 4 2 5" xfId="9977"/>
    <cellStyle name="Normal 29 4 2 5 2" xfId="9978"/>
    <cellStyle name="Normal 29 4 2 5 3" xfId="9979"/>
    <cellStyle name="Normal 29 4 2 6" xfId="9980"/>
    <cellStyle name="Normal 29 4 2 7" xfId="9981"/>
    <cellStyle name="Normal 29 4 2 8" xfId="9982"/>
    <cellStyle name="Normal 29 4 2 9" xfId="9983"/>
    <cellStyle name="Normal 29 4 3" xfId="9984"/>
    <cellStyle name="Normal 29 4 3 2" xfId="9985"/>
    <cellStyle name="Normal 29 4 3 2 2" xfId="9986"/>
    <cellStyle name="Normal 29 4 3 2 2 2" xfId="9987"/>
    <cellStyle name="Normal 29 4 3 2 2 3" xfId="9988"/>
    <cellStyle name="Normal 29 4 3 2 3" xfId="9989"/>
    <cellStyle name="Normal 29 4 3 2 3 2" xfId="9990"/>
    <cellStyle name="Normal 29 4 3 2 3 3" xfId="9991"/>
    <cellStyle name="Normal 29 4 3 2 4" xfId="9992"/>
    <cellStyle name="Normal 29 4 3 2 5" xfId="9993"/>
    <cellStyle name="Normal 29 4 3 2 6" xfId="9994"/>
    <cellStyle name="Normal 29 4 3 2 7" xfId="9995"/>
    <cellStyle name="Normal 29 4 3 3" xfId="9996"/>
    <cellStyle name="Normal 29 4 3 3 2" xfId="9997"/>
    <cellStyle name="Normal 29 4 3 3 3" xfId="9998"/>
    <cellStyle name="Normal 29 4 3 4" xfId="9999"/>
    <cellStyle name="Normal 29 4 3 4 2" xfId="10000"/>
    <cellStyle name="Normal 29 4 3 4 3" xfId="10001"/>
    <cellStyle name="Normal 29 4 3 5" xfId="10002"/>
    <cellStyle name="Normal 29 4 3 6" xfId="10003"/>
    <cellStyle name="Normal 29 4 3 7" xfId="10004"/>
    <cellStyle name="Normal 29 4 3 8" xfId="10005"/>
    <cellStyle name="Normal 29 4 4" xfId="10006"/>
    <cellStyle name="Normal 29 4 4 2" xfId="10007"/>
    <cellStyle name="Normal 29 4 4 2 2" xfId="10008"/>
    <cellStyle name="Normal 29 4 4 2 2 2" xfId="10009"/>
    <cellStyle name="Normal 29 4 4 2 2 3" xfId="10010"/>
    <cellStyle name="Normal 29 4 4 2 3" xfId="10011"/>
    <cellStyle name="Normal 29 4 4 2 3 2" xfId="10012"/>
    <cellStyle name="Normal 29 4 4 2 3 3" xfId="10013"/>
    <cellStyle name="Normal 29 4 4 2 4" xfId="10014"/>
    <cellStyle name="Normal 29 4 4 2 5" xfId="10015"/>
    <cellStyle name="Normal 29 4 4 2 6" xfId="10016"/>
    <cellStyle name="Normal 29 4 4 2 7" xfId="10017"/>
    <cellStyle name="Normal 29 4 4 3" xfId="10018"/>
    <cellStyle name="Normal 29 4 4 3 2" xfId="10019"/>
    <cellStyle name="Normal 29 4 4 3 3" xfId="10020"/>
    <cellStyle name="Normal 29 4 4 4" xfId="10021"/>
    <cellStyle name="Normal 29 4 4 4 2" xfId="10022"/>
    <cellStyle name="Normal 29 4 4 4 3" xfId="10023"/>
    <cellStyle name="Normal 29 4 4 5" xfId="10024"/>
    <cellStyle name="Normal 29 4 4 6" xfId="10025"/>
    <cellStyle name="Normal 29 4 4 7" xfId="10026"/>
    <cellStyle name="Normal 29 4 4 8" xfId="10027"/>
    <cellStyle name="Normal 29 4 5" xfId="10028"/>
    <cellStyle name="Normal 29 4 5 2" xfId="10029"/>
    <cellStyle name="Normal 29 4 5 2 2" xfId="10030"/>
    <cellStyle name="Normal 29 4 5 2 3" xfId="10031"/>
    <cellStyle name="Normal 29 4 5 3" xfId="10032"/>
    <cellStyle name="Normal 29 4 5 3 2" xfId="10033"/>
    <cellStyle name="Normal 29 4 5 3 3" xfId="10034"/>
    <cellStyle name="Normal 29 4 5 4" xfId="10035"/>
    <cellStyle name="Normal 29 4 5 5" xfId="10036"/>
    <cellStyle name="Normal 29 4 5 6" xfId="10037"/>
    <cellStyle name="Normal 29 4 5 7" xfId="10038"/>
    <cellStyle name="Normal 29 4 6" xfId="10039"/>
    <cellStyle name="Normal 29 4 6 2" xfId="10040"/>
    <cellStyle name="Normal 29 4 6 3" xfId="10041"/>
    <cellStyle name="Normal 29 4 7" xfId="10042"/>
    <cellStyle name="Normal 29 4 7 2" xfId="10043"/>
    <cellStyle name="Normal 29 4 7 3" xfId="10044"/>
    <cellStyle name="Normal 29 4 8" xfId="10045"/>
    <cellStyle name="Normal 29 4 9" xfId="10046"/>
    <cellStyle name="Normal 29 5" xfId="10047"/>
    <cellStyle name="Normal 29 5 10" xfId="10048"/>
    <cellStyle name="Normal 29 5 11" xfId="10049"/>
    <cellStyle name="Normal 29 5 2" xfId="10050"/>
    <cellStyle name="Normal 29 5 2 2" xfId="10051"/>
    <cellStyle name="Normal 29 5 2 2 2" xfId="10052"/>
    <cellStyle name="Normal 29 5 2 2 2 2" xfId="10053"/>
    <cellStyle name="Normal 29 5 2 2 2 2 2" xfId="10054"/>
    <cellStyle name="Normal 29 5 2 2 2 2 3" xfId="10055"/>
    <cellStyle name="Normal 29 5 2 2 2 3" xfId="10056"/>
    <cellStyle name="Normal 29 5 2 2 2 3 2" xfId="10057"/>
    <cellStyle name="Normal 29 5 2 2 2 3 3" xfId="10058"/>
    <cellStyle name="Normal 29 5 2 2 2 4" xfId="10059"/>
    <cellStyle name="Normal 29 5 2 2 2 5" xfId="10060"/>
    <cellStyle name="Normal 29 5 2 2 2 6" xfId="10061"/>
    <cellStyle name="Normal 29 5 2 2 2 7" xfId="10062"/>
    <cellStyle name="Normal 29 5 2 2 3" xfId="10063"/>
    <cellStyle name="Normal 29 5 2 2 3 2" xfId="10064"/>
    <cellStyle name="Normal 29 5 2 2 3 3" xfId="10065"/>
    <cellStyle name="Normal 29 5 2 2 4" xfId="10066"/>
    <cellStyle name="Normal 29 5 2 2 4 2" xfId="10067"/>
    <cellStyle name="Normal 29 5 2 2 4 3" xfId="10068"/>
    <cellStyle name="Normal 29 5 2 2 5" xfId="10069"/>
    <cellStyle name="Normal 29 5 2 2 6" xfId="10070"/>
    <cellStyle name="Normal 29 5 2 2 7" xfId="10071"/>
    <cellStyle name="Normal 29 5 2 2 8" xfId="10072"/>
    <cellStyle name="Normal 29 5 2 3" xfId="10073"/>
    <cellStyle name="Normal 29 5 2 3 2" xfId="10074"/>
    <cellStyle name="Normal 29 5 2 3 2 2" xfId="10075"/>
    <cellStyle name="Normal 29 5 2 3 2 3" xfId="10076"/>
    <cellStyle name="Normal 29 5 2 3 3" xfId="10077"/>
    <cellStyle name="Normal 29 5 2 3 3 2" xfId="10078"/>
    <cellStyle name="Normal 29 5 2 3 3 3" xfId="10079"/>
    <cellStyle name="Normal 29 5 2 3 4" xfId="10080"/>
    <cellStyle name="Normal 29 5 2 3 5" xfId="10081"/>
    <cellStyle name="Normal 29 5 2 3 6" xfId="10082"/>
    <cellStyle name="Normal 29 5 2 3 7" xfId="10083"/>
    <cellStyle name="Normal 29 5 2 4" xfId="10084"/>
    <cellStyle name="Normal 29 5 2 4 2" xfId="10085"/>
    <cellStyle name="Normal 29 5 2 4 3" xfId="10086"/>
    <cellStyle name="Normal 29 5 2 5" xfId="10087"/>
    <cellStyle name="Normal 29 5 2 5 2" xfId="10088"/>
    <cellStyle name="Normal 29 5 2 5 3" xfId="10089"/>
    <cellStyle name="Normal 29 5 2 6" xfId="10090"/>
    <cellStyle name="Normal 29 5 2 7" xfId="10091"/>
    <cellStyle name="Normal 29 5 2 8" xfId="10092"/>
    <cellStyle name="Normal 29 5 2 9" xfId="10093"/>
    <cellStyle name="Normal 29 5 3" xfId="10094"/>
    <cellStyle name="Normal 29 5 3 2" xfId="10095"/>
    <cellStyle name="Normal 29 5 3 2 2" xfId="10096"/>
    <cellStyle name="Normal 29 5 3 2 2 2" xfId="10097"/>
    <cellStyle name="Normal 29 5 3 2 2 3" xfId="10098"/>
    <cellStyle name="Normal 29 5 3 2 3" xfId="10099"/>
    <cellStyle name="Normal 29 5 3 2 3 2" xfId="10100"/>
    <cellStyle name="Normal 29 5 3 2 3 3" xfId="10101"/>
    <cellStyle name="Normal 29 5 3 2 4" xfId="10102"/>
    <cellStyle name="Normal 29 5 3 2 5" xfId="10103"/>
    <cellStyle name="Normal 29 5 3 2 6" xfId="10104"/>
    <cellStyle name="Normal 29 5 3 2 7" xfId="10105"/>
    <cellStyle name="Normal 29 5 3 3" xfId="10106"/>
    <cellStyle name="Normal 29 5 3 3 2" xfId="10107"/>
    <cellStyle name="Normal 29 5 3 3 3" xfId="10108"/>
    <cellStyle name="Normal 29 5 3 4" xfId="10109"/>
    <cellStyle name="Normal 29 5 3 4 2" xfId="10110"/>
    <cellStyle name="Normal 29 5 3 4 3" xfId="10111"/>
    <cellStyle name="Normal 29 5 3 5" xfId="10112"/>
    <cellStyle name="Normal 29 5 3 6" xfId="10113"/>
    <cellStyle name="Normal 29 5 3 7" xfId="10114"/>
    <cellStyle name="Normal 29 5 3 8" xfId="10115"/>
    <cellStyle name="Normal 29 5 4" xfId="10116"/>
    <cellStyle name="Normal 29 5 4 2" xfId="10117"/>
    <cellStyle name="Normal 29 5 4 2 2" xfId="10118"/>
    <cellStyle name="Normal 29 5 4 2 2 2" xfId="10119"/>
    <cellStyle name="Normal 29 5 4 2 2 3" xfId="10120"/>
    <cellStyle name="Normal 29 5 4 2 3" xfId="10121"/>
    <cellStyle name="Normal 29 5 4 2 3 2" xfId="10122"/>
    <cellStyle name="Normal 29 5 4 2 3 3" xfId="10123"/>
    <cellStyle name="Normal 29 5 4 2 4" xfId="10124"/>
    <cellStyle name="Normal 29 5 4 2 5" xfId="10125"/>
    <cellStyle name="Normal 29 5 4 2 6" xfId="10126"/>
    <cellStyle name="Normal 29 5 4 2 7" xfId="10127"/>
    <cellStyle name="Normal 29 5 4 3" xfId="10128"/>
    <cellStyle name="Normal 29 5 4 3 2" xfId="10129"/>
    <cellStyle name="Normal 29 5 4 3 3" xfId="10130"/>
    <cellStyle name="Normal 29 5 4 4" xfId="10131"/>
    <cellStyle name="Normal 29 5 4 4 2" xfId="10132"/>
    <cellStyle name="Normal 29 5 4 4 3" xfId="10133"/>
    <cellStyle name="Normal 29 5 4 5" xfId="10134"/>
    <cellStyle name="Normal 29 5 4 6" xfId="10135"/>
    <cellStyle name="Normal 29 5 4 7" xfId="10136"/>
    <cellStyle name="Normal 29 5 4 8" xfId="10137"/>
    <cellStyle name="Normal 29 5 5" xfId="10138"/>
    <cellStyle name="Normal 29 5 5 2" xfId="10139"/>
    <cellStyle name="Normal 29 5 5 2 2" xfId="10140"/>
    <cellStyle name="Normal 29 5 5 2 3" xfId="10141"/>
    <cellStyle name="Normal 29 5 5 3" xfId="10142"/>
    <cellStyle name="Normal 29 5 5 3 2" xfId="10143"/>
    <cellStyle name="Normal 29 5 5 3 3" xfId="10144"/>
    <cellStyle name="Normal 29 5 5 4" xfId="10145"/>
    <cellStyle name="Normal 29 5 5 5" xfId="10146"/>
    <cellStyle name="Normal 29 5 5 6" xfId="10147"/>
    <cellStyle name="Normal 29 5 5 7" xfId="10148"/>
    <cellStyle name="Normal 29 5 6" xfId="10149"/>
    <cellStyle name="Normal 29 5 6 2" xfId="10150"/>
    <cellStyle name="Normal 29 5 6 3" xfId="10151"/>
    <cellStyle name="Normal 29 5 7" xfId="10152"/>
    <cellStyle name="Normal 29 5 7 2" xfId="10153"/>
    <cellStyle name="Normal 29 5 7 3" xfId="10154"/>
    <cellStyle name="Normal 29 5 8" xfId="10155"/>
    <cellStyle name="Normal 29 5 9" xfId="10156"/>
    <cellStyle name="Normal 29 6" xfId="10157"/>
    <cellStyle name="Normal 29 6 10" xfId="10158"/>
    <cellStyle name="Normal 29 6 11" xfId="10159"/>
    <cellStyle name="Normal 29 6 2" xfId="10160"/>
    <cellStyle name="Normal 29 6 2 2" xfId="10161"/>
    <cellStyle name="Normal 29 6 2 2 2" xfId="10162"/>
    <cellStyle name="Normal 29 6 2 2 2 2" xfId="10163"/>
    <cellStyle name="Normal 29 6 2 2 2 2 2" xfId="10164"/>
    <cellStyle name="Normal 29 6 2 2 2 2 3" xfId="10165"/>
    <cellStyle name="Normal 29 6 2 2 2 3" xfId="10166"/>
    <cellStyle name="Normal 29 6 2 2 2 3 2" xfId="10167"/>
    <cellStyle name="Normal 29 6 2 2 2 3 3" xfId="10168"/>
    <cellStyle name="Normal 29 6 2 2 2 4" xfId="10169"/>
    <cellStyle name="Normal 29 6 2 2 2 5" xfId="10170"/>
    <cellStyle name="Normal 29 6 2 2 2 6" xfId="10171"/>
    <cellStyle name="Normal 29 6 2 2 2 7" xfId="10172"/>
    <cellStyle name="Normal 29 6 2 2 3" xfId="10173"/>
    <cellStyle name="Normal 29 6 2 2 3 2" xfId="10174"/>
    <cellStyle name="Normal 29 6 2 2 3 3" xfId="10175"/>
    <cellStyle name="Normal 29 6 2 2 4" xfId="10176"/>
    <cellStyle name="Normal 29 6 2 2 4 2" xfId="10177"/>
    <cellStyle name="Normal 29 6 2 2 4 3" xfId="10178"/>
    <cellStyle name="Normal 29 6 2 2 5" xfId="10179"/>
    <cellStyle name="Normal 29 6 2 2 6" xfId="10180"/>
    <cellStyle name="Normal 29 6 2 2 7" xfId="10181"/>
    <cellStyle name="Normal 29 6 2 2 8" xfId="10182"/>
    <cellStyle name="Normal 29 6 2 3" xfId="10183"/>
    <cellStyle name="Normal 29 6 2 3 2" xfId="10184"/>
    <cellStyle name="Normal 29 6 2 3 2 2" xfId="10185"/>
    <cellStyle name="Normal 29 6 2 3 2 3" xfId="10186"/>
    <cellStyle name="Normal 29 6 2 3 3" xfId="10187"/>
    <cellStyle name="Normal 29 6 2 3 3 2" xfId="10188"/>
    <cellStyle name="Normal 29 6 2 3 3 3" xfId="10189"/>
    <cellStyle name="Normal 29 6 2 3 4" xfId="10190"/>
    <cellStyle name="Normal 29 6 2 3 5" xfId="10191"/>
    <cellStyle name="Normal 29 6 2 3 6" xfId="10192"/>
    <cellStyle name="Normal 29 6 2 3 7" xfId="10193"/>
    <cellStyle name="Normal 29 6 2 4" xfId="10194"/>
    <cellStyle name="Normal 29 6 2 4 2" xfId="10195"/>
    <cellStyle name="Normal 29 6 2 4 3" xfId="10196"/>
    <cellStyle name="Normal 29 6 2 5" xfId="10197"/>
    <cellStyle name="Normal 29 6 2 5 2" xfId="10198"/>
    <cellStyle name="Normal 29 6 2 5 3" xfId="10199"/>
    <cellStyle name="Normal 29 6 2 6" xfId="10200"/>
    <cellStyle name="Normal 29 6 2 7" xfId="10201"/>
    <cellStyle name="Normal 29 6 2 8" xfId="10202"/>
    <cellStyle name="Normal 29 6 2 9" xfId="10203"/>
    <cellStyle name="Normal 29 6 3" xfId="10204"/>
    <cellStyle name="Normal 29 6 3 2" xfId="10205"/>
    <cellStyle name="Normal 29 6 3 2 2" xfId="10206"/>
    <cellStyle name="Normal 29 6 3 2 2 2" xfId="10207"/>
    <cellStyle name="Normal 29 6 3 2 2 3" xfId="10208"/>
    <cellStyle name="Normal 29 6 3 2 3" xfId="10209"/>
    <cellStyle name="Normal 29 6 3 2 3 2" xfId="10210"/>
    <cellStyle name="Normal 29 6 3 2 3 3" xfId="10211"/>
    <cellStyle name="Normal 29 6 3 2 4" xfId="10212"/>
    <cellStyle name="Normal 29 6 3 2 5" xfId="10213"/>
    <cellStyle name="Normal 29 6 3 2 6" xfId="10214"/>
    <cellStyle name="Normal 29 6 3 2 7" xfId="10215"/>
    <cellStyle name="Normal 29 6 3 3" xfId="10216"/>
    <cellStyle name="Normal 29 6 3 3 2" xfId="10217"/>
    <cellStyle name="Normal 29 6 3 3 3" xfId="10218"/>
    <cellStyle name="Normal 29 6 3 4" xfId="10219"/>
    <cellStyle name="Normal 29 6 3 4 2" xfId="10220"/>
    <cellStyle name="Normal 29 6 3 4 3" xfId="10221"/>
    <cellStyle name="Normal 29 6 3 5" xfId="10222"/>
    <cellStyle name="Normal 29 6 3 6" xfId="10223"/>
    <cellStyle name="Normal 29 6 3 7" xfId="10224"/>
    <cellStyle name="Normal 29 6 3 8" xfId="10225"/>
    <cellStyle name="Normal 29 6 4" xfId="10226"/>
    <cellStyle name="Normal 29 6 4 2" xfId="10227"/>
    <cellStyle name="Normal 29 6 4 2 2" xfId="10228"/>
    <cellStyle name="Normal 29 6 4 2 2 2" xfId="10229"/>
    <cellStyle name="Normal 29 6 4 2 2 3" xfId="10230"/>
    <cellStyle name="Normal 29 6 4 2 3" xfId="10231"/>
    <cellStyle name="Normal 29 6 4 2 3 2" xfId="10232"/>
    <cellStyle name="Normal 29 6 4 2 3 3" xfId="10233"/>
    <cellStyle name="Normal 29 6 4 2 4" xfId="10234"/>
    <cellStyle name="Normal 29 6 4 2 5" xfId="10235"/>
    <cellStyle name="Normal 29 6 4 2 6" xfId="10236"/>
    <cellStyle name="Normal 29 6 4 2 7" xfId="10237"/>
    <cellStyle name="Normal 29 6 4 3" xfId="10238"/>
    <cellStyle name="Normal 29 6 4 3 2" xfId="10239"/>
    <cellStyle name="Normal 29 6 4 3 3" xfId="10240"/>
    <cellStyle name="Normal 29 6 4 4" xfId="10241"/>
    <cellStyle name="Normal 29 6 4 4 2" xfId="10242"/>
    <cellStyle name="Normal 29 6 4 4 3" xfId="10243"/>
    <cellStyle name="Normal 29 6 4 5" xfId="10244"/>
    <cellStyle name="Normal 29 6 4 6" xfId="10245"/>
    <cellStyle name="Normal 29 6 4 7" xfId="10246"/>
    <cellStyle name="Normal 29 6 4 8" xfId="10247"/>
    <cellStyle name="Normal 29 6 5" xfId="10248"/>
    <cellStyle name="Normal 29 6 5 2" xfId="10249"/>
    <cellStyle name="Normal 29 6 5 2 2" xfId="10250"/>
    <cellStyle name="Normal 29 6 5 2 3" xfId="10251"/>
    <cellStyle name="Normal 29 6 5 3" xfId="10252"/>
    <cellStyle name="Normal 29 6 5 3 2" xfId="10253"/>
    <cellStyle name="Normal 29 6 5 3 3" xfId="10254"/>
    <cellStyle name="Normal 29 6 5 4" xfId="10255"/>
    <cellStyle name="Normal 29 6 5 5" xfId="10256"/>
    <cellStyle name="Normal 29 6 5 6" xfId="10257"/>
    <cellStyle name="Normal 29 6 5 7" xfId="10258"/>
    <cellStyle name="Normal 29 6 6" xfId="10259"/>
    <cellStyle name="Normal 29 6 6 2" xfId="10260"/>
    <cellStyle name="Normal 29 6 6 3" xfId="10261"/>
    <cellStyle name="Normal 29 6 7" xfId="10262"/>
    <cellStyle name="Normal 29 6 7 2" xfId="10263"/>
    <cellStyle name="Normal 29 6 7 3" xfId="10264"/>
    <cellStyle name="Normal 29 6 8" xfId="10265"/>
    <cellStyle name="Normal 29 6 9" xfId="10266"/>
    <cellStyle name="Normal 29 7" xfId="10267"/>
    <cellStyle name="Normal 29 7 2" xfId="10268"/>
    <cellStyle name="Normal 29 7 2 2" xfId="10269"/>
    <cellStyle name="Normal 29 7 2 2 2" xfId="10270"/>
    <cellStyle name="Normal 29 7 2 2 2 2" xfId="10271"/>
    <cellStyle name="Normal 29 7 2 2 2 3" xfId="10272"/>
    <cellStyle name="Normal 29 7 2 2 3" xfId="10273"/>
    <cellStyle name="Normal 29 7 2 2 3 2" xfId="10274"/>
    <cellStyle name="Normal 29 7 2 2 3 3" xfId="10275"/>
    <cellStyle name="Normal 29 7 2 2 4" xfId="10276"/>
    <cellStyle name="Normal 29 7 2 2 5" xfId="10277"/>
    <cellStyle name="Normal 29 7 2 2 6" xfId="10278"/>
    <cellStyle name="Normal 29 7 2 2 7" xfId="10279"/>
    <cellStyle name="Normal 29 7 2 3" xfId="10280"/>
    <cellStyle name="Normal 29 7 2 3 2" xfId="10281"/>
    <cellStyle name="Normal 29 7 2 3 3" xfId="10282"/>
    <cellStyle name="Normal 29 7 2 4" xfId="10283"/>
    <cellStyle name="Normal 29 7 2 4 2" xfId="10284"/>
    <cellStyle name="Normal 29 7 2 4 3" xfId="10285"/>
    <cellStyle name="Normal 29 7 2 5" xfId="10286"/>
    <cellStyle name="Normal 29 7 2 6" xfId="10287"/>
    <cellStyle name="Normal 29 7 2 7" xfId="10288"/>
    <cellStyle name="Normal 29 7 2 8" xfId="10289"/>
    <cellStyle name="Normal 29 7 3" xfId="10290"/>
    <cellStyle name="Normal 29 7 3 2" xfId="10291"/>
    <cellStyle name="Normal 29 7 3 2 2" xfId="10292"/>
    <cellStyle name="Normal 29 7 3 2 3" xfId="10293"/>
    <cellStyle name="Normal 29 7 3 3" xfId="10294"/>
    <cellStyle name="Normal 29 7 3 3 2" xfId="10295"/>
    <cellStyle name="Normal 29 7 3 3 3" xfId="10296"/>
    <cellStyle name="Normal 29 7 3 4" xfId="10297"/>
    <cellStyle name="Normal 29 7 3 5" xfId="10298"/>
    <cellStyle name="Normal 29 7 3 6" xfId="10299"/>
    <cellStyle name="Normal 29 7 3 7" xfId="10300"/>
    <cellStyle name="Normal 29 7 4" xfId="10301"/>
    <cellStyle name="Normal 29 7 4 2" xfId="10302"/>
    <cellStyle name="Normal 29 7 4 3" xfId="10303"/>
    <cellStyle name="Normal 29 7 5" xfId="10304"/>
    <cellStyle name="Normal 29 7 5 2" xfId="10305"/>
    <cellStyle name="Normal 29 7 5 3" xfId="10306"/>
    <cellStyle name="Normal 29 7 6" xfId="10307"/>
    <cellStyle name="Normal 29 7 7" xfId="10308"/>
    <cellStyle name="Normal 29 7 8" xfId="10309"/>
    <cellStyle name="Normal 29 7 9" xfId="10310"/>
    <cellStyle name="Normal 29 8" xfId="10311"/>
    <cellStyle name="Normal 29 8 2" xfId="10312"/>
    <cellStyle name="Normal 29 8 2 2" xfId="10313"/>
    <cellStyle name="Normal 29 8 2 2 2" xfId="10314"/>
    <cellStyle name="Normal 29 8 2 2 3" xfId="10315"/>
    <cellStyle name="Normal 29 8 2 3" xfId="10316"/>
    <cellStyle name="Normal 29 8 2 3 2" xfId="10317"/>
    <cellStyle name="Normal 29 8 2 3 3" xfId="10318"/>
    <cellStyle name="Normal 29 8 2 4" xfId="10319"/>
    <cellStyle name="Normal 29 8 2 5" xfId="10320"/>
    <cellStyle name="Normal 29 8 2 6" xfId="10321"/>
    <cellStyle name="Normal 29 8 2 7" xfId="10322"/>
    <cellStyle name="Normal 29 8 3" xfId="10323"/>
    <cellStyle name="Normal 29 8 3 2" xfId="10324"/>
    <cellStyle name="Normal 29 8 3 3" xfId="10325"/>
    <cellStyle name="Normal 29 8 4" xfId="10326"/>
    <cellStyle name="Normal 29 8 4 2" xfId="10327"/>
    <cellStyle name="Normal 29 8 4 3" xfId="10328"/>
    <cellStyle name="Normal 29 8 5" xfId="10329"/>
    <cellStyle name="Normal 29 8 6" xfId="10330"/>
    <cellStyle name="Normal 29 8 7" xfId="10331"/>
    <cellStyle name="Normal 29 8 8" xfId="10332"/>
    <cellStyle name="Normal 29 9" xfId="10333"/>
    <cellStyle name="Normal 29 9 2" xfId="10334"/>
    <cellStyle name="Normal 29 9 2 2" xfId="10335"/>
    <cellStyle name="Normal 29 9 2 2 2" xfId="10336"/>
    <cellStyle name="Normal 29 9 2 2 3" xfId="10337"/>
    <cellStyle name="Normal 29 9 2 3" xfId="10338"/>
    <cellStyle name="Normal 29 9 2 3 2" xfId="10339"/>
    <cellStyle name="Normal 29 9 2 3 3" xfId="10340"/>
    <cellStyle name="Normal 29 9 2 4" xfId="10341"/>
    <cellStyle name="Normal 29 9 2 5" xfId="10342"/>
    <cellStyle name="Normal 29 9 2 6" xfId="10343"/>
    <cellStyle name="Normal 29 9 2 7" xfId="10344"/>
    <cellStyle name="Normal 29 9 3" xfId="10345"/>
    <cellStyle name="Normal 29 9 3 2" xfId="10346"/>
    <cellStyle name="Normal 29 9 3 3" xfId="10347"/>
    <cellStyle name="Normal 29 9 4" xfId="10348"/>
    <cellStyle name="Normal 29 9 4 2" xfId="10349"/>
    <cellStyle name="Normal 29 9 4 3" xfId="10350"/>
    <cellStyle name="Normal 29 9 5" xfId="10351"/>
    <cellStyle name="Normal 29 9 6" xfId="10352"/>
    <cellStyle name="Normal 29 9 7" xfId="10353"/>
    <cellStyle name="Normal 29 9 8" xfId="10354"/>
    <cellStyle name="Normal 3" xfId="10355"/>
    <cellStyle name="Normal 3 10" xfId="10356"/>
    <cellStyle name="Normal 3 10 10" xfId="10357"/>
    <cellStyle name="Normal 3 10 11" xfId="10358"/>
    <cellStyle name="Normal 3 10 12" xfId="10359"/>
    <cellStyle name="Normal 3 10 13" xfId="10360"/>
    <cellStyle name="Normal 3 10 14" xfId="10361"/>
    <cellStyle name="Normal 3 10 15" xfId="10362"/>
    <cellStyle name="Normal 3 10 16" xfId="10363"/>
    <cellStyle name="Normal 3 10 17" xfId="10364"/>
    <cellStyle name="Normal 3 10 18" xfId="10365"/>
    <cellStyle name="Normal 3 10 2" xfId="10366"/>
    <cellStyle name="Normal 3 10 2 2" xfId="10367"/>
    <cellStyle name="Normal 3 10 3" xfId="10368"/>
    <cellStyle name="Normal 3 10 3 2" xfId="10369"/>
    <cellStyle name="Normal 3 10 4" xfId="10370"/>
    <cellStyle name="Normal 3 10 4 2" xfId="10371"/>
    <cellStyle name="Normal 3 10 5" xfId="10372"/>
    <cellStyle name="Normal 3 10 5 2" xfId="10373"/>
    <cellStyle name="Normal 3 10 6" xfId="10374"/>
    <cellStyle name="Normal 3 10 6 2" xfId="10375"/>
    <cellStyle name="Normal 3 10 7" xfId="10376"/>
    <cellStyle name="Normal 3 10 7 2" xfId="10377"/>
    <cellStyle name="Normal 3 10 8" xfId="10378"/>
    <cellStyle name="Normal 3 10 8 2" xfId="10379"/>
    <cellStyle name="Normal 3 10 9" xfId="10380"/>
    <cellStyle name="Normal 3 11" xfId="10381"/>
    <cellStyle name="Normal 3 11 10" xfId="10382"/>
    <cellStyle name="Normal 3 11 11" xfId="10383"/>
    <cellStyle name="Normal 3 11 12" xfId="10384"/>
    <cellStyle name="Normal 3 11 13" xfId="10385"/>
    <cellStyle name="Normal 3 11 14" xfId="10386"/>
    <cellStyle name="Normal 3 11 15" xfId="10387"/>
    <cellStyle name="Normal 3 11 16" xfId="10388"/>
    <cellStyle name="Normal 3 11 17" xfId="10389"/>
    <cellStyle name="Normal 3 11 18" xfId="10390"/>
    <cellStyle name="Normal 3 11 2" xfId="10391"/>
    <cellStyle name="Normal 3 11 2 2" xfId="10392"/>
    <cellStyle name="Normal 3 11 3" xfId="10393"/>
    <cellStyle name="Normal 3 11 3 2" xfId="10394"/>
    <cellStyle name="Normal 3 11 4" xfId="10395"/>
    <cellStyle name="Normal 3 11 4 2" xfId="10396"/>
    <cellStyle name="Normal 3 11 5" xfId="10397"/>
    <cellStyle name="Normal 3 11 5 2" xfId="10398"/>
    <cellStyle name="Normal 3 11 6" xfId="10399"/>
    <cellStyle name="Normal 3 11 6 2" xfId="10400"/>
    <cellStyle name="Normal 3 11 7" xfId="10401"/>
    <cellStyle name="Normal 3 11 7 2" xfId="10402"/>
    <cellStyle name="Normal 3 11 8" xfId="10403"/>
    <cellStyle name="Normal 3 11 8 2" xfId="10404"/>
    <cellStyle name="Normal 3 11 9" xfId="10405"/>
    <cellStyle name="Normal 3 12" xfId="10406"/>
    <cellStyle name="Normal 3 12 10" xfId="10407"/>
    <cellStyle name="Normal 3 12 11" xfId="10408"/>
    <cellStyle name="Normal 3 12 12" xfId="10409"/>
    <cellStyle name="Normal 3 12 13" xfId="10410"/>
    <cellStyle name="Normal 3 12 14" xfId="10411"/>
    <cellStyle name="Normal 3 12 15" xfId="10412"/>
    <cellStyle name="Normal 3 12 16" xfId="10413"/>
    <cellStyle name="Normal 3 12 17" xfId="10414"/>
    <cellStyle name="Normal 3 12 18" xfId="10415"/>
    <cellStyle name="Normal 3 12 2" xfId="10416"/>
    <cellStyle name="Normal 3 12 2 2" xfId="10417"/>
    <cellStyle name="Normal 3 12 3" xfId="10418"/>
    <cellStyle name="Normal 3 12 3 2" xfId="10419"/>
    <cellStyle name="Normal 3 12 4" xfId="10420"/>
    <cellStyle name="Normal 3 12 4 2" xfId="10421"/>
    <cellStyle name="Normal 3 12 5" xfId="10422"/>
    <cellStyle name="Normal 3 12 5 2" xfId="10423"/>
    <cellStyle name="Normal 3 12 6" xfId="10424"/>
    <cellStyle name="Normal 3 12 6 2" xfId="10425"/>
    <cellStyle name="Normal 3 12 7" xfId="10426"/>
    <cellStyle name="Normal 3 12 7 2" xfId="10427"/>
    <cellStyle name="Normal 3 12 8" xfId="10428"/>
    <cellStyle name="Normal 3 12 8 2" xfId="10429"/>
    <cellStyle name="Normal 3 12 9" xfId="10430"/>
    <cellStyle name="Normal 3 13" xfId="10431"/>
    <cellStyle name="Normal 3 14" xfId="10432"/>
    <cellStyle name="Normal 3 15" xfId="10433"/>
    <cellStyle name="Normal 3 17" xfId="10434"/>
    <cellStyle name="Normal 3 17 2" xfId="10435"/>
    <cellStyle name="Normal 3 2" xfId="10436"/>
    <cellStyle name="Normal 3 2 10" xfId="10437"/>
    <cellStyle name="Normal 3 2 10 10" xfId="10438"/>
    <cellStyle name="Normal 3 2 10 11" xfId="10439"/>
    <cellStyle name="Normal 3 2 10 12" xfId="10440"/>
    <cellStyle name="Normal 3 2 10 13" xfId="10441"/>
    <cellStyle name="Normal 3 2 10 14" xfId="10442"/>
    <cellStyle name="Normal 3 2 10 15" xfId="10443"/>
    <cellStyle name="Normal 3 2 10 16" xfId="10444"/>
    <cellStyle name="Normal 3 2 10 17" xfId="10445"/>
    <cellStyle name="Normal 3 2 10 18" xfId="10446"/>
    <cellStyle name="Normal 3 2 10 2" xfId="10447"/>
    <cellStyle name="Normal 3 2 10 2 2" xfId="10448"/>
    <cellStyle name="Normal 3 2 10 3" xfId="10449"/>
    <cellStyle name="Normal 3 2 10 3 2" xfId="10450"/>
    <cellStyle name="Normal 3 2 10 4" xfId="10451"/>
    <cellStyle name="Normal 3 2 10 4 2" xfId="10452"/>
    <cellStyle name="Normal 3 2 10 5" xfId="10453"/>
    <cellStyle name="Normal 3 2 10 5 2" xfId="10454"/>
    <cellStyle name="Normal 3 2 10 6" xfId="10455"/>
    <cellStyle name="Normal 3 2 10 6 2" xfId="10456"/>
    <cellStyle name="Normal 3 2 10 7" xfId="10457"/>
    <cellStyle name="Normal 3 2 10 7 2" xfId="10458"/>
    <cellStyle name="Normal 3 2 10 8" xfId="10459"/>
    <cellStyle name="Normal 3 2 10 8 2" xfId="10460"/>
    <cellStyle name="Normal 3 2 10 9" xfId="10461"/>
    <cellStyle name="Normal 3 2 11" xfId="10462"/>
    <cellStyle name="Normal 3 2 11 2" xfId="10463"/>
    <cellStyle name="Normal 3 2 12" xfId="10464"/>
    <cellStyle name="Normal 3 2 12 2" xfId="10465"/>
    <cellStyle name="Normal 3 2 13" xfId="10466"/>
    <cellStyle name="Normal 3 2 13 2" xfId="10467"/>
    <cellStyle name="Normal 3 2 14" xfId="10468"/>
    <cellStyle name="Normal 3 2 14 2" xfId="10469"/>
    <cellStyle name="Normal 3 2 15" xfId="10470"/>
    <cellStyle name="Normal 3 2 15 2" xfId="10471"/>
    <cellStyle name="Normal 3 2 16" xfId="10472"/>
    <cellStyle name="Normal 3 2 16 2" xfId="10473"/>
    <cellStyle name="Normal 3 2 17" xfId="10474"/>
    <cellStyle name="Normal 3 2 17 2" xfId="10475"/>
    <cellStyle name="Normal 3 2 18" xfId="10476"/>
    <cellStyle name="Normal 3 2 19" xfId="10477"/>
    <cellStyle name="Normal 3 2 2" xfId="10478"/>
    <cellStyle name="Normal 3 2 2 10" xfId="10479"/>
    <cellStyle name="Normal 3 2 2 11" xfId="10480"/>
    <cellStyle name="Normal 3 2 2 12" xfId="10481"/>
    <cellStyle name="Normal 3 2 2 13" xfId="10482"/>
    <cellStyle name="Normal 3 2 2 14" xfId="10483"/>
    <cellStyle name="Normal 3 2 2 15" xfId="10484"/>
    <cellStyle name="Normal 3 2 2 16" xfId="10485"/>
    <cellStyle name="Normal 3 2 2 17" xfId="10486"/>
    <cellStyle name="Normal 3 2 2 18" xfId="10487"/>
    <cellStyle name="Normal 3 2 2 2" xfId="10488"/>
    <cellStyle name="Normal 3 2 2 2 2" xfId="10489"/>
    <cellStyle name="Normal 3 2 2 2 3" xfId="10490"/>
    <cellStyle name="Normal 3 2 2 3" xfId="10491"/>
    <cellStyle name="Normal 3 2 2 3 2" xfId="10492"/>
    <cellStyle name="Normal 3 2 2 4" xfId="10493"/>
    <cellStyle name="Normal 3 2 2 4 2" xfId="10494"/>
    <cellStyle name="Normal 3 2 2 5" xfId="10495"/>
    <cellStyle name="Normal 3 2 2 5 2" xfId="10496"/>
    <cellStyle name="Normal 3 2 2 6" xfId="10497"/>
    <cellStyle name="Normal 3 2 2 6 2" xfId="10498"/>
    <cellStyle name="Normal 3 2 2 7" xfId="10499"/>
    <cellStyle name="Normal 3 2 2 7 2" xfId="10500"/>
    <cellStyle name="Normal 3 2 2 8" xfId="10501"/>
    <cellStyle name="Normal 3 2 2 8 2" xfId="10502"/>
    <cellStyle name="Normal 3 2 2 9" xfId="10503"/>
    <cellStyle name="Normal 3 2 2_1 Renovation of OP 5" xfId="10504"/>
    <cellStyle name="Normal 3 2 20" xfId="10505"/>
    <cellStyle name="Normal 3 2 21" xfId="10506"/>
    <cellStyle name="Normal 3 2 22" xfId="10507"/>
    <cellStyle name="Normal 3 2 23" xfId="10508"/>
    <cellStyle name="Normal 3 2 24" xfId="10509"/>
    <cellStyle name="Normal 3 2 25" xfId="10510"/>
    <cellStyle name="Normal 3 2 26" xfId="10511"/>
    <cellStyle name="Normal 3 2 27" xfId="10512"/>
    <cellStyle name="Normal 3 2 3" xfId="10513"/>
    <cellStyle name="Normal 3 2 3 10" xfId="10514"/>
    <cellStyle name="Normal 3 2 3 11" xfId="10515"/>
    <cellStyle name="Normal 3 2 3 12" xfId="10516"/>
    <cellStyle name="Normal 3 2 3 13" xfId="10517"/>
    <cellStyle name="Normal 3 2 3 14" xfId="10518"/>
    <cellStyle name="Normal 3 2 3 15" xfId="10519"/>
    <cellStyle name="Normal 3 2 3 16" xfId="10520"/>
    <cellStyle name="Normal 3 2 3 17" xfId="10521"/>
    <cellStyle name="Normal 3 2 3 18" xfId="10522"/>
    <cellStyle name="Normal 3 2 3 2" xfId="10523"/>
    <cellStyle name="Normal 3 2 3 2 2" xfId="10524"/>
    <cellStyle name="Normal 3 2 3 3" xfId="10525"/>
    <cellStyle name="Normal 3 2 3 3 2" xfId="10526"/>
    <cellStyle name="Normal 3 2 3 4" xfId="10527"/>
    <cellStyle name="Normal 3 2 3 4 2" xfId="10528"/>
    <cellStyle name="Normal 3 2 3 5" xfId="10529"/>
    <cellStyle name="Normal 3 2 3 5 2" xfId="10530"/>
    <cellStyle name="Normal 3 2 3 6" xfId="10531"/>
    <cellStyle name="Normal 3 2 3 6 2" xfId="10532"/>
    <cellStyle name="Normal 3 2 3 7" xfId="10533"/>
    <cellStyle name="Normal 3 2 3 7 2" xfId="10534"/>
    <cellStyle name="Normal 3 2 3 8" xfId="10535"/>
    <cellStyle name="Normal 3 2 3 8 2" xfId="10536"/>
    <cellStyle name="Normal 3 2 3 9" xfId="10537"/>
    <cellStyle name="Normal 3 2 4" xfId="10538"/>
    <cellStyle name="Normal 3 2 4 10" xfId="10539"/>
    <cellStyle name="Normal 3 2 4 11" xfId="10540"/>
    <cellStyle name="Normal 3 2 4 12" xfId="10541"/>
    <cellStyle name="Normal 3 2 4 13" xfId="10542"/>
    <cellStyle name="Normal 3 2 4 14" xfId="10543"/>
    <cellStyle name="Normal 3 2 4 15" xfId="10544"/>
    <cellStyle name="Normal 3 2 4 16" xfId="10545"/>
    <cellStyle name="Normal 3 2 4 17" xfId="10546"/>
    <cellStyle name="Normal 3 2 4 18" xfId="10547"/>
    <cellStyle name="Normal 3 2 4 2" xfId="10548"/>
    <cellStyle name="Normal 3 2 4 2 2" xfId="10549"/>
    <cellStyle name="Normal 3 2 4 3" xfId="10550"/>
    <cellStyle name="Normal 3 2 4 3 2" xfId="10551"/>
    <cellStyle name="Normal 3 2 4 4" xfId="10552"/>
    <cellStyle name="Normal 3 2 4 4 2" xfId="10553"/>
    <cellStyle name="Normal 3 2 4 5" xfId="10554"/>
    <cellStyle name="Normal 3 2 4 5 2" xfId="10555"/>
    <cellStyle name="Normal 3 2 4 6" xfId="10556"/>
    <cellStyle name="Normal 3 2 4 6 2" xfId="10557"/>
    <cellStyle name="Normal 3 2 4 7" xfId="10558"/>
    <cellStyle name="Normal 3 2 4 7 2" xfId="10559"/>
    <cellStyle name="Normal 3 2 4 8" xfId="10560"/>
    <cellStyle name="Normal 3 2 4 8 2" xfId="10561"/>
    <cellStyle name="Normal 3 2 4 9" xfId="10562"/>
    <cellStyle name="Normal 3 2 5" xfId="10563"/>
    <cellStyle name="Normal 3 2 5 10" xfId="10564"/>
    <cellStyle name="Normal 3 2 5 11" xfId="10565"/>
    <cellStyle name="Normal 3 2 5 12" xfId="10566"/>
    <cellStyle name="Normal 3 2 5 13" xfId="10567"/>
    <cellStyle name="Normal 3 2 5 14" xfId="10568"/>
    <cellStyle name="Normal 3 2 5 15" xfId="10569"/>
    <cellStyle name="Normal 3 2 5 16" xfId="10570"/>
    <cellStyle name="Normal 3 2 5 17" xfId="10571"/>
    <cellStyle name="Normal 3 2 5 18" xfId="10572"/>
    <cellStyle name="Normal 3 2 5 2" xfId="10573"/>
    <cellStyle name="Normal 3 2 5 2 2" xfId="10574"/>
    <cellStyle name="Normal 3 2 5 3" xfId="10575"/>
    <cellStyle name="Normal 3 2 5 3 2" xfId="10576"/>
    <cellStyle name="Normal 3 2 5 4" xfId="10577"/>
    <cellStyle name="Normal 3 2 5 4 2" xfId="10578"/>
    <cellStyle name="Normal 3 2 5 5" xfId="10579"/>
    <cellStyle name="Normal 3 2 5 5 2" xfId="10580"/>
    <cellStyle name="Normal 3 2 5 6" xfId="10581"/>
    <cellStyle name="Normal 3 2 5 6 2" xfId="10582"/>
    <cellStyle name="Normal 3 2 5 7" xfId="10583"/>
    <cellStyle name="Normal 3 2 5 7 2" xfId="10584"/>
    <cellStyle name="Normal 3 2 5 8" xfId="10585"/>
    <cellStyle name="Normal 3 2 5 8 2" xfId="10586"/>
    <cellStyle name="Normal 3 2 5 9" xfId="10587"/>
    <cellStyle name="Normal 3 2 6" xfId="10588"/>
    <cellStyle name="Normal 3 2 6 10" xfId="10589"/>
    <cellStyle name="Normal 3 2 6 11" xfId="10590"/>
    <cellStyle name="Normal 3 2 6 12" xfId="10591"/>
    <cellStyle name="Normal 3 2 6 13" xfId="10592"/>
    <cellStyle name="Normal 3 2 6 14" xfId="10593"/>
    <cellStyle name="Normal 3 2 6 15" xfId="10594"/>
    <cellStyle name="Normal 3 2 6 16" xfId="10595"/>
    <cellStyle name="Normal 3 2 6 17" xfId="10596"/>
    <cellStyle name="Normal 3 2 6 18" xfId="10597"/>
    <cellStyle name="Normal 3 2 6 2" xfId="10598"/>
    <cellStyle name="Normal 3 2 6 2 2" xfId="10599"/>
    <cellStyle name="Normal 3 2 6 3" xfId="10600"/>
    <cellStyle name="Normal 3 2 6 3 2" xfId="10601"/>
    <cellStyle name="Normal 3 2 6 4" xfId="10602"/>
    <cellStyle name="Normal 3 2 6 4 2" xfId="10603"/>
    <cellStyle name="Normal 3 2 6 5" xfId="10604"/>
    <cellStyle name="Normal 3 2 6 5 2" xfId="10605"/>
    <cellStyle name="Normal 3 2 6 6" xfId="10606"/>
    <cellStyle name="Normal 3 2 6 6 2" xfId="10607"/>
    <cellStyle name="Normal 3 2 6 7" xfId="10608"/>
    <cellStyle name="Normal 3 2 6 7 2" xfId="10609"/>
    <cellStyle name="Normal 3 2 6 8" xfId="10610"/>
    <cellStyle name="Normal 3 2 6 8 2" xfId="10611"/>
    <cellStyle name="Normal 3 2 6 9" xfId="10612"/>
    <cellStyle name="Normal 3 2 7" xfId="10613"/>
    <cellStyle name="Normal 3 2 7 10" xfId="10614"/>
    <cellStyle name="Normal 3 2 7 11" xfId="10615"/>
    <cellStyle name="Normal 3 2 7 12" xfId="10616"/>
    <cellStyle name="Normal 3 2 7 13" xfId="10617"/>
    <cellStyle name="Normal 3 2 7 14" xfId="10618"/>
    <cellStyle name="Normal 3 2 7 15" xfId="10619"/>
    <cellStyle name="Normal 3 2 7 16" xfId="10620"/>
    <cellStyle name="Normal 3 2 7 17" xfId="10621"/>
    <cellStyle name="Normal 3 2 7 18" xfId="10622"/>
    <cellStyle name="Normal 3 2 7 2" xfId="10623"/>
    <cellStyle name="Normal 3 2 7 2 2" xfId="10624"/>
    <cellStyle name="Normal 3 2 7 3" xfId="10625"/>
    <cellStyle name="Normal 3 2 7 3 2" xfId="10626"/>
    <cellStyle name="Normal 3 2 7 4" xfId="10627"/>
    <cellStyle name="Normal 3 2 7 4 2" xfId="10628"/>
    <cellStyle name="Normal 3 2 7 5" xfId="10629"/>
    <cellStyle name="Normal 3 2 7 5 2" xfId="10630"/>
    <cellStyle name="Normal 3 2 7 6" xfId="10631"/>
    <cellStyle name="Normal 3 2 7 6 2" xfId="10632"/>
    <cellStyle name="Normal 3 2 7 7" xfId="10633"/>
    <cellStyle name="Normal 3 2 7 7 2" xfId="10634"/>
    <cellStyle name="Normal 3 2 7 8" xfId="10635"/>
    <cellStyle name="Normal 3 2 7 8 2" xfId="10636"/>
    <cellStyle name="Normal 3 2 7 9" xfId="10637"/>
    <cellStyle name="Normal 3 2 8" xfId="10638"/>
    <cellStyle name="Normal 3 2 8 10" xfId="10639"/>
    <cellStyle name="Normal 3 2 8 11" xfId="10640"/>
    <cellStyle name="Normal 3 2 8 12" xfId="10641"/>
    <cellStyle name="Normal 3 2 8 13" xfId="10642"/>
    <cellStyle name="Normal 3 2 8 14" xfId="10643"/>
    <cellStyle name="Normal 3 2 8 15" xfId="10644"/>
    <cellStyle name="Normal 3 2 8 16" xfId="10645"/>
    <cellStyle name="Normal 3 2 8 17" xfId="10646"/>
    <cellStyle name="Normal 3 2 8 18" xfId="10647"/>
    <cellStyle name="Normal 3 2 8 2" xfId="10648"/>
    <cellStyle name="Normal 3 2 8 2 2" xfId="10649"/>
    <cellStyle name="Normal 3 2 8 3" xfId="10650"/>
    <cellStyle name="Normal 3 2 8 3 2" xfId="10651"/>
    <cellStyle name="Normal 3 2 8 4" xfId="10652"/>
    <cellStyle name="Normal 3 2 8 4 2" xfId="10653"/>
    <cellStyle name="Normal 3 2 8 5" xfId="10654"/>
    <cellStyle name="Normal 3 2 8 5 2" xfId="10655"/>
    <cellStyle name="Normal 3 2 8 6" xfId="10656"/>
    <cellStyle name="Normal 3 2 8 6 2" xfId="10657"/>
    <cellStyle name="Normal 3 2 8 7" xfId="10658"/>
    <cellStyle name="Normal 3 2 8 7 2" xfId="10659"/>
    <cellStyle name="Normal 3 2 8 8" xfId="10660"/>
    <cellStyle name="Normal 3 2 8 8 2" xfId="10661"/>
    <cellStyle name="Normal 3 2 8 9" xfId="10662"/>
    <cellStyle name="Normal 3 2 9" xfId="10663"/>
    <cellStyle name="Normal 3 2 9 10" xfId="10664"/>
    <cellStyle name="Normal 3 2 9 11" xfId="10665"/>
    <cellStyle name="Normal 3 2 9 12" xfId="10666"/>
    <cellStyle name="Normal 3 2 9 13" xfId="10667"/>
    <cellStyle name="Normal 3 2 9 14" xfId="10668"/>
    <cellStyle name="Normal 3 2 9 15" xfId="10669"/>
    <cellStyle name="Normal 3 2 9 16" xfId="10670"/>
    <cellStyle name="Normal 3 2 9 17" xfId="10671"/>
    <cellStyle name="Normal 3 2 9 18" xfId="10672"/>
    <cellStyle name="Normal 3 2 9 2" xfId="10673"/>
    <cellStyle name="Normal 3 2 9 2 2" xfId="10674"/>
    <cellStyle name="Normal 3 2 9 3" xfId="10675"/>
    <cellStyle name="Normal 3 2 9 3 2" xfId="10676"/>
    <cellStyle name="Normal 3 2 9 4" xfId="10677"/>
    <cellStyle name="Normal 3 2 9 4 2" xfId="10678"/>
    <cellStyle name="Normal 3 2 9 5" xfId="10679"/>
    <cellStyle name="Normal 3 2 9 5 2" xfId="10680"/>
    <cellStyle name="Normal 3 2 9 6" xfId="10681"/>
    <cellStyle name="Normal 3 2 9 6 2" xfId="10682"/>
    <cellStyle name="Normal 3 2 9 7" xfId="10683"/>
    <cellStyle name="Normal 3 2 9 7 2" xfId="10684"/>
    <cellStyle name="Normal 3 2 9 8" xfId="10685"/>
    <cellStyle name="Normal 3 2 9 8 2" xfId="10686"/>
    <cellStyle name="Normal 3 2 9 9" xfId="10687"/>
    <cellStyle name="Normal 3 2_28 COLUMNS FOR PROPOSAL" xfId="10688"/>
    <cellStyle name="Normal 3 21" xfId="10689"/>
    <cellStyle name="Normal 3 21 2" xfId="10690"/>
    <cellStyle name="Normal 3 23" xfId="10691"/>
    <cellStyle name="Normal 3 23 2" xfId="10692"/>
    <cellStyle name="Normal 3 3" xfId="10693"/>
    <cellStyle name="Normal 3 3 2" xfId="10694"/>
    <cellStyle name="Normal 3 3 2 10" xfId="10695"/>
    <cellStyle name="Normal 3 3 2 10 10" xfId="10696"/>
    <cellStyle name="Normal 3 3 2 10 11" xfId="10697"/>
    <cellStyle name="Normal 3 3 2 10 12" xfId="10698"/>
    <cellStyle name="Normal 3 3 2 10 13" xfId="10699"/>
    <cellStyle name="Normal 3 3 2 10 2" xfId="10700"/>
    <cellStyle name="Normal 3 3 2 10 2 10" xfId="10701"/>
    <cellStyle name="Normal 3 3 2 10 2 11" xfId="10702"/>
    <cellStyle name="Normal 3 3 2 10 2 2" xfId="10703"/>
    <cellStyle name="Normal 3 3 2 10 2 3" xfId="10704"/>
    <cellStyle name="Normal 3 3 2 10 2 4" xfId="10705"/>
    <cellStyle name="Normal 3 3 2 10 2 5" xfId="10706"/>
    <cellStyle name="Normal 3 3 2 10 2 6" xfId="10707"/>
    <cellStyle name="Normal 3 3 2 10 2 7" xfId="10708"/>
    <cellStyle name="Normal 3 3 2 10 2 8" xfId="10709"/>
    <cellStyle name="Normal 3 3 2 10 2 9" xfId="10710"/>
    <cellStyle name="Normal 3 3 2 10 3" xfId="10711"/>
    <cellStyle name="Normal 3 3 2 10 3 10" xfId="10712"/>
    <cellStyle name="Normal 3 3 2 10 3 11" xfId="10713"/>
    <cellStyle name="Normal 3 3 2 10 3 2" xfId="10714"/>
    <cellStyle name="Normal 3 3 2 10 3 3" xfId="10715"/>
    <cellStyle name="Normal 3 3 2 10 3 4" xfId="10716"/>
    <cellStyle name="Normal 3 3 2 10 3 5" xfId="10717"/>
    <cellStyle name="Normal 3 3 2 10 3 6" xfId="10718"/>
    <cellStyle name="Normal 3 3 2 10 3 7" xfId="10719"/>
    <cellStyle name="Normal 3 3 2 10 3 8" xfId="10720"/>
    <cellStyle name="Normal 3 3 2 10 3 9" xfId="10721"/>
    <cellStyle name="Normal 3 3 2 10 4" xfId="10722"/>
    <cellStyle name="Normal 3 3 2 10 4 2" xfId="10723"/>
    <cellStyle name="Normal 3 3 2 10 4 3" xfId="10724"/>
    <cellStyle name="Normal 3 3 2 10 5" xfId="10725"/>
    <cellStyle name="Normal 3 3 2 10 5 2" xfId="10726"/>
    <cellStyle name="Normal 3 3 2 10 5 3" xfId="10727"/>
    <cellStyle name="Normal 3 3 2 10 6" xfId="10728"/>
    <cellStyle name="Normal 3 3 2 10 7" xfId="10729"/>
    <cellStyle name="Normal 3 3 2 10 8" xfId="10730"/>
    <cellStyle name="Normal 3 3 2 10 9" xfId="10731"/>
    <cellStyle name="Normal 3 3 2 11" xfId="10732"/>
    <cellStyle name="Normal 3 3 2 11 10" xfId="10733"/>
    <cellStyle name="Normal 3 3 2 11 11" xfId="10734"/>
    <cellStyle name="Normal 3 3 2 11 12" xfId="10735"/>
    <cellStyle name="Normal 3 3 2 11 13" xfId="10736"/>
    <cellStyle name="Normal 3 3 2 11 2" xfId="10737"/>
    <cellStyle name="Normal 3 3 2 11 2 10" xfId="10738"/>
    <cellStyle name="Normal 3 3 2 11 2 11" xfId="10739"/>
    <cellStyle name="Normal 3 3 2 11 2 2" xfId="10740"/>
    <cellStyle name="Normal 3 3 2 11 2 3" xfId="10741"/>
    <cellStyle name="Normal 3 3 2 11 2 4" xfId="10742"/>
    <cellStyle name="Normal 3 3 2 11 2 5" xfId="10743"/>
    <cellStyle name="Normal 3 3 2 11 2 6" xfId="10744"/>
    <cellStyle name="Normal 3 3 2 11 2 7" xfId="10745"/>
    <cellStyle name="Normal 3 3 2 11 2 8" xfId="10746"/>
    <cellStyle name="Normal 3 3 2 11 2 9" xfId="10747"/>
    <cellStyle name="Normal 3 3 2 11 3" xfId="10748"/>
    <cellStyle name="Normal 3 3 2 11 3 10" xfId="10749"/>
    <cellStyle name="Normal 3 3 2 11 3 11" xfId="10750"/>
    <cellStyle name="Normal 3 3 2 11 3 2" xfId="10751"/>
    <cellStyle name="Normal 3 3 2 11 3 3" xfId="10752"/>
    <cellStyle name="Normal 3 3 2 11 3 4" xfId="10753"/>
    <cellStyle name="Normal 3 3 2 11 3 5" xfId="10754"/>
    <cellStyle name="Normal 3 3 2 11 3 6" xfId="10755"/>
    <cellStyle name="Normal 3 3 2 11 3 7" xfId="10756"/>
    <cellStyle name="Normal 3 3 2 11 3 8" xfId="10757"/>
    <cellStyle name="Normal 3 3 2 11 3 9" xfId="10758"/>
    <cellStyle name="Normal 3 3 2 11 4" xfId="10759"/>
    <cellStyle name="Normal 3 3 2 11 4 2" xfId="10760"/>
    <cellStyle name="Normal 3 3 2 11 4 3" xfId="10761"/>
    <cellStyle name="Normal 3 3 2 11 5" xfId="10762"/>
    <cellStyle name="Normal 3 3 2 11 5 2" xfId="10763"/>
    <cellStyle name="Normal 3 3 2 11 5 3" xfId="10764"/>
    <cellStyle name="Normal 3 3 2 11 6" xfId="10765"/>
    <cellStyle name="Normal 3 3 2 11 7" xfId="10766"/>
    <cellStyle name="Normal 3 3 2 11 8" xfId="10767"/>
    <cellStyle name="Normal 3 3 2 11 9" xfId="10768"/>
    <cellStyle name="Normal 3 3 2 12" xfId="10769"/>
    <cellStyle name="Normal 3 3 2 12 10" xfId="10770"/>
    <cellStyle name="Normal 3 3 2 12 11" xfId="10771"/>
    <cellStyle name="Normal 3 3 2 12 12" xfId="10772"/>
    <cellStyle name="Normal 3 3 2 12 13" xfId="10773"/>
    <cellStyle name="Normal 3 3 2 12 2" xfId="10774"/>
    <cellStyle name="Normal 3 3 2 12 2 10" xfId="10775"/>
    <cellStyle name="Normal 3 3 2 12 2 11" xfId="10776"/>
    <cellStyle name="Normal 3 3 2 12 2 2" xfId="10777"/>
    <cellStyle name="Normal 3 3 2 12 2 3" xfId="10778"/>
    <cellStyle name="Normal 3 3 2 12 2 4" xfId="10779"/>
    <cellStyle name="Normal 3 3 2 12 2 5" xfId="10780"/>
    <cellStyle name="Normal 3 3 2 12 2 6" xfId="10781"/>
    <cellStyle name="Normal 3 3 2 12 2 7" xfId="10782"/>
    <cellStyle name="Normal 3 3 2 12 2 8" xfId="10783"/>
    <cellStyle name="Normal 3 3 2 12 2 9" xfId="10784"/>
    <cellStyle name="Normal 3 3 2 12 3" xfId="10785"/>
    <cellStyle name="Normal 3 3 2 12 3 10" xfId="10786"/>
    <cellStyle name="Normal 3 3 2 12 3 11" xfId="10787"/>
    <cellStyle name="Normal 3 3 2 12 3 2" xfId="10788"/>
    <cellStyle name="Normal 3 3 2 12 3 3" xfId="10789"/>
    <cellStyle name="Normal 3 3 2 12 3 4" xfId="10790"/>
    <cellStyle name="Normal 3 3 2 12 3 5" xfId="10791"/>
    <cellStyle name="Normal 3 3 2 12 3 6" xfId="10792"/>
    <cellStyle name="Normal 3 3 2 12 3 7" xfId="10793"/>
    <cellStyle name="Normal 3 3 2 12 3 8" xfId="10794"/>
    <cellStyle name="Normal 3 3 2 12 3 9" xfId="10795"/>
    <cellStyle name="Normal 3 3 2 12 4" xfId="10796"/>
    <cellStyle name="Normal 3 3 2 12 4 2" xfId="10797"/>
    <cellStyle name="Normal 3 3 2 12 4 3" xfId="10798"/>
    <cellStyle name="Normal 3 3 2 12 5" xfId="10799"/>
    <cellStyle name="Normal 3 3 2 12 5 2" xfId="10800"/>
    <cellStyle name="Normal 3 3 2 12 5 3" xfId="10801"/>
    <cellStyle name="Normal 3 3 2 12 6" xfId="10802"/>
    <cellStyle name="Normal 3 3 2 12 7" xfId="10803"/>
    <cellStyle name="Normal 3 3 2 12 8" xfId="10804"/>
    <cellStyle name="Normal 3 3 2 12 9" xfId="10805"/>
    <cellStyle name="Normal 3 3 2 13" xfId="10806"/>
    <cellStyle name="Normal 3 3 2 13 10" xfId="10807"/>
    <cellStyle name="Normal 3 3 2 13 11" xfId="10808"/>
    <cellStyle name="Normal 3 3 2 13 2" xfId="10809"/>
    <cellStyle name="Normal 3 3 2 13 3" xfId="10810"/>
    <cellStyle name="Normal 3 3 2 13 4" xfId="10811"/>
    <cellStyle name="Normal 3 3 2 13 5" xfId="10812"/>
    <cellStyle name="Normal 3 3 2 13 6" xfId="10813"/>
    <cellStyle name="Normal 3 3 2 13 7" xfId="10814"/>
    <cellStyle name="Normal 3 3 2 13 8" xfId="10815"/>
    <cellStyle name="Normal 3 3 2 13 9" xfId="10816"/>
    <cellStyle name="Normal 3 3 2 14" xfId="10817"/>
    <cellStyle name="Normal 3 3 2 14 10" xfId="10818"/>
    <cellStyle name="Normal 3 3 2 14 11" xfId="10819"/>
    <cellStyle name="Normal 3 3 2 14 2" xfId="10820"/>
    <cellStyle name="Normal 3 3 2 14 3" xfId="10821"/>
    <cellStyle name="Normal 3 3 2 14 4" xfId="10822"/>
    <cellStyle name="Normal 3 3 2 14 5" xfId="10823"/>
    <cellStyle name="Normal 3 3 2 14 6" xfId="10824"/>
    <cellStyle name="Normal 3 3 2 14 7" xfId="10825"/>
    <cellStyle name="Normal 3 3 2 14 8" xfId="10826"/>
    <cellStyle name="Normal 3 3 2 14 9" xfId="10827"/>
    <cellStyle name="Normal 3 3 2 15" xfId="10828"/>
    <cellStyle name="Normal 3 3 2 16" xfId="10829"/>
    <cellStyle name="Normal 3 3 2 17" xfId="10830"/>
    <cellStyle name="Normal 3 3 2 18" xfId="10831"/>
    <cellStyle name="Normal 3 3 2 19" xfId="10832"/>
    <cellStyle name="Normal 3 3 2 2" xfId="10833"/>
    <cellStyle name="Normal 3 3 2 2 10" xfId="10834"/>
    <cellStyle name="Normal 3 3 2 2 11" xfId="10835"/>
    <cellStyle name="Normal 3 3 2 2 12" xfId="10836"/>
    <cellStyle name="Normal 3 3 2 2 13" xfId="10837"/>
    <cellStyle name="Normal 3 3 2 2 14" xfId="10838"/>
    <cellStyle name="Normal 3 3 2 2 15" xfId="10839"/>
    <cellStyle name="Normal 3 3 2 2 16" xfId="10840"/>
    <cellStyle name="Normal 3 3 2 2 17" xfId="10841"/>
    <cellStyle name="Normal 3 3 2 2 18" xfId="10842"/>
    <cellStyle name="Normal 3 3 2 2 2" xfId="10843"/>
    <cellStyle name="Normal 3 3 2 2 2 10" xfId="10844"/>
    <cellStyle name="Normal 3 3 2 2 2 11" xfId="10845"/>
    <cellStyle name="Normal 3 3 2 2 2 12" xfId="10846"/>
    <cellStyle name="Normal 3 3 2 2 2 13" xfId="10847"/>
    <cellStyle name="Normal 3 3 2 2 2 2" xfId="10848"/>
    <cellStyle name="Normal 3 3 2 2 2 2 10" xfId="10849"/>
    <cellStyle name="Normal 3 3 2 2 2 2 11" xfId="10850"/>
    <cellStyle name="Normal 3 3 2 2 2 2 2" xfId="10851"/>
    <cellStyle name="Normal 3 3 2 2 2 2 3" xfId="10852"/>
    <cellStyle name="Normal 3 3 2 2 2 2 4" xfId="10853"/>
    <cellStyle name="Normal 3 3 2 2 2 2 5" xfId="10854"/>
    <cellStyle name="Normal 3 3 2 2 2 2 6" xfId="10855"/>
    <cellStyle name="Normal 3 3 2 2 2 2 7" xfId="10856"/>
    <cellStyle name="Normal 3 3 2 2 2 2 8" xfId="10857"/>
    <cellStyle name="Normal 3 3 2 2 2 2 9" xfId="10858"/>
    <cellStyle name="Normal 3 3 2 2 2 3" xfId="10859"/>
    <cellStyle name="Normal 3 3 2 2 2 3 10" xfId="10860"/>
    <cellStyle name="Normal 3 3 2 2 2 3 11" xfId="10861"/>
    <cellStyle name="Normal 3 3 2 2 2 3 2" xfId="10862"/>
    <cellStyle name="Normal 3 3 2 2 2 3 3" xfId="10863"/>
    <cellStyle name="Normal 3 3 2 2 2 3 4" xfId="10864"/>
    <cellStyle name="Normal 3 3 2 2 2 3 5" xfId="10865"/>
    <cellStyle name="Normal 3 3 2 2 2 3 6" xfId="10866"/>
    <cellStyle name="Normal 3 3 2 2 2 3 7" xfId="10867"/>
    <cellStyle name="Normal 3 3 2 2 2 3 8" xfId="10868"/>
    <cellStyle name="Normal 3 3 2 2 2 3 9" xfId="10869"/>
    <cellStyle name="Normal 3 3 2 2 2 4" xfId="10870"/>
    <cellStyle name="Normal 3 3 2 2 2 4 2" xfId="10871"/>
    <cellStyle name="Normal 3 3 2 2 2 4 3" xfId="10872"/>
    <cellStyle name="Normal 3 3 2 2 2 5" xfId="10873"/>
    <cellStyle name="Normal 3 3 2 2 2 6" xfId="10874"/>
    <cellStyle name="Normal 3 3 2 2 2 7" xfId="10875"/>
    <cellStyle name="Normal 3 3 2 2 2 8" xfId="10876"/>
    <cellStyle name="Normal 3 3 2 2 2 9" xfId="10877"/>
    <cellStyle name="Normal 3 3 2 2 3" xfId="10878"/>
    <cellStyle name="Normal 3 3 2 2 3 10" xfId="10879"/>
    <cellStyle name="Normal 3 3 2 2 3 11" xfId="10880"/>
    <cellStyle name="Normal 3 3 2 2 3 12" xfId="10881"/>
    <cellStyle name="Normal 3 3 2 2 3 13" xfId="10882"/>
    <cellStyle name="Normal 3 3 2 2 3 2" xfId="10883"/>
    <cellStyle name="Normal 3 3 2 2 3 2 10" xfId="10884"/>
    <cellStyle name="Normal 3 3 2 2 3 2 11" xfId="10885"/>
    <cellStyle name="Normal 3 3 2 2 3 2 2" xfId="10886"/>
    <cellStyle name="Normal 3 3 2 2 3 2 3" xfId="10887"/>
    <cellStyle name="Normal 3 3 2 2 3 2 4" xfId="10888"/>
    <cellStyle name="Normal 3 3 2 2 3 2 5" xfId="10889"/>
    <cellStyle name="Normal 3 3 2 2 3 2 6" xfId="10890"/>
    <cellStyle name="Normal 3 3 2 2 3 2 7" xfId="10891"/>
    <cellStyle name="Normal 3 3 2 2 3 2 8" xfId="10892"/>
    <cellStyle name="Normal 3 3 2 2 3 2 9" xfId="10893"/>
    <cellStyle name="Normal 3 3 2 2 3 3" xfId="10894"/>
    <cellStyle name="Normal 3 3 2 2 3 3 10" xfId="10895"/>
    <cellStyle name="Normal 3 3 2 2 3 3 11" xfId="10896"/>
    <cellStyle name="Normal 3 3 2 2 3 3 2" xfId="10897"/>
    <cellStyle name="Normal 3 3 2 2 3 3 3" xfId="10898"/>
    <cellStyle name="Normal 3 3 2 2 3 3 4" xfId="10899"/>
    <cellStyle name="Normal 3 3 2 2 3 3 5" xfId="10900"/>
    <cellStyle name="Normal 3 3 2 2 3 3 6" xfId="10901"/>
    <cellStyle name="Normal 3 3 2 2 3 3 7" xfId="10902"/>
    <cellStyle name="Normal 3 3 2 2 3 3 8" xfId="10903"/>
    <cellStyle name="Normal 3 3 2 2 3 3 9" xfId="10904"/>
    <cellStyle name="Normal 3 3 2 2 3 4" xfId="10905"/>
    <cellStyle name="Normal 3 3 2 2 3 4 2" xfId="10906"/>
    <cellStyle name="Normal 3 3 2 2 3 4 3" xfId="10907"/>
    <cellStyle name="Normal 3 3 2 2 3 5" xfId="10908"/>
    <cellStyle name="Normal 3 3 2 2 3 5 2" xfId="10909"/>
    <cellStyle name="Normal 3 3 2 2 3 5 3" xfId="10910"/>
    <cellStyle name="Normal 3 3 2 2 3 6" xfId="10911"/>
    <cellStyle name="Normal 3 3 2 2 3 7" xfId="10912"/>
    <cellStyle name="Normal 3 3 2 2 3 8" xfId="10913"/>
    <cellStyle name="Normal 3 3 2 2 3 9" xfId="10914"/>
    <cellStyle name="Normal 3 3 2 2 4" xfId="10915"/>
    <cellStyle name="Normal 3 3 2 2 4 10" xfId="10916"/>
    <cellStyle name="Normal 3 3 2 2 4 11" xfId="10917"/>
    <cellStyle name="Normal 3 3 2 2 4 12" xfId="10918"/>
    <cellStyle name="Normal 3 3 2 2 4 13" xfId="10919"/>
    <cellStyle name="Normal 3 3 2 2 4 2" xfId="10920"/>
    <cellStyle name="Normal 3 3 2 2 4 2 10" xfId="10921"/>
    <cellStyle name="Normal 3 3 2 2 4 2 11" xfId="10922"/>
    <cellStyle name="Normal 3 3 2 2 4 2 2" xfId="10923"/>
    <cellStyle name="Normal 3 3 2 2 4 2 3" xfId="10924"/>
    <cellStyle name="Normal 3 3 2 2 4 2 4" xfId="10925"/>
    <cellStyle name="Normal 3 3 2 2 4 2 5" xfId="10926"/>
    <cellStyle name="Normal 3 3 2 2 4 2 6" xfId="10927"/>
    <cellStyle name="Normal 3 3 2 2 4 2 7" xfId="10928"/>
    <cellStyle name="Normal 3 3 2 2 4 2 8" xfId="10929"/>
    <cellStyle name="Normal 3 3 2 2 4 2 9" xfId="10930"/>
    <cellStyle name="Normal 3 3 2 2 4 3" xfId="10931"/>
    <cellStyle name="Normal 3 3 2 2 4 3 10" xfId="10932"/>
    <cellStyle name="Normal 3 3 2 2 4 3 11" xfId="10933"/>
    <cellStyle name="Normal 3 3 2 2 4 3 2" xfId="10934"/>
    <cellStyle name="Normal 3 3 2 2 4 3 3" xfId="10935"/>
    <cellStyle name="Normal 3 3 2 2 4 3 4" xfId="10936"/>
    <cellStyle name="Normal 3 3 2 2 4 3 5" xfId="10937"/>
    <cellStyle name="Normal 3 3 2 2 4 3 6" xfId="10938"/>
    <cellStyle name="Normal 3 3 2 2 4 3 7" xfId="10939"/>
    <cellStyle name="Normal 3 3 2 2 4 3 8" xfId="10940"/>
    <cellStyle name="Normal 3 3 2 2 4 3 9" xfId="10941"/>
    <cellStyle name="Normal 3 3 2 2 4 4" xfId="10942"/>
    <cellStyle name="Normal 3 3 2 2 4 4 2" xfId="10943"/>
    <cellStyle name="Normal 3 3 2 2 4 4 3" xfId="10944"/>
    <cellStyle name="Normal 3 3 2 2 4 5" xfId="10945"/>
    <cellStyle name="Normal 3 3 2 2 4 5 2" xfId="10946"/>
    <cellStyle name="Normal 3 3 2 2 4 5 3" xfId="10947"/>
    <cellStyle name="Normal 3 3 2 2 4 6" xfId="10948"/>
    <cellStyle name="Normal 3 3 2 2 4 7" xfId="10949"/>
    <cellStyle name="Normal 3 3 2 2 4 8" xfId="10950"/>
    <cellStyle name="Normal 3 3 2 2 4 9" xfId="10951"/>
    <cellStyle name="Normal 3 3 2 2 5" xfId="10952"/>
    <cellStyle name="Normal 3 3 2 2 5 10" xfId="10953"/>
    <cellStyle name="Normal 3 3 2 2 5 11" xfId="10954"/>
    <cellStyle name="Normal 3 3 2 2 5 12" xfId="10955"/>
    <cellStyle name="Normal 3 3 2 2 5 13" xfId="10956"/>
    <cellStyle name="Normal 3 3 2 2 5 2" xfId="10957"/>
    <cellStyle name="Normal 3 3 2 2 5 2 10" xfId="10958"/>
    <cellStyle name="Normal 3 3 2 2 5 2 11" xfId="10959"/>
    <cellStyle name="Normal 3 3 2 2 5 2 2" xfId="10960"/>
    <cellStyle name="Normal 3 3 2 2 5 2 3" xfId="10961"/>
    <cellStyle name="Normal 3 3 2 2 5 2 4" xfId="10962"/>
    <cellStyle name="Normal 3 3 2 2 5 2 5" xfId="10963"/>
    <cellStyle name="Normal 3 3 2 2 5 2 6" xfId="10964"/>
    <cellStyle name="Normal 3 3 2 2 5 2 7" xfId="10965"/>
    <cellStyle name="Normal 3 3 2 2 5 2 8" xfId="10966"/>
    <cellStyle name="Normal 3 3 2 2 5 2 9" xfId="10967"/>
    <cellStyle name="Normal 3 3 2 2 5 3" xfId="10968"/>
    <cellStyle name="Normal 3 3 2 2 5 3 10" xfId="10969"/>
    <cellStyle name="Normal 3 3 2 2 5 3 11" xfId="10970"/>
    <cellStyle name="Normal 3 3 2 2 5 3 2" xfId="10971"/>
    <cellStyle name="Normal 3 3 2 2 5 3 3" xfId="10972"/>
    <cellStyle name="Normal 3 3 2 2 5 3 4" xfId="10973"/>
    <cellStyle name="Normal 3 3 2 2 5 3 5" xfId="10974"/>
    <cellStyle name="Normal 3 3 2 2 5 3 6" xfId="10975"/>
    <cellStyle name="Normal 3 3 2 2 5 3 7" xfId="10976"/>
    <cellStyle name="Normal 3 3 2 2 5 3 8" xfId="10977"/>
    <cellStyle name="Normal 3 3 2 2 5 3 9" xfId="10978"/>
    <cellStyle name="Normal 3 3 2 2 5 4" xfId="10979"/>
    <cellStyle name="Normal 3 3 2 2 5 4 2" xfId="10980"/>
    <cellStyle name="Normal 3 3 2 2 5 4 3" xfId="10981"/>
    <cellStyle name="Normal 3 3 2 2 5 5" xfId="10982"/>
    <cellStyle name="Normal 3 3 2 2 5 5 2" xfId="10983"/>
    <cellStyle name="Normal 3 3 2 2 5 5 3" xfId="10984"/>
    <cellStyle name="Normal 3 3 2 2 5 6" xfId="10985"/>
    <cellStyle name="Normal 3 3 2 2 5 7" xfId="10986"/>
    <cellStyle name="Normal 3 3 2 2 5 8" xfId="10987"/>
    <cellStyle name="Normal 3 3 2 2 5 9" xfId="10988"/>
    <cellStyle name="Normal 3 3 2 2 6" xfId="10989"/>
    <cellStyle name="Normal 3 3 2 2 6 10" xfId="10990"/>
    <cellStyle name="Normal 3 3 2 2 6 11" xfId="10991"/>
    <cellStyle name="Normal 3 3 2 2 6 12" xfId="10992"/>
    <cellStyle name="Normal 3 3 2 2 6 13" xfId="10993"/>
    <cellStyle name="Normal 3 3 2 2 6 2" xfId="10994"/>
    <cellStyle name="Normal 3 3 2 2 6 2 10" xfId="10995"/>
    <cellStyle name="Normal 3 3 2 2 6 2 11" xfId="10996"/>
    <cellStyle name="Normal 3 3 2 2 6 2 2" xfId="10997"/>
    <cellStyle name="Normal 3 3 2 2 6 2 3" xfId="10998"/>
    <cellStyle name="Normal 3 3 2 2 6 2 4" xfId="10999"/>
    <cellStyle name="Normal 3 3 2 2 6 2 5" xfId="11000"/>
    <cellStyle name="Normal 3 3 2 2 6 2 6" xfId="11001"/>
    <cellStyle name="Normal 3 3 2 2 6 2 7" xfId="11002"/>
    <cellStyle name="Normal 3 3 2 2 6 2 8" xfId="11003"/>
    <cellStyle name="Normal 3 3 2 2 6 2 9" xfId="11004"/>
    <cellStyle name="Normal 3 3 2 2 6 3" xfId="11005"/>
    <cellStyle name="Normal 3 3 2 2 6 3 10" xfId="11006"/>
    <cellStyle name="Normal 3 3 2 2 6 3 11" xfId="11007"/>
    <cellStyle name="Normal 3 3 2 2 6 3 2" xfId="11008"/>
    <cellStyle name="Normal 3 3 2 2 6 3 3" xfId="11009"/>
    <cellStyle name="Normal 3 3 2 2 6 3 4" xfId="11010"/>
    <cellStyle name="Normal 3 3 2 2 6 3 5" xfId="11011"/>
    <cellStyle name="Normal 3 3 2 2 6 3 6" xfId="11012"/>
    <cellStyle name="Normal 3 3 2 2 6 3 7" xfId="11013"/>
    <cellStyle name="Normal 3 3 2 2 6 3 8" xfId="11014"/>
    <cellStyle name="Normal 3 3 2 2 6 3 9" xfId="11015"/>
    <cellStyle name="Normal 3 3 2 2 6 4" xfId="11016"/>
    <cellStyle name="Normal 3 3 2 2 6 4 2" xfId="11017"/>
    <cellStyle name="Normal 3 3 2 2 6 4 3" xfId="11018"/>
    <cellStyle name="Normal 3 3 2 2 6 5" xfId="11019"/>
    <cellStyle name="Normal 3 3 2 2 6 5 2" xfId="11020"/>
    <cellStyle name="Normal 3 3 2 2 6 5 3" xfId="11021"/>
    <cellStyle name="Normal 3 3 2 2 6 6" xfId="11022"/>
    <cellStyle name="Normal 3 3 2 2 6 7" xfId="11023"/>
    <cellStyle name="Normal 3 3 2 2 6 8" xfId="11024"/>
    <cellStyle name="Normal 3 3 2 2 6 9" xfId="11025"/>
    <cellStyle name="Normal 3 3 2 2 7" xfId="11026"/>
    <cellStyle name="Normal 3 3 2 2 7 10" xfId="11027"/>
    <cellStyle name="Normal 3 3 2 2 7 11" xfId="11028"/>
    <cellStyle name="Normal 3 3 2 2 7 2" xfId="11029"/>
    <cellStyle name="Normal 3 3 2 2 7 3" xfId="11030"/>
    <cellStyle name="Normal 3 3 2 2 7 4" xfId="11031"/>
    <cellStyle name="Normal 3 3 2 2 7 5" xfId="11032"/>
    <cellStyle name="Normal 3 3 2 2 7 6" xfId="11033"/>
    <cellStyle name="Normal 3 3 2 2 7 7" xfId="11034"/>
    <cellStyle name="Normal 3 3 2 2 7 8" xfId="11035"/>
    <cellStyle name="Normal 3 3 2 2 7 9" xfId="11036"/>
    <cellStyle name="Normal 3 3 2 2 8" xfId="11037"/>
    <cellStyle name="Normal 3 3 2 2 8 10" xfId="11038"/>
    <cellStyle name="Normal 3 3 2 2 8 11" xfId="11039"/>
    <cellStyle name="Normal 3 3 2 2 8 2" xfId="11040"/>
    <cellStyle name="Normal 3 3 2 2 8 3" xfId="11041"/>
    <cellStyle name="Normal 3 3 2 2 8 4" xfId="11042"/>
    <cellStyle name="Normal 3 3 2 2 8 5" xfId="11043"/>
    <cellStyle name="Normal 3 3 2 2 8 6" xfId="11044"/>
    <cellStyle name="Normal 3 3 2 2 8 7" xfId="11045"/>
    <cellStyle name="Normal 3 3 2 2 8 8" xfId="11046"/>
    <cellStyle name="Normal 3 3 2 2 8 9" xfId="11047"/>
    <cellStyle name="Normal 3 3 2 2 9" xfId="11048"/>
    <cellStyle name="Normal 3 3 2 20" xfId="11049"/>
    <cellStyle name="Normal 3 3 2 21" xfId="11050"/>
    <cellStyle name="Normal 3 3 2 22" xfId="11051"/>
    <cellStyle name="Normal 3 3 2 23" xfId="11052"/>
    <cellStyle name="Normal 3 3 2 24" xfId="11053"/>
    <cellStyle name="Normal 3 3 2 3" xfId="11054"/>
    <cellStyle name="Normal 3 3 2 3 10" xfId="11055"/>
    <cellStyle name="Normal 3 3 2 3 11" xfId="11056"/>
    <cellStyle name="Normal 3 3 2 3 12" xfId="11057"/>
    <cellStyle name="Normal 3 3 2 3 13" xfId="11058"/>
    <cellStyle name="Normal 3 3 2 3 14" xfId="11059"/>
    <cellStyle name="Normal 3 3 2 3 15" xfId="11060"/>
    <cellStyle name="Normal 3 3 2 3 16" xfId="11061"/>
    <cellStyle name="Normal 3 3 2 3 17" xfId="11062"/>
    <cellStyle name="Normal 3 3 2 3 18" xfId="11063"/>
    <cellStyle name="Normal 3 3 2 3 2" xfId="11064"/>
    <cellStyle name="Normal 3 3 2 3 2 10" xfId="11065"/>
    <cellStyle name="Normal 3 3 2 3 2 11" xfId="11066"/>
    <cellStyle name="Normal 3 3 2 3 2 12" xfId="11067"/>
    <cellStyle name="Normal 3 3 2 3 2 13" xfId="11068"/>
    <cellStyle name="Normal 3 3 2 3 2 2" xfId="11069"/>
    <cellStyle name="Normal 3 3 2 3 2 2 10" xfId="11070"/>
    <cellStyle name="Normal 3 3 2 3 2 2 11" xfId="11071"/>
    <cellStyle name="Normal 3 3 2 3 2 2 2" xfId="11072"/>
    <cellStyle name="Normal 3 3 2 3 2 2 3" xfId="11073"/>
    <cellStyle name="Normal 3 3 2 3 2 2 4" xfId="11074"/>
    <cellStyle name="Normal 3 3 2 3 2 2 5" xfId="11075"/>
    <cellStyle name="Normal 3 3 2 3 2 2 6" xfId="11076"/>
    <cellStyle name="Normal 3 3 2 3 2 2 7" xfId="11077"/>
    <cellStyle name="Normal 3 3 2 3 2 2 8" xfId="11078"/>
    <cellStyle name="Normal 3 3 2 3 2 2 9" xfId="11079"/>
    <cellStyle name="Normal 3 3 2 3 2 3" xfId="11080"/>
    <cellStyle name="Normal 3 3 2 3 2 3 10" xfId="11081"/>
    <cellStyle name="Normal 3 3 2 3 2 3 11" xfId="11082"/>
    <cellStyle name="Normal 3 3 2 3 2 3 2" xfId="11083"/>
    <cellStyle name="Normal 3 3 2 3 2 3 3" xfId="11084"/>
    <cellStyle name="Normal 3 3 2 3 2 3 4" xfId="11085"/>
    <cellStyle name="Normal 3 3 2 3 2 3 5" xfId="11086"/>
    <cellStyle name="Normal 3 3 2 3 2 3 6" xfId="11087"/>
    <cellStyle name="Normal 3 3 2 3 2 3 7" xfId="11088"/>
    <cellStyle name="Normal 3 3 2 3 2 3 8" xfId="11089"/>
    <cellStyle name="Normal 3 3 2 3 2 3 9" xfId="11090"/>
    <cellStyle name="Normal 3 3 2 3 2 4" xfId="11091"/>
    <cellStyle name="Normal 3 3 2 3 2 4 2" xfId="11092"/>
    <cellStyle name="Normal 3 3 2 3 2 4 3" xfId="11093"/>
    <cellStyle name="Normal 3 3 2 3 2 5" xfId="11094"/>
    <cellStyle name="Normal 3 3 2 3 2 5 2" xfId="11095"/>
    <cellStyle name="Normal 3 3 2 3 2 5 3" xfId="11096"/>
    <cellStyle name="Normal 3 3 2 3 2 6" xfId="11097"/>
    <cellStyle name="Normal 3 3 2 3 2 7" xfId="11098"/>
    <cellStyle name="Normal 3 3 2 3 2 8" xfId="11099"/>
    <cellStyle name="Normal 3 3 2 3 2 9" xfId="11100"/>
    <cellStyle name="Normal 3 3 2 3 3" xfId="11101"/>
    <cellStyle name="Normal 3 3 2 3 3 10" xfId="11102"/>
    <cellStyle name="Normal 3 3 2 3 3 11" xfId="11103"/>
    <cellStyle name="Normal 3 3 2 3 3 12" xfId="11104"/>
    <cellStyle name="Normal 3 3 2 3 3 13" xfId="11105"/>
    <cellStyle name="Normal 3 3 2 3 3 2" xfId="11106"/>
    <cellStyle name="Normal 3 3 2 3 3 2 10" xfId="11107"/>
    <cellStyle name="Normal 3 3 2 3 3 2 11" xfId="11108"/>
    <cellStyle name="Normal 3 3 2 3 3 2 2" xfId="11109"/>
    <cellStyle name="Normal 3 3 2 3 3 2 3" xfId="11110"/>
    <cellStyle name="Normal 3 3 2 3 3 2 4" xfId="11111"/>
    <cellStyle name="Normal 3 3 2 3 3 2 5" xfId="11112"/>
    <cellStyle name="Normal 3 3 2 3 3 2 6" xfId="11113"/>
    <cellStyle name="Normal 3 3 2 3 3 2 7" xfId="11114"/>
    <cellStyle name="Normal 3 3 2 3 3 2 8" xfId="11115"/>
    <cellStyle name="Normal 3 3 2 3 3 2 9" xfId="11116"/>
    <cellStyle name="Normal 3 3 2 3 3 3" xfId="11117"/>
    <cellStyle name="Normal 3 3 2 3 3 3 10" xfId="11118"/>
    <cellStyle name="Normal 3 3 2 3 3 3 11" xfId="11119"/>
    <cellStyle name="Normal 3 3 2 3 3 3 2" xfId="11120"/>
    <cellStyle name="Normal 3 3 2 3 3 3 3" xfId="11121"/>
    <cellStyle name="Normal 3 3 2 3 3 3 4" xfId="11122"/>
    <cellStyle name="Normal 3 3 2 3 3 3 5" xfId="11123"/>
    <cellStyle name="Normal 3 3 2 3 3 3 6" xfId="11124"/>
    <cellStyle name="Normal 3 3 2 3 3 3 7" xfId="11125"/>
    <cellStyle name="Normal 3 3 2 3 3 3 8" xfId="11126"/>
    <cellStyle name="Normal 3 3 2 3 3 3 9" xfId="11127"/>
    <cellStyle name="Normal 3 3 2 3 3 4" xfId="11128"/>
    <cellStyle name="Normal 3 3 2 3 3 4 2" xfId="11129"/>
    <cellStyle name="Normal 3 3 2 3 3 4 3" xfId="11130"/>
    <cellStyle name="Normal 3 3 2 3 3 5" xfId="11131"/>
    <cellStyle name="Normal 3 3 2 3 3 5 2" xfId="11132"/>
    <cellStyle name="Normal 3 3 2 3 3 5 3" xfId="11133"/>
    <cellStyle name="Normal 3 3 2 3 3 6" xfId="11134"/>
    <cellStyle name="Normal 3 3 2 3 3 7" xfId="11135"/>
    <cellStyle name="Normal 3 3 2 3 3 8" xfId="11136"/>
    <cellStyle name="Normal 3 3 2 3 3 9" xfId="11137"/>
    <cellStyle name="Normal 3 3 2 3 4" xfId="11138"/>
    <cellStyle name="Normal 3 3 2 3 4 10" xfId="11139"/>
    <cellStyle name="Normal 3 3 2 3 4 11" xfId="11140"/>
    <cellStyle name="Normal 3 3 2 3 4 12" xfId="11141"/>
    <cellStyle name="Normal 3 3 2 3 4 13" xfId="11142"/>
    <cellStyle name="Normal 3 3 2 3 4 2" xfId="11143"/>
    <cellStyle name="Normal 3 3 2 3 4 2 10" xfId="11144"/>
    <cellStyle name="Normal 3 3 2 3 4 2 11" xfId="11145"/>
    <cellStyle name="Normal 3 3 2 3 4 2 2" xfId="11146"/>
    <cellStyle name="Normal 3 3 2 3 4 2 3" xfId="11147"/>
    <cellStyle name="Normal 3 3 2 3 4 2 4" xfId="11148"/>
    <cellStyle name="Normal 3 3 2 3 4 2 5" xfId="11149"/>
    <cellStyle name="Normal 3 3 2 3 4 2 6" xfId="11150"/>
    <cellStyle name="Normal 3 3 2 3 4 2 7" xfId="11151"/>
    <cellStyle name="Normal 3 3 2 3 4 2 8" xfId="11152"/>
    <cellStyle name="Normal 3 3 2 3 4 2 9" xfId="11153"/>
    <cellStyle name="Normal 3 3 2 3 4 3" xfId="11154"/>
    <cellStyle name="Normal 3 3 2 3 4 3 10" xfId="11155"/>
    <cellStyle name="Normal 3 3 2 3 4 3 11" xfId="11156"/>
    <cellStyle name="Normal 3 3 2 3 4 3 2" xfId="11157"/>
    <cellStyle name="Normal 3 3 2 3 4 3 3" xfId="11158"/>
    <cellStyle name="Normal 3 3 2 3 4 3 4" xfId="11159"/>
    <cellStyle name="Normal 3 3 2 3 4 3 5" xfId="11160"/>
    <cellStyle name="Normal 3 3 2 3 4 3 6" xfId="11161"/>
    <cellStyle name="Normal 3 3 2 3 4 3 7" xfId="11162"/>
    <cellStyle name="Normal 3 3 2 3 4 3 8" xfId="11163"/>
    <cellStyle name="Normal 3 3 2 3 4 3 9" xfId="11164"/>
    <cellStyle name="Normal 3 3 2 3 4 4" xfId="11165"/>
    <cellStyle name="Normal 3 3 2 3 4 4 2" xfId="11166"/>
    <cellStyle name="Normal 3 3 2 3 4 4 3" xfId="11167"/>
    <cellStyle name="Normal 3 3 2 3 4 5" xfId="11168"/>
    <cellStyle name="Normal 3 3 2 3 4 5 2" xfId="11169"/>
    <cellStyle name="Normal 3 3 2 3 4 5 3" xfId="11170"/>
    <cellStyle name="Normal 3 3 2 3 4 6" xfId="11171"/>
    <cellStyle name="Normal 3 3 2 3 4 7" xfId="11172"/>
    <cellStyle name="Normal 3 3 2 3 4 8" xfId="11173"/>
    <cellStyle name="Normal 3 3 2 3 4 9" xfId="11174"/>
    <cellStyle name="Normal 3 3 2 3 5" xfId="11175"/>
    <cellStyle name="Normal 3 3 2 3 5 10" xfId="11176"/>
    <cellStyle name="Normal 3 3 2 3 5 11" xfId="11177"/>
    <cellStyle name="Normal 3 3 2 3 5 12" xfId="11178"/>
    <cellStyle name="Normal 3 3 2 3 5 13" xfId="11179"/>
    <cellStyle name="Normal 3 3 2 3 5 2" xfId="11180"/>
    <cellStyle name="Normal 3 3 2 3 5 2 10" xfId="11181"/>
    <cellStyle name="Normal 3 3 2 3 5 2 11" xfId="11182"/>
    <cellStyle name="Normal 3 3 2 3 5 2 2" xfId="11183"/>
    <cellStyle name="Normal 3 3 2 3 5 2 3" xfId="11184"/>
    <cellStyle name="Normal 3 3 2 3 5 2 4" xfId="11185"/>
    <cellStyle name="Normal 3 3 2 3 5 2 5" xfId="11186"/>
    <cellStyle name="Normal 3 3 2 3 5 2 6" xfId="11187"/>
    <cellStyle name="Normal 3 3 2 3 5 2 7" xfId="11188"/>
    <cellStyle name="Normal 3 3 2 3 5 2 8" xfId="11189"/>
    <cellStyle name="Normal 3 3 2 3 5 2 9" xfId="11190"/>
    <cellStyle name="Normal 3 3 2 3 5 3" xfId="11191"/>
    <cellStyle name="Normal 3 3 2 3 5 3 10" xfId="11192"/>
    <cellStyle name="Normal 3 3 2 3 5 3 11" xfId="11193"/>
    <cellStyle name="Normal 3 3 2 3 5 3 2" xfId="11194"/>
    <cellStyle name="Normal 3 3 2 3 5 3 3" xfId="11195"/>
    <cellStyle name="Normal 3 3 2 3 5 3 4" xfId="11196"/>
    <cellStyle name="Normal 3 3 2 3 5 3 5" xfId="11197"/>
    <cellStyle name="Normal 3 3 2 3 5 3 6" xfId="11198"/>
    <cellStyle name="Normal 3 3 2 3 5 3 7" xfId="11199"/>
    <cellStyle name="Normal 3 3 2 3 5 3 8" xfId="11200"/>
    <cellStyle name="Normal 3 3 2 3 5 3 9" xfId="11201"/>
    <cellStyle name="Normal 3 3 2 3 5 4" xfId="11202"/>
    <cellStyle name="Normal 3 3 2 3 5 4 2" xfId="11203"/>
    <cellStyle name="Normal 3 3 2 3 5 4 3" xfId="11204"/>
    <cellStyle name="Normal 3 3 2 3 5 5" xfId="11205"/>
    <cellStyle name="Normal 3 3 2 3 5 5 2" xfId="11206"/>
    <cellStyle name="Normal 3 3 2 3 5 5 3" xfId="11207"/>
    <cellStyle name="Normal 3 3 2 3 5 6" xfId="11208"/>
    <cellStyle name="Normal 3 3 2 3 5 7" xfId="11209"/>
    <cellStyle name="Normal 3 3 2 3 5 8" xfId="11210"/>
    <cellStyle name="Normal 3 3 2 3 5 9" xfId="11211"/>
    <cellStyle name="Normal 3 3 2 3 6" xfId="11212"/>
    <cellStyle name="Normal 3 3 2 3 6 10" xfId="11213"/>
    <cellStyle name="Normal 3 3 2 3 6 11" xfId="11214"/>
    <cellStyle name="Normal 3 3 2 3 6 12" xfId="11215"/>
    <cellStyle name="Normal 3 3 2 3 6 13" xfId="11216"/>
    <cellStyle name="Normal 3 3 2 3 6 2" xfId="11217"/>
    <cellStyle name="Normal 3 3 2 3 6 2 10" xfId="11218"/>
    <cellStyle name="Normal 3 3 2 3 6 2 11" xfId="11219"/>
    <cellStyle name="Normal 3 3 2 3 6 2 2" xfId="11220"/>
    <cellStyle name="Normal 3 3 2 3 6 2 3" xfId="11221"/>
    <cellStyle name="Normal 3 3 2 3 6 2 4" xfId="11222"/>
    <cellStyle name="Normal 3 3 2 3 6 2 5" xfId="11223"/>
    <cellStyle name="Normal 3 3 2 3 6 2 6" xfId="11224"/>
    <cellStyle name="Normal 3 3 2 3 6 2 7" xfId="11225"/>
    <cellStyle name="Normal 3 3 2 3 6 2 8" xfId="11226"/>
    <cellStyle name="Normal 3 3 2 3 6 2 9" xfId="11227"/>
    <cellStyle name="Normal 3 3 2 3 6 3" xfId="11228"/>
    <cellStyle name="Normal 3 3 2 3 6 3 10" xfId="11229"/>
    <cellStyle name="Normal 3 3 2 3 6 3 11" xfId="11230"/>
    <cellStyle name="Normal 3 3 2 3 6 3 2" xfId="11231"/>
    <cellStyle name="Normal 3 3 2 3 6 3 3" xfId="11232"/>
    <cellStyle name="Normal 3 3 2 3 6 3 4" xfId="11233"/>
    <cellStyle name="Normal 3 3 2 3 6 3 5" xfId="11234"/>
    <cellStyle name="Normal 3 3 2 3 6 3 6" xfId="11235"/>
    <cellStyle name="Normal 3 3 2 3 6 3 7" xfId="11236"/>
    <cellStyle name="Normal 3 3 2 3 6 3 8" xfId="11237"/>
    <cellStyle name="Normal 3 3 2 3 6 3 9" xfId="11238"/>
    <cellStyle name="Normal 3 3 2 3 6 4" xfId="11239"/>
    <cellStyle name="Normal 3 3 2 3 6 4 2" xfId="11240"/>
    <cellStyle name="Normal 3 3 2 3 6 4 3" xfId="11241"/>
    <cellStyle name="Normal 3 3 2 3 6 5" xfId="11242"/>
    <cellStyle name="Normal 3 3 2 3 6 5 2" xfId="11243"/>
    <cellStyle name="Normal 3 3 2 3 6 5 3" xfId="11244"/>
    <cellStyle name="Normal 3 3 2 3 6 6" xfId="11245"/>
    <cellStyle name="Normal 3 3 2 3 6 7" xfId="11246"/>
    <cellStyle name="Normal 3 3 2 3 6 8" xfId="11247"/>
    <cellStyle name="Normal 3 3 2 3 6 9" xfId="11248"/>
    <cellStyle name="Normal 3 3 2 3 7" xfId="11249"/>
    <cellStyle name="Normal 3 3 2 3 7 10" xfId="11250"/>
    <cellStyle name="Normal 3 3 2 3 7 11" xfId="11251"/>
    <cellStyle name="Normal 3 3 2 3 7 2" xfId="11252"/>
    <cellStyle name="Normal 3 3 2 3 7 3" xfId="11253"/>
    <cellStyle name="Normal 3 3 2 3 7 4" xfId="11254"/>
    <cellStyle name="Normal 3 3 2 3 7 5" xfId="11255"/>
    <cellStyle name="Normal 3 3 2 3 7 6" xfId="11256"/>
    <cellStyle name="Normal 3 3 2 3 7 7" xfId="11257"/>
    <cellStyle name="Normal 3 3 2 3 7 8" xfId="11258"/>
    <cellStyle name="Normal 3 3 2 3 7 9" xfId="11259"/>
    <cellStyle name="Normal 3 3 2 3 8" xfId="11260"/>
    <cellStyle name="Normal 3 3 2 3 8 10" xfId="11261"/>
    <cellStyle name="Normal 3 3 2 3 8 11" xfId="11262"/>
    <cellStyle name="Normal 3 3 2 3 8 2" xfId="11263"/>
    <cellStyle name="Normal 3 3 2 3 8 3" xfId="11264"/>
    <cellStyle name="Normal 3 3 2 3 8 4" xfId="11265"/>
    <cellStyle name="Normal 3 3 2 3 8 5" xfId="11266"/>
    <cellStyle name="Normal 3 3 2 3 8 6" xfId="11267"/>
    <cellStyle name="Normal 3 3 2 3 8 7" xfId="11268"/>
    <cellStyle name="Normal 3 3 2 3 8 8" xfId="11269"/>
    <cellStyle name="Normal 3 3 2 3 8 9" xfId="11270"/>
    <cellStyle name="Normal 3 3 2 3 9" xfId="11271"/>
    <cellStyle name="Normal 3 3 2 4" xfId="11272"/>
    <cellStyle name="Normal 3 3 2 4 10" xfId="11273"/>
    <cellStyle name="Normal 3 3 2 4 10 2" xfId="11274"/>
    <cellStyle name="Normal 3 3 2 4 10 3" xfId="11275"/>
    <cellStyle name="Normal 3 3 2 4 11" xfId="11276"/>
    <cellStyle name="Normal 3 3 2 4 12" xfId="11277"/>
    <cellStyle name="Normal 3 3 2 4 13" xfId="11278"/>
    <cellStyle name="Normal 3 3 2 4 14" xfId="11279"/>
    <cellStyle name="Normal 3 3 2 4 15" xfId="11280"/>
    <cellStyle name="Normal 3 3 2 4 16" xfId="11281"/>
    <cellStyle name="Normal 3 3 2 4 17" xfId="11282"/>
    <cellStyle name="Normal 3 3 2 4 18" xfId="11283"/>
    <cellStyle name="Normal 3 3 2 4 2" xfId="11284"/>
    <cellStyle name="Normal 3 3 2 4 2 10" xfId="11285"/>
    <cellStyle name="Normal 3 3 2 4 2 11" xfId="11286"/>
    <cellStyle name="Normal 3 3 2 4 2 12" xfId="11287"/>
    <cellStyle name="Normal 3 3 2 4 2 13" xfId="11288"/>
    <cellStyle name="Normal 3 3 2 4 2 2" xfId="11289"/>
    <cellStyle name="Normal 3 3 2 4 2 2 10" xfId="11290"/>
    <cellStyle name="Normal 3 3 2 4 2 2 11" xfId="11291"/>
    <cellStyle name="Normal 3 3 2 4 2 2 2" xfId="11292"/>
    <cellStyle name="Normal 3 3 2 4 2 2 3" xfId="11293"/>
    <cellStyle name="Normal 3 3 2 4 2 2 4" xfId="11294"/>
    <cellStyle name="Normal 3 3 2 4 2 2 5" xfId="11295"/>
    <cellStyle name="Normal 3 3 2 4 2 2 6" xfId="11296"/>
    <cellStyle name="Normal 3 3 2 4 2 2 7" xfId="11297"/>
    <cellStyle name="Normal 3 3 2 4 2 2 8" xfId="11298"/>
    <cellStyle name="Normal 3 3 2 4 2 2 9" xfId="11299"/>
    <cellStyle name="Normal 3 3 2 4 2 3" xfId="11300"/>
    <cellStyle name="Normal 3 3 2 4 2 3 10" xfId="11301"/>
    <cellStyle name="Normal 3 3 2 4 2 3 11" xfId="11302"/>
    <cellStyle name="Normal 3 3 2 4 2 3 2" xfId="11303"/>
    <cellStyle name="Normal 3 3 2 4 2 3 3" xfId="11304"/>
    <cellStyle name="Normal 3 3 2 4 2 3 4" xfId="11305"/>
    <cellStyle name="Normal 3 3 2 4 2 3 5" xfId="11306"/>
    <cellStyle name="Normal 3 3 2 4 2 3 6" xfId="11307"/>
    <cellStyle name="Normal 3 3 2 4 2 3 7" xfId="11308"/>
    <cellStyle name="Normal 3 3 2 4 2 3 8" xfId="11309"/>
    <cellStyle name="Normal 3 3 2 4 2 3 9" xfId="11310"/>
    <cellStyle name="Normal 3 3 2 4 2 4" xfId="11311"/>
    <cellStyle name="Normal 3 3 2 4 2 4 2" xfId="11312"/>
    <cellStyle name="Normal 3 3 2 4 2 4 3" xfId="11313"/>
    <cellStyle name="Normal 3 3 2 4 2 5" xfId="11314"/>
    <cellStyle name="Normal 3 3 2 4 2 5 2" xfId="11315"/>
    <cellStyle name="Normal 3 3 2 4 2 5 3" xfId="11316"/>
    <cellStyle name="Normal 3 3 2 4 2 6" xfId="11317"/>
    <cellStyle name="Normal 3 3 2 4 2 7" xfId="11318"/>
    <cellStyle name="Normal 3 3 2 4 2 8" xfId="11319"/>
    <cellStyle name="Normal 3 3 2 4 2 9" xfId="11320"/>
    <cellStyle name="Normal 3 3 2 4 3" xfId="11321"/>
    <cellStyle name="Normal 3 3 2 4 3 10" xfId="11322"/>
    <cellStyle name="Normal 3 3 2 4 3 11" xfId="11323"/>
    <cellStyle name="Normal 3 3 2 4 3 12" xfId="11324"/>
    <cellStyle name="Normal 3 3 2 4 3 13" xfId="11325"/>
    <cellStyle name="Normal 3 3 2 4 3 2" xfId="11326"/>
    <cellStyle name="Normal 3 3 2 4 3 2 10" xfId="11327"/>
    <cellStyle name="Normal 3 3 2 4 3 2 11" xfId="11328"/>
    <cellStyle name="Normal 3 3 2 4 3 2 2" xfId="11329"/>
    <cellStyle name="Normal 3 3 2 4 3 2 3" xfId="11330"/>
    <cellStyle name="Normal 3 3 2 4 3 2 4" xfId="11331"/>
    <cellStyle name="Normal 3 3 2 4 3 2 5" xfId="11332"/>
    <cellStyle name="Normal 3 3 2 4 3 2 6" xfId="11333"/>
    <cellStyle name="Normal 3 3 2 4 3 2 7" xfId="11334"/>
    <cellStyle name="Normal 3 3 2 4 3 2 8" xfId="11335"/>
    <cellStyle name="Normal 3 3 2 4 3 2 9" xfId="11336"/>
    <cellStyle name="Normal 3 3 2 4 3 3" xfId="11337"/>
    <cellStyle name="Normal 3 3 2 4 3 3 10" xfId="11338"/>
    <cellStyle name="Normal 3 3 2 4 3 3 11" xfId="11339"/>
    <cellStyle name="Normal 3 3 2 4 3 3 2" xfId="11340"/>
    <cellStyle name="Normal 3 3 2 4 3 3 3" xfId="11341"/>
    <cellStyle name="Normal 3 3 2 4 3 3 4" xfId="11342"/>
    <cellStyle name="Normal 3 3 2 4 3 3 5" xfId="11343"/>
    <cellStyle name="Normal 3 3 2 4 3 3 6" xfId="11344"/>
    <cellStyle name="Normal 3 3 2 4 3 3 7" xfId="11345"/>
    <cellStyle name="Normal 3 3 2 4 3 3 8" xfId="11346"/>
    <cellStyle name="Normal 3 3 2 4 3 3 9" xfId="11347"/>
    <cellStyle name="Normal 3 3 2 4 3 4" xfId="11348"/>
    <cellStyle name="Normal 3 3 2 4 3 4 2" xfId="11349"/>
    <cellStyle name="Normal 3 3 2 4 3 4 3" xfId="11350"/>
    <cellStyle name="Normal 3 3 2 4 3 5" xfId="11351"/>
    <cellStyle name="Normal 3 3 2 4 3 5 2" xfId="11352"/>
    <cellStyle name="Normal 3 3 2 4 3 5 3" xfId="11353"/>
    <cellStyle name="Normal 3 3 2 4 3 6" xfId="11354"/>
    <cellStyle name="Normal 3 3 2 4 3 7" xfId="11355"/>
    <cellStyle name="Normal 3 3 2 4 3 8" xfId="11356"/>
    <cellStyle name="Normal 3 3 2 4 3 9" xfId="11357"/>
    <cellStyle name="Normal 3 3 2 4 4" xfId="11358"/>
    <cellStyle name="Normal 3 3 2 4 4 10" xfId="11359"/>
    <cellStyle name="Normal 3 3 2 4 4 11" xfId="11360"/>
    <cellStyle name="Normal 3 3 2 4 4 12" xfId="11361"/>
    <cellStyle name="Normal 3 3 2 4 4 13" xfId="11362"/>
    <cellStyle name="Normal 3 3 2 4 4 2" xfId="11363"/>
    <cellStyle name="Normal 3 3 2 4 4 2 10" xfId="11364"/>
    <cellStyle name="Normal 3 3 2 4 4 2 11" xfId="11365"/>
    <cellStyle name="Normal 3 3 2 4 4 2 2" xfId="11366"/>
    <cellStyle name="Normal 3 3 2 4 4 2 3" xfId="11367"/>
    <cellStyle name="Normal 3 3 2 4 4 2 4" xfId="11368"/>
    <cellStyle name="Normal 3 3 2 4 4 2 5" xfId="11369"/>
    <cellStyle name="Normal 3 3 2 4 4 2 6" xfId="11370"/>
    <cellStyle name="Normal 3 3 2 4 4 2 7" xfId="11371"/>
    <cellStyle name="Normal 3 3 2 4 4 2 8" xfId="11372"/>
    <cellStyle name="Normal 3 3 2 4 4 2 9" xfId="11373"/>
    <cellStyle name="Normal 3 3 2 4 4 3" xfId="11374"/>
    <cellStyle name="Normal 3 3 2 4 4 3 10" xfId="11375"/>
    <cellStyle name="Normal 3 3 2 4 4 3 11" xfId="11376"/>
    <cellStyle name="Normal 3 3 2 4 4 3 2" xfId="11377"/>
    <cellStyle name="Normal 3 3 2 4 4 3 3" xfId="11378"/>
    <cellStyle name="Normal 3 3 2 4 4 3 4" xfId="11379"/>
    <cellStyle name="Normal 3 3 2 4 4 3 5" xfId="11380"/>
    <cellStyle name="Normal 3 3 2 4 4 3 6" xfId="11381"/>
    <cellStyle name="Normal 3 3 2 4 4 3 7" xfId="11382"/>
    <cellStyle name="Normal 3 3 2 4 4 3 8" xfId="11383"/>
    <cellStyle name="Normal 3 3 2 4 4 3 9" xfId="11384"/>
    <cellStyle name="Normal 3 3 2 4 4 4" xfId="11385"/>
    <cellStyle name="Normal 3 3 2 4 4 4 2" xfId="11386"/>
    <cellStyle name="Normal 3 3 2 4 4 4 3" xfId="11387"/>
    <cellStyle name="Normal 3 3 2 4 4 5" xfId="11388"/>
    <cellStyle name="Normal 3 3 2 4 4 5 2" xfId="11389"/>
    <cellStyle name="Normal 3 3 2 4 4 5 3" xfId="11390"/>
    <cellStyle name="Normal 3 3 2 4 4 6" xfId="11391"/>
    <cellStyle name="Normal 3 3 2 4 4 7" xfId="11392"/>
    <cellStyle name="Normal 3 3 2 4 4 8" xfId="11393"/>
    <cellStyle name="Normal 3 3 2 4 4 9" xfId="11394"/>
    <cellStyle name="Normal 3 3 2 4 5" xfId="11395"/>
    <cellStyle name="Normal 3 3 2 4 5 10" xfId="11396"/>
    <cellStyle name="Normal 3 3 2 4 5 11" xfId="11397"/>
    <cellStyle name="Normal 3 3 2 4 5 12" xfId="11398"/>
    <cellStyle name="Normal 3 3 2 4 5 13" xfId="11399"/>
    <cellStyle name="Normal 3 3 2 4 5 2" xfId="11400"/>
    <cellStyle name="Normal 3 3 2 4 5 2 10" xfId="11401"/>
    <cellStyle name="Normal 3 3 2 4 5 2 11" xfId="11402"/>
    <cellStyle name="Normal 3 3 2 4 5 2 2" xfId="11403"/>
    <cellStyle name="Normal 3 3 2 4 5 2 3" xfId="11404"/>
    <cellStyle name="Normal 3 3 2 4 5 2 4" xfId="11405"/>
    <cellStyle name="Normal 3 3 2 4 5 2 5" xfId="11406"/>
    <cellStyle name="Normal 3 3 2 4 5 2 6" xfId="11407"/>
    <cellStyle name="Normal 3 3 2 4 5 2 7" xfId="11408"/>
    <cellStyle name="Normal 3 3 2 4 5 2 8" xfId="11409"/>
    <cellStyle name="Normal 3 3 2 4 5 2 9" xfId="11410"/>
    <cellStyle name="Normal 3 3 2 4 5 3" xfId="11411"/>
    <cellStyle name="Normal 3 3 2 4 5 3 10" xfId="11412"/>
    <cellStyle name="Normal 3 3 2 4 5 3 11" xfId="11413"/>
    <cellStyle name="Normal 3 3 2 4 5 3 2" xfId="11414"/>
    <cellStyle name="Normal 3 3 2 4 5 3 3" xfId="11415"/>
    <cellStyle name="Normal 3 3 2 4 5 3 4" xfId="11416"/>
    <cellStyle name="Normal 3 3 2 4 5 3 5" xfId="11417"/>
    <cellStyle name="Normal 3 3 2 4 5 3 6" xfId="11418"/>
    <cellStyle name="Normal 3 3 2 4 5 3 7" xfId="11419"/>
    <cellStyle name="Normal 3 3 2 4 5 3 8" xfId="11420"/>
    <cellStyle name="Normal 3 3 2 4 5 3 9" xfId="11421"/>
    <cellStyle name="Normal 3 3 2 4 5 4" xfId="11422"/>
    <cellStyle name="Normal 3 3 2 4 5 4 2" xfId="11423"/>
    <cellStyle name="Normal 3 3 2 4 5 4 3" xfId="11424"/>
    <cellStyle name="Normal 3 3 2 4 5 5" xfId="11425"/>
    <cellStyle name="Normal 3 3 2 4 5 5 2" xfId="11426"/>
    <cellStyle name="Normal 3 3 2 4 5 5 3" xfId="11427"/>
    <cellStyle name="Normal 3 3 2 4 5 6" xfId="11428"/>
    <cellStyle name="Normal 3 3 2 4 5 7" xfId="11429"/>
    <cellStyle name="Normal 3 3 2 4 5 8" xfId="11430"/>
    <cellStyle name="Normal 3 3 2 4 5 9" xfId="11431"/>
    <cellStyle name="Normal 3 3 2 4 6" xfId="11432"/>
    <cellStyle name="Normal 3 3 2 4 6 10" xfId="11433"/>
    <cellStyle name="Normal 3 3 2 4 6 11" xfId="11434"/>
    <cellStyle name="Normal 3 3 2 4 6 12" xfId="11435"/>
    <cellStyle name="Normal 3 3 2 4 6 13" xfId="11436"/>
    <cellStyle name="Normal 3 3 2 4 6 2" xfId="11437"/>
    <cellStyle name="Normal 3 3 2 4 6 2 10" xfId="11438"/>
    <cellStyle name="Normal 3 3 2 4 6 2 11" xfId="11439"/>
    <cellStyle name="Normal 3 3 2 4 6 2 2" xfId="11440"/>
    <cellStyle name="Normal 3 3 2 4 6 2 3" xfId="11441"/>
    <cellStyle name="Normal 3 3 2 4 6 2 4" xfId="11442"/>
    <cellStyle name="Normal 3 3 2 4 6 2 5" xfId="11443"/>
    <cellStyle name="Normal 3 3 2 4 6 2 6" xfId="11444"/>
    <cellStyle name="Normal 3 3 2 4 6 2 7" xfId="11445"/>
    <cellStyle name="Normal 3 3 2 4 6 2 8" xfId="11446"/>
    <cellStyle name="Normal 3 3 2 4 6 2 9" xfId="11447"/>
    <cellStyle name="Normal 3 3 2 4 6 3" xfId="11448"/>
    <cellStyle name="Normal 3 3 2 4 6 3 10" xfId="11449"/>
    <cellStyle name="Normal 3 3 2 4 6 3 11" xfId="11450"/>
    <cellStyle name="Normal 3 3 2 4 6 3 2" xfId="11451"/>
    <cellStyle name="Normal 3 3 2 4 6 3 3" xfId="11452"/>
    <cellStyle name="Normal 3 3 2 4 6 3 4" xfId="11453"/>
    <cellStyle name="Normal 3 3 2 4 6 3 5" xfId="11454"/>
    <cellStyle name="Normal 3 3 2 4 6 3 6" xfId="11455"/>
    <cellStyle name="Normal 3 3 2 4 6 3 7" xfId="11456"/>
    <cellStyle name="Normal 3 3 2 4 6 3 8" xfId="11457"/>
    <cellStyle name="Normal 3 3 2 4 6 3 9" xfId="11458"/>
    <cellStyle name="Normal 3 3 2 4 6 4" xfId="11459"/>
    <cellStyle name="Normal 3 3 2 4 6 4 2" xfId="11460"/>
    <cellStyle name="Normal 3 3 2 4 6 4 3" xfId="11461"/>
    <cellStyle name="Normal 3 3 2 4 6 5" xfId="11462"/>
    <cellStyle name="Normal 3 3 2 4 6 5 2" xfId="11463"/>
    <cellStyle name="Normal 3 3 2 4 6 5 3" xfId="11464"/>
    <cellStyle name="Normal 3 3 2 4 6 6" xfId="11465"/>
    <cellStyle name="Normal 3 3 2 4 6 7" xfId="11466"/>
    <cellStyle name="Normal 3 3 2 4 6 8" xfId="11467"/>
    <cellStyle name="Normal 3 3 2 4 6 9" xfId="11468"/>
    <cellStyle name="Normal 3 3 2 4 7" xfId="11469"/>
    <cellStyle name="Normal 3 3 2 4 7 10" xfId="11470"/>
    <cellStyle name="Normal 3 3 2 4 7 11" xfId="11471"/>
    <cellStyle name="Normal 3 3 2 4 7 2" xfId="11472"/>
    <cellStyle name="Normal 3 3 2 4 7 3" xfId="11473"/>
    <cellStyle name="Normal 3 3 2 4 7 4" xfId="11474"/>
    <cellStyle name="Normal 3 3 2 4 7 5" xfId="11475"/>
    <cellStyle name="Normal 3 3 2 4 7 6" xfId="11476"/>
    <cellStyle name="Normal 3 3 2 4 7 7" xfId="11477"/>
    <cellStyle name="Normal 3 3 2 4 7 8" xfId="11478"/>
    <cellStyle name="Normal 3 3 2 4 7 9" xfId="11479"/>
    <cellStyle name="Normal 3 3 2 4 8" xfId="11480"/>
    <cellStyle name="Normal 3 3 2 4 8 10" xfId="11481"/>
    <cellStyle name="Normal 3 3 2 4 8 11" xfId="11482"/>
    <cellStyle name="Normal 3 3 2 4 8 2" xfId="11483"/>
    <cellStyle name="Normal 3 3 2 4 8 3" xfId="11484"/>
    <cellStyle name="Normal 3 3 2 4 8 4" xfId="11485"/>
    <cellStyle name="Normal 3 3 2 4 8 5" xfId="11486"/>
    <cellStyle name="Normal 3 3 2 4 8 6" xfId="11487"/>
    <cellStyle name="Normal 3 3 2 4 8 7" xfId="11488"/>
    <cellStyle name="Normal 3 3 2 4 8 8" xfId="11489"/>
    <cellStyle name="Normal 3 3 2 4 8 9" xfId="11490"/>
    <cellStyle name="Normal 3 3 2 4 9" xfId="11491"/>
    <cellStyle name="Normal 3 3 2 4 9 2" xfId="11492"/>
    <cellStyle name="Normal 3 3 2 4 9 3" xfId="11493"/>
    <cellStyle name="Normal 3 3 2 5" xfId="11494"/>
    <cellStyle name="Normal 3 3 2 5 10" xfId="11495"/>
    <cellStyle name="Normal 3 3 2 5 10 2" xfId="11496"/>
    <cellStyle name="Normal 3 3 2 5 10 3" xfId="11497"/>
    <cellStyle name="Normal 3 3 2 5 11" xfId="11498"/>
    <cellStyle name="Normal 3 3 2 5 12" xfId="11499"/>
    <cellStyle name="Normal 3 3 2 5 13" xfId="11500"/>
    <cellStyle name="Normal 3 3 2 5 14" xfId="11501"/>
    <cellStyle name="Normal 3 3 2 5 15" xfId="11502"/>
    <cellStyle name="Normal 3 3 2 5 16" xfId="11503"/>
    <cellStyle name="Normal 3 3 2 5 17" xfId="11504"/>
    <cellStyle name="Normal 3 3 2 5 18" xfId="11505"/>
    <cellStyle name="Normal 3 3 2 5 2" xfId="11506"/>
    <cellStyle name="Normal 3 3 2 5 2 10" xfId="11507"/>
    <cellStyle name="Normal 3 3 2 5 2 11" xfId="11508"/>
    <cellStyle name="Normal 3 3 2 5 2 12" xfId="11509"/>
    <cellStyle name="Normal 3 3 2 5 2 13" xfId="11510"/>
    <cellStyle name="Normal 3 3 2 5 2 2" xfId="11511"/>
    <cellStyle name="Normal 3 3 2 5 2 2 10" xfId="11512"/>
    <cellStyle name="Normal 3 3 2 5 2 2 11" xfId="11513"/>
    <cellStyle name="Normal 3 3 2 5 2 2 2" xfId="11514"/>
    <cellStyle name="Normal 3 3 2 5 2 2 3" xfId="11515"/>
    <cellStyle name="Normal 3 3 2 5 2 2 4" xfId="11516"/>
    <cellStyle name="Normal 3 3 2 5 2 2 5" xfId="11517"/>
    <cellStyle name="Normal 3 3 2 5 2 2 6" xfId="11518"/>
    <cellStyle name="Normal 3 3 2 5 2 2 7" xfId="11519"/>
    <cellStyle name="Normal 3 3 2 5 2 2 8" xfId="11520"/>
    <cellStyle name="Normal 3 3 2 5 2 2 9" xfId="11521"/>
    <cellStyle name="Normal 3 3 2 5 2 3" xfId="11522"/>
    <cellStyle name="Normal 3 3 2 5 2 3 10" xfId="11523"/>
    <cellStyle name="Normal 3 3 2 5 2 3 11" xfId="11524"/>
    <cellStyle name="Normal 3 3 2 5 2 3 2" xfId="11525"/>
    <cellStyle name="Normal 3 3 2 5 2 3 3" xfId="11526"/>
    <cellStyle name="Normal 3 3 2 5 2 3 4" xfId="11527"/>
    <cellStyle name="Normal 3 3 2 5 2 3 5" xfId="11528"/>
    <cellStyle name="Normal 3 3 2 5 2 3 6" xfId="11529"/>
    <cellStyle name="Normal 3 3 2 5 2 3 7" xfId="11530"/>
    <cellStyle name="Normal 3 3 2 5 2 3 8" xfId="11531"/>
    <cellStyle name="Normal 3 3 2 5 2 3 9" xfId="11532"/>
    <cellStyle name="Normal 3 3 2 5 2 4" xfId="11533"/>
    <cellStyle name="Normal 3 3 2 5 2 4 2" xfId="11534"/>
    <cellStyle name="Normal 3 3 2 5 2 4 3" xfId="11535"/>
    <cellStyle name="Normal 3 3 2 5 2 5" xfId="11536"/>
    <cellStyle name="Normal 3 3 2 5 2 5 2" xfId="11537"/>
    <cellStyle name="Normal 3 3 2 5 2 5 3" xfId="11538"/>
    <cellStyle name="Normal 3 3 2 5 2 6" xfId="11539"/>
    <cellStyle name="Normal 3 3 2 5 2 7" xfId="11540"/>
    <cellStyle name="Normal 3 3 2 5 2 8" xfId="11541"/>
    <cellStyle name="Normal 3 3 2 5 2 9" xfId="11542"/>
    <cellStyle name="Normal 3 3 2 5 3" xfId="11543"/>
    <cellStyle name="Normal 3 3 2 5 3 10" xfId="11544"/>
    <cellStyle name="Normal 3 3 2 5 3 11" xfId="11545"/>
    <cellStyle name="Normal 3 3 2 5 3 12" xfId="11546"/>
    <cellStyle name="Normal 3 3 2 5 3 13" xfId="11547"/>
    <cellStyle name="Normal 3 3 2 5 3 2" xfId="11548"/>
    <cellStyle name="Normal 3 3 2 5 3 2 10" xfId="11549"/>
    <cellStyle name="Normal 3 3 2 5 3 2 11" xfId="11550"/>
    <cellStyle name="Normal 3 3 2 5 3 2 2" xfId="11551"/>
    <cellStyle name="Normal 3 3 2 5 3 2 3" xfId="11552"/>
    <cellStyle name="Normal 3 3 2 5 3 2 4" xfId="11553"/>
    <cellStyle name="Normal 3 3 2 5 3 2 5" xfId="11554"/>
    <cellStyle name="Normal 3 3 2 5 3 2 6" xfId="11555"/>
    <cellStyle name="Normal 3 3 2 5 3 2 7" xfId="11556"/>
    <cellStyle name="Normal 3 3 2 5 3 2 8" xfId="11557"/>
    <cellStyle name="Normal 3 3 2 5 3 2 9" xfId="11558"/>
    <cellStyle name="Normal 3 3 2 5 3 3" xfId="11559"/>
    <cellStyle name="Normal 3 3 2 5 3 3 10" xfId="11560"/>
    <cellStyle name="Normal 3 3 2 5 3 3 11" xfId="11561"/>
    <cellStyle name="Normal 3 3 2 5 3 3 2" xfId="11562"/>
    <cellStyle name="Normal 3 3 2 5 3 3 3" xfId="11563"/>
    <cellStyle name="Normal 3 3 2 5 3 3 4" xfId="11564"/>
    <cellStyle name="Normal 3 3 2 5 3 3 5" xfId="11565"/>
    <cellStyle name="Normal 3 3 2 5 3 3 6" xfId="11566"/>
    <cellStyle name="Normal 3 3 2 5 3 3 7" xfId="11567"/>
    <cellStyle name="Normal 3 3 2 5 3 3 8" xfId="11568"/>
    <cellStyle name="Normal 3 3 2 5 3 3 9" xfId="11569"/>
    <cellStyle name="Normal 3 3 2 5 3 4" xfId="11570"/>
    <cellStyle name="Normal 3 3 2 5 3 4 2" xfId="11571"/>
    <cellStyle name="Normal 3 3 2 5 3 4 3" xfId="11572"/>
    <cellStyle name="Normal 3 3 2 5 3 5" xfId="11573"/>
    <cellStyle name="Normal 3 3 2 5 3 5 2" xfId="11574"/>
    <cellStyle name="Normal 3 3 2 5 3 5 3" xfId="11575"/>
    <cellStyle name="Normal 3 3 2 5 3 6" xfId="11576"/>
    <cellStyle name="Normal 3 3 2 5 3 7" xfId="11577"/>
    <cellStyle name="Normal 3 3 2 5 3 8" xfId="11578"/>
    <cellStyle name="Normal 3 3 2 5 3 9" xfId="11579"/>
    <cellStyle name="Normal 3 3 2 5 4" xfId="11580"/>
    <cellStyle name="Normal 3 3 2 5 4 10" xfId="11581"/>
    <cellStyle name="Normal 3 3 2 5 4 11" xfId="11582"/>
    <cellStyle name="Normal 3 3 2 5 4 12" xfId="11583"/>
    <cellStyle name="Normal 3 3 2 5 4 13" xfId="11584"/>
    <cellStyle name="Normal 3 3 2 5 4 2" xfId="11585"/>
    <cellStyle name="Normal 3 3 2 5 4 2 10" xfId="11586"/>
    <cellStyle name="Normal 3 3 2 5 4 2 11" xfId="11587"/>
    <cellStyle name="Normal 3 3 2 5 4 2 2" xfId="11588"/>
    <cellStyle name="Normal 3 3 2 5 4 2 3" xfId="11589"/>
    <cellStyle name="Normal 3 3 2 5 4 2 4" xfId="11590"/>
    <cellStyle name="Normal 3 3 2 5 4 2 5" xfId="11591"/>
    <cellStyle name="Normal 3 3 2 5 4 2 6" xfId="11592"/>
    <cellStyle name="Normal 3 3 2 5 4 2 7" xfId="11593"/>
    <cellStyle name="Normal 3 3 2 5 4 2 8" xfId="11594"/>
    <cellStyle name="Normal 3 3 2 5 4 2 9" xfId="11595"/>
    <cellStyle name="Normal 3 3 2 5 4 3" xfId="11596"/>
    <cellStyle name="Normal 3 3 2 5 4 3 10" xfId="11597"/>
    <cellStyle name="Normal 3 3 2 5 4 3 11" xfId="11598"/>
    <cellStyle name="Normal 3 3 2 5 4 3 2" xfId="11599"/>
    <cellStyle name="Normal 3 3 2 5 4 3 3" xfId="11600"/>
    <cellStyle name="Normal 3 3 2 5 4 3 4" xfId="11601"/>
    <cellStyle name="Normal 3 3 2 5 4 3 5" xfId="11602"/>
    <cellStyle name="Normal 3 3 2 5 4 3 6" xfId="11603"/>
    <cellStyle name="Normal 3 3 2 5 4 3 7" xfId="11604"/>
    <cellStyle name="Normal 3 3 2 5 4 3 8" xfId="11605"/>
    <cellStyle name="Normal 3 3 2 5 4 3 9" xfId="11606"/>
    <cellStyle name="Normal 3 3 2 5 4 4" xfId="11607"/>
    <cellStyle name="Normal 3 3 2 5 4 4 2" xfId="11608"/>
    <cellStyle name="Normal 3 3 2 5 4 4 3" xfId="11609"/>
    <cellStyle name="Normal 3 3 2 5 4 5" xfId="11610"/>
    <cellStyle name="Normal 3 3 2 5 4 5 2" xfId="11611"/>
    <cellStyle name="Normal 3 3 2 5 4 5 3" xfId="11612"/>
    <cellStyle name="Normal 3 3 2 5 4 6" xfId="11613"/>
    <cellStyle name="Normal 3 3 2 5 4 7" xfId="11614"/>
    <cellStyle name="Normal 3 3 2 5 4 8" xfId="11615"/>
    <cellStyle name="Normal 3 3 2 5 4 9" xfId="11616"/>
    <cellStyle name="Normal 3 3 2 5 5" xfId="11617"/>
    <cellStyle name="Normal 3 3 2 5 5 10" xfId="11618"/>
    <cellStyle name="Normal 3 3 2 5 5 11" xfId="11619"/>
    <cellStyle name="Normal 3 3 2 5 5 12" xfId="11620"/>
    <cellStyle name="Normal 3 3 2 5 5 13" xfId="11621"/>
    <cellStyle name="Normal 3 3 2 5 5 2" xfId="11622"/>
    <cellStyle name="Normal 3 3 2 5 5 2 10" xfId="11623"/>
    <cellStyle name="Normal 3 3 2 5 5 2 11" xfId="11624"/>
    <cellStyle name="Normal 3 3 2 5 5 2 2" xfId="11625"/>
    <cellStyle name="Normal 3 3 2 5 5 2 3" xfId="11626"/>
    <cellStyle name="Normal 3 3 2 5 5 2 4" xfId="11627"/>
    <cellStyle name="Normal 3 3 2 5 5 2 5" xfId="11628"/>
    <cellStyle name="Normal 3 3 2 5 5 2 6" xfId="11629"/>
    <cellStyle name="Normal 3 3 2 5 5 2 7" xfId="11630"/>
    <cellStyle name="Normal 3 3 2 5 5 2 8" xfId="11631"/>
    <cellStyle name="Normal 3 3 2 5 5 2 9" xfId="11632"/>
    <cellStyle name="Normal 3 3 2 5 5 3" xfId="11633"/>
    <cellStyle name="Normal 3 3 2 5 5 3 10" xfId="11634"/>
    <cellStyle name="Normal 3 3 2 5 5 3 11" xfId="11635"/>
    <cellStyle name="Normal 3 3 2 5 5 3 2" xfId="11636"/>
    <cellStyle name="Normal 3 3 2 5 5 3 3" xfId="11637"/>
    <cellStyle name="Normal 3 3 2 5 5 3 4" xfId="11638"/>
    <cellStyle name="Normal 3 3 2 5 5 3 5" xfId="11639"/>
    <cellStyle name="Normal 3 3 2 5 5 3 6" xfId="11640"/>
    <cellStyle name="Normal 3 3 2 5 5 3 7" xfId="11641"/>
    <cellStyle name="Normal 3 3 2 5 5 3 8" xfId="11642"/>
    <cellStyle name="Normal 3 3 2 5 5 3 9" xfId="11643"/>
    <cellStyle name="Normal 3 3 2 5 5 4" xfId="11644"/>
    <cellStyle name="Normal 3 3 2 5 5 4 2" xfId="11645"/>
    <cellStyle name="Normal 3 3 2 5 5 4 3" xfId="11646"/>
    <cellStyle name="Normal 3 3 2 5 5 5" xfId="11647"/>
    <cellStyle name="Normal 3 3 2 5 5 5 2" xfId="11648"/>
    <cellStyle name="Normal 3 3 2 5 5 5 3" xfId="11649"/>
    <cellStyle name="Normal 3 3 2 5 5 6" xfId="11650"/>
    <cellStyle name="Normal 3 3 2 5 5 7" xfId="11651"/>
    <cellStyle name="Normal 3 3 2 5 5 8" xfId="11652"/>
    <cellStyle name="Normal 3 3 2 5 5 9" xfId="11653"/>
    <cellStyle name="Normal 3 3 2 5 6" xfId="11654"/>
    <cellStyle name="Normal 3 3 2 5 6 10" xfId="11655"/>
    <cellStyle name="Normal 3 3 2 5 6 11" xfId="11656"/>
    <cellStyle name="Normal 3 3 2 5 6 12" xfId="11657"/>
    <cellStyle name="Normal 3 3 2 5 6 13" xfId="11658"/>
    <cellStyle name="Normal 3 3 2 5 6 2" xfId="11659"/>
    <cellStyle name="Normal 3 3 2 5 6 2 10" xfId="11660"/>
    <cellStyle name="Normal 3 3 2 5 6 2 11" xfId="11661"/>
    <cellStyle name="Normal 3 3 2 5 6 2 2" xfId="11662"/>
    <cellStyle name="Normal 3 3 2 5 6 2 3" xfId="11663"/>
    <cellStyle name="Normal 3 3 2 5 6 2 4" xfId="11664"/>
    <cellStyle name="Normal 3 3 2 5 6 2 5" xfId="11665"/>
    <cellStyle name="Normal 3 3 2 5 6 2 6" xfId="11666"/>
    <cellStyle name="Normal 3 3 2 5 6 2 7" xfId="11667"/>
    <cellStyle name="Normal 3 3 2 5 6 2 8" xfId="11668"/>
    <cellStyle name="Normal 3 3 2 5 6 2 9" xfId="11669"/>
    <cellStyle name="Normal 3 3 2 5 6 3" xfId="11670"/>
    <cellStyle name="Normal 3 3 2 5 6 3 10" xfId="11671"/>
    <cellStyle name="Normal 3 3 2 5 6 3 11" xfId="11672"/>
    <cellStyle name="Normal 3 3 2 5 6 3 2" xfId="11673"/>
    <cellStyle name="Normal 3 3 2 5 6 3 3" xfId="11674"/>
    <cellStyle name="Normal 3 3 2 5 6 3 4" xfId="11675"/>
    <cellStyle name="Normal 3 3 2 5 6 3 5" xfId="11676"/>
    <cellStyle name="Normal 3 3 2 5 6 3 6" xfId="11677"/>
    <cellStyle name="Normal 3 3 2 5 6 3 7" xfId="11678"/>
    <cellStyle name="Normal 3 3 2 5 6 3 8" xfId="11679"/>
    <cellStyle name="Normal 3 3 2 5 6 3 9" xfId="11680"/>
    <cellStyle name="Normal 3 3 2 5 6 4" xfId="11681"/>
    <cellStyle name="Normal 3 3 2 5 6 4 2" xfId="11682"/>
    <cellStyle name="Normal 3 3 2 5 6 4 3" xfId="11683"/>
    <cellStyle name="Normal 3 3 2 5 6 5" xfId="11684"/>
    <cellStyle name="Normal 3 3 2 5 6 5 2" xfId="11685"/>
    <cellStyle name="Normal 3 3 2 5 6 5 3" xfId="11686"/>
    <cellStyle name="Normal 3 3 2 5 6 6" xfId="11687"/>
    <cellStyle name="Normal 3 3 2 5 6 7" xfId="11688"/>
    <cellStyle name="Normal 3 3 2 5 6 8" xfId="11689"/>
    <cellStyle name="Normal 3 3 2 5 6 9" xfId="11690"/>
    <cellStyle name="Normal 3 3 2 5 7" xfId="11691"/>
    <cellStyle name="Normal 3 3 2 5 7 10" xfId="11692"/>
    <cellStyle name="Normal 3 3 2 5 7 11" xfId="11693"/>
    <cellStyle name="Normal 3 3 2 5 7 2" xfId="11694"/>
    <cellStyle name="Normal 3 3 2 5 7 3" xfId="11695"/>
    <cellStyle name="Normal 3 3 2 5 7 4" xfId="11696"/>
    <cellStyle name="Normal 3 3 2 5 7 5" xfId="11697"/>
    <cellStyle name="Normal 3 3 2 5 7 6" xfId="11698"/>
    <cellStyle name="Normal 3 3 2 5 7 7" xfId="11699"/>
    <cellStyle name="Normal 3 3 2 5 7 8" xfId="11700"/>
    <cellStyle name="Normal 3 3 2 5 7 9" xfId="11701"/>
    <cellStyle name="Normal 3 3 2 5 8" xfId="11702"/>
    <cellStyle name="Normal 3 3 2 5 8 10" xfId="11703"/>
    <cellStyle name="Normal 3 3 2 5 8 11" xfId="11704"/>
    <cellStyle name="Normal 3 3 2 5 8 2" xfId="11705"/>
    <cellStyle name="Normal 3 3 2 5 8 3" xfId="11706"/>
    <cellStyle name="Normal 3 3 2 5 8 4" xfId="11707"/>
    <cellStyle name="Normal 3 3 2 5 8 5" xfId="11708"/>
    <cellStyle name="Normal 3 3 2 5 8 6" xfId="11709"/>
    <cellStyle name="Normal 3 3 2 5 8 7" xfId="11710"/>
    <cellStyle name="Normal 3 3 2 5 8 8" xfId="11711"/>
    <cellStyle name="Normal 3 3 2 5 8 9" xfId="11712"/>
    <cellStyle name="Normal 3 3 2 5 9" xfId="11713"/>
    <cellStyle name="Normal 3 3 2 5 9 2" xfId="11714"/>
    <cellStyle name="Normal 3 3 2 5 9 3" xfId="11715"/>
    <cellStyle name="Normal 3 3 2 6" xfId="11716"/>
    <cellStyle name="Normal 3 3 2 6 10" xfId="11717"/>
    <cellStyle name="Normal 3 3 2 6 10 2" xfId="11718"/>
    <cellStyle name="Normal 3 3 2 6 10 3" xfId="11719"/>
    <cellStyle name="Normal 3 3 2 6 11" xfId="11720"/>
    <cellStyle name="Normal 3 3 2 6 12" xfId="11721"/>
    <cellStyle name="Normal 3 3 2 6 13" xfId="11722"/>
    <cellStyle name="Normal 3 3 2 6 14" xfId="11723"/>
    <cellStyle name="Normal 3 3 2 6 15" xfId="11724"/>
    <cellStyle name="Normal 3 3 2 6 16" xfId="11725"/>
    <cellStyle name="Normal 3 3 2 6 17" xfId="11726"/>
    <cellStyle name="Normal 3 3 2 6 18" xfId="11727"/>
    <cellStyle name="Normal 3 3 2 6 2" xfId="11728"/>
    <cellStyle name="Normal 3 3 2 6 2 10" xfId="11729"/>
    <cellStyle name="Normal 3 3 2 6 2 11" xfId="11730"/>
    <cellStyle name="Normal 3 3 2 6 2 12" xfId="11731"/>
    <cellStyle name="Normal 3 3 2 6 2 13" xfId="11732"/>
    <cellStyle name="Normal 3 3 2 6 2 2" xfId="11733"/>
    <cellStyle name="Normal 3 3 2 6 2 2 10" xfId="11734"/>
    <cellStyle name="Normal 3 3 2 6 2 2 11" xfId="11735"/>
    <cellStyle name="Normal 3 3 2 6 2 2 2" xfId="11736"/>
    <cellStyle name="Normal 3 3 2 6 2 2 3" xfId="11737"/>
    <cellStyle name="Normal 3 3 2 6 2 2 4" xfId="11738"/>
    <cellStyle name="Normal 3 3 2 6 2 2 5" xfId="11739"/>
    <cellStyle name="Normal 3 3 2 6 2 2 6" xfId="11740"/>
    <cellStyle name="Normal 3 3 2 6 2 2 7" xfId="11741"/>
    <cellStyle name="Normal 3 3 2 6 2 2 8" xfId="11742"/>
    <cellStyle name="Normal 3 3 2 6 2 2 9" xfId="11743"/>
    <cellStyle name="Normal 3 3 2 6 2 3" xfId="11744"/>
    <cellStyle name="Normal 3 3 2 6 2 3 10" xfId="11745"/>
    <cellStyle name="Normal 3 3 2 6 2 3 11" xfId="11746"/>
    <cellStyle name="Normal 3 3 2 6 2 3 2" xfId="11747"/>
    <cellStyle name="Normal 3 3 2 6 2 3 3" xfId="11748"/>
    <cellStyle name="Normal 3 3 2 6 2 3 4" xfId="11749"/>
    <cellStyle name="Normal 3 3 2 6 2 3 5" xfId="11750"/>
    <cellStyle name="Normal 3 3 2 6 2 3 6" xfId="11751"/>
    <cellStyle name="Normal 3 3 2 6 2 3 7" xfId="11752"/>
    <cellStyle name="Normal 3 3 2 6 2 3 8" xfId="11753"/>
    <cellStyle name="Normal 3 3 2 6 2 3 9" xfId="11754"/>
    <cellStyle name="Normal 3 3 2 6 2 4" xfId="11755"/>
    <cellStyle name="Normal 3 3 2 6 2 4 2" xfId="11756"/>
    <cellStyle name="Normal 3 3 2 6 2 4 3" xfId="11757"/>
    <cellStyle name="Normal 3 3 2 6 2 5" xfId="11758"/>
    <cellStyle name="Normal 3 3 2 6 2 5 2" xfId="11759"/>
    <cellStyle name="Normal 3 3 2 6 2 5 3" xfId="11760"/>
    <cellStyle name="Normal 3 3 2 6 2 6" xfId="11761"/>
    <cellStyle name="Normal 3 3 2 6 2 7" xfId="11762"/>
    <cellStyle name="Normal 3 3 2 6 2 8" xfId="11763"/>
    <cellStyle name="Normal 3 3 2 6 2 9" xfId="11764"/>
    <cellStyle name="Normal 3 3 2 6 3" xfId="11765"/>
    <cellStyle name="Normal 3 3 2 6 3 10" xfId="11766"/>
    <cellStyle name="Normal 3 3 2 6 3 11" xfId="11767"/>
    <cellStyle name="Normal 3 3 2 6 3 12" xfId="11768"/>
    <cellStyle name="Normal 3 3 2 6 3 13" xfId="11769"/>
    <cellStyle name="Normal 3 3 2 6 3 2" xfId="11770"/>
    <cellStyle name="Normal 3 3 2 6 3 2 10" xfId="11771"/>
    <cellStyle name="Normal 3 3 2 6 3 2 11" xfId="11772"/>
    <cellStyle name="Normal 3 3 2 6 3 2 2" xfId="11773"/>
    <cellStyle name="Normal 3 3 2 6 3 2 3" xfId="11774"/>
    <cellStyle name="Normal 3 3 2 6 3 2 4" xfId="11775"/>
    <cellStyle name="Normal 3 3 2 6 3 2 5" xfId="11776"/>
    <cellStyle name="Normal 3 3 2 6 3 2 6" xfId="11777"/>
    <cellStyle name="Normal 3 3 2 6 3 2 7" xfId="11778"/>
    <cellStyle name="Normal 3 3 2 6 3 2 8" xfId="11779"/>
    <cellStyle name="Normal 3 3 2 6 3 2 9" xfId="11780"/>
    <cellStyle name="Normal 3 3 2 6 3 3" xfId="11781"/>
    <cellStyle name="Normal 3 3 2 6 3 3 10" xfId="11782"/>
    <cellStyle name="Normal 3 3 2 6 3 3 11" xfId="11783"/>
    <cellStyle name="Normal 3 3 2 6 3 3 2" xfId="11784"/>
    <cellStyle name="Normal 3 3 2 6 3 3 3" xfId="11785"/>
    <cellStyle name="Normal 3 3 2 6 3 3 4" xfId="11786"/>
    <cellStyle name="Normal 3 3 2 6 3 3 5" xfId="11787"/>
    <cellStyle name="Normal 3 3 2 6 3 3 6" xfId="11788"/>
    <cellStyle name="Normal 3 3 2 6 3 3 7" xfId="11789"/>
    <cellStyle name="Normal 3 3 2 6 3 3 8" xfId="11790"/>
    <cellStyle name="Normal 3 3 2 6 3 3 9" xfId="11791"/>
    <cellStyle name="Normal 3 3 2 6 3 4" xfId="11792"/>
    <cellStyle name="Normal 3 3 2 6 3 4 2" xfId="11793"/>
    <cellStyle name="Normal 3 3 2 6 3 4 3" xfId="11794"/>
    <cellStyle name="Normal 3 3 2 6 3 5" xfId="11795"/>
    <cellStyle name="Normal 3 3 2 6 3 5 2" xfId="11796"/>
    <cellStyle name="Normal 3 3 2 6 3 5 3" xfId="11797"/>
    <cellStyle name="Normal 3 3 2 6 3 6" xfId="11798"/>
    <cellStyle name="Normal 3 3 2 6 3 7" xfId="11799"/>
    <cellStyle name="Normal 3 3 2 6 3 8" xfId="11800"/>
    <cellStyle name="Normal 3 3 2 6 3 9" xfId="11801"/>
    <cellStyle name="Normal 3 3 2 6 4" xfId="11802"/>
    <cellStyle name="Normal 3 3 2 6 4 10" xfId="11803"/>
    <cellStyle name="Normal 3 3 2 6 4 11" xfId="11804"/>
    <cellStyle name="Normal 3 3 2 6 4 12" xfId="11805"/>
    <cellStyle name="Normal 3 3 2 6 4 13" xfId="11806"/>
    <cellStyle name="Normal 3 3 2 6 4 2" xfId="11807"/>
    <cellStyle name="Normal 3 3 2 6 4 2 10" xfId="11808"/>
    <cellStyle name="Normal 3 3 2 6 4 2 11" xfId="11809"/>
    <cellStyle name="Normal 3 3 2 6 4 2 2" xfId="11810"/>
    <cellStyle name="Normal 3 3 2 6 4 2 3" xfId="11811"/>
    <cellStyle name="Normal 3 3 2 6 4 2 4" xfId="11812"/>
    <cellStyle name="Normal 3 3 2 6 4 2 5" xfId="11813"/>
    <cellStyle name="Normal 3 3 2 6 4 2 6" xfId="11814"/>
    <cellStyle name="Normal 3 3 2 6 4 2 7" xfId="11815"/>
    <cellStyle name="Normal 3 3 2 6 4 2 8" xfId="11816"/>
    <cellStyle name="Normal 3 3 2 6 4 2 9" xfId="11817"/>
    <cellStyle name="Normal 3 3 2 6 4 3" xfId="11818"/>
    <cellStyle name="Normal 3 3 2 6 4 3 10" xfId="11819"/>
    <cellStyle name="Normal 3 3 2 6 4 3 11" xfId="11820"/>
    <cellStyle name="Normal 3 3 2 6 4 3 2" xfId="11821"/>
    <cellStyle name="Normal 3 3 2 6 4 3 3" xfId="11822"/>
    <cellStyle name="Normal 3 3 2 6 4 3 4" xfId="11823"/>
    <cellStyle name="Normal 3 3 2 6 4 3 5" xfId="11824"/>
    <cellStyle name="Normal 3 3 2 6 4 3 6" xfId="11825"/>
    <cellStyle name="Normal 3 3 2 6 4 3 7" xfId="11826"/>
    <cellStyle name="Normal 3 3 2 6 4 3 8" xfId="11827"/>
    <cellStyle name="Normal 3 3 2 6 4 3 9" xfId="11828"/>
    <cellStyle name="Normal 3 3 2 6 4 4" xfId="11829"/>
    <cellStyle name="Normal 3 3 2 6 4 4 2" xfId="11830"/>
    <cellStyle name="Normal 3 3 2 6 4 4 3" xfId="11831"/>
    <cellStyle name="Normal 3 3 2 6 4 5" xfId="11832"/>
    <cellStyle name="Normal 3 3 2 6 4 5 2" xfId="11833"/>
    <cellStyle name="Normal 3 3 2 6 4 5 3" xfId="11834"/>
    <cellStyle name="Normal 3 3 2 6 4 6" xfId="11835"/>
    <cellStyle name="Normal 3 3 2 6 4 7" xfId="11836"/>
    <cellStyle name="Normal 3 3 2 6 4 8" xfId="11837"/>
    <cellStyle name="Normal 3 3 2 6 4 9" xfId="11838"/>
    <cellStyle name="Normal 3 3 2 6 5" xfId="11839"/>
    <cellStyle name="Normal 3 3 2 6 5 10" xfId="11840"/>
    <cellStyle name="Normal 3 3 2 6 5 11" xfId="11841"/>
    <cellStyle name="Normal 3 3 2 6 5 12" xfId="11842"/>
    <cellStyle name="Normal 3 3 2 6 5 13" xfId="11843"/>
    <cellStyle name="Normal 3 3 2 6 5 2" xfId="11844"/>
    <cellStyle name="Normal 3 3 2 6 5 2 10" xfId="11845"/>
    <cellStyle name="Normal 3 3 2 6 5 2 11" xfId="11846"/>
    <cellStyle name="Normal 3 3 2 6 5 2 2" xfId="11847"/>
    <cellStyle name="Normal 3 3 2 6 5 2 3" xfId="11848"/>
    <cellStyle name="Normal 3 3 2 6 5 2 4" xfId="11849"/>
    <cellStyle name="Normal 3 3 2 6 5 2 5" xfId="11850"/>
    <cellStyle name="Normal 3 3 2 6 5 2 6" xfId="11851"/>
    <cellStyle name="Normal 3 3 2 6 5 2 7" xfId="11852"/>
    <cellStyle name="Normal 3 3 2 6 5 2 8" xfId="11853"/>
    <cellStyle name="Normal 3 3 2 6 5 2 9" xfId="11854"/>
    <cellStyle name="Normal 3 3 2 6 5 3" xfId="11855"/>
    <cellStyle name="Normal 3 3 2 6 5 3 10" xfId="11856"/>
    <cellStyle name="Normal 3 3 2 6 5 3 11" xfId="11857"/>
    <cellStyle name="Normal 3 3 2 6 5 3 2" xfId="11858"/>
    <cellStyle name="Normal 3 3 2 6 5 3 3" xfId="11859"/>
    <cellStyle name="Normal 3 3 2 6 5 3 4" xfId="11860"/>
    <cellStyle name="Normal 3 3 2 6 5 3 5" xfId="11861"/>
    <cellStyle name="Normal 3 3 2 6 5 3 6" xfId="11862"/>
    <cellStyle name="Normal 3 3 2 6 5 3 7" xfId="11863"/>
    <cellStyle name="Normal 3 3 2 6 5 3 8" xfId="11864"/>
    <cellStyle name="Normal 3 3 2 6 5 3 9" xfId="11865"/>
    <cellStyle name="Normal 3 3 2 6 5 4" xfId="11866"/>
    <cellStyle name="Normal 3 3 2 6 5 4 2" xfId="11867"/>
    <cellStyle name="Normal 3 3 2 6 5 4 3" xfId="11868"/>
    <cellStyle name="Normal 3 3 2 6 5 5" xfId="11869"/>
    <cellStyle name="Normal 3 3 2 6 5 5 2" xfId="11870"/>
    <cellStyle name="Normal 3 3 2 6 5 5 3" xfId="11871"/>
    <cellStyle name="Normal 3 3 2 6 5 6" xfId="11872"/>
    <cellStyle name="Normal 3 3 2 6 5 7" xfId="11873"/>
    <cellStyle name="Normal 3 3 2 6 5 8" xfId="11874"/>
    <cellStyle name="Normal 3 3 2 6 5 9" xfId="11875"/>
    <cellStyle name="Normal 3 3 2 6 6" xfId="11876"/>
    <cellStyle name="Normal 3 3 2 6 6 10" xfId="11877"/>
    <cellStyle name="Normal 3 3 2 6 6 11" xfId="11878"/>
    <cellStyle name="Normal 3 3 2 6 6 12" xfId="11879"/>
    <cellStyle name="Normal 3 3 2 6 6 13" xfId="11880"/>
    <cellStyle name="Normal 3 3 2 6 6 2" xfId="11881"/>
    <cellStyle name="Normal 3 3 2 6 6 2 10" xfId="11882"/>
    <cellStyle name="Normal 3 3 2 6 6 2 11" xfId="11883"/>
    <cellStyle name="Normal 3 3 2 6 6 2 2" xfId="11884"/>
    <cellStyle name="Normal 3 3 2 6 6 2 3" xfId="11885"/>
    <cellStyle name="Normal 3 3 2 6 6 2 4" xfId="11886"/>
    <cellStyle name="Normal 3 3 2 6 6 2 5" xfId="11887"/>
    <cellStyle name="Normal 3 3 2 6 6 2 6" xfId="11888"/>
    <cellStyle name="Normal 3 3 2 6 6 2 7" xfId="11889"/>
    <cellStyle name="Normal 3 3 2 6 6 2 8" xfId="11890"/>
    <cellStyle name="Normal 3 3 2 6 6 2 9" xfId="11891"/>
    <cellStyle name="Normal 3 3 2 6 6 3" xfId="11892"/>
    <cellStyle name="Normal 3 3 2 6 6 3 10" xfId="11893"/>
    <cellStyle name="Normal 3 3 2 6 6 3 11" xfId="11894"/>
    <cellStyle name="Normal 3 3 2 6 6 3 2" xfId="11895"/>
    <cellStyle name="Normal 3 3 2 6 6 3 3" xfId="11896"/>
    <cellStyle name="Normal 3 3 2 6 6 3 4" xfId="11897"/>
    <cellStyle name="Normal 3 3 2 6 6 3 5" xfId="11898"/>
    <cellStyle name="Normal 3 3 2 6 6 3 6" xfId="11899"/>
    <cellStyle name="Normal 3 3 2 6 6 3 7" xfId="11900"/>
    <cellStyle name="Normal 3 3 2 6 6 3 8" xfId="11901"/>
    <cellStyle name="Normal 3 3 2 6 6 3 9" xfId="11902"/>
    <cellStyle name="Normal 3 3 2 6 6 4" xfId="11903"/>
    <cellStyle name="Normal 3 3 2 6 6 4 2" xfId="11904"/>
    <cellStyle name="Normal 3 3 2 6 6 4 3" xfId="11905"/>
    <cellStyle name="Normal 3 3 2 6 6 5" xfId="11906"/>
    <cellStyle name="Normal 3 3 2 6 6 5 2" xfId="11907"/>
    <cellStyle name="Normal 3 3 2 6 6 5 3" xfId="11908"/>
    <cellStyle name="Normal 3 3 2 6 6 6" xfId="11909"/>
    <cellStyle name="Normal 3 3 2 6 6 7" xfId="11910"/>
    <cellStyle name="Normal 3 3 2 6 6 8" xfId="11911"/>
    <cellStyle name="Normal 3 3 2 6 6 9" xfId="11912"/>
    <cellStyle name="Normal 3 3 2 6 7" xfId="11913"/>
    <cellStyle name="Normal 3 3 2 6 7 10" xfId="11914"/>
    <cellStyle name="Normal 3 3 2 6 7 11" xfId="11915"/>
    <cellStyle name="Normal 3 3 2 6 7 2" xfId="11916"/>
    <cellStyle name="Normal 3 3 2 6 7 3" xfId="11917"/>
    <cellStyle name="Normal 3 3 2 6 7 4" xfId="11918"/>
    <cellStyle name="Normal 3 3 2 6 7 5" xfId="11919"/>
    <cellStyle name="Normal 3 3 2 6 7 6" xfId="11920"/>
    <cellStyle name="Normal 3 3 2 6 7 7" xfId="11921"/>
    <cellStyle name="Normal 3 3 2 6 7 8" xfId="11922"/>
    <cellStyle name="Normal 3 3 2 6 7 9" xfId="11923"/>
    <cellStyle name="Normal 3 3 2 6 8" xfId="11924"/>
    <cellStyle name="Normal 3 3 2 6 8 10" xfId="11925"/>
    <cellStyle name="Normal 3 3 2 6 8 11" xfId="11926"/>
    <cellStyle name="Normal 3 3 2 6 8 2" xfId="11927"/>
    <cellStyle name="Normal 3 3 2 6 8 3" xfId="11928"/>
    <cellStyle name="Normal 3 3 2 6 8 4" xfId="11929"/>
    <cellStyle name="Normal 3 3 2 6 8 5" xfId="11930"/>
    <cellStyle name="Normal 3 3 2 6 8 6" xfId="11931"/>
    <cellStyle name="Normal 3 3 2 6 8 7" xfId="11932"/>
    <cellStyle name="Normal 3 3 2 6 8 8" xfId="11933"/>
    <cellStyle name="Normal 3 3 2 6 8 9" xfId="11934"/>
    <cellStyle name="Normal 3 3 2 6 9" xfId="11935"/>
    <cellStyle name="Normal 3 3 2 6 9 2" xfId="11936"/>
    <cellStyle name="Normal 3 3 2 6 9 3" xfId="11937"/>
    <cellStyle name="Normal 3 3 2 7" xfId="11938"/>
    <cellStyle name="Normal 3 3 2 7 10" xfId="11939"/>
    <cellStyle name="Normal 3 3 2 7 10 2" xfId="11940"/>
    <cellStyle name="Normal 3 3 2 7 10 3" xfId="11941"/>
    <cellStyle name="Normal 3 3 2 7 11" xfId="11942"/>
    <cellStyle name="Normal 3 3 2 7 12" xfId="11943"/>
    <cellStyle name="Normal 3 3 2 7 13" xfId="11944"/>
    <cellStyle name="Normal 3 3 2 7 14" xfId="11945"/>
    <cellStyle name="Normal 3 3 2 7 15" xfId="11946"/>
    <cellStyle name="Normal 3 3 2 7 16" xfId="11947"/>
    <cellStyle name="Normal 3 3 2 7 17" xfId="11948"/>
    <cellStyle name="Normal 3 3 2 7 18" xfId="11949"/>
    <cellStyle name="Normal 3 3 2 7 2" xfId="11950"/>
    <cellStyle name="Normal 3 3 2 7 2 10" xfId="11951"/>
    <cellStyle name="Normal 3 3 2 7 2 11" xfId="11952"/>
    <cellStyle name="Normal 3 3 2 7 2 12" xfId="11953"/>
    <cellStyle name="Normal 3 3 2 7 2 13" xfId="11954"/>
    <cellStyle name="Normal 3 3 2 7 2 2" xfId="11955"/>
    <cellStyle name="Normal 3 3 2 7 2 2 10" xfId="11956"/>
    <cellStyle name="Normal 3 3 2 7 2 2 11" xfId="11957"/>
    <cellStyle name="Normal 3 3 2 7 2 2 2" xfId="11958"/>
    <cellStyle name="Normal 3 3 2 7 2 2 3" xfId="11959"/>
    <cellStyle name="Normal 3 3 2 7 2 2 4" xfId="11960"/>
    <cellStyle name="Normal 3 3 2 7 2 2 5" xfId="11961"/>
    <cellStyle name="Normal 3 3 2 7 2 2 6" xfId="11962"/>
    <cellStyle name="Normal 3 3 2 7 2 2 7" xfId="11963"/>
    <cellStyle name="Normal 3 3 2 7 2 2 8" xfId="11964"/>
    <cellStyle name="Normal 3 3 2 7 2 2 9" xfId="11965"/>
    <cellStyle name="Normal 3 3 2 7 2 3" xfId="11966"/>
    <cellStyle name="Normal 3 3 2 7 2 3 10" xfId="11967"/>
    <cellStyle name="Normal 3 3 2 7 2 3 11" xfId="11968"/>
    <cellStyle name="Normal 3 3 2 7 2 3 2" xfId="11969"/>
    <cellStyle name="Normal 3 3 2 7 2 3 3" xfId="11970"/>
    <cellStyle name="Normal 3 3 2 7 2 3 4" xfId="11971"/>
    <cellStyle name="Normal 3 3 2 7 2 3 5" xfId="11972"/>
    <cellStyle name="Normal 3 3 2 7 2 3 6" xfId="11973"/>
    <cellStyle name="Normal 3 3 2 7 2 3 7" xfId="11974"/>
    <cellStyle name="Normal 3 3 2 7 2 3 8" xfId="11975"/>
    <cellStyle name="Normal 3 3 2 7 2 3 9" xfId="11976"/>
    <cellStyle name="Normal 3 3 2 7 2 4" xfId="11977"/>
    <cellStyle name="Normal 3 3 2 7 2 4 2" xfId="11978"/>
    <cellStyle name="Normal 3 3 2 7 2 4 3" xfId="11979"/>
    <cellStyle name="Normal 3 3 2 7 2 5" xfId="11980"/>
    <cellStyle name="Normal 3 3 2 7 2 5 2" xfId="11981"/>
    <cellStyle name="Normal 3 3 2 7 2 5 3" xfId="11982"/>
    <cellStyle name="Normal 3 3 2 7 2 6" xfId="11983"/>
    <cellStyle name="Normal 3 3 2 7 2 7" xfId="11984"/>
    <cellStyle name="Normal 3 3 2 7 2 8" xfId="11985"/>
    <cellStyle name="Normal 3 3 2 7 2 9" xfId="11986"/>
    <cellStyle name="Normal 3 3 2 7 3" xfId="11987"/>
    <cellStyle name="Normal 3 3 2 7 3 10" xfId="11988"/>
    <cellStyle name="Normal 3 3 2 7 3 11" xfId="11989"/>
    <cellStyle name="Normal 3 3 2 7 3 12" xfId="11990"/>
    <cellStyle name="Normal 3 3 2 7 3 13" xfId="11991"/>
    <cellStyle name="Normal 3 3 2 7 3 2" xfId="11992"/>
    <cellStyle name="Normal 3 3 2 7 3 2 10" xfId="11993"/>
    <cellStyle name="Normal 3 3 2 7 3 2 11" xfId="11994"/>
    <cellStyle name="Normal 3 3 2 7 3 2 2" xfId="11995"/>
    <cellStyle name="Normal 3 3 2 7 3 2 3" xfId="11996"/>
    <cellStyle name="Normal 3 3 2 7 3 2 4" xfId="11997"/>
    <cellStyle name="Normal 3 3 2 7 3 2 5" xfId="11998"/>
    <cellStyle name="Normal 3 3 2 7 3 2 6" xfId="11999"/>
    <cellStyle name="Normal 3 3 2 7 3 2 7" xfId="12000"/>
    <cellStyle name="Normal 3 3 2 7 3 2 8" xfId="12001"/>
    <cellStyle name="Normal 3 3 2 7 3 2 9" xfId="12002"/>
    <cellStyle name="Normal 3 3 2 7 3 3" xfId="12003"/>
    <cellStyle name="Normal 3 3 2 7 3 3 10" xfId="12004"/>
    <cellStyle name="Normal 3 3 2 7 3 3 11" xfId="12005"/>
    <cellStyle name="Normal 3 3 2 7 3 3 2" xfId="12006"/>
    <cellStyle name="Normal 3 3 2 7 3 3 3" xfId="12007"/>
    <cellStyle name="Normal 3 3 2 7 3 3 4" xfId="12008"/>
    <cellStyle name="Normal 3 3 2 7 3 3 5" xfId="12009"/>
    <cellStyle name="Normal 3 3 2 7 3 3 6" xfId="12010"/>
    <cellStyle name="Normal 3 3 2 7 3 3 7" xfId="12011"/>
    <cellStyle name="Normal 3 3 2 7 3 3 8" xfId="12012"/>
    <cellStyle name="Normal 3 3 2 7 3 3 9" xfId="12013"/>
    <cellStyle name="Normal 3 3 2 7 3 4" xfId="12014"/>
    <cellStyle name="Normal 3 3 2 7 3 4 2" xfId="12015"/>
    <cellStyle name="Normal 3 3 2 7 3 4 3" xfId="12016"/>
    <cellStyle name="Normal 3 3 2 7 3 5" xfId="12017"/>
    <cellStyle name="Normal 3 3 2 7 3 5 2" xfId="12018"/>
    <cellStyle name="Normal 3 3 2 7 3 5 3" xfId="12019"/>
    <cellStyle name="Normal 3 3 2 7 3 6" xfId="12020"/>
    <cellStyle name="Normal 3 3 2 7 3 7" xfId="12021"/>
    <cellStyle name="Normal 3 3 2 7 3 8" xfId="12022"/>
    <cellStyle name="Normal 3 3 2 7 3 9" xfId="12023"/>
    <cellStyle name="Normal 3 3 2 7 4" xfId="12024"/>
    <cellStyle name="Normal 3 3 2 7 4 10" xfId="12025"/>
    <cellStyle name="Normal 3 3 2 7 4 11" xfId="12026"/>
    <cellStyle name="Normal 3 3 2 7 4 12" xfId="12027"/>
    <cellStyle name="Normal 3 3 2 7 4 13" xfId="12028"/>
    <cellStyle name="Normal 3 3 2 7 4 2" xfId="12029"/>
    <cellStyle name="Normal 3 3 2 7 4 2 10" xfId="12030"/>
    <cellStyle name="Normal 3 3 2 7 4 2 11" xfId="12031"/>
    <cellStyle name="Normal 3 3 2 7 4 2 2" xfId="12032"/>
    <cellStyle name="Normal 3 3 2 7 4 2 3" xfId="12033"/>
    <cellStyle name="Normal 3 3 2 7 4 2 4" xfId="12034"/>
    <cellStyle name="Normal 3 3 2 7 4 2 5" xfId="12035"/>
    <cellStyle name="Normal 3 3 2 7 4 2 6" xfId="12036"/>
    <cellStyle name="Normal 3 3 2 7 4 2 7" xfId="12037"/>
    <cellStyle name="Normal 3 3 2 7 4 2 8" xfId="12038"/>
    <cellStyle name="Normal 3 3 2 7 4 2 9" xfId="12039"/>
    <cellStyle name="Normal 3 3 2 7 4 3" xfId="12040"/>
    <cellStyle name="Normal 3 3 2 7 4 3 10" xfId="12041"/>
    <cellStyle name="Normal 3 3 2 7 4 3 11" xfId="12042"/>
    <cellStyle name="Normal 3 3 2 7 4 3 2" xfId="12043"/>
    <cellStyle name="Normal 3 3 2 7 4 3 3" xfId="12044"/>
    <cellStyle name="Normal 3 3 2 7 4 3 4" xfId="12045"/>
    <cellStyle name="Normal 3 3 2 7 4 3 5" xfId="12046"/>
    <cellStyle name="Normal 3 3 2 7 4 3 6" xfId="12047"/>
    <cellStyle name="Normal 3 3 2 7 4 3 7" xfId="12048"/>
    <cellStyle name="Normal 3 3 2 7 4 3 8" xfId="12049"/>
    <cellStyle name="Normal 3 3 2 7 4 3 9" xfId="12050"/>
    <cellStyle name="Normal 3 3 2 7 4 4" xfId="12051"/>
    <cellStyle name="Normal 3 3 2 7 4 4 2" xfId="12052"/>
    <cellStyle name="Normal 3 3 2 7 4 4 3" xfId="12053"/>
    <cellStyle name="Normal 3 3 2 7 4 5" xfId="12054"/>
    <cellStyle name="Normal 3 3 2 7 4 5 2" xfId="12055"/>
    <cellStyle name="Normal 3 3 2 7 4 5 3" xfId="12056"/>
    <cellStyle name="Normal 3 3 2 7 4 6" xfId="12057"/>
    <cellStyle name="Normal 3 3 2 7 4 7" xfId="12058"/>
    <cellStyle name="Normal 3 3 2 7 4 8" xfId="12059"/>
    <cellStyle name="Normal 3 3 2 7 4 9" xfId="12060"/>
    <cellStyle name="Normal 3 3 2 7 5" xfId="12061"/>
    <cellStyle name="Normal 3 3 2 7 5 10" xfId="12062"/>
    <cellStyle name="Normal 3 3 2 7 5 11" xfId="12063"/>
    <cellStyle name="Normal 3 3 2 7 5 12" xfId="12064"/>
    <cellStyle name="Normal 3 3 2 7 5 13" xfId="12065"/>
    <cellStyle name="Normal 3 3 2 7 5 2" xfId="12066"/>
    <cellStyle name="Normal 3 3 2 7 5 2 10" xfId="12067"/>
    <cellStyle name="Normal 3 3 2 7 5 2 11" xfId="12068"/>
    <cellStyle name="Normal 3 3 2 7 5 2 2" xfId="12069"/>
    <cellStyle name="Normal 3 3 2 7 5 2 3" xfId="12070"/>
    <cellStyle name="Normal 3 3 2 7 5 2 4" xfId="12071"/>
    <cellStyle name="Normal 3 3 2 7 5 2 5" xfId="12072"/>
    <cellStyle name="Normal 3 3 2 7 5 2 6" xfId="12073"/>
    <cellStyle name="Normal 3 3 2 7 5 2 7" xfId="12074"/>
    <cellStyle name="Normal 3 3 2 7 5 2 8" xfId="12075"/>
    <cellStyle name="Normal 3 3 2 7 5 2 9" xfId="12076"/>
    <cellStyle name="Normal 3 3 2 7 5 3" xfId="12077"/>
    <cellStyle name="Normal 3 3 2 7 5 3 10" xfId="12078"/>
    <cellStyle name="Normal 3 3 2 7 5 3 11" xfId="12079"/>
    <cellStyle name="Normal 3 3 2 7 5 3 2" xfId="12080"/>
    <cellStyle name="Normal 3 3 2 7 5 3 3" xfId="12081"/>
    <cellStyle name="Normal 3 3 2 7 5 3 4" xfId="12082"/>
    <cellStyle name="Normal 3 3 2 7 5 3 5" xfId="12083"/>
    <cellStyle name="Normal 3 3 2 7 5 3 6" xfId="12084"/>
    <cellStyle name="Normal 3 3 2 7 5 3 7" xfId="12085"/>
    <cellStyle name="Normal 3 3 2 7 5 3 8" xfId="12086"/>
    <cellStyle name="Normal 3 3 2 7 5 3 9" xfId="12087"/>
    <cellStyle name="Normal 3 3 2 7 5 4" xfId="12088"/>
    <cellStyle name="Normal 3 3 2 7 5 4 2" xfId="12089"/>
    <cellStyle name="Normal 3 3 2 7 5 4 3" xfId="12090"/>
    <cellStyle name="Normal 3 3 2 7 5 5" xfId="12091"/>
    <cellStyle name="Normal 3 3 2 7 5 5 2" xfId="12092"/>
    <cellStyle name="Normal 3 3 2 7 5 5 3" xfId="12093"/>
    <cellStyle name="Normal 3 3 2 7 5 6" xfId="12094"/>
    <cellStyle name="Normal 3 3 2 7 5 7" xfId="12095"/>
    <cellStyle name="Normal 3 3 2 7 5 8" xfId="12096"/>
    <cellStyle name="Normal 3 3 2 7 5 9" xfId="12097"/>
    <cellStyle name="Normal 3 3 2 7 6" xfId="12098"/>
    <cellStyle name="Normal 3 3 2 7 6 10" xfId="12099"/>
    <cellStyle name="Normal 3 3 2 7 6 11" xfId="12100"/>
    <cellStyle name="Normal 3 3 2 7 6 12" xfId="12101"/>
    <cellStyle name="Normal 3 3 2 7 6 13" xfId="12102"/>
    <cellStyle name="Normal 3 3 2 7 6 2" xfId="12103"/>
    <cellStyle name="Normal 3 3 2 7 6 2 10" xfId="12104"/>
    <cellStyle name="Normal 3 3 2 7 6 2 11" xfId="12105"/>
    <cellStyle name="Normal 3 3 2 7 6 2 2" xfId="12106"/>
    <cellStyle name="Normal 3 3 2 7 6 2 3" xfId="12107"/>
    <cellStyle name="Normal 3 3 2 7 6 2 4" xfId="12108"/>
    <cellStyle name="Normal 3 3 2 7 6 2 5" xfId="12109"/>
    <cellStyle name="Normal 3 3 2 7 6 2 6" xfId="12110"/>
    <cellStyle name="Normal 3 3 2 7 6 2 7" xfId="12111"/>
    <cellStyle name="Normal 3 3 2 7 6 2 8" xfId="12112"/>
    <cellStyle name="Normal 3 3 2 7 6 2 9" xfId="12113"/>
    <cellStyle name="Normal 3 3 2 7 6 3" xfId="12114"/>
    <cellStyle name="Normal 3 3 2 7 6 3 10" xfId="12115"/>
    <cellStyle name="Normal 3 3 2 7 6 3 11" xfId="12116"/>
    <cellStyle name="Normal 3 3 2 7 6 3 2" xfId="12117"/>
    <cellStyle name="Normal 3 3 2 7 6 3 3" xfId="12118"/>
    <cellStyle name="Normal 3 3 2 7 6 3 4" xfId="12119"/>
    <cellStyle name="Normal 3 3 2 7 6 3 5" xfId="12120"/>
    <cellStyle name="Normal 3 3 2 7 6 3 6" xfId="12121"/>
    <cellStyle name="Normal 3 3 2 7 6 3 7" xfId="12122"/>
    <cellStyle name="Normal 3 3 2 7 6 3 8" xfId="12123"/>
    <cellStyle name="Normal 3 3 2 7 6 3 9" xfId="12124"/>
    <cellStyle name="Normal 3 3 2 7 6 4" xfId="12125"/>
    <cellStyle name="Normal 3 3 2 7 6 4 2" xfId="12126"/>
    <cellStyle name="Normal 3 3 2 7 6 4 3" xfId="12127"/>
    <cellStyle name="Normal 3 3 2 7 6 5" xfId="12128"/>
    <cellStyle name="Normal 3 3 2 7 6 5 2" xfId="12129"/>
    <cellStyle name="Normal 3 3 2 7 6 5 3" xfId="12130"/>
    <cellStyle name="Normal 3 3 2 7 6 6" xfId="12131"/>
    <cellStyle name="Normal 3 3 2 7 6 7" xfId="12132"/>
    <cellStyle name="Normal 3 3 2 7 6 8" xfId="12133"/>
    <cellStyle name="Normal 3 3 2 7 6 9" xfId="12134"/>
    <cellStyle name="Normal 3 3 2 7 7" xfId="12135"/>
    <cellStyle name="Normal 3 3 2 7 7 10" xfId="12136"/>
    <cellStyle name="Normal 3 3 2 7 7 11" xfId="12137"/>
    <cellStyle name="Normal 3 3 2 7 7 2" xfId="12138"/>
    <cellStyle name="Normal 3 3 2 7 7 3" xfId="12139"/>
    <cellStyle name="Normal 3 3 2 7 7 4" xfId="12140"/>
    <cellStyle name="Normal 3 3 2 7 7 5" xfId="12141"/>
    <cellStyle name="Normal 3 3 2 7 7 6" xfId="12142"/>
    <cellStyle name="Normal 3 3 2 7 7 7" xfId="12143"/>
    <cellStyle name="Normal 3 3 2 7 7 8" xfId="12144"/>
    <cellStyle name="Normal 3 3 2 7 7 9" xfId="12145"/>
    <cellStyle name="Normal 3 3 2 7 8" xfId="12146"/>
    <cellStyle name="Normal 3 3 2 7 8 10" xfId="12147"/>
    <cellStyle name="Normal 3 3 2 7 8 11" xfId="12148"/>
    <cellStyle name="Normal 3 3 2 7 8 2" xfId="12149"/>
    <cellStyle name="Normal 3 3 2 7 8 3" xfId="12150"/>
    <cellStyle name="Normal 3 3 2 7 8 4" xfId="12151"/>
    <cellStyle name="Normal 3 3 2 7 8 5" xfId="12152"/>
    <cellStyle name="Normal 3 3 2 7 8 6" xfId="12153"/>
    <cellStyle name="Normal 3 3 2 7 8 7" xfId="12154"/>
    <cellStyle name="Normal 3 3 2 7 8 8" xfId="12155"/>
    <cellStyle name="Normal 3 3 2 7 8 9" xfId="12156"/>
    <cellStyle name="Normal 3 3 2 7 9" xfId="12157"/>
    <cellStyle name="Normal 3 3 2 7 9 2" xfId="12158"/>
    <cellStyle name="Normal 3 3 2 7 9 3" xfId="12159"/>
    <cellStyle name="Normal 3 3 2 8" xfId="12160"/>
    <cellStyle name="Normal 3 3 2 8 10" xfId="12161"/>
    <cellStyle name="Normal 3 3 2 8 11" xfId="12162"/>
    <cellStyle name="Normal 3 3 2 8 12" xfId="12163"/>
    <cellStyle name="Normal 3 3 2 8 13" xfId="12164"/>
    <cellStyle name="Normal 3 3 2 8 2" xfId="12165"/>
    <cellStyle name="Normal 3 3 2 8 2 10" xfId="12166"/>
    <cellStyle name="Normal 3 3 2 8 2 11" xfId="12167"/>
    <cellStyle name="Normal 3 3 2 8 2 2" xfId="12168"/>
    <cellStyle name="Normal 3 3 2 8 2 3" xfId="12169"/>
    <cellStyle name="Normal 3 3 2 8 2 4" xfId="12170"/>
    <cellStyle name="Normal 3 3 2 8 2 5" xfId="12171"/>
    <cellStyle name="Normal 3 3 2 8 2 6" xfId="12172"/>
    <cellStyle name="Normal 3 3 2 8 2 7" xfId="12173"/>
    <cellStyle name="Normal 3 3 2 8 2 8" xfId="12174"/>
    <cellStyle name="Normal 3 3 2 8 2 9" xfId="12175"/>
    <cellStyle name="Normal 3 3 2 8 3" xfId="12176"/>
    <cellStyle name="Normal 3 3 2 8 3 10" xfId="12177"/>
    <cellStyle name="Normal 3 3 2 8 3 11" xfId="12178"/>
    <cellStyle name="Normal 3 3 2 8 3 2" xfId="12179"/>
    <cellStyle name="Normal 3 3 2 8 3 3" xfId="12180"/>
    <cellStyle name="Normal 3 3 2 8 3 4" xfId="12181"/>
    <cellStyle name="Normal 3 3 2 8 3 5" xfId="12182"/>
    <cellStyle name="Normal 3 3 2 8 3 6" xfId="12183"/>
    <cellStyle name="Normal 3 3 2 8 3 7" xfId="12184"/>
    <cellStyle name="Normal 3 3 2 8 3 8" xfId="12185"/>
    <cellStyle name="Normal 3 3 2 8 3 9" xfId="12186"/>
    <cellStyle name="Normal 3 3 2 8 4" xfId="12187"/>
    <cellStyle name="Normal 3 3 2 8 4 2" xfId="12188"/>
    <cellStyle name="Normal 3 3 2 8 4 3" xfId="12189"/>
    <cellStyle name="Normal 3 3 2 8 5" xfId="12190"/>
    <cellStyle name="Normal 3 3 2 8 5 2" xfId="12191"/>
    <cellStyle name="Normal 3 3 2 8 5 3" xfId="12192"/>
    <cellStyle name="Normal 3 3 2 8 6" xfId="12193"/>
    <cellStyle name="Normal 3 3 2 8 7" xfId="12194"/>
    <cellStyle name="Normal 3 3 2 8 8" xfId="12195"/>
    <cellStyle name="Normal 3 3 2 8 9" xfId="12196"/>
    <cellStyle name="Normal 3 3 2 9" xfId="12197"/>
    <cellStyle name="Normal 3 3 2 9 10" xfId="12198"/>
    <cellStyle name="Normal 3 3 2 9 11" xfId="12199"/>
    <cellStyle name="Normal 3 3 2 9 12" xfId="12200"/>
    <cellStyle name="Normal 3 3 2 9 13" xfId="12201"/>
    <cellStyle name="Normal 3 3 2 9 2" xfId="12202"/>
    <cellStyle name="Normal 3 3 2 9 2 10" xfId="12203"/>
    <cellStyle name="Normal 3 3 2 9 2 11" xfId="12204"/>
    <cellStyle name="Normal 3 3 2 9 2 2" xfId="12205"/>
    <cellStyle name="Normal 3 3 2 9 2 3" xfId="12206"/>
    <cellStyle name="Normal 3 3 2 9 2 4" xfId="12207"/>
    <cellStyle name="Normal 3 3 2 9 2 5" xfId="12208"/>
    <cellStyle name="Normal 3 3 2 9 2 6" xfId="12209"/>
    <cellStyle name="Normal 3 3 2 9 2 7" xfId="12210"/>
    <cellStyle name="Normal 3 3 2 9 2 8" xfId="12211"/>
    <cellStyle name="Normal 3 3 2 9 2 9" xfId="12212"/>
    <cellStyle name="Normal 3 3 2 9 3" xfId="12213"/>
    <cellStyle name="Normal 3 3 2 9 3 10" xfId="12214"/>
    <cellStyle name="Normal 3 3 2 9 3 11" xfId="12215"/>
    <cellStyle name="Normal 3 3 2 9 3 2" xfId="12216"/>
    <cellStyle name="Normal 3 3 2 9 3 3" xfId="12217"/>
    <cellStyle name="Normal 3 3 2 9 3 4" xfId="12218"/>
    <cellStyle name="Normal 3 3 2 9 3 5" xfId="12219"/>
    <cellStyle name="Normal 3 3 2 9 3 6" xfId="12220"/>
    <cellStyle name="Normal 3 3 2 9 3 7" xfId="12221"/>
    <cellStyle name="Normal 3 3 2 9 3 8" xfId="12222"/>
    <cellStyle name="Normal 3 3 2 9 3 9" xfId="12223"/>
    <cellStyle name="Normal 3 3 2 9 4" xfId="12224"/>
    <cellStyle name="Normal 3 3 2 9 4 2" xfId="12225"/>
    <cellStyle name="Normal 3 3 2 9 4 3" xfId="12226"/>
    <cellStyle name="Normal 3 3 2 9 5" xfId="12227"/>
    <cellStyle name="Normal 3 3 2 9 5 2" xfId="12228"/>
    <cellStyle name="Normal 3 3 2 9 5 3" xfId="12229"/>
    <cellStyle name="Normal 3 3 2 9 6" xfId="12230"/>
    <cellStyle name="Normal 3 3 2 9 7" xfId="12231"/>
    <cellStyle name="Normal 3 3 2 9 8" xfId="12232"/>
    <cellStyle name="Normal 3 3 2 9 9" xfId="12233"/>
    <cellStyle name="Normal 3 3 2_Achampally-Gattubuthkur-Ganga-CRR" xfId="12234"/>
    <cellStyle name="Normal 3 3 3" xfId="12235"/>
    <cellStyle name="Normal 3 3 3 2" xfId="12236"/>
    <cellStyle name="Normal 3 3 4" xfId="12237"/>
    <cellStyle name="Normal 3 3 4 2" xfId="12238"/>
    <cellStyle name="Normal 3 3 5" xfId="12239"/>
    <cellStyle name="Normal 3 3 6" xfId="12240"/>
    <cellStyle name="Normal 3 3 7" xfId="12241"/>
    <cellStyle name="Normal 3 3_28 COLUMNS FOR PROPOSAL" xfId="12242"/>
    <cellStyle name="Normal 3 4" xfId="12243"/>
    <cellStyle name="Normal 3 4 2" xfId="12244"/>
    <cellStyle name="Normal 3 4 2 2" xfId="12245"/>
    <cellStyle name="Normal 3 4 3" xfId="12246"/>
    <cellStyle name="Normal 3 4 3 2" xfId="12247"/>
    <cellStyle name="Normal 3 4 4" xfId="12248"/>
    <cellStyle name="Normal 3 4 5" xfId="12249"/>
    <cellStyle name="Normal 3 5" xfId="12250"/>
    <cellStyle name="Normal 3 5 10" xfId="12251"/>
    <cellStyle name="Normal 3 5 11" xfId="12252"/>
    <cellStyle name="Normal 3 5 11 10" xfId="12253"/>
    <cellStyle name="Normal 3 5 11 11" xfId="12254"/>
    <cellStyle name="Normal 3 5 11 12" xfId="12255"/>
    <cellStyle name="Normal 3 5 11 13" xfId="12256"/>
    <cellStyle name="Normal 3 5 11 14" xfId="12257"/>
    <cellStyle name="Normal 3 5 11 15" xfId="12258"/>
    <cellStyle name="Normal 3 5 11 2" xfId="12259"/>
    <cellStyle name="Normal 3 5 11 2 10" xfId="12260"/>
    <cellStyle name="Normal 3 5 11 2 11" xfId="12261"/>
    <cellStyle name="Normal 3 5 11 2 12" xfId="12262"/>
    <cellStyle name="Normal 3 5 11 2 13" xfId="12263"/>
    <cellStyle name="Normal 3 5 11 2 2" xfId="12264"/>
    <cellStyle name="Normal 3 5 11 2 2 10" xfId="12265"/>
    <cellStyle name="Normal 3 5 11 2 2 11" xfId="12266"/>
    <cellStyle name="Normal 3 5 11 2 2 2" xfId="12267"/>
    <cellStyle name="Normal 3 5 11 2 2 3" xfId="12268"/>
    <cellStyle name="Normal 3 5 11 2 2 4" xfId="12269"/>
    <cellStyle name="Normal 3 5 11 2 2 5" xfId="12270"/>
    <cellStyle name="Normal 3 5 11 2 2 6" xfId="12271"/>
    <cellStyle name="Normal 3 5 11 2 2 7" xfId="12272"/>
    <cellStyle name="Normal 3 5 11 2 2 8" xfId="12273"/>
    <cellStyle name="Normal 3 5 11 2 2 9" xfId="12274"/>
    <cellStyle name="Normal 3 5 11 2 3" xfId="12275"/>
    <cellStyle name="Normal 3 5 11 2 3 10" xfId="12276"/>
    <cellStyle name="Normal 3 5 11 2 3 11" xfId="12277"/>
    <cellStyle name="Normal 3 5 11 2 3 2" xfId="12278"/>
    <cellStyle name="Normal 3 5 11 2 3 3" xfId="12279"/>
    <cellStyle name="Normal 3 5 11 2 3 4" xfId="12280"/>
    <cellStyle name="Normal 3 5 11 2 3 5" xfId="12281"/>
    <cellStyle name="Normal 3 5 11 2 3 6" xfId="12282"/>
    <cellStyle name="Normal 3 5 11 2 3 7" xfId="12283"/>
    <cellStyle name="Normal 3 5 11 2 3 8" xfId="12284"/>
    <cellStyle name="Normal 3 5 11 2 3 9" xfId="12285"/>
    <cellStyle name="Normal 3 5 11 2 4" xfId="12286"/>
    <cellStyle name="Normal 3 5 11 2 4 2" xfId="12287"/>
    <cellStyle name="Normal 3 5 11 2 4 3" xfId="12288"/>
    <cellStyle name="Normal 3 5 11 2 5" xfId="12289"/>
    <cellStyle name="Normal 3 5 11 2 5 2" xfId="12290"/>
    <cellStyle name="Normal 3 5 11 2 5 3" xfId="12291"/>
    <cellStyle name="Normal 3 5 11 2 6" xfId="12292"/>
    <cellStyle name="Normal 3 5 11 2 7" xfId="12293"/>
    <cellStyle name="Normal 3 5 11 2 8" xfId="12294"/>
    <cellStyle name="Normal 3 5 11 2 9" xfId="12295"/>
    <cellStyle name="Normal 3 5 11 3" xfId="12296"/>
    <cellStyle name="Normal 3 5 11 3 10" xfId="12297"/>
    <cellStyle name="Normal 3 5 11 3 11" xfId="12298"/>
    <cellStyle name="Normal 3 5 11 3 12" xfId="12299"/>
    <cellStyle name="Normal 3 5 11 3 13" xfId="12300"/>
    <cellStyle name="Normal 3 5 11 3 2" xfId="12301"/>
    <cellStyle name="Normal 3 5 11 3 2 10" xfId="12302"/>
    <cellStyle name="Normal 3 5 11 3 2 11" xfId="12303"/>
    <cellStyle name="Normal 3 5 11 3 2 2" xfId="12304"/>
    <cellStyle name="Normal 3 5 11 3 2 3" xfId="12305"/>
    <cellStyle name="Normal 3 5 11 3 2 4" xfId="12306"/>
    <cellStyle name="Normal 3 5 11 3 2 5" xfId="12307"/>
    <cellStyle name="Normal 3 5 11 3 2 6" xfId="12308"/>
    <cellStyle name="Normal 3 5 11 3 2 7" xfId="12309"/>
    <cellStyle name="Normal 3 5 11 3 2 8" xfId="12310"/>
    <cellStyle name="Normal 3 5 11 3 2 9" xfId="12311"/>
    <cellStyle name="Normal 3 5 11 3 3" xfId="12312"/>
    <cellStyle name="Normal 3 5 11 3 3 10" xfId="12313"/>
    <cellStyle name="Normal 3 5 11 3 3 11" xfId="12314"/>
    <cellStyle name="Normal 3 5 11 3 3 2" xfId="12315"/>
    <cellStyle name="Normal 3 5 11 3 3 3" xfId="12316"/>
    <cellStyle name="Normal 3 5 11 3 3 4" xfId="12317"/>
    <cellStyle name="Normal 3 5 11 3 3 5" xfId="12318"/>
    <cellStyle name="Normal 3 5 11 3 3 6" xfId="12319"/>
    <cellStyle name="Normal 3 5 11 3 3 7" xfId="12320"/>
    <cellStyle name="Normal 3 5 11 3 3 8" xfId="12321"/>
    <cellStyle name="Normal 3 5 11 3 3 9" xfId="12322"/>
    <cellStyle name="Normal 3 5 11 3 4" xfId="12323"/>
    <cellStyle name="Normal 3 5 11 3 4 2" xfId="12324"/>
    <cellStyle name="Normal 3 5 11 3 4 3" xfId="12325"/>
    <cellStyle name="Normal 3 5 11 3 5" xfId="12326"/>
    <cellStyle name="Normal 3 5 11 3 5 2" xfId="12327"/>
    <cellStyle name="Normal 3 5 11 3 5 3" xfId="12328"/>
    <cellStyle name="Normal 3 5 11 3 6" xfId="12329"/>
    <cellStyle name="Normal 3 5 11 3 7" xfId="12330"/>
    <cellStyle name="Normal 3 5 11 3 8" xfId="12331"/>
    <cellStyle name="Normal 3 5 11 3 9" xfId="12332"/>
    <cellStyle name="Normal 3 5 11 4" xfId="12333"/>
    <cellStyle name="Normal 3 5 11 4 10" xfId="12334"/>
    <cellStyle name="Normal 3 5 11 4 11" xfId="12335"/>
    <cellStyle name="Normal 3 5 11 4 2" xfId="12336"/>
    <cellStyle name="Normal 3 5 11 4 3" xfId="12337"/>
    <cellStyle name="Normal 3 5 11 4 4" xfId="12338"/>
    <cellStyle name="Normal 3 5 11 4 5" xfId="12339"/>
    <cellStyle name="Normal 3 5 11 4 6" xfId="12340"/>
    <cellStyle name="Normal 3 5 11 4 7" xfId="12341"/>
    <cellStyle name="Normal 3 5 11 4 8" xfId="12342"/>
    <cellStyle name="Normal 3 5 11 4 9" xfId="12343"/>
    <cellStyle name="Normal 3 5 11 5" xfId="12344"/>
    <cellStyle name="Normal 3 5 11 5 10" xfId="12345"/>
    <cellStyle name="Normal 3 5 11 5 11" xfId="12346"/>
    <cellStyle name="Normal 3 5 11 5 2" xfId="12347"/>
    <cellStyle name="Normal 3 5 11 5 3" xfId="12348"/>
    <cellStyle name="Normal 3 5 11 5 4" xfId="12349"/>
    <cellStyle name="Normal 3 5 11 5 5" xfId="12350"/>
    <cellStyle name="Normal 3 5 11 5 6" xfId="12351"/>
    <cellStyle name="Normal 3 5 11 5 7" xfId="12352"/>
    <cellStyle name="Normal 3 5 11 5 8" xfId="12353"/>
    <cellStyle name="Normal 3 5 11 5 9" xfId="12354"/>
    <cellStyle name="Normal 3 5 11 6" xfId="12355"/>
    <cellStyle name="Normal 3 5 11 6 2" xfId="12356"/>
    <cellStyle name="Normal 3 5 11 6 3" xfId="12357"/>
    <cellStyle name="Normal 3 5 11 7" xfId="12358"/>
    <cellStyle name="Normal 3 5 11 7 2" xfId="12359"/>
    <cellStyle name="Normal 3 5 11 7 3" xfId="12360"/>
    <cellStyle name="Normal 3 5 11 8" xfId="12361"/>
    <cellStyle name="Normal 3 5 11 9" xfId="12362"/>
    <cellStyle name="Normal 3 5 12" xfId="12363"/>
    <cellStyle name="Normal 3 5 13" xfId="12364"/>
    <cellStyle name="Normal 3 5 14" xfId="12365"/>
    <cellStyle name="Normal 3 5 15" xfId="12366"/>
    <cellStyle name="Normal 3 5 16" xfId="12367"/>
    <cellStyle name="Normal 3 5 17" xfId="12368"/>
    <cellStyle name="Normal 3 5 18" xfId="12369"/>
    <cellStyle name="Normal 3 5 19" xfId="12370"/>
    <cellStyle name="Normal 3 5 2" xfId="12371"/>
    <cellStyle name="Normal 3 5 2 2" xfId="12372"/>
    <cellStyle name="Normal 3 5 3" xfId="12373"/>
    <cellStyle name="Normal 3 5 3 2" xfId="12374"/>
    <cellStyle name="Normal 3 5 4" xfId="12375"/>
    <cellStyle name="Normal 3 5 4 2" xfId="12376"/>
    <cellStyle name="Normal 3 5 5" xfId="12377"/>
    <cellStyle name="Normal 3 5 5 2" xfId="12378"/>
    <cellStyle name="Normal 3 5 6" xfId="12379"/>
    <cellStyle name="Normal 3 5 6 2" xfId="12380"/>
    <cellStyle name="Normal 3 5 7" xfId="12381"/>
    <cellStyle name="Normal 3 5 7 2" xfId="12382"/>
    <cellStyle name="Normal 3 5 8" xfId="12383"/>
    <cellStyle name="Normal 3 5 8 2" xfId="12384"/>
    <cellStyle name="Normal 3 5 9" xfId="12385"/>
    <cellStyle name="Normal 3 6" xfId="12386"/>
    <cellStyle name="Normal 3 6 10" xfId="12387"/>
    <cellStyle name="Normal 3 6 10 2" xfId="12388"/>
    <cellStyle name="Normal 3 6 11" xfId="12389"/>
    <cellStyle name="Normal 3 6 11 10" xfId="12390"/>
    <cellStyle name="Normal 3 6 11 11" xfId="12391"/>
    <cellStyle name="Normal 3 6 11 12" xfId="12392"/>
    <cellStyle name="Normal 3 6 11 13" xfId="12393"/>
    <cellStyle name="Normal 3 6 11 14" xfId="12394"/>
    <cellStyle name="Normal 3 6 11 15" xfId="12395"/>
    <cellStyle name="Normal 3 6 11 16" xfId="12396"/>
    <cellStyle name="Normal 3 6 11 2" xfId="12397"/>
    <cellStyle name="Normal 3 6 11 2 2" xfId="12398"/>
    <cellStyle name="Normal 3 6 11 3" xfId="12399"/>
    <cellStyle name="Normal 3 6 11 3 10" xfId="12400"/>
    <cellStyle name="Normal 3 6 11 3 11" xfId="12401"/>
    <cellStyle name="Normal 3 6 11 3 12" xfId="12402"/>
    <cellStyle name="Normal 3 6 11 3 13" xfId="12403"/>
    <cellStyle name="Normal 3 6 11 3 2" xfId="12404"/>
    <cellStyle name="Normal 3 6 11 3 2 10" xfId="12405"/>
    <cellStyle name="Normal 3 6 11 3 2 11" xfId="12406"/>
    <cellStyle name="Normal 3 6 11 3 2 2" xfId="12407"/>
    <cellStyle name="Normal 3 6 11 3 2 3" xfId="12408"/>
    <cellStyle name="Normal 3 6 11 3 2 4" xfId="12409"/>
    <cellStyle name="Normal 3 6 11 3 2 5" xfId="12410"/>
    <cellStyle name="Normal 3 6 11 3 2 6" xfId="12411"/>
    <cellStyle name="Normal 3 6 11 3 2 7" xfId="12412"/>
    <cellStyle name="Normal 3 6 11 3 2 8" xfId="12413"/>
    <cellStyle name="Normal 3 6 11 3 2 9" xfId="12414"/>
    <cellStyle name="Normal 3 6 11 3 3" xfId="12415"/>
    <cellStyle name="Normal 3 6 11 3 3 10" xfId="12416"/>
    <cellStyle name="Normal 3 6 11 3 3 11" xfId="12417"/>
    <cellStyle name="Normal 3 6 11 3 3 2" xfId="12418"/>
    <cellStyle name="Normal 3 6 11 3 3 3" xfId="12419"/>
    <cellStyle name="Normal 3 6 11 3 3 4" xfId="12420"/>
    <cellStyle name="Normal 3 6 11 3 3 5" xfId="12421"/>
    <cellStyle name="Normal 3 6 11 3 3 6" xfId="12422"/>
    <cellStyle name="Normal 3 6 11 3 3 7" xfId="12423"/>
    <cellStyle name="Normal 3 6 11 3 3 8" xfId="12424"/>
    <cellStyle name="Normal 3 6 11 3 3 9" xfId="12425"/>
    <cellStyle name="Normal 3 6 11 3 4" xfId="12426"/>
    <cellStyle name="Normal 3 6 11 3 4 2" xfId="12427"/>
    <cellStyle name="Normal 3 6 11 3 4 3" xfId="12428"/>
    <cellStyle name="Normal 3 6 11 3 5" xfId="12429"/>
    <cellStyle name="Normal 3 6 11 3 5 2" xfId="12430"/>
    <cellStyle name="Normal 3 6 11 3 5 3" xfId="12431"/>
    <cellStyle name="Normal 3 6 11 3 6" xfId="12432"/>
    <cellStyle name="Normal 3 6 11 3 7" xfId="12433"/>
    <cellStyle name="Normal 3 6 11 3 8" xfId="12434"/>
    <cellStyle name="Normal 3 6 11 3 9" xfId="12435"/>
    <cellStyle name="Normal 3 6 11 4" xfId="12436"/>
    <cellStyle name="Normal 3 6 11 4 10" xfId="12437"/>
    <cellStyle name="Normal 3 6 11 4 11" xfId="12438"/>
    <cellStyle name="Normal 3 6 11 4 12" xfId="12439"/>
    <cellStyle name="Normal 3 6 11 4 13" xfId="12440"/>
    <cellStyle name="Normal 3 6 11 4 2" xfId="12441"/>
    <cellStyle name="Normal 3 6 11 4 2 10" xfId="12442"/>
    <cellStyle name="Normal 3 6 11 4 2 11" xfId="12443"/>
    <cellStyle name="Normal 3 6 11 4 2 2" xfId="12444"/>
    <cellStyle name="Normal 3 6 11 4 2 3" xfId="12445"/>
    <cellStyle name="Normal 3 6 11 4 2 4" xfId="12446"/>
    <cellStyle name="Normal 3 6 11 4 2 5" xfId="12447"/>
    <cellStyle name="Normal 3 6 11 4 2 6" xfId="12448"/>
    <cellStyle name="Normal 3 6 11 4 2 7" xfId="12449"/>
    <cellStyle name="Normal 3 6 11 4 2 8" xfId="12450"/>
    <cellStyle name="Normal 3 6 11 4 2 9" xfId="12451"/>
    <cellStyle name="Normal 3 6 11 4 3" xfId="12452"/>
    <cellStyle name="Normal 3 6 11 4 3 10" xfId="12453"/>
    <cellStyle name="Normal 3 6 11 4 3 11" xfId="12454"/>
    <cellStyle name="Normal 3 6 11 4 3 2" xfId="12455"/>
    <cellStyle name="Normal 3 6 11 4 3 3" xfId="12456"/>
    <cellStyle name="Normal 3 6 11 4 3 4" xfId="12457"/>
    <cellStyle name="Normal 3 6 11 4 3 5" xfId="12458"/>
    <cellStyle name="Normal 3 6 11 4 3 6" xfId="12459"/>
    <cellStyle name="Normal 3 6 11 4 3 7" xfId="12460"/>
    <cellStyle name="Normal 3 6 11 4 3 8" xfId="12461"/>
    <cellStyle name="Normal 3 6 11 4 3 9" xfId="12462"/>
    <cellStyle name="Normal 3 6 11 4 4" xfId="12463"/>
    <cellStyle name="Normal 3 6 11 4 4 2" xfId="12464"/>
    <cellStyle name="Normal 3 6 11 4 4 3" xfId="12465"/>
    <cellStyle name="Normal 3 6 11 4 5" xfId="12466"/>
    <cellStyle name="Normal 3 6 11 4 5 2" xfId="12467"/>
    <cellStyle name="Normal 3 6 11 4 5 3" xfId="12468"/>
    <cellStyle name="Normal 3 6 11 4 6" xfId="12469"/>
    <cellStyle name="Normal 3 6 11 4 7" xfId="12470"/>
    <cellStyle name="Normal 3 6 11 4 8" xfId="12471"/>
    <cellStyle name="Normal 3 6 11 4 9" xfId="12472"/>
    <cellStyle name="Normal 3 6 11 5" xfId="12473"/>
    <cellStyle name="Normal 3 6 11 5 10" xfId="12474"/>
    <cellStyle name="Normal 3 6 11 5 11" xfId="12475"/>
    <cellStyle name="Normal 3 6 11 5 2" xfId="12476"/>
    <cellStyle name="Normal 3 6 11 5 3" xfId="12477"/>
    <cellStyle name="Normal 3 6 11 5 4" xfId="12478"/>
    <cellStyle name="Normal 3 6 11 5 5" xfId="12479"/>
    <cellStyle name="Normal 3 6 11 5 6" xfId="12480"/>
    <cellStyle name="Normal 3 6 11 5 7" xfId="12481"/>
    <cellStyle name="Normal 3 6 11 5 8" xfId="12482"/>
    <cellStyle name="Normal 3 6 11 5 9" xfId="12483"/>
    <cellStyle name="Normal 3 6 11 6" xfId="12484"/>
    <cellStyle name="Normal 3 6 11 6 10" xfId="12485"/>
    <cellStyle name="Normal 3 6 11 6 11" xfId="12486"/>
    <cellStyle name="Normal 3 6 11 6 2" xfId="12487"/>
    <cellStyle name="Normal 3 6 11 6 3" xfId="12488"/>
    <cellStyle name="Normal 3 6 11 6 4" xfId="12489"/>
    <cellStyle name="Normal 3 6 11 6 5" xfId="12490"/>
    <cellStyle name="Normal 3 6 11 6 6" xfId="12491"/>
    <cellStyle name="Normal 3 6 11 6 7" xfId="12492"/>
    <cellStyle name="Normal 3 6 11 6 8" xfId="12493"/>
    <cellStyle name="Normal 3 6 11 6 9" xfId="12494"/>
    <cellStyle name="Normal 3 6 11 7" xfId="12495"/>
    <cellStyle name="Normal 3 6 11 7 2" xfId="12496"/>
    <cellStyle name="Normal 3 6 11 7 3" xfId="12497"/>
    <cellStyle name="Normal 3 6 11 8" xfId="12498"/>
    <cellStyle name="Normal 3 6 11 8 2" xfId="12499"/>
    <cellStyle name="Normal 3 6 11 8 3" xfId="12500"/>
    <cellStyle name="Normal 3 6 11 9" xfId="12501"/>
    <cellStyle name="Normal 3 6 11_Corrected Spl Task information Peddapalli Division" xfId="12502"/>
    <cellStyle name="Normal 3 6 12" xfId="12503"/>
    <cellStyle name="Normal 3 6 13" xfId="12504"/>
    <cellStyle name="Normal 3 6 14" xfId="12505"/>
    <cellStyle name="Normal 3 6 15" xfId="12506"/>
    <cellStyle name="Normal 3 6 16" xfId="12507"/>
    <cellStyle name="Normal 3 6 17" xfId="12508"/>
    <cellStyle name="Normal 3 6 18" xfId="12509"/>
    <cellStyle name="Normal 3 6 19" xfId="12510"/>
    <cellStyle name="Normal 3 6 2" xfId="12511"/>
    <cellStyle name="Normal 3 6 2 2" xfId="12512"/>
    <cellStyle name="Normal 3 6 20" xfId="12513"/>
    <cellStyle name="Normal 3 6 21" xfId="12514"/>
    <cellStyle name="Normal 3 6 3" xfId="12515"/>
    <cellStyle name="Normal 3 6 3 2" xfId="12516"/>
    <cellStyle name="Normal 3 6 3 2 2" xfId="12517"/>
    <cellStyle name="Normal 3 6 3 3" xfId="12518"/>
    <cellStyle name="Normal 3 6 3 3 10" xfId="12519"/>
    <cellStyle name="Normal 3 6 3 3 11" xfId="12520"/>
    <cellStyle name="Normal 3 6 3 3 12" xfId="12521"/>
    <cellStyle name="Normal 3 6 3 3 13" xfId="12522"/>
    <cellStyle name="Normal 3 6 3 3 2" xfId="12523"/>
    <cellStyle name="Normal 3 6 3 3 2 10" xfId="12524"/>
    <cellStyle name="Normal 3 6 3 3 2 11" xfId="12525"/>
    <cellStyle name="Normal 3 6 3 3 2 2" xfId="12526"/>
    <cellStyle name="Normal 3 6 3 3 2 3" xfId="12527"/>
    <cellStyle name="Normal 3 6 3 3 2 4" xfId="12528"/>
    <cellStyle name="Normal 3 6 3 3 2 5" xfId="12529"/>
    <cellStyle name="Normal 3 6 3 3 2 6" xfId="12530"/>
    <cellStyle name="Normal 3 6 3 3 2 7" xfId="12531"/>
    <cellStyle name="Normal 3 6 3 3 2 8" xfId="12532"/>
    <cellStyle name="Normal 3 6 3 3 2 9" xfId="12533"/>
    <cellStyle name="Normal 3 6 3 3 3" xfId="12534"/>
    <cellStyle name="Normal 3 6 3 3 3 10" xfId="12535"/>
    <cellStyle name="Normal 3 6 3 3 3 11" xfId="12536"/>
    <cellStyle name="Normal 3 6 3 3 3 2" xfId="12537"/>
    <cellStyle name="Normal 3 6 3 3 3 3" xfId="12538"/>
    <cellStyle name="Normal 3 6 3 3 3 4" xfId="12539"/>
    <cellStyle name="Normal 3 6 3 3 3 5" xfId="12540"/>
    <cellStyle name="Normal 3 6 3 3 3 6" xfId="12541"/>
    <cellStyle name="Normal 3 6 3 3 3 7" xfId="12542"/>
    <cellStyle name="Normal 3 6 3 3 3 8" xfId="12543"/>
    <cellStyle name="Normal 3 6 3 3 3 9" xfId="12544"/>
    <cellStyle name="Normal 3 6 3 3 4" xfId="12545"/>
    <cellStyle name="Normal 3 6 3 3 4 2" xfId="12546"/>
    <cellStyle name="Normal 3 6 3 3 4 3" xfId="12547"/>
    <cellStyle name="Normal 3 6 3 3 5" xfId="12548"/>
    <cellStyle name="Normal 3 6 3 3 5 2" xfId="12549"/>
    <cellStyle name="Normal 3 6 3 3 5 3" xfId="12550"/>
    <cellStyle name="Normal 3 6 3 3 6" xfId="12551"/>
    <cellStyle name="Normal 3 6 3 3 7" xfId="12552"/>
    <cellStyle name="Normal 3 6 3 3 8" xfId="12553"/>
    <cellStyle name="Normal 3 6 3 3 9" xfId="12554"/>
    <cellStyle name="Normal 3 6 3 4" xfId="12555"/>
    <cellStyle name="Normal 3 6 3 4 10" xfId="12556"/>
    <cellStyle name="Normal 3 6 3 4 11" xfId="12557"/>
    <cellStyle name="Normal 3 6 3 4 12" xfId="12558"/>
    <cellStyle name="Normal 3 6 3 4 13" xfId="12559"/>
    <cellStyle name="Normal 3 6 3 4 2" xfId="12560"/>
    <cellStyle name="Normal 3 6 3 4 2 10" xfId="12561"/>
    <cellStyle name="Normal 3 6 3 4 2 11" xfId="12562"/>
    <cellStyle name="Normal 3 6 3 4 2 2" xfId="12563"/>
    <cellStyle name="Normal 3 6 3 4 2 3" xfId="12564"/>
    <cellStyle name="Normal 3 6 3 4 2 4" xfId="12565"/>
    <cellStyle name="Normal 3 6 3 4 2 5" xfId="12566"/>
    <cellStyle name="Normal 3 6 3 4 2 6" xfId="12567"/>
    <cellStyle name="Normal 3 6 3 4 2 7" xfId="12568"/>
    <cellStyle name="Normal 3 6 3 4 2 8" xfId="12569"/>
    <cellStyle name="Normal 3 6 3 4 2 9" xfId="12570"/>
    <cellStyle name="Normal 3 6 3 4 3" xfId="12571"/>
    <cellStyle name="Normal 3 6 3 4 3 10" xfId="12572"/>
    <cellStyle name="Normal 3 6 3 4 3 11" xfId="12573"/>
    <cellStyle name="Normal 3 6 3 4 3 2" xfId="12574"/>
    <cellStyle name="Normal 3 6 3 4 3 3" xfId="12575"/>
    <cellStyle name="Normal 3 6 3 4 3 4" xfId="12576"/>
    <cellStyle name="Normal 3 6 3 4 3 5" xfId="12577"/>
    <cellStyle name="Normal 3 6 3 4 3 6" xfId="12578"/>
    <cellStyle name="Normal 3 6 3 4 3 7" xfId="12579"/>
    <cellStyle name="Normal 3 6 3 4 3 8" xfId="12580"/>
    <cellStyle name="Normal 3 6 3 4 3 9" xfId="12581"/>
    <cellStyle name="Normal 3 6 3 4 4" xfId="12582"/>
    <cellStyle name="Normal 3 6 3 4 4 2" xfId="12583"/>
    <cellStyle name="Normal 3 6 3 4 4 3" xfId="12584"/>
    <cellStyle name="Normal 3 6 3 4 5" xfId="12585"/>
    <cellStyle name="Normal 3 6 3 4 5 2" xfId="12586"/>
    <cellStyle name="Normal 3 6 3 4 5 3" xfId="12587"/>
    <cellStyle name="Normal 3 6 3 4 6" xfId="12588"/>
    <cellStyle name="Normal 3 6 3 4 7" xfId="12589"/>
    <cellStyle name="Normal 3 6 3 4 8" xfId="12590"/>
    <cellStyle name="Normal 3 6 3 4 9" xfId="12591"/>
    <cellStyle name="Normal 3 6 3 5" xfId="12592"/>
    <cellStyle name="Normal 3 6 3_Corrected Spl Task information Peddapalli Division" xfId="12593"/>
    <cellStyle name="Normal 3 6 4" xfId="12594"/>
    <cellStyle name="Normal 3 6 4 2" xfId="12595"/>
    <cellStyle name="Normal 3 6 5" xfId="12596"/>
    <cellStyle name="Normal 3 6 5 2" xfId="12597"/>
    <cellStyle name="Normal 3 6 5 2 10" xfId="12598"/>
    <cellStyle name="Normal 3 6 5 2 11" xfId="12599"/>
    <cellStyle name="Normal 3 6 5 2 12" xfId="12600"/>
    <cellStyle name="Normal 3 6 5 2 13" xfId="12601"/>
    <cellStyle name="Normal 3 6 5 2 2" xfId="12602"/>
    <cellStyle name="Normal 3 6 5 2 2 10" xfId="12603"/>
    <cellStyle name="Normal 3 6 5 2 2 11" xfId="12604"/>
    <cellStyle name="Normal 3 6 5 2 2 2" xfId="12605"/>
    <cellStyle name="Normal 3 6 5 2 2 3" xfId="12606"/>
    <cellStyle name="Normal 3 6 5 2 2 4" xfId="12607"/>
    <cellStyle name="Normal 3 6 5 2 2 5" xfId="12608"/>
    <cellStyle name="Normal 3 6 5 2 2 6" xfId="12609"/>
    <cellStyle name="Normal 3 6 5 2 2 7" xfId="12610"/>
    <cellStyle name="Normal 3 6 5 2 2 8" xfId="12611"/>
    <cellStyle name="Normal 3 6 5 2 2 9" xfId="12612"/>
    <cellStyle name="Normal 3 6 5 2 3" xfId="12613"/>
    <cellStyle name="Normal 3 6 5 2 3 10" xfId="12614"/>
    <cellStyle name="Normal 3 6 5 2 3 11" xfId="12615"/>
    <cellStyle name="Normal 3 6 5 2 3 2" xfId="12616"/>
    <cellStyle name="Normal 3 6 5 2 3 3" xfId="12617"/>
    <cellStyle name="Normal 3 6 5 2 3 4" xfId="12618"/>
    <cellStyle name="Normal 3 6 5 2 3 5" xfId="12619"/>
    <cellStyle name="Normal 3 6 5 2 3 6" xfId="12620"/>
    <cellStyle name="Normal 3 6 5 2 3 7" xfId="12621"/>
    <cellStyle name="Normal 3 6 5 2 3 8" xfId="12622"/>
    <cellStyle name="Normal 3 6 5 2 3 9" xfId="12623"/>
    <cellStyle name="Normal 3 6 5 2 4" xfId="12624"/>
    <cellStyle name="Normal 3 6 5 2 4 2" xfId="12625"/>
    <cellStyle name="Normal 3 6 5 2 4 3" xfId="12626"/>
    <cellStyle name="Normal 3 6 5 2 5" xfId="12627"/>
    <cellStyle name="Normal 3 6 5 2 5 2" xfId="12628"/>
    <cellStyle name="Normal 3 6 5 2 5 3" xfId="12629"/>
    <cellStyle name="Normal 3 6 5 2 6" xfId="12630"/>
    <cellStyle name="Normal 3 6 5 2 7" xfId="12631"/>
    <cellStyle name="Normal 3 6 5 2 8" xfId="12632"/>
    <cellStyle name="Normal 3 6 5 2 9" xfId="12633"/>
    <cellStyle name="Normal 3 6 5 3" xfId="12634"/>
    <cellStyle name="Normal 3 6 5 3 10" xfId="12635"/>
    <cellStyle name="Normal 3 6 5 3 11" xfId="12636"/>
    <cellStyle name="Normal 3 6 5 3 12" xfId="12637"/>
    <cellStyle name="Normal 3 6 5 3 13" xfId="12638"/>
    <cellStyle name="Normal 3 6 5 3 2" xfId="12639"/>
    <cellStyle name="Normal 3 6 5 3 2 10" xfId="12640"/>
    <cellStyle name="Normal 3 6 5 3 2 11" xfId="12641"/>
    <cellStyle name="Normal 3 6 5 3 2 2" xfId="12642"/>
    <cellStyle name="Normal 3 6 5 3 2 3" xfId="12643"/>
    <cellStyle name="Normal 3 6 5 3 2 4" xfId="12644"/>
    <cellStyle name="Normal 3 6 5 3 2 5" xfId="12645"/>
    <cellStyle name="Normal 3 6 5 3 2 6" xfId="12646"/>
    <cellStyle name="Normal 3 6 5 3 2 7" xfId="12647"/>
    <cellStyle name="Normal 3 6 5 3 2 8" xfId="12648"/>
    <cellStyle name="Normal 3 6 5 3 2 9" xfId="12649"/>
    <cellStyle name="Normal 3 6 5 3 3" xfId="12650"/>
    <cellStyle name="Normal 3 6 5 3 3 10" xfId="12651"/>
    <cellStyle name="Normal 3 6 5 3 3 11" xfId="12652"/>
    <cellStyle name="Normal 3 6 5 3 3 2" xfId="12653"/>
    <cellStyle name="Normal 3 6 5 3 3 3" xfId="12654"/>
    <cellStyle name="Normal 3 6 5 3 3 4" xfId="12655"/>
    <cellStyle name="Normal 3 6 5 3 3 5" xfId="12656"/>
    <cellStyle name="Normal 3 6 5 3 3 6" xfId="12657"/>
    <cellStyle name="Normal 3 6 5 3 3 7" xfId="12658"/>
    <cellStyle name="Normal 3 6 5 3 3 8" xfId="12659"/>
    <cellStyle name="Normal 3 6 5 3 3 9" xfId="12660"/>
    <cellStyle name="Normal 3 6 5 3 4" xfId="12661"/>
    <cellStyle name="Normal 3 6 5 3 4 2" xfId="12662"/>
    <cellStyle name="Normal 3 6 5 3 4 3" xfId="12663"/>
    <cellStyle name="Normal 3 6 5 3 5" xfId="12664"/>
    <cellStyle name="Normal 3 6 5 3 5 2" xfId="12665"/>
    <cellStyle name="Normal 3 6 5 3 5 3" xfId="12666"/>
    <cellStyle name="Normal 3 6 5 3 6" xfId="12667"/>
    <cellStyle name="Normal 3 6 5 3 7" xfId="12668"/>
    <cellStyle name="Normal 3 6 5 3 8" xfId="12669"/>
    <cellStyle name="Normal 3 6 5 3 9" xfId="12670"/>
    <cellStyle name="Normal 3 6 5 4" xfId="12671"/>
    <cellStyle name="Normal 3 6 6" xfId="12672"/>
    <cellStyle name="Normal 3 6 6 2" xfId="12673"/>
    <cellStyle name="Normal 3 6 7" xfId="12674"/>
    <cellStyle name="Normal 3 6 7 10" xfId="12675"/>
    <cellStyle name="Normal 3 6 7 11" xfId="12676"/>
    <cellStyle name="Normal 3 6 7 12" xfId="12677"/>
    <cellStyle name="Normal 3 6 7 13" xfId="12678"/>
    <cellStyle name="Normal 3 6 7 14" xfId="12679"/>
    <cellStyle name="Normal 3 6 7 15" xfId="12680"/>
    <cellStyle name="Normal 3 6 7 2" xfId="12681"/>
    <cellStyle name="Normal 3 6 7 2 10" xfId="12682"/>
    <cellStyle name="Normal 3 6 7 2 11" xfId="12683"/>
    <cellStyle name="Normal 3 6 7 2 12" xfId="12684"/>
    <cellStyle name="Normal 3 6 7 2 13" xfId="12685"/>
    <cellStyle name="Normal 3 6 7 2 2" xfId="12686"/>
    <cellStyle name="Normal 3 6 7 2 2 10" xfId="12687"/>
    <cellStyle name="Normal 3 6 7 2 2 11" xfId="12688"/>
    <cellStyle name="Normal 3 6 7 2 2 2" xfId="12689"/>
    <cellStyle name="Normal 3 6 7 2 2 3" xfId="12690"/>
    <cellStyle name="Normal 3 6 7 2 2 4" xfId="12691"/>
    <cellStyle name="Normal 3 6 7 2 2 5" xfId="12692"/>
    <cellStyle name="Normal 3 6 7 2 2 6" xfId="12693"/>
    <cellStyle name="Normal 3 6 7 2 2 7" xfId="12694"/>
    <cellStyle name="Normal 3 6 7 2 2 8" xfId="12695"/>
    <cellStyle name="Normal 3 6 7 2 2 9" xfId="12696"/>
    <cellStyle name="Normal 3 6 7 2 3" xfId="12697"/>
    <cellStyle name="Normal 3 6 7 2 3 10" xfId="12698"/>
    <cellStyle name="Normal 3 6 7 2 3 11" xfId="12699"/>
    <cellStyle name="Normal 3 6 7 2 3 2" xfId="12700"/>
    <cellStyle name="Normal 3 6 7 2 3 3" xfId="12701"/>
    <cellStyle name="Normal 3 6 7 2 3 4" xfId="12702"/>
    <cellStyle name="Normal 3 6 7 2 3 5" xfId="12703"/>
    <cellStyle name="Normal 3 6 7 2 3 6" xfId="12704"/>
    <cellStyle name="Normal 3 6 7 2 3 7" xfId="12705"/>
    <cellStyle name="Normal 3 6 7 2 3 8" xfId="12706"/>
    <cellStyle name="Normal 3 6 7 2 3 9" xfId="12707"/>
    <cellStyle name="Normal 3 6 7 2 4" xfId="12708"/>
    <cellStyle name="Normal 3 6 7 2 4 2" xfId="12709"/>
    <cellStyle name="Normal 3 6 7 2 4 3" xfId="12710"/>
    <cellStyle name="Normal 3 6 7 2 5" xfId="12711"/>
    <cellStyle name="Normal 3 6 7 2 5 2" xfId="12712"/>
    <cellStyle name="Normal 3 6 7 2 5 3" xfId="12713"/>
    <cellStyle name="Normal 3 6 7 2 6" xfId="12714"/>
    <cellStyle name="Normal 3 6 7 2 7" xfId="12715"/>
    <cellStyle name="Normal 3 6 7 2 8" xfId="12716"/>
    <cellStyle name="Normal 3 6 7 2 9" xfId="12717"/>
    <cellStyle name="Normal 3 6 7 3" xfId="12718"/>
    <cellStyle name="Normal 3 6 7 3 10" xfId="12719"/>
    <cellStyle name="Normal 3 6 7 3 11" xfId="12720"/>
    <cellStyle name="Normal 3 6 7 3 12" xfId="12721"/>
    <cellStyle name="Normal 3 6 7 3 13" xfId="12722"/>
    <cellStyle name="Normal 3 6 7 3 2" xfId="12723"/>
    <cellStyle name="Normal 3 6 7 3 2 10" xfId="12724"/>
    <cellStyle name="Normal 3 6 7 3 2 11" xfId="12725"/>
    <cellStyle name="Normal 3 6 7 3 2 2" xfId="12726"/>
    <cellStyle name="Normal 3 6 7 3 2 3" xfId="12727"/>
    <cellStyle name="Normal 3 6 7 3 2 4" xfId="12728"/>
    <cellStyle name="Normal 3 6 7 3 2 5" xfId="12729"/>
    <cellStyle name="Normal 3 6 7 3 2 6" xfId="12730"/>
    <cellStyle name="Normal 3 6 7 3 2 7" xfId="12731"/>
    <cellStyle name="Normal 3 6 7 3 2 8" xfId="12732"/>
    <cellStyle name="Normal 3 6 7 3 2 9" xfId="12733"/>
    <cellStyle name="Normal 3 6 7 3 3" xfId="12734"/>
    <cellStyle name="Normal 3 6 7 3 3 10" xfId="12735"/>
    <cellStyle name="Normal 3 6 7 3 3 11" xfId="12736"/>
    <cellStyle name="Normal 3 6 7 3 3 2" xfId="12737"/>
    <cellStyle name="Normal 3 6 7 3 3 3" xfId="12738"/>
    <cellStyle name="Normal 3 6 7 3 3 4" xfId="12739"/>
    <cellStyle name="Normal 3 6 7 3 3 5" xfId="12740"/>
    <cellStyle name="Normal 3 6 7 3 3 6" xfId="12741"/>
    <cellStyle name="Normal 3 6 7 3 3 7" xfId="12742"/>
    <cellStyle name="Normal 3 6 7 3 3 8" xfId="12743"/>
    <cellStyle name="Normal 3 6 7 3 3 9" xfId="12744"/>
    <cellStyle name="Normal 3 6 7 3 4" xfId="12745"/>
    <cellStyle name="Normal 3 6 7 3 4 2" xfId="12746"/>
    <cellStyle name="Normal 3 6 7 3 4 3" xfId="12747"/>
    <cellStyle name="Normal 3 6 7 3 5" xfId="12748"/>
    <cellStyle name="Normal 3 6 7 3 5 2" xfId="12749"/>
    <cellStyle name="Normal 3 6 7 3 5 3" xfId="12750"/>
    <cellStyle name="Normal 3 6 7 3 6" xfId="12751"/>
    <cellStyle name="Normal 3 6 7 3 7" xfId="12752"/>
    <cellStyle name="Normal 3 6 7 3 8" xfId="12753"/>
    <cellStyle name="Normal 3 6 7 3 9" xfId="12754"/>
    <cellStyle name="Normal 3 6 7 4" xfId="12755"/>
    <cellStyle name="Normal 3 6 7 4 10" xfId="12756"/>
    <cellStyle name="Normal 3 6 7 4 11" xfId="12757"/>
    <cellStyle name="Normal 3 6 7 4 2" xfId="12758"/>
    <cellStyle name="Normal 3 6 7 4 3" xfId="12759"/>
    <cellStyle name="Normal 3 6 7 4 4" xfId="12760"/>
    <cellStyle name="Normal 3 6 7 4 5" xfId="12761"/>
    <cellStyle name="Normal 3 6 7 4 6" xfId="12762"/>
    <cellStyle name="Normal 3 6 7 4 7" xfId="12763"/>
    <cellStyle name="Normal 3 6 7 4 8" xfId="12764"/>
    <cellStyle name="Normal 3 6 7 4 9" xfId="12765"/>
    <cellStyle name="Normal 3 6 7 5" xfId="12766"/>
    <cellStyle name="Normal 3 6 7 5 10" xfId="12767"/>
    <cellStyle name="Normal 3 6 7 5 11" xfId="12768"/>
    <cellStyle name="Normal 3 6 7 5 2" xfId="12769"/>
    <cellStyle name="Normal 3 6 7 5 3" xfId="12770"/>
    <cellStyle name="Normal 3 6 7 5 4" xfId="12771"/>
    <cellStyle name="Normal 3 6 7 5 5" xfId="12772"/>
    <cellStyle name="Normal 3 6 7 5 6" xfId="12773"/>
    <cellStyle name="Normal 3 6 7 5 7" xfId="12774"/>
    <cellStyle name="Normal 3 6 7 5 8" xfId="12775"/>
    <cellStyle name="Normal 3 6 7 5 9" xfId="12776"/>
    <cellStyle name="Normal 3 6 7 6" xfId="12777"/>
    <cellStyle name="Normal 3 6 7 6 2" xfId="12778"/>
    <cellStyle name="Normal 3 6 7 6 3" xfId="12779"/>
    <cellStyle name="Normal 3 6 7 7" xfId="12780"/>
    <cellStyle name="Normal 3 6 7 7 2" xfId="12781"/>
    <cellStyle name="Normal 3 6 7 7 3" xfId="12782"/>
    <cellStyle name="Normal 3 6 7 8" xfId="12783"/>
    <cellStyle name="Normal 3 6 7 9" xfId="12784"/>
    <cellStyle name="Normal 3 6 8" xfId="12785"/>
    <cellStyle name="Normal 3 6 8 2" xfId="12786"/>
    <cellStyle name="Normal 3 6 9" xfId="12787"/>
    <cellStyle name="Normal 3 6 9 10" xfId="12788"/>
    <cellStyle name="Normal 3 6 9 11" xfId="12789"/>
    <cellStyle name="Normal 3 6 9 12" xfId="12790"/>
    <cellStyle name="Normal 3 6 9 13" xfId="12791"/>
    <cellStyle name="Normal 3 6 9 14" xfId="12792"/>
    <cellStyle name="Normal 3 6 9 15" xfId="12793"/>
    <cellStyle name="Normal 3 6 9 16" xfId="12794"/>
    <cellStyle name="Normal 3 6 9 2" xfId="12795"/>
    <cellStyle name="Normal 3 6 9 2 2" xfId="12796"/>
    <cellStyle name="Normal 3 6 9 3" xfId="12797"/>
    <cellStyle name="Normal 3 6 9 3 10" xfId="12798"/>
    <cellStyle name="Normal 3 6 9 3 11" xfId="12799"/>
    <cellStyle name="Normal 3 6 9 3 12" xfId="12800"/>
    <cellStyle name="Normal 3 6 9 3 13" xfId="12801"/>
    <cellStyle name="Normal 3 6 9 3 2" xfId="12802"/>
    <cellStyle name="Normal 3 6 9 3 2 10" xfId="12803"/>
    <cellStyle name="Normal 3 6 9 3 2 11" xfId="12804"/>
    <cellStyle name="Normal 3 6 9 3 2 2" xfId="12805"/>
    <cellStyle name="Normal 3 6 9 3 2 3" xfId="12806"/>
    <cellStyle name="Normal 3 6 9 3 2 4" xfId="12807"/>
    <cellStyle name="Normal 3 6 9 3 2 5" xfId="12808"/>
    <cellStyle name="Normal 3 6 9 3 2 6" xfId="12809"/>
    <cellStyle name="Normal 3 6 9 3 2 7" xfId="12810"/>
    <cellStyle name="Normal 3 6 9 3 2 8" xfId="12811"/>
    <cellStyle name="Normal 3 6 9 3 2 9" xfId="12812"/>
    <cellStyle name="Normal 3 6 9 3 3" xfId="12813"/>
    <cellStyle name="Normal 3 6 9 3 3 10" xfId="12814"/>
    <cellStyle name="Normal 3 6 9 3 3 11" xfId="12815"/>
    <cellStyle name="Normal 3 6 9 3 3 2" xfId="12816"/>
    <cellStyle name="Normal 3 6 9 3 3 3" xfId="12817"/>
    <cellStyle name="Normal 3 6 9 3 3 4" xfId="12818"/>
    <cellStyle name="Normal 3 6 9 3 3 5" xfId="12819"/>
    <cellStyle name="Normal 3 6 9 3 3 6" xfId="12820"/>
    <cellStyle name="Normal 3 6 9 3 3 7" xfId="12821"/>
    <cellStyle name="Normal 3 6 9 3 3 8" xfId="12822"/>
    <cellStyle name="Normal 3 6 9 3 3 9" xfId="12823"/>
    <cellStyle name="Normal 3 6 9 3 4" xfId="12824"/>
    <cellStyle name="Normal 3 6 9 3 4 2" xfId="12825"/>
    <cellStyle name="Normal 3 6 9 3 4 3" xfId="12826"/>
    <cellStyle name="Normal 3 6 9 3 5" xfId="12827"/>
    <cellStyle name="Normal 3 6 9 3 5 2" xfId="12828"/>
    <cellStyle name="Normal 3 6 9 3 5 3" xfId="12829"/>
    <cellStyle name="Normal 3 6 9 3 6" xfId="12830"/>
    <cellStyle name="Normal 3 6 9 3 7" xfId="12831"/>
    <cellStyle name="Normal 3 6 9 3 8" xfId="12832"/>
    <cellStyle name="Normal 3 6 9 3 9" xfId="12833"/>
    <cellStyle name="Normal 3 6 9 4" xfId="12834"/>
    <cellStyle name="Normal 3 6 9 4 10" xfId="12835"/>
    <cellStyle name="Normal 3 6 9 4 11" xfId="12836"/>
    <cellStyle name="Normal 3 6 9 4 12" xfId="12837"/>
    <cellStyle name="Normal 3 6 9 4 13" xfId="12838"/>
    <cellStyle name="Normal 3 6 9 4 2" xfId="12839"/>
    <cellStyle name="Normal 3 6 9 4 2 10" xfId="12840"/>
    <cellStyle name="Normal 3 6 9 4 2 11" xfId="12841"/>
    <cellStyle name="Normal 3 6 9 4 2 2" xfId="12842"/>
    <cellStyle name="Normal 3 6 9 4 2 3" xfId="12843"/>
    <cellStyle name="Normal 3 6 9 4 2 4" xfId="12844"/>
    <cellStyle name="Normal 3 6 9 4 2 5" xfId="12845"/>
    <cellStyle name="Normal 3 6 9 4 2 6" xfId="12846"/>
    <cellStyle name="Normal 3 6 9 4 2 7" xfId="12847"/>
    <cellStyle name="Normal 3 6 9 4 2 8" xfId="12848"/>
    <cellStyle name="Normal 3 6 9 4 2 9" xfId="12849"/>
    <cellStyle name="Normal 3 6 9 4 3" xfId="12850"/>
    <cellStyle name="Normal 3 6 9 4 3 10" xfId="12851"/>
    <cellStyle name="Normal 3 6 9 4 3 11" xfId="12852"/>
    <cellStyle name="Normal 3 6 9 4 3 2" xfId="12853"/>
    <cellStyle name="Normal 3 6 9 4 3 3" xfId="12854"/>
    <cellStyle name="Normal 3 6 9 4 3 4" xfId="12855"/>
    <cellStyle name="Normal 3 6 9 4 3 5" xfId="12856"/>
    <cellStyle name="Normal 3 6 9 4 3 6" xfId="12857"/>
    <cellStyle name="Normal 3 6 9 4 3 7" xfId="12858"/>
    <cellStyle name="Normal 3 6 9 4 3 8" xfId="12859"/>
    <cellStyle name="Normal 3 6 9 4 3 9" xfId="12860"/>
    <cellStyle name="Normal 3 6 9 4 4" xfId="12861"/>
    <cellStyle name="Normal 3 6 9 4 4 2" xfId="12862"/>
    <cellStyle name="Normal 3 6 9 4 4 3" xfId="12863"/>
    <cellStyle name="Normal 3 6 9 4 5" xfId="12864"/>
    <cellStyle name="Normal 3 6 9 4 5 2" xfId="12865"/>
    <cellStyle name="Normal 3 6 9 4 5 3" xfId="12866"/>
    <cellStyle name="Normal 3 6 9 4 6" xfId="12867"/>
    <cellStyle name="Normal 3 6 9 4 7" xfId="12868"/>
    <cellStyle name="Normal 3 6 9 4 8" xfId="12869"/>
    <cellStyle name="Normal 3 6 9 4 9" xfId="12870"/>
    <cellStyle name="Normal 3 6 9 5" xfId="12871"/>
    <cellStyle name="Normal 3 6 9 5 10" xfId="12872"/>
    <cellStyle name="Normal 3 6 9 5 11" xfId="12873"/>
    <cellStyle name="Normal 3 6 9 5 2" xfId="12874"/>
    <cellStyle name="Normal 3 6 9 5 3" xfId="12875"/>
    <cellStyle name="Normal 3 6 9 5 4" xfId="12876"/>
    <cellStyle name="Normal 3 6 9 5 5" xfId="12877"/>
    <cellStyle name="Normal 3 6 9 5 6" xfId="12878"/>
    <cellStyle name="Normal 3 6 9 5 7" xfId="12879"/>
    <cellStyle name="Normal 3 6 9 5 8" xfId="12880"/>
    <cellStyle name="Normal 3 6 9 5 9" xfId="12881"/>
    <cellStyle name="Normal 3 6 9 6" xfId="12882"/>
    <cellStyle name="Normal 3 6 9 6 10" xfId="12883"/>
    <cellStyle name="Normal 3 6 9 6 11" xfId="12884"/>
    <cellStyle name="Normal 3 6 9 6 2" xfId="12885"/>
    <cellStyle name="Normal 3 6 9 6 3" xfId="12886"/>
    <cellStyle name="Normal 3 6 9 6 4" xfId="12887"/>
    <cellStyle name="Normal 3 6 9 6 5" xfId="12888"/>
    <cellStyle name="Normal 3 6 9 6 6" xfId="12889"/>
    <cellStyle name="Normal 3 6 9 6 7" xfId="12890"/>
    <cellStyle name="Normal 3 6 9 6 8" xfId="12891"/>
    <cellStyle name="Normal 3 6 9 6 9" xfId="12892"/>
    <cellStyle name="Normal 3 6 9 7" xfId="12893"/>
    <cellStyle name="Normal 3 6 9 7 2" xfId="12894"/>
    <cellStyle name="Normal 3 6 9 7 3" xfId="12895"/>
    <cellStyle name="Normal 3 6 9 8" xfId="12896"/>
    <cellStyle name="Normal 3 6 9 8 2" xfId="12897"/>
    <cellStyle name="Normal 3 6 9 8 3" xfId="12898"/>
    <cellStyle name="Normal 3 6 9 9" xfId="12899"/>
    <cellStyle name="Normal 3 6 9_Corrected Spl Task information Peddapalli Division" xfId="12900"/>
    <cellStyle name="Normal 3 7" xfId="12901"/>
    <cellStyle name="Normal 3 7 10" xfId="12902"/>
    <cellStyle name="Normal 3 7 11" xfId="12903"/>
    <cellStyle name="Normal 3 7 12" xfId="12904"/>
    <cellStyle name="Normal 3 7 13" xfId="12905"/>
    <cellStyle name="Normal 3 7 14" xfId="12906"/>
    <cellStyle name="Normal 3 7 15" xfId="12907"/>
    <cellStyle name="Normal 3 7 16" xfId="12908"/>
    <cellStyle name="Normal 3 7 17" xfId="12909"/>
    <cellStyle name="Normal 3 7 18" xfId="12910"/>
    <cellStyle name="Normal 3 7 2" xfId="12911"/>
    <cellStyle name="Normal 3 7 2 2" xfId="12912"/>
    <cellStyle name="Normal 3 7 3" xfId="12913"/>
    <cellStyle name="Normal 3 7 3 2" xfId="12914"/>
    <cellStyle name="Normal 3 7 4" xfId="12915"/>
    <cellStyle name="Normal 3 7 4 2" xfId="12916"/>
    <cellStyle name="Normal 3 7 5" xfId="12917"/>
    <cellStyle name="Normal 3 7 5 2" xfId="12918"/>
    <cellStyle name="Normal 3 7 6" xfId="12919"/>
    <cellStyle name="Normal 3 7 6 2" xfId="12920"/>
    <cellStyle name="Normal 3 7 7" xfId="12921"/>
    <cellStyle name="Normal 3 7 7 2" xfId="12922"/>
    <cellStyle name="Normal 3 7 8" xfId="12923"/>
    <cellStyle name="Normal 3 7 8 2" xfId="12924"/>
    <cellStyle name="Normal 3 7 9" xfId="12925"/>
    <cellStyle name="Normal 3 8" xfId="12926"/>
    <cellStyle name="Normal 3 8 10" xfId="12927"/>
    <cellStyle name="Normal 3 8 11" xfId="12928"/>
    <cellStyle name="Normal 3 8 12" xfId="12929"/>
    <cellStyle name="Normal 3 8 13" xfId="12930"/>
    <cellStyle name="Normal 3 8 14" xfId="12931"/>
    <cellStyle name="Normal 3 8 15" xfId="12932"/>
    <cellStyle name="Normal 3 8 16" xfId="12933"/>
    <cellStyle name="Normal 3 8 17" xfId="12934"/>
    <cellStyle name="Normal 3 8 18" xfId="12935"/>
    <cellStyle name="Normal 3 8 2" xfId="12936"/>
    <cellStyle name="Normal 3 8 2 2" xfId="12937"/>
    <cellStyle name="Normal 3 8 3" xfId="12938"/>
    <cellStyle name="Normal 3 8 3 2" xfId="12939"/>
    <cellStyle name="Normal 3 8 4" xfId="12940"/>
    <cellStyle name="Normal 3 8 4 2" xfId="12941"/>
    <cellStyle name="Normal 3 8 5" xfId="12942"/>
    <cellStyle name="Normal 3 8 5 2" xfId="12943"/>
    <cellStyle name="Normal 3 8 6" xfId="12944"/>
    <cellStyle name="Normal 3 8 6 2" xfId="12945"/>
    <cellStyle name="Normal 3 8 7" xfId="12946"/>
    <cellStyle name="Normal 3 8 7 2" xfId="12947"/>
    <cellStyle name="Normal 3 8 8" xfId="12948"/>
    <cellStyle name="Normal 3 8 8 2" xfId="12949"/>
    <cellStyle name="Normal 3 8 9" xfId="12950"/>
    <cellStyle name="Normal 3 9" xfId="12951"/>
    <cellStyle name="Normal 3 9 10" xfId="12952"/>
    <cellStyle name="Normal 3 9 11" xfId="12953"/>
    <cellStyle name="Normal 3 9 12" xfId="12954"/>
    <cellStyle name="Normal 3 9 13" xfId="12955"/>
    <cellStyle name="Normal 3 9 14" xfId="12956"/>
    <cellStyle name="Normal 3 9 15" xfId="12957"/>
    <cellStyle name="Normal 3 9 16" xfId="12958"/>
    <cellStyle name="Normal 3 9 17" xfId="12959"/>
    <cellStyle name="Normal 3 9 18" xfId="12960"/>
    <cellStyle name="Normal 3 9 2" xfId="12961"/>
    <cellStyle name="Normal 3 9 2 2" xfId="12962"/>
    <cellStyle name="Normal 3 9 3" xfId="12963"/>
    <cellStyle name="Normal 3 9 3 2" xfId="12964"/>
    <cellStyle name="Normal 3 9 4" xfId="12965"/>
    <cellStyle name="Normal 3 9 4 2" xfId="12966"/>
    <cellStyle name="Normal 3 9 5" xfId="12967"/>
    <cellStyle name="Normal 3 9 5 2" xfId="12968"/>
    <cellStyle name="Normal 3 9 6" xfId="12969"/>
    <cellStyle name="Normal 3 9 6 2" xfId="12970"/>
    <cellStyle name="Normal 3 9 7" xfId="12971"/>
    <cellStyle name="Normal 3 9 7 2" xfId="12972"/>
    <cellStyle name="Normal 3 9 8" xfId="12973"/>
    <cellStyle name="Normal 3 9 8 2" xfId="12974"/>
    <cellStyle name="Normal 3 9 9" xfId="12975"/>
    <cellStyle name="Normal 3_1_Pattapupalem_road estt-NCRMP" xfId="12976"/>
    <cellStyle name="Normal 30" xfId="12977"/>
    <cellStyle name="Normal 30 2" xfId="12978"/>
    <cellStyle name="Normal 30 2 2" xfId="12979"/>
    <cellStyle name="Normal 30 2 3" xfId="12980"/>
    <cellStyle name="Normal 30 3" xfId="12981"/>
    <cellStyle name="Normal 30 4" xfId="12982"/>
    <cellStyle name="Normal 31" xfId="12983"/>
    <cellStyle name="Normal 31 2" xfId="12984"/>
    <cellStyle name="Normal 32" xfId="12985"/>
    <cellStyle name="Normal 32 2" xfId="12986"/>
    <cellStyle name="Normal 32 2 2" xfId="12987"/>
    <cellStyle name="Normal 32 2 3" xfId="12988"/>
    <cellStyle name="Normal 32 3" xfId="12989"/>
    <cellStyle name="Normal 33" xfId="12990"/>
    <cellStyle name="Normal 33 2" xfId="12991"/>
    <cellStyle name="Normal 33 2 2" xfId="12992"/>
    <cellStyle name="Normal 33 3" xfId="12993"/>
    <cellStyle name="Normal 34" xfId="12994"/>
    <cellStyle name="Normal 34 2" xfId="12995"/>
    <cellStyle name="Normal 35" xfId="12996"/>
    <cellStyle name="Normal 35 2" xfId="12997"/>
    <cellStyle name="Normal 35 2 2" xfId="12998"/>
    <cellStyle name="Normal 35 3" xfId="12999"/>
    <cellStyle name="Normal 36" xfId="13000"/>
    <cellStyle name="Normal 36 2" xfId="13001"/>
    <cellStyle name="Normal 36 2 2" xfId="13002"/>
    <cellStyle name="Normal 36 3" xfId="13003"/>
    <cellStyle name="Normal 37" xfId="13004"/>
    <cellStyle name="Normal 37 10" xfId="13005"/>
    <cellStyle name="Normal 37 11" xfId="13006"/>
    <cellStyle name="Normal 37 12" xfId="13007"/>
    <cellStyle name="Normal 37 13" xfId="13008"/>
    <cellStyle name="Normal 37 14" xfId="13009"/>
    <cellStyle name="Normal 37 15" xfId="13010"/>
    <cellStyle name="Normal 37 16" xfId="13011"/>
    <cellStyle name="Normal 37 2" xfId="13012"/>
    <cellStyle name="Normal 37 2 2" xfId="13013"/>
    <cellStyle name="Normal 37 3" xfId="13014"/>
    <cellStyle name="Normal 37 3 10" xfId="13015"/>
    <cellStyle name="Normal 37 3 11" xfId="13016"/>
    <cellStyle name="Normal 37 3 12" xfId="13017"/>
    <cellStyle name="Normal 37 3 13" xfId="13018"/>
    <cellStyle name="Normal 37 3 2" xfId="13019"/>
    <cellStyle name="Normal 37 3 2 10" xfId="13020"/>
    <cellStyle name="Normal 37 3 2 11" xfId="13021"/>
    <cellStyle name="Normal 37 3 2 2" xfId="13022"/>
    <cellStyle name="Normal 37 3 2 3" xfId="13023"/>
    <cellStyle name="Normal 37 3 2 4" xfId="13024"/>
    <cellStyle name="Normal 37 3 2 5" xfId="13025"/>
    <cellStyle name="Normal 37 3 2 6" xfId="13026"/>
    <cellStyle name="Normal 37 3 2 7" xfId="13027"/>
    <cellStyle name="Normal 37 3 2 8" xfId="13028"/>
    <cellStyle name="Normal 37 3 2 9" xfId="13029"/>
    <cellStyle name="Normal 37 3 3" xfId="13030"/>
    <cellStyle name="Normal 37 3 3 10" xfId="13031"/>
    <cellStyle name="Normal 37 3 3 11" xfId="13032"/>
    <cellStyle name="Normal 37 3 3 2" xfId="13033"/>
    <cellStyle name="Normal 37 3 3 3" xfId="13034"/>
    <cellStyle name="Normal 37 3 3 4" xfId="13035"/>
    <cellStyle name="Normal 37 3 3 5" xfId="13036"/>
    <cellStyle name="Normal 37 3 3 6" xfId="13037"/>
    <cellStyle name="Normal 37 3 3 7" xfId="13038"/>
    <cellStyle name="Normal 37 3 3 8" xfId="13039"/>
    <cellStyle name="Normal 37 3 3 9" xfId="13040"/>
    <cellStyle name="Normal 37 3 4" xfId="13041"/>
    <cellStyle name="Normal 37 3 4 2" xfId="13042"/>
    <cellStyle name="Normal 37 3 4 3" xfId="13043"/>
    <cellStyle name="Normal 37 3 5" xfId="13044"/>
    <cellStyle name="Normal 37 3 5 2" xfId="13045"/>
    <cellStyle name="Normal 37 3 5 3" xfId="13046"/>
    <cellStyle name="Normal 37 3 6" xfId="13047"/>
    <cellStyle name="Normal 37 3 7" xfId="13048"/>
    <cellStyle name="Normal 37 3 8" xfId="13049"/>
    <cellStyle name="Normal 37 3 9" xfId="13050"/>
    <cellStyle name="Normal 37 4" xfId="13051"/>
    <cellStyle name="Normal 37 4 10" xfId="13052"/>
    <cellStyle name="Normal 37 4 11" xfId="13053"/>
    <cellStyle name="Normal 37 4 12" xfId="13054"/>
    <cellStyle name="Normal 37 4 13" xfId="13055"/>
    <cellStyle name="Normal 37 4 2" xfId="13056"/>
    <cellStyle name="Normal 37 4 2 10" xfId="13057"/>
    <cellStyle name="Normal 37 4 2 11" xfId="13058"/>
    <cellStyle name="Normal 37 4 2 2" xfId="13059"/>
    <cellStyle name="Normal 37 4 2 3" xfId="13060"/>
    <cellStyle name="Normal 37 4 2 4" xfId="13061"/>
    <cellStyle name="Normal 37 4 2 5" xfId="13062"/>
    <cellStyle name="Normal 37 4 2 6" xfId="13063"/>
    <cellStyle name="Normal 37 4 2 7" xfId="13064"/>
    <cellStyle name="Normal 37 4 2 8" xfId="13065"/>
    <cellStyle name="Normal 37 4 2 9" xfId="13066"/>
    <cellStyle name="Normal 37 4 3" xfId="13067"/>
    <cellStyle name="Normal 37 4 3 10" xfId="13068"/>
    <cellStyle name="Normal 37 4 3 11" xfId="13069"/>
    <cellStyle name="Normal 37 4 3 2" xfId="13070"/>
    <cellStyle name="Normal 37 4 3 3" xfId="13071"/>
    <cellStyle name="Normal 37 4 3 4" xfId="13072"/>
    <cellStyle name="Normal 37 4 3 5" xfId="13073"/>
    <cellStyle name="Normal 37 4 3 6" xfId="13074"/>
    <cellStyle name="Normal 37 4 3 7" xfId="13075"/>
    <cellStyle name="Normal 37 4 3 8" xfId="13076"/>
    <cellStyle name="Normal 37 4 3 9" xfId="13077"/>
    <cellStyle name="Normal 37 4 4" xfId="13078"/>
    <cellStyle name="Normal 37 4 4 2" xfId="13079"/>
    <cellStyle name="Normal 37 4 4 3" xfId="13080"/>
    <cellStyle name="Normal 37 4 5" xfId="13081"/>
    <cellStyle name="Normal 37 4 5 2" xfId="13082"/>
    <cellStyle name="Normal 37 4 5 3" xfId="13083"/>
    <cellStyle name="Normal 37 4 6" xfId="13084"/>
    <cellStyle name="Normal 37 4 7" xfId="13085"/>
    <cellStyle name="Normal 37 4 8" xfId="13086"/>
    <cellStyle name="Normal 37 4 9" xfId="13087"/>
    <cellStyle name="Normal 37 5" xfId="13088"/>
    <cellStyle name="Normal 37 5 10" xfId="13089"/>
    <cellStyle name="Normal 37 5 11" xfId="13090"/>
    <cellStyle name="Normal 37 5 2" xfId="13091"/>
    <cellStyle name="Normal 37 5 3" xfId="13092"/>
    <cellStyle name="Normal 37 5 4" xfId="13093"/>
    <cellStyle name="Normal 37 5 5" xfId="13094"/>
    <cellStyle name="Normal 37 5 6" xfId="13095"/>
    <cellStyle name="Normal 37 5 7" xfId="13096"/>
    <cellStyle name="Normal 37 5 8" xfId="13097"/>
    <cellStyle name="Normal 37 5 9" xfId="13098"/>
    <cellStyle name="Normal 37 6" xfId="13099"/>
    <cellStyle name="Normal 37 6 10" xfId="13100"/>
    <cellStyle name="Normal 37 6 11" xfId="13101"/>
    <cellStyle name="Normal 37 6 2" xfId="13102"/>
    <cellStyle name="Normal 37 6 3" xfId="13103"/>
    <cellStyle name="Normal 37 6 4" xfId="13104"/>
    <cellStyle name="Normal 37 6 5" xfId="13105"/>
    <cellStyle name="Normal 37 6 6" xfId="13106"/>
    <cellStyle name="Normal 37 6 7" xfId="13107"/>
    <cellStyle name="Normal 37 6 8" xfId="13108"/>
    <cellStyle name="Normal 37 6 9" xfId="13109"/>
    <cellStyle name="Normal 37 7" xfId="13110"/>
    <cellStyle name="Normal 37 8" xfId="13111"/>
    <cellStyle name="Normal 37 9" xfId="13112"/>
    <cellStyle name="Normal 38" xfId="13113"/>
    <cellStyle name="Normal 38 2" xfId="13114"/>
    <cellStyle name="Normal 38 3" xfId="13115"/>
    <cellStyle name="Normal 39" xfId="13116"/>
    <cellStyle name="Normal 39 2" xfId="13117"/>
    <cellStyle name="Normal 39 3" xfId="13118"/>
    <cellStyle name="Normal 4" xfId="13119"/>
    <cellStyle name="Normal 4 10" xfId="13120"/>
    <cellStyle name="Normal 4 10 2" xfId="13121"/>
    <cellStyle name="Normal 4 11" xfId="13122"/>
    <cellStyle name="Normal 4 11 2" xfId="13123"/>
    <cellStyle name="Normal 4 12" xfId="13124"/>
    <cellStyle name="Normal 4 12 2" xfId="13125"/>
    <cellStyle name="Normal 4 13" xfId="13126"/>
    <cellStyle name="Normal 4 13 2" xfId="13127"/>
    <cellStyle name="Normal 4 14" xfId="13128"/>
    <cellStyle name="Normal 4 14 2" xfId="13129"/>
    <cellStyle name="Normal 4 14 2 2" xfId="13130"/>
    <cellStyle name="Normal 4 14 3" xfId="13131"/>
    <cellStyle name="Normal 4 15" xfId="13132"/>
    <cellStyle name="Normal 4 15 2" xfId="13133"/>
    <cellStyle name="Normal 4 16" xfId="13134"/>
    <cellStyle name="Normal 4 16 2" xfId="13135"/>
    <cellStyle name="Normal 4 17" xfId="13136"/>
    <cellStyle name="Normal 4 17 2" xfId="13137"/>
    <cellStyle name="Normal 4 18" xfId="13138"/>
    <cellStyle name="Normal 4 18 2" xfId="13139"/>
    <cellStyle name="Normal 4 19" xfId="13140"/>
    <cellStyle name="Normal 4 19 2" xfId="13141"/>
    <cellStyle name="Normal 4 2" xfId="13142"/>
    <cellStyle name="Normal 4 2 10" xfId="13143"/>
    <cellStyle name="Normal 4 2 10 10" xfId="13144"/>
    <cellStyle name="Normal 4 2 10 11" xfId="13145"/>
    <cellStyle name="Normal 4 2 10 12" xfId="13146"/>
    <cellStyle name="Normal 4 2 10 13" xfId="13147"/>
    <cellStyle name="Normal 4 2 10 14" xfId="13148"/>
    <cellStyle name="Normal 4 2 10 15" xfId="13149"/>
    <cellStyle name="Normal 4 2 10 16" xfId="13150"/>
    <cellStyle name="Normal 4 2 10 17" xfId="13151"/>
    <cellStyle name="Normal 4 2 10 18" xfId="13152"/>
    <cellStyle name="Normal 4 2 10 2" xfId="13153"/>
    <cellStyle name="Normal 4 2 10 2 2" xfId="13154"/>
    <cellStyle name="Normal 4 2 10 3" xfId="13155"/>
    <cellStyle name="Normal 4 2 10 3 2" xfId="13156"/>
    <cellStyle name="Normal 4 2 10 4" xfId="13157"/>
    <cellStyle name="Normal 4 2 10 4 2" xfId="13158"/>
    <cellStyle name="Normal 4 2 10 5" xfId="13159"/>
    <cellStyle name="Normal 4 2 10 5 2" xfId="13160"/>
    <cellStyle name="Normal 4 2 10 6" xfId="13161"/>
    <cellStyle name="Normal 4 2 10 6 2" xfId="13162"/>
    <cellStyle name="Normal 4 2 10 7" xfId="13163"/>
    <cellStyle name="Normal 4 2 10 7 2" xfId="13164"/>
    <cellStyle name="Normal 4 2 10 8" xfId="13165"/>
    <cellStyle name="Normal 4 2 10 8 2" xfId="13166"/>
    <cellStyle name="Normal 4 2 10 9" xfId="13167"/>
    <cellStyle name="Normal 4 2 11" xfId="13168"/>
    <cellStyle name="Normal 4 2 11 10" xfId="13169"/>
    <cellStyle name="Normal 4 2 11 11" xfId="13170"/>
    <cellStyle name="Normal 4 2 11 12" xfId="13171"/>
    <cellStyle name="Normal 4 2 11 13" xfId="13172"/>
    <cellStyle name="Normal 4 2 11 14" xfId="13173"/>
    <cellStyle name="Normal 4 2 11 15" xfId="13174"/>
    <cellStyle name="Normal 4 2 11 16" xfId="13175"/>
    <cellStyle name="Normal 4 2 11 17" xfId="13176"/>
    <cellStyle name="Normal 4 2 11 18" xfId="13177"/>
    <cellStyle name="Normal 4 2 11 2" xfId="13178"/>
    <cellStyle name="Normal 4 2 11 2 2" xfId="13179"/>
    <cellStyle name="Normal 4 2 11 3" xfId="13180"/>
    <cellStyle name="Normal 4 2 11 3 2" xfId="13181"/>
    <cellStyle name="Normal 4 2 11 4" xfId="13182"/>
    <cellStyle name="Normal 4 2 11 4 2" xfId="13183"/>
    <cellStyle name="Normal 4 2 11 5" xfId="13184"/>
    <cellStyle name="Normal 4 2 11 5 2" xfId="13185"/>
    <cellStyle name="Normal 4 2 11 6" xfId="13186"/>
    <cellStyle name="Normal 4 2 11 6 2" xfId="13187"/>
    <cellStyle name="Normal 4 2 11 7" xfId="13188"/>
    <cellStyle name="Normal 4 2 11 7 2" xfId="13189"/>
    <cellStyle name="Normal 4 2 11 8" xfId="13190"/>
    <cellStyle name="Normal 4 2 11 8 2" xfId="13191"/>
    <cellStyle name="Normal 4 2 11 9" xfId="13192"/>
    <cellStyle name="Normal 4 2 12" xfId="13193"/>
    <cellStyle name="Normal 4 2 12 2" xfId="13194"/>
    <cellStyle name="Normal 4 2 13" xfId="13195"/>
    <cellStyle name="Normal 4 2 13 2" xfId="13196"/>
    <cellStyle name="Normal 4 2 14" xfId="13197"/>
    <cellStyle name="Normal 4 2 14 2" xfId="13198"/>
    <cellStyle name="Normal 4 2 15" xfId="13199"/>
    <cellStyle name="Normal 4 2 15 2" xfId="13200"/>
    <cellStyle name="Normal 4 2 16" xfId="13201"/>
    <cellStyle name="Normal 4 2 16 2" xfId="13202"/>
    <cellStyle name="Normal 4 2 17" xfId="13203"/>
    <cellStyle name="Normal 4 2 17 2" xfId="13204"/>
    <cellStyle name="Normal 4 2 18" xfId="13205"/>
    <cellStyle name="Normal 4 2 18 2" xfId="13206"/>
    <cellStyle name="Normal 4 2 19" xfId="13207"/>
    <cellStyle name="Normal 4 2 2" xfId="13208"/>
    <cellStyle name="Normal 4 2 2 10" xfId="13209"/>
    <cellStyle name="Normal 4 2 2 10 10" xfId="13210"/>
    <cellStyle name="Normal 4 2 2 10 11" xfId="13211"/>
    <cellStyle name="Normal 4 2 2 10 12" xfId="13212"/>
    <cellStyle name="Normal 4 2 2 10 13" xfId="13213"/>
    <cellStyle name="Normal 4 2 2 10 14" xfId="13214"/>
    <cellStyle name="Normal 4 2 2 10 15" xfId="13215"/>
    <cellStyle name="Normal 4 2 2 10 16" xfId="13216"/>
    <cellStyle name="Normal 4 2 2 10 17" xfId="13217"/>
    <cellStyle name="Normal 4 2 2 10 18" xfId="13218"/>
    <cellStyle name="Normal 4 2 2 10 2" xfId="13219"/>
    <cellStyle name="Normal 4 2 2 10 2 2" xfId="13220"/>
    <cellStyle name="Normal 4 2 2 10 3" xfId="13221"/>
    <cellStyle name="Normal 4 2 2 10 3 2" xfId="13222"/>
    <cellStyle name="Normal 4 2 2 10 4" xfId="13223"/>
    <cellStyle name="Normal 4 2 2 10 4 2" xfId="13224"/>
    <cellStyle name="Normal 4 2 2 10 5" xfId="13225"/>
    <cellStyle name="Normal 4 2 2 10 5 2" xfId="13226"/>
    <cellStyle name="Normal 4 2 2 10 6" xfId="13227"/>
    <cellStyle name="Normal 4 2 2 10 6 2" xfId="13228"/>
    <cellStyle name="Normal 4 2 2 10 7" xfId="13229"/>
    <cellStyle name="Normal 4 2 2 10 7 2" xfId="13230"/>
    <cellStyle name="Normal 4 2 2 10 8" xfId="13231"/>
    <cellStyle name="Normal 4 2 2 10 8 2" xfId="13232"/>
    <cellStyle name="Normal 4 2 2 10 9" xfId="13233"/>
    <cellStyle name="Normal 4 2 2 11" xfId="13234"/>
    <cellStyle name="Normal 4 2 2 11 2" xfId="13235"/>
    <cellStyle name="Normal 4 2 2 12" xfId="13236"/>
    <cellStyle name="Normal 4 2 2 12 2" xfId="13237"/>
    <cellStyle name="Normal 4 2 2 13" xfId="13238"/>
    <cellStyle name="Normal 4 2 2 13 2" xfId="13239"/>
    <cellStyle name="Normal 4 2 2 14" xfId="13240"/>
    <cellStyle name="Normal 4 2 2 14 2" xfId="13241"/>
    <cellStyle name="Normal 4 2 2 15" xfId="13242"/>
    <cellStyle name="Normal 4 2 2 15 2" xfId="13243"/>
    <cellStyle name="Normal 4 2 2 16" xfId="13244"/>
    <cellStyle name="Normal 4 2 2 16 2" xfId="13245"/>
    <cellStyle name="Normal 4 2 2 17" xfId="13246"/>
    <cellStyle name="Normal 4 2 2 17 2" xfId="13247"/>
    <cellStyle name="Normal 4 2 2 18" xfId="13248"/>
    <cellStyle name="Normal 4 2 2 19" xfId="13249"/>
    <cellStyle name="Normal 4 2 2 2" xfId="13250"/>
    <cellStyle name="Normal 4 2 2 2 10" xfId="13251"/>
    <cellStyle name="Normal 4 2 2 2 10 2" xfId="13252"/>
    <cellStyle name="Normal 4 2 2 2 10 3" xfId="13253"/>
    <cellStyle name="Normal 4 2 2 2 11" xfId="13254"/>
    <cellStyle name="Normal 4 2 2 2 12" xfId="13255"/>
    <cellStyle name="Normal 4 2 2 2 13" xfId="13256"/>
    <cellStyle name="Normal 4 2 2 2 14" xfId="13257"/>
    <cellStyle name="Normal 4 2 2 2 15" xfId="13258"/>
    <cellStyle name="Normal 4 2 2 2 16" xfId="13259"/>
    <cellStyle name="Normal 4 2 2 2 17" xfId="13260"/>
    <cellStyle name="Normal 4 2 2 2 18" xfId="13261"/>
    <cellStyle name="Normal 4 2 2 2 2" xfId="13262"/>
    <cellStyle name="Normal 4 2 2 2 2 10" xfId="13263"/>
    <cellStyle name="Normal 4 2 2 2 2 11" xfId="13264"/>
    <cellStyle name="Normal 4 2 2 2 2 12" xfId="13265"/>
    <cellStyle name="Normal 4 2 2 2 2 13" xfId="13266"/>
    <cellStyle name="Normal 4 2 2 2 2 2" xfId="13267"/>
    <cellStyle name="Normal 4 2 2 2 2 2 10" xfId="13268"/>
    <cellStyle name="Normal 4 2 2 2 2 2 11" xfId="13269"/>
    <cellStyle name="Normal 4 2 2 2 2 2 2" xfId="13270"/>
    <cellStyle name="Normal 4 2 2 2 2 2 3" xfId="13271"/>
    <cellStyle name="Normal 4 2 2 2 2 2 4" xfId="13272"/>
    <cellStyle name="Normal 4 2 2 2 2 2 5" xfId="13273"/>
    <cellStyle name="Normal 4 2 2 2 2 2 6" xfId="13274"/>
    <cellStyle name="Normal 4 2 2 2 2 2 7" xfId="13275"/>
    <cellStyle name="Normal 4 2 2 2 2 2 8" xfId="13276"/>
    <cellStyle name="Normal 4 2 2 2 2 2 9" xfId="13277"/>
    <cellStyle name="Normal 4 2 2 2 2 3" xfId="13278"/>
    <cellStyle name="Normal 4 2 2 2 2 3 10" xfId="13279"/>
    <cellStyle name="Normal 4 2 2 2 2 3 11" xfId="13280"/>
    <cellStyle name="Normal 4 2 2 2 2 3 2" xfId="13281"/>
    <cellStyle name="Normal 4 2 2 2 2 3 3" xfId="13282"/>
    <cellStyle name="Normal 4 2 2 2 2 3 4" xfId="13283"/>
    <cellStyle name="Normal 4 2 2 2 2 3 5" xfId="13284"/>
    <cellStyle name="Normal 4 2 2 2 2 3 6" xfId="13285"/>
    <cellStyle name="Normal 4 2 2 2 2 3 7" xfId="13286"/>
    <cellStyle name="Normal 4 2 2 2 2 3 8" xfId="13287"/>
    <cellStyle name="Normal 4 2 2 2 2 3 9" xfId="13288"/>
    <cellStyle name="Normal 4 2 2 2 2 4" xfId="13289"/>
    <cellStyle name="Normal 4 2 2 2 2 4 2" xfId="13290"/>
    <cellStyle name="Normal 4 2 2 2 2 4 3" xfId="13291"/>
    <cellStyle name="Normal 4 2 2 2 2 5" xfId="13292"/>
    <cellStyle name="Normal 4 2 2 2 2 5 2" xfId="13293"/>
    <cellStyle name="Normal 4 2 2 2 2 5 3" xfId="13294"/>
    <cellStyle name="Normal 4 2 2 2 2 6" xfId="13295"/>
    <cellStyle name="Normal 4 2 2 2 2 7" xfId="13296"/>
    <cellStyle name="Normal 4 2 2 2 2 8" xfId="13297"/>
    <cellStyle name="Normal 4 2 2 2 2 9" xfId="13298"/>
    <cellStyle name="Normal 4 2 2 2 3" xfId="13299"/>
    <cellStyle name="Normal 4 2 2 2 3 10" xfId="13300"/>
    <cellStyle name="Normal 4 2 2 2 3 11" xfId="13301"/>
    <cellStyle name="Normal 4 2 2 2 3 12" xfId="13302"/>
    <cellStyle name="Normal 4 2 2 2 3 13" xfId="13303"/>
    <cellStyle name="Normal 4 2 2 2 3 2" xfId="13304"/>
    <cellStyle name="Normal 4 2 2 2 3 2 10" xfId="13305"/>
    <cellStyle name="Normal 4 2 2 2 3 2 11" xfId="13306"/>
    <cellStyle name="Normal 4 2 2 2 3 2 2" xfId="13307"/>
    <cellStyle name="Normal 4 2 2 2 3 2 3" xfId="13308"/>
    <cellStyle name="Normal 4 2 2 2 3 2 4" xfId="13309"/>
    <cellStyle name="Normal 4 2 2 2 3 2 5" xfId="13310"/>
    <cellStyle name="Normal 4 2 2 2 3 2 6" xfId="13311"/>
    <cellStyle name="Normal 4 2 2 2 3 2 7" xfId="13312"/>
    <cellStyle name="Normal 4 2 2 2 3 2 8" xfId="13313"/>
    <cellStyle name="Normal 4 2 2 2 3 2 9" xfId="13314"/>
    <cellStyle name="Normal 4 2 2 2 3 3" xfId="13315"/>
    <cellStyle name="Normal 4 2 2 2 3 3 10" xfId="13316"/>
    <cellStyle name="Normal 4 2 2 2 3 3 11" xfId="13317"/>
    <cellStyle name="Normal 4 2 2 2 3 3 2" xfId="13318"/>
    <cellStyle name="Normal 4 2 2 2 3 3 3" xfId="13319"/>
    <cellStyle name="Normal 4 2 2 2 3 3 4" xfId="13320"/>
    <cellStyle name="Normal 4 2 2 2 3 3 5" xfId="13321"/>
    <cellStyle name="Normal 4 2 2 2 3 3 6" xfId="13322"/>
    <cellStyle name="Normal 4 2 2 2 3 3 7" xfId="13323"/>
    <cellStyle name="Normal 4 2 2 2 3 3 8" xfId="13324"/>
    <cellStyle name="Normal 4 2 2 2 3 3 9" xfId="13325"/>
    <cellStyle name="Normal 4 2 2 2 3 4" xfId="13326"/>
    <cellStyle name="Normal 4 2 2 2 3 4 2" xfId="13327"/>
    <cellStyle name="Normal 4 2 2 2 3 4 3" xfId="13328"/>
    <cellStyle name="Normal 4 2 2 2 3 5" xfId="13329"/>
    <cellStyle name="Normal 4 2 2 2 3 5 2" xfId="13330"/>
    <cellStyle name="Normal 4 2 2 2 3 5 3" xfId="13331"/>
    <cellStyle name="Normal 4 2 2 2 3 6" xfId="13332"/>
    <cellStyle name="Normal 4 2 2 2 3 7" xfId="13333"/>
    <cellStyle name="Normal 4 2 2 2 3 8" xfId="13334"/>
    <cellStyle name="Normal 4 2 2 2 3 9" xfId="13335"/>
    <cellStyle name="Normal 4 2 2 2 4" xfId="13336"/>
    <cellStyle name="Normal 4 2 2 2 4 10" xfId="13337"/>
    <cellStyle name="Normal 4 2 2 2 4 11" xfId="13338"/>
    <cellStyle name="Normal 4 2 2 2 4 12" xfId="13339"/>
    <cellStyle name="Normal 4 2 2 2 4 13" xfId="13340"/>
    <cellStyle name="Normal 4 2 2 2 4 2" xfId="13341"/>
    <cellStyle name="Normal 4 2 2 2 4 2 10" xfId="13342"/>
    <cellStyle name="Normal 4 2 2 2 4 2 11" xfId="13343"/>
    <cellStyle name="Normal 4 2 2 2 4 2 2" xfId="13344"/>
    <cellStyle name="Normal 4 2 2 2 4 2 3" xfId="13345"/>
    <cellStyle name="Normal 4 2 2 2 4 2 4" xfId="13346"/>
    <cellStyle name="Normal 4 2 2 2 4 2 5" xfId="13347"/>
    <cellStyle name="Normal 4 2 2 2 4 2 6" xfId="13348"/>
    <cellStyle name="Normal 4 2 2 2 4 2 7" xfId="13349"/>
    <cellStyle name="Normal 4 2 2 2 4 2 8" xfId="13350"/>
    <cellStyle name="Normal 4 2 2 2 4 2 9" xfId="13351"/>
    <cellStyle name="Normal 4 2 2 2 4 3" xfId="13352"/>
    <cellStyle name="Normal 4 2 2 2 4 3 10" xfId="13353"/>
    <cellStyle name="Normal 4 2 2 2 4 3 11" xfId="13354"/>
    <cellStyle name="Normal 4 2 2 2 4 3 2" xfId="13355"/>
    <cellStyle name="Normal 4 2 2 2 4 3 3" xfId="13356"/>
    <cellStyle name="Normal 4 2 2 2 4 3 4" xfId="13357"/>
    <cellStyle name="Normal 4 2 2 2 4 3 5" xfId="13358"/>
    <cellStyle name="Normal 4 2 2 2 4 3 6" xfId="13359"/>
    <cellStyle name="Normal 4 2 2 2 4 3 7" xfId="13360"/>
    <cellStyle name="Normal 4 2 2 2 4 3 8" xfId="13361"/>
    <cellStyle name="Normal 4 2 2 2 4 3 9" xfId="13362"/>
    <cellStyle name="Normal 4 2 2 2 4 4" xfId="13363"/>
    <cellStyle name="Normal 4 2 2 2 4 4 2" xfId="13364"/>
    <cellStyle name="Normal 4 2 2 2 4 4 3" xfId="13365"/>
    <cellStyle name="Normal 4 2 2 2 4 5" xfId="13366"/>
    <cellStyle name="Normal 4 2 2 2 4 5 2" xfId="13367"/>
    <cellStyle name="Normal 4 2 2 2 4 5 3" xfId="13368"/>
    <cellStyle name="Normal 4 2 2 2 4 6" xfId="13369"/>
    <cellStyle name="Normal 4 2 2 2 4 7" xfId="13370"/>
    <cellStyle name="Normal 4 2 2 2 4 8" xfId="13371"/>
    <cellStyle name="Normal 4 2 2 2 4 9" xfId="13372"/>
    <cellStyle name="Normal 4 2 2 2 5" xfId="13373"/>
    <cellStyle name="Normal 4 2 2 2 5 10" xfId="13374"/>
    <cellStyle name="Normal 4 2 2 2 5 11" xfId="13375"/>
    <cellStyle name="Normal 4 2 2 2 5 12" xfId="13376"/>
    <cellStyle name="Normal 4 2 2 2 5 13" xfId="13377"/>
    <cellStyle name="Normal 4 2 2 2 5 2" xfId="13378"/>
    <cellStyle name="Normal 4 2 2 2 5 2 10" xfId="13379"/>
    <cellStyle name="Normal 4 2 2 2 5 2 11" xfId="13380"/>
    <cellStyle name="Normal 4 2 2 2 5 2 2" xfId="13381"/>
    <cellStyle name="Normal 4 2 2 2 5 2 3" xfId="13382"/>
    <cellStyle name="Normal 4 2 2 2 5 2 4" xfId="13383"/>
    <cellStyle name="Normal 4 2 2 2 5 2 5" xfId="13384"/>
    <cellStyle name="Normal 4 2 2 2 5 2 6" xfId="13385"/>
    <cellStyle name="Normal 4 2 2 2 5 2 7" xfId="13386"/>
    <cellStyle name="Normal 4 2 2 2 5 2 8" xfId="13387"/>
    <cellStyle name="Normal 4 2 2 2 5 2 9" xfId="13388"/>
    <cellStyle name="Normal 4 2 2 2 5 3" xfId="13389"/>
    <cellStyle name="Normal 4 2 2 2 5 3 10" xfId="13390"/>
    <cellStyle name="Normal 4 2 2 2 5 3 11" xfId="13391"/>
    <cellStyle name="Normal 4 2 2 2 5 3 2" xfId="13392"/>
    <cellStyle name="Normal 4 2 2 2 5 3 3" xfId="13393"/>
    <cellStyle name="Normal 4 2 2 2 5 3 4" xfId="13394"/>
    <cellStyle name="Normal 4 2 2 2 5 3 5" xfId="13395"/>
    <cellStyle name="Normal 4 2 2 2 5 3 6" xfId="13396"/>
    <cellStyle name="Normal 4 2 2 2 5 3 7" xfId="13397"/>
    <cellStyle name="Normal 4 2 2 2 5 3 8" xfId="13398"/>
    <cellStyle name="Normal 4 2 2 2 5 3 9" xfId="13399"/>
    <cellStyle name="Normal 4 2 2 2 5 4" xfId="13400"/>
    <cellStyle name="Normal 4 2 2 2 5 4 2" xfId="13401"/>
    <cellStyle name="Normal 4 2 2 2 5 4 3" xfId="13402"/>
    <cellStyle name="Normal 4 2 2 2 5 5" xfId="13403"/>
    <cellStyle name="Normal 4 2 2 2 5 5 2" xfId="13404"/>
    <cellStyle name="Normal 4 2 2 2 5 5 3" xfId="13405"/>
    <cellStyle name="Normal 4 2 2 2 5 6" xfId="13406"/>
    <cellStyle name="Normal 4 2 2 2 5 7" xfId="13407"/>
    <cellStyle name="Normal 4 2 2 2 5 8" xfId="13408"/>
    <cellStyle name="Normal 4 2 2 2 5 9" xfId="13409"/>
    <cellStyle name="Normal 4 2 2 2 6" xfId="13410"/>
    <cellStyle name="Normal 4 2 2 2 6 10" xfId="13411"/>
    <cellStyle name="Normal 4 2 2 2 6 11" xfId="13412"/>
    <cellStyle name="Normal 4 2 2 2 6 12" xfId="13413"/>
    <cellStyle name="Normal 4 2 2 2 6 13" xfId="13414"/>
    <cellStyle name="Normal 4 2 2 2 6 2" xfId="13415"/>
    <cellStyle name="Normal 4 2 2 2 6 2 10" xfId="13416"/>
    <cellStyle name="Normal 4 2 2 2 6 2 11" xfId="13417"/>
    <cellStyle name="Normal 4 2 2 2 6 2 2" xfId="13418"/>
    <cellStyle name="Normal 4 2 2 2 6 2 3" xfId="13419"/>
    <cellStyle name="Normal 4 2 2 2 6 2 4" xfId="13420"/>
    <cellStyle name="Normal 4 2 2 2 6 2 5" xfId="13421"/>
    <cellStyle name="Normal 4 2 2 2 6 2 6" xfId="13422"/>
    <cellStyle name="Normal 4 2 2 2 6 2 7" xfId="13423"/>
    <cellStyle name="Normal 4 2 2 2 6 2 8" xfId="13424"/>
    <cellStyle name="Normal 4 2 2 2 6 2 9" xfId="13425"/>
    <cellStyle name="Normal 4 2 2 2 6 3" xfId="13426"/>
    <cellStyle name="Normal 4 2 2 2 6 3 10" xfId="13427"/>
    <cellStyle name="Normal 4 2 2 2 6 3 11" xfId="13428"/>
    <cellStyle name="Normal 4 2 2 2 6 3 2" xfId="13429"/>
    <cellStyle name="Normal 4 2 2 2 6 3 3" xfId="13430"/>
    <cellStyle name="Normal 4 2 2 2 6 3 4" xfId="13431"/>
    <cellStyle name="Normal 4 2 2 2 6 3 5" xfId="13432"/>
    <cellStyle name="Normal 4 2 2 2 6 3 6" xfId="13433"/>
    <cellStyle name="Normal 4 2 2 2 6 3 7" xfId="13434"/>
    <cellStyle name="Normal 4 2 2 2 6 3 8" xfId="13435"/>
    <cellStyle name="Normal 4 2 2 2 6 3 9" xfId="13436"/>
    <cellStyle name="Normal 4 2 2 2 6 4" xfId="13437"/>
    <cellStyle name="Normal 4 2 2 2 6 4 2" xfId="13438"/>
    <cellStyle name="Normal 4 2 2 2 6 4 3" xfId="13439"/>
    <cellStyle name="Normal 4 2 2 2 6 5" xfId="13440"/>
    <cellStyle name="Normal 4 2 2 2 6 5 2" xfId="13441"/>
    <cellStyle name="Normal 4 2 2 2 6 5 3" xfId="13442"/>
    <cellStyle name="Normal 4 2 2 2 6 6" xfId="13443"/>
    <cellStyle name="Normal 4 2 2 2 6 7" xfId="13444"/>
    <cellStyle name="Normal 4 2 2 2 6 8" xfId="13445"/>
    <cellStyle name="Normal 4 2 2 2 6 9" xfId="13446"/>
    <cellStyle name="Normal 4 2 2 2 7" xfId="13447"/>
    <cellStyle name="Normal 4 2 2 2 7 10" xfId="13448"/>
    <cellStyle name="Normal 4 2 2 2 7 11" xfId="13449"/>
    <cellStyle name="Normal 4 2 2 2 7 2" xfId="13450"/>
    <cellStyle name="Normal 4 2 2 2 7 3" xfId="13451"/>
    <cellStyle name="Normal 4 2 2 2 7 4" xfId="13452"/>
    <cellStyle name="Normal 4 2 2 2 7 5" xfId="13453"/>
    <cellStyle name="Normal 4 2 2 2 7 6" xfId="13454"/>
    <cellStyle name="Normal 4 2 2 2 7 7" xfId="13455"/>
    <cellStyle name="Normal 4 2 2 2 7 8" xfId="13456"/>
    <cellStyle name="Normal 4 2 2 2 7 9" xfId="13457"/>
    <cellStyle name="Normal 4 2 2 2 8" xfId="13458"/>
    <cellStyle name="Normal 4 2 2 2 8 10" xfId="13459"/>
    <cellStyle name="Normal 4 2 2 2 8 11" xfId="13460"/>
    <cellStyle name="Normal 4 2 2 2 8 2" xfId="13461"/>
    <cellStyle name="Normal 4 2 2 2 8 3" xfId="13462"/>
    <cellStyle name="Normal 4 2 2 2 8 4" xfId="13463"/>
    <cellStyle name="Normal 4 2 2 2 8 5" xfId="13464"/>
    <cellStyle name="Normal 4 2 2 2 8 6" xfId="13465"/>
    <cellStyle name="Normal 4 2 2 2 8 7" xfId="13466"/>
    <cellStyle name="Normal 4 2 2 2 8 8" xfId="13467"/>
    <cellStyle name="Normal 4 2 2 2 8 9" xfId="13468"/>
    <cellStyle name="Normal 4 2 2 2 9" xfId="13469"/>
    <cellStyle name="Normal 4 2 2 2 9 2" xfId="13470"/>
    <cellStyle name="Normal 4 2 2 2 9 3" xfId="13471"/>
    <cellStyle name="Normal 4 2 2 20" xfId="13472"/>
    <cellStyle name="Normal 4 2 2 21" xfId="13473"/>
    <cellStyle name="Normal 4 2 2 22" xfId="13474"/>
    <cellStyle name="Normal 4 2 2 23" xfId="13475"/>
    <cellStyle name="Normal 4 2 2 24" xfId="13476"/>
    <cellStyle name="Normal 4 2 2 25" xfId="13477"/>
    <cellStyle name="Normal 4 2 2 26" xfId="13478"/>
    <cellStyle name="Normal 4 2 2 27" xfId="13479"/>
    <cellStyle name="Normal 4 2 2 3" xfId="13480"/>
    <cellStyle name="Normal 4 2 2 3 10" xfId="13481"/>
    <cellStyle name="Normal 4 2 2 3 11" xfId="13482"/>
    <cellStyle name="Normal 4 2 2 3 12" xfId="13483"/>
    <cellStyle name="Normal 4 2 2 3 13" xfId="13484"/>
    <cellStyle name="Normal 4 2 2 3 14" xfId="13485"/>
    <cellStyle name="Normal 4 2 2 3 15" xfId="13486"/>
    <cellStyle name="Normal 4 2 2 3 16" xfId="13487"/>
    <cellStyle name="Normal 4 2 2 3 17" xfId="13488"/>
    <cellStyle name="Normal 4 2 2 3 18" xfId="13489"/>
    <cellStyle name="Normal 4 2 2 3 2" xfId="13490"/>
    <cellStyle name="Normal 4 2 2 3 2 2" xfId="13491"/>
    <cellStyle name="Normal 4 2 2 3 3" xfId="13492"/>
    <cellStyle name="Normal 4 2 2 3 3 2" xfId="13493"/>
    <cellStyle name="Normal 4 2 2 3 4" xfId="13494"/>
    <cellStyle name="Normal 4 2 2 3 4 2" xfId="13495"/>
    <cellStyle name="Normal 4 2 2 3 5" xfId="13496"/>
    <cellStyle name="Normal 4 2 2 3 5 2" xfId="13497"/>
    <cellStyle name="Normal 4 2 2 3 6" xfId="13498"/>
    <cellStyle name="Normal 4 2 2 3 6 2" xfId="13499"/>
    <cellStyle name="Normal 4 2 2 3 7" xfId="13500"/>
    <cellStyle name="Normal 4 2 2 3 7 2" xfId="13501"/>
    <cellStyle name="Normal 4 2 2 3 8" xfId="13502"/>
    <cellStyle name="Normal 4 2 2 3 8 2" xfId="13503"/>
    <cellStyle name="Normal 4 2 2 3 9" xfId="13504"/>
    <cellStyle name="Normal 4 2 2 4" xfId="13505"/>
    <cellStyle name="Normal 4 2 2 4 10" xfId="13506"/>
    <cellStyle name="Normal 4 2 2 4 11" xfId="13507"/>
    <cellStyle name="Normal 4 2 2 4 12" xfId="13508"/>
    <cellStyle name="Normal 4 2 2 4 13" xfId="13509"/>
    <cellStyle name="Normal 4 2 2 4 14" xfId="13510"/>
    <cellStyle name="Normal 4 2 2 4 15" xfId="13511"/>
    <cellStyle name="Normal 4 2 2 4 16" xfId="13512"/>
    <cellStyle name="Normal 4 2 2 4 17" xfId="13513"/>
    <cellStyle name="Normal 4 2 2 4 18" xfId="13514"/>
    <cellStyle name="Normal 4 2 2 4 2" xfId="13515"/>
    <cellStyle name="Normal 4 2 2 4 2 2" xfId="13516"/>
    <cellStyle name="Normal 4 2 2 4 3" xfId="13517"/>
    <cellStyle name="Normal 4 2 2 4 3 2" xfId="13518"/>
    <cellStyle name="Normal 4 2 2 4 4" xfId="13519"/>
    <cellStyle name="Normal 4 2 2 4 4 2" xfId="13520"/>
    <cellStyle name="Normal 4 2 2 4 5" xfId="13521"/>
    <cellStyle name="Normal 4 2 2 4 5 2" xfId="13522"/>
    <cellStyle name="Normal 4 2 2 4 6" xfId="13523"/>
    <cellStyle name="Normal 4 2 2 4 6 2" xfId="13524"/>
    <cellStyle name="Normal 4 2 2 4 7" xfId="13525"/>
    <cellStyle name="Normal 4 2 2 4 7 2" xfId="13526"/>
    <cellStyle name="Normal 4 2 2 4 8" xfId="13527"/>
    <cellStyle name="Normal 4 2 2 4 8 2" xfId="13528"/>
    <cellStyle name="Normal 4 2 2 4 9" xfId="13529"/>
    <cellStyle name="Normal 4 2 2 5" xfId="13530"/>
    <cellStyle name="Normal 4 2 2 5 10" xfId="13531"/>
    <cellStyle name="Normal 4 2 2 5 11" xfId="13532"/>
    <cellStyle name="Normal 4 2 2 5 12" xfId="13533"/>
    <cellStyle name="Normal 4 2 2 5 13" xfId="13534"/>
    <cellStyle name="Normal 4 2 2 5 14" xfId="13535"/>
    <cellStyle name="Normal 4 2 2 5 15" xfId="13536"/>
    <cellStyle name="Normal 4 2 2 5 16" xfId="13537"/>
    <cellStyle name="Normal 4 2 2 5 17" xfId="13538"/>
    <cellStyle name="Normal 4 2 2 5 18" xfId="13539"/>
    <cellStyle name="Normal 4 2 2 5 2" xfId="13540"/>
    <cellStyle name="Normal 4 2 2 5 2 2" xfId="13541"/>
    <cellStyle name="Normal 4 2 2 5 3" xfId="13542"/>
    <cellStyle name="Normal 4 2 2 5 3 2" xfId="13543"/>
    <cellStyle name="Normal 4 2 2 5 4" xfId="13544"/>
    <cellStyle name="Normal 4 2 2 5 4 2" xfId="13545"/>
    <cellStyle name="Normal 4 2 2 5 5" xfId="13546"/>
    <cellStyle name="Normal 4 2 2 5 5 2" xfId="13547"/>
    <cellStyle name="Normal 4 2 2 5 6" xfId="13548"/>
    <cellStyle name="Normal 4 2 2 5 6 2" xfId="13549"/>
    <cellStyle name="Normal 4 2 2 5 7" xfId="13550"/>
    <cellStyle name="Normal 4 2 2 5 7 2" xfId="13551"/>
    <cellStyle name="Normal 4 2 2 5 8" xfId="13552"/>
    <cellStyle name="Normal 4 2 2 5 8 2" xfId="13553"/>
    <cellStyle name="Normal 4 2 2 5 9" xfId="13554"/>
    <cellStyle name="Normal 4 2 2 6" xfId="13555"/>
    <cellStyle name="Normal 4 2 2 6 10" xfId="13556"/>
    <cellStyle name="Normal 4 2 2 6 11" xfId="13557"/>
    <cellStyle name="Normal 4 2 2 6 12" xfId="13558"/>
    <cellStyle name="Normal 4 2 2 6 13" xfId="13559"/>
    <cellStyle name="Normal 4 2 2 6 14" xfId="13560"/>
    <cellStyle name="Normal 4 2 2 6 15" xfId="13561"/>
    <cellStyle name="Normal 4 2 2 6 16" xfId="13562"/>
    <cellStyle name="Normal 4 2 2 6 17" xfId="13563"/>
    <cellStyle name="Normal 4 2 2 6 18" xfId="13564"/>
    <cellStyle name="Normal 4 2 2 6 2" xfId="13565"/>
    <cellStyle name="Normal 4 2 2 6 2 2" xfId="13566"/>
    <cellStyle name="Normal 4 2 2 6 3" xfId="13567"/>
    <cellStyle name="Normal 4 2 2 6 3 2" xfId="13568"/>
    <cellStyle name="Normal 4 2 2 6 4" xfId="13569"/>
    <cellStyle name="Normal 4 2 2 6 4 2" xfId="13570"/>
    <cellStyle name="Normal 4 2 2 6 5" xfId="13571"/>
    <cellStyle name="Normal 4 2 2 6 5 2" xfId="13572"/>
    <cellStyle name="Normal 4 2 2 6 6" xfId="13573"/>
    <cellStyle name="Normal 4 2 2 6 6 2" xfId="13574"/>
    <cellStyle name="Normal 4 2 2 6 7" xfId="13575"/>
    <cellStyle name="Normal 4 2 2 6 7 2" xfId="13576"/>
    <cellStyle name="Normal 4 2 2 6 8" xfId="13577"/>
    <cellStyle name="Normal 4 2 2 6 8 2" xfId="13578"/>
    <cellStyle name="Normal 4 2 2 6 9" xfId="13579"/>
    <cellStyle name="Normal 4 2 2 7" xfId="13580"/>
    <cellStyle name="Normal 4 2 2 7 10" xfId="13581"/>
    <cellStyle name="Normal 4 2 2 7 11" xfId="13582"/>
    <cellStyle name="Normal 4 2 2 7 12" xfId="13583"/>
    <cellStyle name="Normal 4 2 2 7 13" xfId="13584"/>
    <cellStyle name="Normal 4 2 2 7 14" xfId="13585"/>
    <cellStyle name="Normal 4 2 2 7 15" xfId="13586"/>
    <cellStyle name="Normal 4 2 2 7 16" xfId="13587"/>
    <cellStyle name="Normal 4 2 2 7 17" xfId="13588"/>
    <cellStyle name="Normal 4 2 2 7 18" xfId="13589"/>
    <cellStyle name="Normal 4 2 2 7 2" xfId="13590"/>
    <cellStyle name="Normal 4 2 2 7 2 2" xfId="13591"/>
    <cellStyle name="Normal 4 2 2 7 3" xfId="13592"/>
    <cellStyle name="Normal 4 2 2 7 3 2" xfId="13593"/>
    <cellStyle name="Normal 4 2 2 7 4" xfId="13594"/>
    <cellStyle name="Normal 4 2 2 7 4 2" xfId="13595"/>
    <cellStyle name="Normal 4 2 2 7 5" xfId="13596"/>
    <cellStyle name="Normal 4 2 2 7 5 2" xfId="13597"/>
    <cellStyle name="Normal 4 2 2 7 6" xfId="13598"/>
    <cellStyle name="Normal 4 2 2 7 6 2" xfId="13599"/>
    <cellStyle name="Normal 4 2 2 7 7" xfId="13600"/>
    <cellStyle name="Normal 4 2 2 7 7 2" xfId="13601"/>
    <cellStyle name="Normal 4 2 2 7 8" xfId="13602"/>
    <cellStyle name="Normal 4 2 2 7 8 2" xfId="13603"/>
    <cellStyle name="Normal 4 2 2 7 9" xfId="13604"/>
    <cellStyle name="Normal 4 2 2 8" xfId="13605"/>
    <cellStyle name="Normal 4 2 2 8 10" xfId="13606"/>
    <cellStyle name="Normal 4 2 2 8 11" xfId="13607"/>
    <cellStyle name="Normal 4 2 2 8 12" xfId="13608"/>
    <cellStyle name="Normal 4 2 2 8 13" xfId="13609"/>
    <cellStyle name="Normal 4 2 2 8 14" xfId="13610"/>
    <cellStyle name="Normal 4 2 2 8 15" xfId="13611"/>
    <cellStyle name="Normal 4 2 2 8 16" xfId="13612"/>
    <cellStyle name="Normal 4 2 2 8 17" xfId="13613"/>
    <cellStyle name="Normal 4 2 2 8 18" xfId="13614"/>
    <cellStyle name="Normal 4 2 2 8 2" xfId="13615"/>
    <cellStyle name="Normal 4 2 2 8 2 2" xfId="13616"/>
    <cellStyle name="Normal 4 2 2 8 3" xfId="13617"/>
    <cellStyle name="Normal 4 2 2 8 3 2" xfId="13618"/>
    <cellStyle name="Normal 4 2 2 8 4" xfId="13619"/>
    <cellStyle name="Normal 4 2 2 8 4 2" xfId="13620"/>
    <cellStyle name="Normal 4 2 2 8 5" xfId="13621"/>
    <cellStyle name="Normal 4 2 2 8 5 2" xfId="13622"/>
    <cellStyle name="Normal 4 2 2 8 6" xfId="13623"/>
    <cellStyle name="Normal 4 2 2 8 6 2" xfId="13624"/>
    <cellStyle name="Normal 4 2 2 8 7" xfId="13625"/>
    <cellStyle name="Normal 4 2 2 8 7 2" xfId="13626"/>
    <cellStyle name="Normal 4 2 2 8 8" xfId="13627"/>
    <cellStyle name="Normal 4 2 2 8 8 2" xfId="13628"/>
    <cellStyle name="Normal 4 2 2 8 9" xfId="13629"/>
    <cellStyle name="Normal 4 2 2 9" xfId="13630"/>
    <cellStyle name="Normal 4 2 2 9 10" xfId="13631"/>
    <cellStyle name="Normal 4 2 2 9 11" xfId="13632"/>
    <cellStyle name="Normal 4 2 2 9 12" xfId="13633"/>
    <cellStyle name="Normal 4 2 2 9 13" xfId="13634"/>
    <cellStyle name="Normal 4 2 2 9 14" xfId="13635"/>
    <cellStyle name="Normal 4 2 2 9 15" xfId="13636"/>
    <cellStyle name="Normal 4 2 2 9 16" xfId="13637"/>
    <cellStyle name="Normal 4 2 2 9 17" xfId="13638"/>
    <cellStyle name="Normal 4 2 2 9 18" xfId="13639"/>
    <cellStyle name="Normal 4 2 2 9 2" xfId="13640"/>
    <cellStyle name="Normal 4 2 2 9 2 2" xfId="13641"/>
    <cellStyle name="Normal 4 2 2 9 3" xfId="13642"/>
    <cellStyle name="Normal 4 2 2 9 3 2" xfId="13643"/>
    <cellStyle name="Normal 4 2 2 9 4" xfId="13644"/>
    <cellStyle name="Normal 4 2 2 9 4 2" xfId="13645"/>
    <cellStyle name="Normal 4 2 2 9 5" xfId="13646"/>
    <cellStyle name="Normal 4 2 2 9 5 2" xfId="13647"/>
    <cellStyle name="Normal 4 2 2 9 6" xfId="13648"/>
    <cellStyle name="Normal 4 2 2 9 6 2" xfId="13649"/>
    <cellStyle name="Normal 4 2 2 9 7" xfId="13650"/>
    <cellStyle name="Normal 4 2 2 9 7 2" xfId="13651"/>
    <cellStyle name="Normal 4 2 2 9 8" xfId="13652"/>
    <cellStyle name="Normal 4 2 2 9 8 2" xfId="13653"/>
    <cellStyle name="Normal 4 2 2 9 9" xfId="13654"/>
    <cellStyle name="Normal 4 2 2_Achampally-Gattubuthkur-Ganga-CRR" xfId="13655"/>
    <cellStyle name="Normal 4 2 20" xfId="13656"/>
    <cellStyle name="Normal 4 2 21" xfId="13657"/>
    <cellStyle name="Normal 4 2 22" xfId="13658"/>
    <cellStyle name="Normal 4 2 23" xfId="13659"/>
    <cellStyle name="Normal 4 2 24" xfId="13660"/>
    <cellStyle name="Normal 4 2 25" xfId="13661"/>
    <cellStyle name="Normal 4 2 26" xfId="13662"/>
    <cellStyle name="Normal 4 2 27" xfId="13663"/>
    <cellStyle name="Normal 4 2 28" xfId="13664"/>
    <cellStyle name="Normal 4 2 3" xfId="13665"/>
    <cellStyle name="Normal 4 2 3 10" xfId="13666"/>
    <cellStyle name="Normal 4 2 3 11" xfId="13667"/>
    <cellStyle name="Normal 4 2 3 12" xfId="13668"/>
    <cellStyle name="Normal 4 2 3 13" xfId="13669"/>
    <cellStyle name="Normal 4 2 3 14" xfId="13670"/>
    <cellStyle name="Normal 4 2 3 15" xfId="13671"/>
    <cellStyle name="Normal 4 2 3 16" xfId="13672"/>
    <cellStyle name="Normal 4 2 3 17" xfId="13673"/>
    <cellStyle name="Normal 4 2 3 18" xfId="13674"/>
    <cellStyle name="Normal 4 2 3 2" xfId="13675"/>
    <cellStyle name="Normal 4 2 3 2 10" xfId="13676"/>
    <cellStyle name="Normal 4 2 3 2 11" xfId="13677"/>
    <cellStyle name="Normal 4 2 3 2 12" xfId="13678"/>
    <cellStyle name="Normal 4 2 3 2 13" xfId="13679"/>
    <cellStyle name="Normal 4 2 3 2 2" xfId="13680"/>
    <cellStyle name="Normal 4 2 3 2 2 10" xfId="13681"/>
    <cellStyle name="Normal 4 2 3 2 2 11" xfId="13682"/>
    <cellStyle name="Normal 4 2 3 2 2 2" xfId="13683"/>
    <cellStyle name="Normal 4 2 3 2 2 3" xfId="13684"/>
    <cellStyle name="Normal 4 2 3 2 2 4" xfId="13685"/>
    <cellStyle name="Normal 4 2 3 2 2 5" xfId="13686"/>
    <cellStyle name="Normal 4 2 3 2 2 6" xfId="13687"/>
    <cellStyle name="Normal 4 2 3 2 2 7" xfId="13688"/>
    <cellStyle name="Normal 4 2 3 2 2 8" xfId="13689"/>
    <cellStyle name="Normal 4 2 3 2 2 9" xfId="13690"/>
    <cellStyle name="Normal 4 2 3 2 3" xfId="13691"/>
    <cellStyle name="Normal 4 2 3 2 3 10" xfId="13692"/>
    <cellStyle name="Normal 4 2 3 2 3 11" xfId="13693"/>
    <cellStyle name="Normal 4 2 3 2 3 2" xfId="13694"/>
    <cellStyle name="Normal 4 2 3 2 3 3" xfId="13695"/>
    <cellStyle name="Normal 4 2 3 2 3 4" xfId="13696"/>
    <cellStyle name="Normal 4 2 3 2 3 5" xfId="13697"/>
    <cellStyle name="Normal 4 2 3 2 3 6" xfId="13698"/>
    <cellStyle name="Normal 4 2 3 2 3 7" xfId="13699"/>
    <cellStyle name="Normal 4 2 3 2 3 8" xfId="13700"/>
    <cellStyle name="Normal 4 2 3 2 3 9" xfId="13701"/>
    <cellStyle name="Normal 4 2 3 2 4" xfId="13702"/>
    <cellStyle name="Normal 4 2 3 2 4 2" xfId="13703"/>
    <cellStyle name="Normal 4 2 3 2 4 3" xfId="13704"/>
    <cellStyle name="Normal 4 2 3 2 5" xfId="13705"/>
    <cellStyle name="Normal 4 2 3 2 6" xfId="13706"/>
    <cellStyle name="Normal 4 2 3 2 7" xfId="13707"/>
    <cellStyle name="Normal 4 2 3 2 8" xfId="13708"/>
    <cellStyle name="Normal 4 2 3 2 9" xfId="13709"/>
    <cellStyle name="Normal 4 2 3 3" xfId="13710"/>
    <cellStyle name="Normal 4 2 3 3 10" xfId="13711"/>
    <cellStyle name="Normal 4 2 3 3 11" xfId="13712"/>
    <cellStyle name="Normal 4 2 3 3 12" xfId="13713"/>
    <cellStyle name="Normal 4 2 3 3 13" xfId="13714"/>
    <cellStyle name="Normal 4 2 3 3 2" xfId="13715"/>
    <cellStyle name="Normal 4 2 3 3 2 10" xfId="13716"/>
    <cellStyle name="Normal 4 2 3 3 2 11" xfId="13717"/>
    <cellStyle name="Normal 4 2 3 3 2 2" xfId="13718"/>
    <cellStyle name="Normal 4 2 3 3 2 3" xfId="13719"/>
    <cellStyle name="Normal 4 2 3 3 2 4" xfId="13720"/>
    <cellStyle name="Normal 4 2 3 3 2 5" xfId="13721"/>
    <cellStyle name="Normal 4 2 3 3 2 6" xfId="13722"/>
    <cellStyle name="Normal 4 2 3 3 2 7" xfId="13723"/>
    <cellStyle name="Normal 4 2 3 3 2 8" xfId="13724"/>
    <cellStyle name="Normal 4 2 3 3 2 9" xfId="13725"/>
    <cellStyle name="Normal 4 2 3 3 3" xfId="13726"/>
    <cellStyle name="Normal 4 2 3 3 3 10" xfId="13727"/>
    <cellStyle name="Normal 4 2 3 3 3 11" xfId="13728"/>
    <cellStyle name="Normal 4 2 3 3 3 2" xfId="13729"/>
    <cellStyle name="Normal 4 2 3 3 3 3" xfId="13730"/>
    <cellStyle name="Normal 4 2 3 3 3 4" xfId="13731"/>
    <cellStyle name="Normal 4 2 3 3 3 5" xfId="13732"/>
    <cellStyle name="Normal 4 2 3 3 3 6" xfId="13733"/>
    <cellStyle name="Normal 4 2 3 3 3 7" xfId="13734"/>
    <cellStyle name="Normal 4 2 3 3 3 8" xfId="13735"/>
    <cellStyle name="Normal 4 2 3 3 3 9" xfId="13736"/>
    <cellStyle name="Normal 4 2 3 3 4" xfId="13737"/>
    <cellStyle name="Normal 4 2 3 3 4 2" xfId="13738"/>
    <cellStyle name="Normal 4 2 3 3 4 3" xfId="13739"/>
    <cellStyle name="Normal 4 2 3 3 5" xfId="13740"/>
    <cellStyle name="Normal 4 2 3 3 5 2" xfId="13741"/>
    <cellStyle name="Normal 4 2 3 3 5 3" xfId="13742"/>
    <cellStyle name="Normal 4 2 3 3 6" xfId="13743"/>
    <cellStyle name="Normal 4 2 3 3 7" xfId="13744"/>
    <cellStyle name="Normal 4 2 3 3 8" xfId="13745"/>
    <cellStyle name="Normal 4 2 3 3 9" xfId="13746"/>
    <cellStyle name="Normal 4 2 3 4" xfId="13747"/>
    <cellStyle name="Normal 4 2 3 4 10" xfId="13748"/>
    <cellStyle name="Normal 4 2 3 4 11" xfId="13749"/>
    <cellStyle name="Normal 4 2 3 4 12" xfId="13750"/>
    <cellStyle name="Normal 4 2 3 4 13" xfId="13751"/>
    <cellStyle name="Normal 4 2 3 4 2" xfId="13752"/>
    <cellStyle name="Normal 4 2 3 4 2 10" xfId="13753"/>
    <cellStyle name="Normal 4 2 3 4 2 11" xfId="13754"/>
    <cellStyle name="Normal 4 2 3 4 2 2" xfId="13755"/>
    <cellStyle name="Normal 4 2 3 4 2 3" xfId="13756"/>
    <cellStyle name="Normal 4 2 3 4 2 4" xfId="13757"/>
    <cellStyle name="Normal 4 2 3 4 2 5" xfId="13758"/>
    <cellStyle name="Normal 4 2 3 4 2 6" xfId="13759"/>
    <cellStyle name="Normal 4 2 3 4 2 7" xfId="13760"/>
    <cellStyle name="Normal 4 2 3 4 2 8" xfId="13761"/>
    <cellStyle name="Normal 4 2 3 4 2 9" xfId="13762"/>
    <cellStyle name="Normal 4 2 3 4 3" xfId="13763"/>
    <cellStyle name="Normal 4 2 3 4 3 10" xfId="13764"/>
    <cellStyle name="Normal 4 2 3 4 3 11" xfId="13765"/>
    <cellStyle name="Normal 4 2 3 4 3 2" xfId="13766"/>
    <cellStyle name="Normal 4 2 3 4 3 3" xfId="13767"/>
    <cellStyle name="Normal 4 2 3 4 3 4" xfId="13768"/>
    <cellStyle name="Normal 4 2 3 4 3 5" xfId="13769"/>
    <cellStyle name="Normal 4 2 3 4 3 6" xfId="13770"/>
    <cellStyle name="Normal 4 2 3 4 3 7" xfId="13771"/>
    <cellStyle name="Normal 4 2 3 4 3 8" xfId="13772"/>
    <cellStyle name="Normal 4 2 3 4 3 9" xfId="13773"/>
    <cellStyle name="Normal 4 2 3 4 4" xfId="13774"/>
    <cellStyle name="Normal 4 2 3 4 4 2" xfId="13775"/>
    <cellStyle name="Normal 4 2 3 4 4 3" xfId="13776"/>
    <cellStyle name="Normal 4 2 3 4 5" xfId="13777"/>
    <cellStyle name="Normal 4 2 3 4 5 2" xfId="13778"/>
    <cellStyle name="Normal 4 2 3 4 5 3" xfId="13779"/>
    <cellStyle name="Normal 4 2 3 4 6" xfId="13780"/>
    <cellStyle name="Normal 4 2 3 4 7" xfId="13781"/>
    <cellStyle name="Normal 4 2 3 4 8" xfId="13782"/>
    <cellStyle name="Normal 4 2 3 4 9" xfId="13783"/>
    <cellStyle name="Normal 4 2 3 5" xfId="13784"/>
    <cellStyle name="Normal 4 2 3 5 10" xfId="13785"/>
    <cellStyle name="Normal 4 2 3 5 11" xfId="13786"/>
    <cellStyle name="Normal 4 2 3 5 12" xfId="13787"/>
    <cellStyle name="Normal 4 2 3 5 13" xfId="13788"/>
    <cellStyle name="Normal 4 2 3 5 2" xfId="13789"/>
    <cellStyle name="Normal 4 2 3 5 2 10" xfId="13790"/>
    <cellStyle name="Normal 4 2 3 5 2 11" xfId="13791"/>
    <cellStyle name="Normal 4 2 3 5 2 2" xfId="13792"/>
    <cellStyle name="Normal 4 2 3 5 2 3" xfId="13793"/>
    <cellStyle name="Normal 4 2 3 5 2 4" xfId="13794"/>
    <cellStyle name="Normal 4 2 3 5 2 5" xfId="13795"/>
    <cellStyle name="Normal 4 2 3 5 2 6" xfId="13796"/>
    <cellStyle name="Normal 4 2 3 5 2 7" xfId="13797"/>
    <cellStyle name="Normal 4 2 3 5 2 8" xfId="13798"/>
    <cellStyle name="Normal 4 2 3 5 2 9" xfId="13799"/>
    <cellStyle name="Normal 4 2 3 5 3" xfId="13800"/>
    <cellStyle name="Normal 4 2 3 5 3 10" xfId="13801"/>
    <cellStyle name="Normal 4 2 3 5 3 11" xfId="13802"/>
    <cellStyle name="Normal 4 2 3 5 3 2" xfId="13803"/>
    <cellStyle name="Normal 4 2 3 5 3 3" xfId="13804"/>
    <cellStyle name="Normal 4 2 3 5 3 4" xfId="13805"/>
    <cellStyle name="Normal 4 2 3 5 3 5" xfId="13806"/>
    <cellStyle name="Normal 4 2 3 5 3 6" xfId="13807"/>
    <cellStyle name="Normal 4 2 3 5 3 7" xfId="13808"/>
    <cellStyle name="Normal 4 2 3 5 3 8" xfId="13809"/>
    <cellStyle name="Normal 4 2 3 5 3 9" xfId="13810"/>
    <cellStyle name="Normal 4 2 3 5 4" xfId="13811"/>
    <cellStyle name="Normal 4 2 3 5 4 2" xfId="13812"/>
    <cellStyle name="Normal 4 2 3 5 4 3" xfId="13813"/>
    <cellStyle name="Normal 4 2 3 5 5" xfId="13814"/>
    <cellStyle name="Normal 4 2 3 5 5 2" xfId="13815"/>
    <cellStyle name="Normal 4 2 3 5 5 3" xfId="13816"/>
    <cellStyle name="Normal 4 2 3 5 6" xfId="13817"/>
    <cellStyle name="Normal 4 2 3 5 7" xfId="13818"/>
    <cellStyle name="Normal 4 2 3 5 8" xfId="13819"/>
    <cellStyle name="Normal 4 2 3 5 9" xfId="13820"/>
    <cellStyle name="Normal 4 2 3 6" xfId="13821"/>
    <cellStyle name="Normal 4 2 3 6 10" xfId="13822"/>
    <cellStyle name="Normal 4 2 3 6 11" xfId="13823"/>
    <cellStyle name="Normal 4 2 3 6 12" xfId="13824"/>
    <cellStyle name="Normal 4 2 3 6 13" xfId="13825"/>
    <cellStyle name="Normal 4 2 3 6 2" xfId="13826"/>
    <cellStyle name="Normal 4 2 3 6 2 10" xfId="13827"/>
    <cellStyle name="Normal 4 2 3 6 2 11" xfId="13828"/>
    <cellStyle name="Normal 4 2 3 6 2 2" xfId="13829"/>
    <cellStyle name="Normal 4 2 3 6 2 3" xfId="13830"/>
    <cellStyle name="Normal 4 2 3 6 2 4" xfId="13831"/>
    <cellStyle name="Normal 4 2 3 6 2 5" xfId="13832"/>
    <cellStyle name="Normal 4 2 3 6 2 6" xfId="13833"/>
    <cellStyle name="Normal 4 2 3 6 2 7" xfId="13834"/>
    <cellStyle name="Normal 4 2 3 6 2 8" xfId="13835"/>
    <cellStyle name="Normal 4 2 3 6 2 9" xfId="13836"/>
    <cellStyle name="Normal 4 2 3 6 3" xfId="13837"/>
    <cellStyle name="Normal 4 2 3 6 3 10" xfId="13838"/>
    <cellStyle name="Normal 4 2 3 6 3 11" xfId="13839"/>
    <cellStyle name="Normal 4 2 3 6 3 2" xfId="13840"/>
    <cellStyle name="Normal 4 2 3 6 3 3" xfId="13841"/>
    <cellStyle name="Normal 4 2 3 6 3 4" xfId="13842"/>
    <cellStyle name="Normal 4 2 3 6 3 5" xfId="13843"/>
    <cellStyle name="Normal 4 2 3 6 3 6" xfId="13844"/>
    <cellStyle name="Normal 4 2 3 6 3 7" xfId="13845"/>
    <cellStyle name="Normal 4 2 3 6 3 8" xfId="13846"/>
    <cellStyle name="Normal 4 2 3 6 3 9" xfId="13847"/>
    <cellStyle name="Normal 4 2 3 6 4" xfId="13848"/>
    <cellStyle name="Normal 4 2 3 6 4 2" xfId="13849"/>
    <cellStyle name="Normal 4 2 3 6 4 3" xfId="13850"/>
    <cellStyle name="Normal 4 2 3 6 5" xfId="13851"/>
    <cellStyle name="Normal 4 2 3 6 5 2" xfId="13852"/>
    <cellStyle name="Normal 4 2 3 6 5 3" xfId="13853"/>
    <cellStyle name="Normal 4 2 3 6 6" xfId="13854"/>
    <cellStyle name="Normal 4 2 3 6 7" xfId="13855"/>
    <cellStyle name="Normal 4 2 3 6 8" xfId="13856"/>
    <cellStyle name="Normal 4 2 3 6 9" xfId="13857"/>
    <cellStyle name="Normal 4 2 3 7" xfId="13858"/>
    <cellStyle name="Normal 4 2 3 7 10" xfId="13859"/>
    <cellStyle name="Normal 4 2 3 7 11" xfId="13860"/>
    <cellStyle name="Normal 4 2 3 7 2" xfId="13861"/>
    <cellStyle name="Normal 4 2 3 7 3" xfId="13862"/>
    <cellStyle name="Normal 4 2 3 7 4" xfId="13863"/>
    <cellStyle name="Normal 4 2 3 7 5" xfId="13864"/>
    <cellStyle name="Normal 4 2 3 7 6" xfId="13865"/>
    <cellStyle name="Normal 4 2 3 7 7" xfId="13866"/>
    <cellStyle name="Normal 4 2 3 7 8" xfId="13867"/>
    <cellStyle name="Normal 4 2 3 7 9" xfId="13868"/>
    <cellStyle name="Normal 4 2 3 8" xfId="13869"/>
    <cellStyle name="Normal 4 2 3 8 10" xfId="13870"/>
    <cellStyle name="Normal 4 2 3 8 11" xfId="13871"/>
    <cellStyle name="Normal 4 2 3 8 2" xfId="13872"/>
    <cellStyle name="Normal 4 2 3 8 3" xfId="13873"/>
    <cellStyle name="Normal 4 2 3 8 4" xfId="13874"/>
    <cellStyle name="Normal 4 2 3 8 5" xfId="13875"/>
    <cellStyle name="Normal 4 2 3 8 6" xfId="13876"/>
    <cellStyle name="Normal 4 2 3 8 7" xfId="13877"/>
    <cellStyle name="Normal 4 2 3 8 8" xfId="13878"/>
    <cellStyle name="Normal 4 2 3 8 9" xfId="13879"/>
    <cellStyle name="Normal 4 2 3 9" xfId="13880"/>
    <cellStyle name="Normal 4 2 4" xfId="13881"/>
    <cellStyle name="Normal 4 2 4 10" xfId="13882"/>
    <cellStyle name="Normal 4 2 4 11" xfId="13883"/>
    <cellStyle name="Normal 4 2 4 12" xfId="13884"/>
    <cellStyle name="Normal 4 2 4 13" xfId="13885"/>
    <cellStyle name="Normal 4 2 4 14" xfId="13886"/>
    <cellStyle name="Normal 4 2 4 15" xfId="13887"/>
    <cellStyle name="Normal 4 2 4 16" xfId="13888"/>
    <cellStyle name="Normal 4 2 4 17" xfId="13889"/>
    <cellStyle name="Normal 4 2 4 18" xfId="13890"/>
    <cellStyle name="Normal 4 2 4 2" xfId="13891"/>
    <cellStyle name="Normal 4 2 4 2 10" xfId="13892"/>
    <cellStyle name="Normal 4 2 4 2 11" xfId="13893"/>
    <cellStyle name="Normal 4 2 4 2 12" xfId="13894"/>
    <cellStyle name="Normal 4 2 4 2 13" xfId="13895"/>
    <cellStyle name="Normal 4 2 4 2 2" xfId="13896"/>
    <cellStyle name="Normal 4 2 4 2 2 10" xfId="13897"/>
    <cellStyle name="Normal 4 2 4 2 2 11" xfId="13898"/>
    <cellStyle name="Normal 4 2 4 2 2 2" xfId="13899"/>
    <cellStyle name="Normal 4 2 4 2 2 3" xfId="13900"/>
    <cellStyle name="Normal 4 2 4 2 2 4" xfId="13901"/>
    <cellStyle name="Normal 4 2 4 2 2 5" xfId="13902"/>
    <cellStyle name="Normal 4 2 4 2 2 6" xfId="13903"/>
    <cellStyle name="Normal 4 2 4 2 2 7" xfId="13904"/>
    <cellStyle name="Normal 4 2 4 2 2 8" xfId="13905"/>
    <cellStyle name="Normal 4 2 4 2 2 9" xfId="13906"/>
    <cellStyle name="Normal 4 2 4 2 3" xfId="13907"/>
    <cellStyle name="Normal 4 2 4 2 3 10" xfId="13908"/>
    <cellStyle name="Normal 4 2 4 2 3 11" xfId="13909"/>
    <cellStyle name="Normal 4 2 4 2 3 2" xfId="13910"/>
    <cellStyle name="Normal 4 2 4 2 3 3" xfId="13911"/>
    <cellStyle name="Normal 4 2 4 2 3 4" xfId="13912"/>
    <cellStyle name="Normal 4 2 4 2 3 5" xfId="13913"/>
    <cellStyle name="Normal 4 2 4 2 3 6" xfId="13914"/>
    <cellStyle name="Normal 4 2 4 2 3 7" xfId="13915"/>
    <cellStyle name="Normal 4 2 4 2 3 8" xfId="13916"/>
    <cellStyle name="Normal 4 2 4 2 3 9" xfId="13917"/>
    <cellStyle name="Normal 4 2 4 2 4" xfId="13918"/>
    <cellStyle name="Normal 4 2 4 2 4 2" xfId="13919"/>
    <cellStyle name="Normal 4 2 4 2 4 3" xfId="13920"/>
    <cellStyle name="Normal 4 2 4 2 5" xfId="13921"/>
    <cellStyle name="Normal 4 2 4 2 6" xfId="13922"/>
    <cellStyle name="Normal 4 2 4 2 7" xfId="13923"/>
    <cellStyle name="Normal 4 2 4 2 8" xfId="13924"/>
    <cellStyle name="Normal 4 2 4 2 9" xfId="13925"/>
    <cellStyle name="Normal 4 2 4 3" xfId="13926"/>
    <cellStyle name="Normal 4 2 4 3 10" xfId="13927"/>
    <cellStyle name="Normal 4 2 4 3 11" xfId="13928"/>
    <cellStyle name="Normal 4 2 4 3 12" xfId="13929"/>
    <cellStyle name="Normal 4 2 4 3 13" xfId="13930"/>
    <cellStyle name="Normal 4 2 4 3 2" xfId="13931"/>
    <cellStyle name="Normal 4 2 4 3 2 10" xfId="13932"/>
    <cellStyle name="Normal 4 2 4 3 2 11" xfId="13933"/>
    <cellStyle name="Normal 4 2 4 3 2 2" xfId="13934"/>
    <cellStyle name="Normal 4 2 4 3 2 3" xfId="13935"/>
    <cellStyle name="Normal 4 2 4 3 2 4" xfId="13936"/>
    <cellStyle name="Normal 4 2 4 3 2 5" xfId="13937"/>
    <cellStyle name="Normal 4 2 4 3 2 6" xfId="13938"/>
    <cellStyle name="Normal 4 2 4 3 2 7" xfId="13939"/>
    <cellStyle name="Normal 4 2 4 3 2 8" xfId="13940"/>
    <cellStyle name="Normal 4 2 4 3 2 9" xfId="13941"/>
    <cellStyle name="Normal 4 2 4 3 3" xfId="13942"/>
    <cellStyle name="Normal 4 2 4 3 3 10" xfId="13943"/>
    <cellStyle name="Normal 4 2 4 3 3 11" xfId="13944"/>
    <cellStyle name="Normal 4 2 4 3 3 2" xfId="13945"/>
    <cellStyle name="Normal 4 2 4 3 3 3" xfId="13946"/>
    <cellStyle name="Normal 4 2 4 3 3 4" xfId="13947"/>
    <cellStyle name="Normal 4 2 4 3 3 5" xfId="13948"/>
    <cellStyle name="Normal 4 2 4 3 3 6" xfId="13949"/>
    <cellStyle name="Normal 4 2 4 3 3 7" xfId="13950"/>
    <cellStyle name="Normal 4 2 4 3 3 8" xfId="13951"/>
    <cellStyle name="Normal 4 2 4 3 3 9" xfId="13952"/>
    <cellStyle name="Normal 4 2 4 3 4" xfId="13953"/>
    <cellStyle name="Normal 4 2 4 3 4 2" xfId="13954"/>
    <cellStyle name="Normal 4 2 4 3 4 3" xfId="13955"/>
    <cellStyle name="Normal 4 2 4 3 5" xfId="13956"/>
    <cellStyle name="Normal 4 2 4 3 5 2" xfId="13957"/>
    <cellStyle name="Normal 4 2 4 3 5 3" xfId="13958"/>
    <cellStyle name="Normal 4 2 4 3 6" xfId="13959"/>
    <cellStyle name="Normal 4 2 4 3 7" xfId="13960"/>
    <cellStyle name="Normal 4 2 4 3 8" xfId="13961"/>
    <cellStyle name="Normal 4 2 4 3 9" xfId="13962"/>
    <cellStyle name="Normal 4 2 4 4" xfId="13963"/>
    <cellStyle name="Normal 4 2 4 4 10" xfId="13964"/>
    <cellStyle name="Normal 4 2 4 4 11" xfId="13965"/>
    <cellStyle name="Normal 4 2 4 4 12" xfId="13966"/>
    <cellStyle name="Normal 4 2 4 4 13" xfId="13967"/>
    <cellStyle name="Normal 4 2 4 4 2" xfId="13968"/>
    <cellStyle name="Normal 4 2 4 4 2 10" xfId="13969"/>
    <cellStyle name="Normal 4 2 4 4 2 11" xfId="13970"/>
    <cellStyle name="Normal 4 2 4 4 2 2" xfId="13971"/>
    <cellStyle name="Normal 4 2 4 4 2 3" xfId="13972"/>
    <cellStyle name="Normal 4 2 4 4 2 4" xfId="13973"/>
    <cellStyle name="Normal 4 2 4 4 2 5" xfId="13974"/>
    <cellStyle name="Normal 4 2 4 4 2 6" xfId="13975"/>
    <cellStyle name="Normal 4 2 4 4 2 7" xfId="13976"/>
    <cellStyle name="Normal 4 2 4 4 2 8" xfId="13977"/>
    <cellStyle name="Normal 4 2 4 4 2 9" xfId="13978"/>
    <cellStyle name="Normal 4 2 4 4 3" xfId="13979"/>
    <cellStyle name="Normal 4 2 4 4 3 10" xfId="13980"/>
    <cellStyle name="Normal 4 2 4 4 3 11" xfId="13981"/>
    <cellStyle name="Normal 4 2 4 4 3 2" xfId="13982"/>
    <cellStyle name="Normal 4 2 4 4 3 3" xfId="13983"/>
    <cellStyle name="Normal 4 2 4 4 3 4" xfId="13984"/>
    <cellStyle name="Normal 4 2 4 4 3 5" xfId="13985"/>
    <cellStyle name="Normal 4 2 4 4 3 6" xfId="13986"/>
    <cellStyle name="Normal 4 2 4 4 3 7" xfId="13987"/>
    <cellStyle name="Normal 4 2 4 4 3 8" xfId="13988"/>
    <cellStyle name="Normal 4 2 4 4 3 9" xfId="13989"/>
    <cellStyle name="Normal 4 2 4 4 4" xfId="13990"/>
    <cellStyle name="Normal 4 2 4 4 4 2" xfId="13991"/>
    <cellStyle name="Normal 4 2 4 4 4 3" xfId="13992"/>
    <cellStyle name="Normal 4 2 4 4 5" xfId="13993"/>
    <cellStyle name="Normal 4 2 4 4 5 2" xfId="13994"/>
    <cellStyle name="Normal 4 2 4 4 5 3" xfId="13995"/>
    <cellStyle name="Normal 4 2 4 4 6" xfId="13996"/>
    <cellStyle name="Normal 4 2 4 4 7" xfId="13997"/>
    <cellStyle name="Normal 4 2 4 4 8" xfId="13998"/>
    <cellStyle name="Normal 4 2 4 4 9" xfId="13999"/>
    <cellStyle name="Normal 4 2 4 5" xfId="14000"/>
    <cellStyle name="Normal 4 2 4 5 10" xfId="14001"/>
    <cellStyle name="Normal 4 2 4 5 11" xfId="14002"/>
    <cellStyle name="Normal 4 2 4 5 12" xfId="14003"/>
    <cellStyle name="Normal 4 2 4 5 13" xfId="14004"/>
    <cellStyle name="Normal 4 2 4 5 2" xfId="14005"/>
    <cellStyle name="Normal 4 2 4 5 2 10" xfId="14006"/>
    <cellStyle name="Normal 4 2 4 5 2 11" xfId="14007"/>
    <cellStyle name="Normal 4 2 4 5 2 2" xfId="14008"/>
    <cellStyle name="Normal 4 2 4 5 2 3" xfId="14009"/>
    <cellStyle name="Normal 4 2 4 5 2 4" xfId="14010"/>
    <cellStyle name="Normal 4 2 4 5 2 5" xfId="14011"/>
    <cellStyle name="Normal 4 2 4 5 2 6" xfId="14012"/>
    <cellStyle name="Normal 4 2 4 5 2 7" xfId="14013"/>
    <cellStyle name="Normal 4 2 4 5 2 8" xfId="14014"/>
    <cellStyle name="Normal 4 2 4 5 2 9" xfId="14015"/>
    <cellStyle name="Normal 4 2 4 5 3" xfId="14016"/>
    <cellStyle name="Normal 4 2 4 5 3 10" xfId="14017"/>
    <cellStyle name="Normal 4 2 4 5 3 11" xfId="14018"/>
    <cellStyle name="Normal 4 2 4 5 3 2" xfId="14019"/>
    <cellStyle name="Normal 4 2 4 5 3 3" xfId="14020"/>
    <cellStyle name="Normal 4 2 4 5 3 4" xfId="14021"/>
    <cellStyle name="Normal 4 2 4 5 3 5" xfId="14022"/>
    <cellStyle name="Normal 4 2 4 5 3 6" xfId="14023"/>
    <cellStyle name="Normal 4 2 4 5 3 7" xfId="14024"/>
    <cellStyle name="Normal 4 2 4 5 3 8" xfId="14025"/>
    <cellStyle name="Normal 4 2 4 5 3 9" xfId="14026"/>
    <cellStyle name="Normal 4 2 4 5 4" xfId="14027"/>
    <cellStyle name="Normal 4 2 4 5 4 2" xfId="14028"/>
    <cellStyle name="Normal 4 2 4 5 4 3" xfId="14029"/>
    <cellStyle name="Normal 4 2 4 5 5" xfId="14030"/>
    <cellStyle name="Normal 4 2 4 5 5 2" xfId="14031"/>
    <cellStyle name="Normal 4 2 4 5 5 3" xfId="14032"/>
    <cellStyle name="Normal 4 2 4 5 6" xfId="14033"/>
    <cellStyle name="Normal 4 2 4 5 7" xfId="14034"/>
    <cellStyle name="Normal 4 2 4 5 8" xfId="14035"/>
    <cellStyle name="Normal 4 2 4 5 9" xfId="14036"/>
    <cellStyle name="Normal 4 2 4 6" xfId="14037"/>
    <cellStyle name="Normal 4 2 4 6 10" xfId="14038"/>
    <cellStyle name="Normal 4 2 4 6 11" xfId="14039"/>
    <cellStyle name="Normal 4 2 4 6 12" xfId="14040"/>
    <cellStyle name="Normal 4 2 4 6 13" xfId="14041"/>
    <cellStyle name="Normal 4 2 4 6 2" xfId="14042"/>
    <cellStyle name="Normal 4 2 4 6 2 10" xfId="14043"/>
    <cellStyle name="Normal 4 2 4 6 2 11" xfId="14044"/>
    <cellStyle name="Normal 4 2 4 6 2 2" xfId="14045"/>
    <cellStyle name="Normal 4 2 4 6 2 3" xfId="14046"/>
    <cellStyle name="Normal 4 2 4 6 2 4" xfId="14047"/>
    <cellStyle name="Normal 4 2 4 6 2 5" xfId="14048"/>
    <cellStyle name="Normal 4 2 4 6 2 6" xfId="14049"/>
    <cellStyle name="Normal 4 2 4 6 2 7" xfId="14050"/>
    <cellStyle name="Normal 4 2 4 6 2 8" xfId="14051"/>
    <cellStyle name="Normal 4 2 4 6 2 9" xfId="14052"/>
    <cellStyle name="Normal 4 2 4 6 3" xfId="14053"/>
    <cellStyle name="Normal 4 2 4 6 3 10" xfId="14054"/>
    <cellStyle name="Normal 4 2 4 6 3 11" xfId="14055"/>
    <cellStyle name="Normal 4 2 4 6 3 2" xfId="14056"/>
    <cellStyle name="Normal 4 2 4 6 3 3" xfId="14057"/>
    <cellStyle name="Normal 4 2 4 6 3 4" xfId="14058"/>
    <cellStyle name="Normal 4 2 4 6 3 5" xfId="14059"/>
    <cellStyle name="Normal 4 2 4 6 3 6" xfId="14060"/>
    <cellStyle name="Normal 4 2 4 6 3 7" xfId="14061"/>
    <cellStyle name="Normal 4 2 4 6 3 8" xfId="14062"/>
    <cellStyle name="Normal 4 2 4 6 3 9" xfId="14063"/>
    <cellStyle name="Normal 4 2 4 6 4" xfId="14064"/>
    <cellStyle name="Normal 4 2 4 6 4 2" xfId="14065"/>
    <cellStyle name="Normal 4 2 4 6 4 3" xfId="14066"/>
    <cellStyle name="Normal 4 2 4 6 5" xfId="14067"/>
    <cellStyle name="Normal 4 2 4 6 5 2" xfId="14068"/>
    <cellStyle name="Normal 4 2 4 6 5 3" xfId="14069"/>
    <cellStyle name="Normal 4 2 4 6 6" xfId="14070"/>
    <cellStyle name="Normal 4 2 4 6 7" xfId="14071"/>
    <cellStyle name="Normal 4 2 4 6 8" xfId="14072"/>
    <cellStyle name="Normal 4 2 4 6 9" xfId="14073"/>
    <cellStyle name="Normal 4 2 4 7" xfId="14074"/>
    <cellStyle name="Normal 4 2 4 7 10" xfId="14075"/>
    <cellStyle name="Normal 4 2 4 7 11" xfId="14076"/>
    <cellStyle name="Normal 4 2 4 7 2" xfId="14077"/>
    <cellStyle name="Normal 4 2 4 7 3" xfId="14078"/>
    <cellStyle name="Normal 4 2 4 7 4" xfId="14079"/>
    <cellStyle name="Normal 4 2 4 7 5" xfId="14080"/>
    <cellStyle name="Normal 4 2 4 7 6" xfId="14081"/>
    <cellStyle name="Normal 4 2 4 7 7" xfId="14082"/>
    <cellStyle name="Normal 4 2 4 7 8" xfId="14083"/>
    <cellStyle name="Normal 4 2 4 7 9" xfId="14084"/>
    <cellStyle name="Normal 4 2 4 8" xfId="14085"/>
    <cellStyle name="Normal 4 2 4 8 10" xfId="14086"/>
    <cellStyle name="Normal 4 2 4 8 11" xfId="14087"/>
    <cellStyle name="Normal 4 2 4 8 2" xfId="14088"/>
    <cellStyle name="Normal 4 2 4 8 3" xfId="14089"/>
    <cellStyle name="Normal 4 2 4 8 4" xfId="14090"/>
    <cellStyle name="Normal 4 2 4 8 5" xfId="14091"/>
    <cellStyle name="Normal 4 2 4 8 6" xfId="14092"/>
    <cellStyle name="Normal 4 2 4 8 7" xfId="14093"/>
    <cellStyle name="Normal 4 2 4 8 8" xfId="14094"/>
    <cellStyle name="Normal 4 2 4 8 9" xfId="14095"/>
    <cellStyle name="Normal 4 2 4 9" xfId="14096"/>
    <cellStyle name="Normal 4 2 5" xfId="14097"/>
    <cellStyle name="Normal 4 2 5 10" xfId="14098"/>
    <cellStyle name="Normal 4 2 5 10 2" xfId="14099"/>
    <cellStyle name="Normal 4 2 5 10 3" xfId="14100"/>
    <cellStyle name="Normal 4 2 5 11" xfId="14101"/>
    <cellStyle name="Normal 4 2 5 12" xfId="14102"/>
    <cellStyle name="Normal 4 2 5 13" xfId="14103"/>
    <cellStyle name="Normal 4 2 5 14" xfId="14104"/>
    <cellStyle name="Normal 4 2 5 15" xfId="14105"/>
    <cellStyle name="Normal 4 2 5 16" xfId="14106"/>
    <cellStyle name="Normal 4 2 5 17" xfId="14107"/>
    <cellStyle name="Normal 4 2 5 18" xfId="14108"/>
    <cellStyle name="Normal 4 2 5 2" xfId="14109"/>
    <cellStyle name="Normal 4 2 5 2 10" xfId="14110"/>
    <cellStyle name="Normal 4 2 5 2 11" xfId="14111"/>
    <cellStyle name="Normal 4 2 5 2 12" xfId="14112"/>
    <cellStyle name="Normal 4 2 5 2 13" xfId="14113"/>
    <cellStyle name="Normal 4 2 5 2 2" xfId="14114"/>
    <cellStyle name="Normal 4 2 5 2 2 10" xfId="14115"/>
    <cellStyle name="Normal 4 2 5 2 2 11" xfId="14116"/>
    <cellStyle name="Normal 4 2 5 2 2 2" xfId="14117"/>
    <cellStyle name="Normal 4 2 5 2 2 3" xfId="14118"/>
    <cellStyle name="Normal 4 2 5 2 2 4" xfId="14119"/>
    <cellStyle name="Normal 4 2 5 2 2 5" xfId="14120"/>
    <cellStyle name="Normal 4 2 5 2 2 6" xfId="14121"/>
    <cellStyle name="Normal 4 2 5 2 2 7" xfId="14122"/>
    <cellStyle name="Normal 4 2 5 2 2 8" xfId="14123"/>
    <cellStyle name="Normal 4 2 5 2 2 9" xfId="14124"/>
    <cellStyle name="Normal 4 2 5 2 3" xfId="14125"/>
    <cellStyle name="Normal 4 2 5 2 3 10" xfId="14126"/>
    <cellStyle name="Normal 4 2 5 2 3 11" xfId="14127"/>
    <cellStyle name="Normal 4 2 5 2 3 2" xfId="14128"/>
    <cellStyle name="Normal 4 2 5 2 3 3" xfId="14129"/>
    <cellStyle name="Normal 4 2 5 2 3 4" xfId="14130"/>
    <cellStyle name="Normal 4 2 5 2 3 5" xfId="14131"/>
    <cellStyle name="Normal 4 2 5 2 3 6" xfId="14132"/>
    <cellStyle name="Normal 4 2 5 2 3 7" xfId="14133"/>
    <cellStyle name="Normal 4 2 5 2 3 8" xfId="14134"/>
    <cellStyle name="Normal 4 2 5 2 3 9" xfId="14135"/>
    <cellStyle name="Normal 4 2 5 2 4" xfId="14136"/>
    <cellStyle name="Normal 4 2 5 2 4 2" xfId="14137"/>
    <cellStyle name="Normal 4 2 5 2 4 3" xfId="14138"/>
    <cellStyle name="Normal 4 2 5 2 5" xfId="14139"/>
    <cellStyle name="Normal 4 2 5 2 5 2" xfId="14140"/>
    <cellStyle name="Normal 4 2 5 2 5 3" xfId="14141"/>
    <cellStyle name="Normal 4 2 5 2 6" xfId="14142"/>
    <cellStyle name="Normal 4 2 5 2 7" xfId="14143"/>
    <cellStyle name="Normal 4 2 5 2 8" xfId="14144"/>
    <cellStyle name="Normal 4 2 5 2 9" xfId="14145"/>
    <cellStyle name="Normal 4 2 5 3" xfId="14146"/>
    <cellStyle name="Normal 4 2 5 3 10" xfId="14147"/>
    <cellStyle name="Normal 4 2 5 3 11" xfId="14148"/>
    <cellStyle name="Normal 4 2 5 3 12" xfId="14149"/>
    <cellStyle name="Normal 4 2 5 3 13" xfId="14150"/>
    <cellStyle name="Normal 4 2 5 3 2" xfId="14151"/>
    <cellStyle name="Normal 4 2 5 3 2 10" xfId="14152"/>
    <cellStyle name="Normal 4 2 5 3 2 11" xfId="14153"/>
    <cellStyle name="Normal 4 2 5 3 2 2" xfId="14154"/>
    <cellStyle name="Normal 4 2 5 3 2 3" xfId="14155"/>
    <cellStyle name="Normal 4 2 5 3 2 4" xfId="14156"/>
    <cellStyle name="Normal 4 2 5 3 2 5" xfId="14157"/>
    <cellStyle name="Normal 4 2 5 3 2 6" xfId="14158"/>
    <cellStyle name="Normal 4 2 5 3 2 7" xfId="14159"/>
    <cellStyle name="Normal 4 2 5 3 2 8" xfId="14160"/>
    <cellStyle name="Normal 4 2 5 3 2 9" xfId="14161"/>
    <cellStyle name="Normal 4 2 5 3 3" xfId="14162"/>
    <cellStyle name="Normal 4 2 5 3 3 10" xfId="14163"/>
    <cellStyle name="Normal 4 2 5 3 3 11" xfId="14164"/>
    <cellStyle name="Normal 4 2 5 3 3 2" xfId="14165"/>
    <cellStyle name="Normal 4 2 5 3 3 3" xfId="14166"/>
    <cellStyle name="Normal 4 2 5 3 3 4" xfId="14167"/>
    <cellStyle name="Normal 4 2 5 3 3 5" xfId="14168"/>
    <cellStyle name="Normal 4 2 5 3 3 6" xfId="14169"/>
    <cellStyle name="Normal 4 2 5 3 3 7" xfId="14170"/>
    <cellStyle name="Normal 4 2 5 3 3 8" xfId="14171"/>
    <cellStyle name="Normal 4 2 5 3 3 9" xfId="14172"/>
    <cellStyle name="Normal 4 2 5 3 4" xfId="14173"/>
    <cellStyle name="Normal 4 2 5 3 4 2" xfId="14174"/>
    <cellStyle name="Normal 4 2 5 3 4 3" xfId="14175"/>
    <cellStyle name="Normal 4 2 5 3 5" xfId="14176"/>
    <cellStyle name="Normal 4 2 5 3 5 2" xfId="14177"/>
    <cellStyle name="Normal 4 2 5 3 5 3" xfId="14178"/>
    <cellStyle name="Normal 4 2 5 3 6" xfId="14179"/>
    <cellStyle name="Normal 4 2 5 3 7" xfId="14180"/>
    <cellStyle name="Normal 4 2 5 3 8" xfId="14181"/>
    <cellStyle name="Normal 4 2 5 3 9" xfId="14182"/>
    <cellStyle name="Normal 4 2 5 4" xfId="14183"/>
    <cellStyle name="Normal 4 2 5 4 10" xfId="14184"/>
    <cellStyle name="Normal 4 2 5 4 11" xfId="14185"/>
    <cellStyle name="Normal 4 2 5 4 12" xfId="14186"/>
    <cellStyle name="Normal 4 2 5 4 13" xfId="14187"/>
    <cellStyle name="Normal 4 2 5 4 2" xfId="14188"/>
    <cellStyle name="Normal 4 2 5 4 2 10" xfId="14189"/>
    <cellStyle name="Normal 4 2 5 4 2 11" xfId="14190"/>
    <cellStyle name="Normal 4 2 5 4 2 2" xfId="14191"/>
    <cellStyle name="Normal 4 2 5 4 2 3" xfId="14192"/>
    <cellStyle name="Normal 4 2 5 4 2 4" xfId="14193"/>
    <cellStyle name="Normal 4 2 5 4 2 5" xfId="14194"/>
    <cellStyle name="Normal 4 2 5 4 2 6" xfId="14195"/>
    <cellStyle name="Normal 4 2 5 4 2 7" xfId="14196"/>
    <cellStyle name="Normal 4 2 5 4 2 8" xfId="14197"/>
    <cellStyle name="Normal 4 2 5 4 2 9" xfId="14198"/>
    <cellStyle name="Normal 4 2 5 4 3" xfId="14199"/>
    <cellStyle name="Normal 4 2 5 4 3 10" xfId="14200"/>
    <cellStyle name="Normal 4 2 5 4 3 11" xfId="14201"/>
    <cellStyle name="Normal 4 2 5 4 3 2" xfId="14202"/>
    <cellStyle name="Normal 4 2 5 4 3 3" xfId="14203"/>
    <cellStyle name="Normal 4 2 5 4 3 4" xfId="14204"/>
    <cellStyle name="Normal 4 2 5 4 3 5" xfId="14205"/>
    <cellStyle name="Normal 4 2 5 4 3 6" xfId="14206"/>
    <cellStyle name="Normal 4 2 5 4 3 7" xfId="14207"/>
    <cellStyle name="Normal 4 2 5 4 3 8" xfId="14208"/>
    <cellStyle name="Normal 4 2 5 4 3 9" xfId="14209"/>
    <cellStyle name="Normal 4 2 5 4 4" xfId="14210"/>
    <cellStyle name="Normal 4 2 5 4 4 2" xfId="14211"/>
    <cellStyle name="Normal 4 2 5 4 4 3" xfId="14212"/>
    <cellStyle name="Normal 4 2 5 4 5" xfId="14213"/>
    <cellStyle name="Normal 4 2 5 4 5 2" xfId="14214"/>
    <cellStyle name="Normal 4 2 5 4 5 3" xfId="14215"/>
    <cellStyle name="Normal 4 2 5 4 6" xfId="14216"/>
    <cellStyle name="Normal 4 2 5 4 7" xfId="14217"/>
    <cellStyle name="Normal 4 2 5 4 8" xfId="14218"/>
    <cellStyle name="Normal 4 2 5 4 9" xfId="14219"/>
    <cellStyle name="Normal 4 2 5 5" xfId="14220"/>
    <cellStyle name="Normal 4 2 5 5 10" xfId="14221"/>
    <cellStyle name="Normal 4 2 5 5 11" xfId="14222"/>
    <cellStyle name="Normal 4 2 5 5 12" xfId="14223"/>
    <cellStyle name="Normal 4 2 5 5 13" xfId="14224"/>
    <cellStyle name="Normal 4 2 5 5 2" xfId="14225"/>
    <cellStyle name="Normal 4 2 5 5 2 10" xfId="14226"/>
    <cellStyle name="Normal 4 2 5 5 2 11" xfId="14227"/>
    <cellStyle name="Normal 4 2 5 5 2 2" xfId="14228"/>
    <cellStyle name="Normal 4 2 5 5 2 3" xfId="14229"/>
    <cellStyle name="Normal 4 2 5 5 2 4" xfId="14230"/>
    <cellStyle name="Normal 4 2 5 5 2 5" xfId="14231"/>
    <cellStyle name="Normal 4 2 5 5 2 6" xfId="14232"/>
    <cellStyle name="Normal 4 2 5 5 2 7" xfId="14233"/>
    <cellStyle name="Normal 4 2 5 5 2 8" xfId="14234"/>
    <cellStyle name="Normal 4 2 5 5 2 9" xfId="14235"/>
    <cellStyle name="Normal 4 2 5 5 3" xfId="14236"/>
    <cellStyle name="Normal 4 2 5 5 3 10" xfId="14237"/>
    <cellStyle name="Normal 4 2 5 5 3 11" xfId="14238"/>
    <cellStyle name="Normal 4 2 5 5 3 2" xfId="14239"/>
    <cellStyle name="Normal 4 2 5 5 3 3" xfId="14240"/>
    <cellStyle name="Normal 4 2 5 5 3 4" xfId="14241"/>
    <cellStyle name="Normal 4 2 5 5 3 5" xfId="14242"/>
    <cellStyle name="Normal 4 2 5 5 3 6" xfId="14243"/>
    <cellStyle name="Normal 4 2 5 5 3 7" xfId="14244"/>
    <cellStyle name="Normal 4 2 5 5 3 8" xfId="14245"/>
    <cellStyle name="Normal 4 2 5 5 3 9" xfId="14246"/>
    <cellStyle name="Normal 4 2 5 5 4" xfId="14247"/>
    <cellStyle name="Normal 4 2 5 5 4 2" xfId="14248"/>
    <cellStyle name="Normal 4 2 5 5 4 3" xfId="14249"/>
    <cellStyle name="Normal 4 2 5 5 5" xfId="14250"/>
    <cellStyle name="Normal 4 2 5 5 5 2" xfId="14251"/>
    <cellStyle name="Normal 4 2 5 5 5 3" xfId="14252"/>
    <cellStyle name="Normal 4 2 5 5 6" xfId="14253"/>
    <cellStyle name="Normal 4 2 5 5 7" xfId="14254"/>
    <cellStyle name="Normal 4 2 5 5 8" xfId="14255"/>
    <cellStyle name="Normal 4 2 5 5 9" xfId="14256"/>
    <cellStyle name="Normal 4 2 5 6" xfId="14257"/>
    <cellStyle name="Normal 4 2 5 6 10" xfId="14258"/>
    <cellStyle name="Normal 4 2 5 6 11" xfId="14259"/>
    <cellStyle name="Normal 4 2 5 6 12" xfId="14260"/>
    <cellStyle name="Normal 4 2 5 6 13" xfId="14261"/>
    <cellStyle name="Normal 4 2 5 6 2" xfId="14262"/>
    <cellStyle name="Normal 4 2 5 6 2 10" xfId="14263"/>
    <cellStyle name="Normal 4 2 5 6 2 11" xfId="14264"/>
    <cellStyle name="Normal 4 2 5 6 2 2" xfId="14265"/>
    <cellStyle name="Normal 4 2 5 6 2 3" xfId="14266"/>
    <cellStyle name="Normal 4 2 5 6 2 4" xfId="14267"/>
    <cellStyle name="Normal 4 2 5 6 2 5" xfId="14268"/>
    <cellStyle name="Normal 4 2 5 6 2 6" xfId="14269"/>
    <cellStyle name="Normal 4 2 5 6 2 7" xfId="14270"/>
    <cellStyle name="Normal 4 2 5 6 2 8" xfId="14271"/>
    <cellStyle name="Normal 4 2 5 6 2 9" xfId="14272"/>
    <cellStyle name="Normal 4 2 5 6 3" xfId="14273"/>
    <cellStyle name="Normal 4 2 5 6 3 10" xfId="14274"/>
    <cellStyle name="Normal 4 2 5 6 3 11" xfId="14275"/>
    <cellStyle name="Normal 4 2 5 6 3 2" xfId="14276"/>
    <cellStyle name="Normal 4 2 5 6 3 3" xfId="14277"/>
    <cellStyle name="Normal 4 2 5 6 3 4" xfId="14278"/>
    <cellStyle name="Normal 4 2 5 6 3 5" xfId="14279"/>
    <cellStyle name="Normal 4 2 5 6 3 6" xfId="14280"/>
    <cellStyle name="Normal 4 2 5 6 3 7" xfId="14281"/>
    <cellStyle name="Normal 4 2 5 6 3 8" xfId="14282"/>
    <cellStyle name="Normal 4 2 5 6 3 9" xfId="14283"/>
    <cellStyle name="Normal 4 2 5 6 4" xfId="14284"/>
    <cellStyle name="Normal 4 2 5 6 4 2" xfId="14285"/>
    <cellStyle name="Normal 4 2 5 6 4 3" xfId="14286"/>
    <cellStyle name="Normal 4 2 5 6 5" xfId="14287"/>
    <cellStyle name="Normal 4 2 5 6 5 2" xfId="14288"/>
    <cellStyle name="Normal 4 2 5 6 5 3" xfId="14289"/>
    <cellStyle name="Normal 4 2 5 6 6" xfId="14290"/>
    <cellStyle name="Normal 4 2 5 6 7" xfId="14291"/>
    <cellStyle name="Normal 4 2 5 6 8" xfId="14292"/>
    <cellStyle name="Normal 4 2 5 6 9" xfId="14293"/>
    <cellStyle name="Normal 4 2 5 7" xfId="14294"/>
    <cellStyle name="Normal 4 2 5 7 10" xfId="14295"/>
    <cellStyle name="Normal 4 2 5 7 11" xfId="14296"/>
    <cellStyle name="Normal 4 2 5 7 2" xfId="14297"/>
    <cellStyle name="Normal 4 2 5 7 3" xfId="14298"/>
    <cellStyle name="Normal 4 2 5 7 4" xfId="14299"/>
    <cellStyle name="Normal 4 2 5 7 5" xfId="14300"/>
    <cellStyle name="Normal 4 2 5 7 6" xfId="14301"/>
    <cellStyle name="Normal 4 2 5 7 7" xfId="14302"/>
    <cellStyle name="Normal 4 2 5 7 8" xfId="14303"/>
    <cellStyle name="Normal 4 2 5 7 9" xfId="14304"/>
    <cellStyle name="Normal 4 2 5 8" xfId="14305"/>
    <cellStyle name="Normal 4 2 5 8 10" xfId="14306"/>
    <cellStyle name="Normal 4 2 5 8 11" xfId="14307"/>
    <cellStyle name="Normal 4 2 5 8 2" xfId="14308"/>
    <cellStyle name="Normal 4 2 5 8 3" xfId="14309"/>
    <cellStyle name="Normal 4 2 5 8 4" xfId="14310"/>
    <cellStyle name="Normal 4 2 5 8 5" xfId="14311"/>
    <cellStyle name="Normal 4 2 5 8 6" xfId="14312"/>
    <cellStyle name="Normal 4 2 5 8 7" xfId="14313"/>
    <cellStyle name="Normal 4 2 5 8 8" xfId="14314"/>
    <cellStyle name="Normal 4 2 5 8 9" xfId="14315"/>
    <cellStyle name="Normal 4 2 5 9" xfId="14316"/>
    <cellStyle name="Normal 4 2 5 9 2" xfId="14317"/>
    <cellStyle name="Normal 4 2 5 9 3" xfId="14318"/>
    <cellStyle name="Normal 4 2 6" xfId="14319"/>
    <cellStyle name="Normal 4 2 6 10" xfId="14320"/>
    <cellStyle name="Normal 4 2 6 10 2" xfId="14321"/>
    <cellStyle name="Normal 4 2 6 10 3" xfId="14322"/>
    <cellStyle name="Normal 4 2 6 11" xfId="14323"/>
    <cellStyle name="Normal 4 2 6 12" xfId="14324"/>
    <cellStyle name="Normal 4 2 6 13" xfId="14325"/>
    <cellStyle name="Normal 4 2 6 14" xfId="14326"/>
    <cellStyle name="Normal 4 2 6 15" xfId="14327"/>
    <cellStyle name="Normal 4 2 6 16" xfId="14328"/>
    <cellStyle name="Normal 4 2 6 17" xfId="14329"/>
    <cellStyle name="Normal 4 2 6 18" xfId="14330"/>
    <cellStyle name="Normal 4 2 6 2" xfId="14331"/>
    <cellStyle name="Normal 4 2 6 2 10" xfId="14332"/>
    <cellStyle name="Normal 4 2 6 2 11" xfId="14333"/>
    <cellStyle name="Normal 4 2 6 2 12" xfId="14334"/>
    <cellStyle name="Normal 4 2 6 2 13" xfId="14335"/>
    <cellStyle name="Normal 4 2 6 2 2" xfId="14336"/>
    <cellStyle name="Normal 4 2 6 2 2 10" xfId="14337"/>
    <cellStyle name="Normal 4 2 6 2 2 11" xfId="14338"/>
    <cellStyle name="Normal 4 2 6 2 2 2" xfId="14339"/>
    <cellStyle name="Normal 4 2 6 2 2 3" xfId="14340"/>
    <cellStyle name="Normal 4 2 6 2 2 4" xfId="14341"/>
    <cellStyle name="Normal 4 2 6 2 2 5" xfId="14342"/>
    <cellStyle name="Normal 4 2 6 2 2 6" xfId="14343"/>
    <cellStyle name="Normal 4 2 6 2 2 7" xfId="14344"/>
    <cellStyle name="Normal 4 2 6 2 2 8" xfId="14345"/>
    <cellStyle name="Normal 4 2 6 2 2 9" xfId="14346"/>
    <cellStyle name="Normal 4 2 6 2 3" xfId="14347"/>
    <cellStyle name="Normal 4 2 6 2 3 10" xfId="14348"/>
    <cellStyle name="Normal 4 2 6 2 3 11" xfId="14349"/>
    <cellStyle name="Normal 4 2 6 2 3 2" xfId="14350"/>
    <cellStyle name="Normal 4 2 6 2 3 3" xfId="14351"/>
    <cellStyle name="Normal 4 2 6 2 3 4" xfId="14352"/>
    <cellStyle name="Normal 4 2 6 2 3 5" xfId="14353"/>
    <cellStyle name="Normal 4 2 6 2 3 6" xfId="14354"/>
    <cellStyle name="Normal 4 2 6 2 3 7" xfId="14355"/>
    <cellStyle name="Normal 4 2 6 2 3 8" xfId="14356"/>
    <cellStyle name="Normal 4 2 6 2 3 9" xfId="14357"/>
    <cellStyle name="Normal 4 2 6 2 4" xfId="14358"/>
    <cellStyle name="Normal 4 2 6 2 4 2" xfId="14359"/>
    <cellStyle name="Normal 4 2 6 2 4 3" xfId="14360"/>
    <cellStyle name="Normal 4 2 6 2 5" xfId="14361"/>
    <cellStyle name="Normal 4 2 6 2 5 2" xfId="14362"/>
    <cellStyle name="Normal 4 2 6 2 5 3" xfId="14363"/>
    <cellStyle name="Normal 4 2 6 2 6" xfId="14364"/>
    <cellStyle name="Normal 4 2 6 2 7" xfId="14365"/>
    <cellStyle name="Normal 4 2 6 2 8" xfId="14366"/>
    <cellStyle name="Normal 4 2 6 2 9" xfId="14367"/>
    <cellStyle name="Normal 4 2 6 3" xfId="14368"/>
    <cellStyle name="Normal 4 2 6 3 10" xfId="14369"/>
    <cellStyle name="Normal 4 2 6 3 11" xfId="14370"/>
    <cellStyle name="Normal 4 2 6 3 12" xfId="14371"/>
    <cellStyle name="Normal 4 2 6 3 13" xfId="14372"/>
    <cellStyle name="Normal 4 2 6 3 2" xfId="14373"/>
    <cellStyle name="Normal 4 2 6 3 2 10" xfId="14374"/>
    <cellStyle name="Normal 4 2 6 3 2 11" xfId="14375"/>
    <cellStyle name="Normal 4 2 6 3 2 2" xfId="14376"/>
    <cellStyle name="Normal 4 2 6 3 2 3" xfId="14377"/>
    <cellStyle name="Normal 4 2 6 3 2 4" xfId="14378"/>
    <cellStyle name="Normal 4 2 6 3 2 5" xfId="14379"/>
    <cellStyle name="Normal 4 2 6 3 2 6" xfId="14380"/>
    <cellStyle name="Normal 4 2 6 3 2 7" xfId="14381"/>
    <cellStyle name="Normal 4 2 6 3 2 8" xfId="14382"/>
    <cellStyle name="Normal 4 2 6 3 2 9" xfId="14383"/>
    <cellStyle name="Normal 4 2 6 3 3" xfId="14384"/>
    <cellStyle name="Normal 4 2 6 3 3 10" xfId="14385"/>
    <cellStyle name="Normal 4 2 6 3 3 11" xfId="14386"/>
    <cellStyle name="Normal 4 2 6 3 3 2" xfId="14387"/>
    <cellStyle name="Normal 4 2 6 3 3 3" xfId="14388"/>
    <cellStyle name="Normal 4 2 6 3 3 4" xfId="14389"/>
    <cellStyle name="Normal 4 2 6 3 3 5" xfId="14390"/>
    <cellStyle name="Normal 4 2 6 3 3 6" xfId="14391"/>
    <cellStyle name="Normal 4 2 6 3 3 7" xfId="14392"/>
    <cellStyle name="Normal 4 2 6 3 3 8" xfId="14393"/>
    <cellStyle name="Normal 4 2 6 3 3 9" xfId="14394"/>
    <cellStyle name="Normal 4 2 6 3 4" xfId="14395"/>
    <cellStyle name="Normal 4 2 6 3 4 2" xfId="14396"/>
    <cellStyle name="Normal 4 2 6 3 4 3" xfId="14397"/>
    <cellStyle name="Normal 4 2 6 3 5" xfId="14398"/>
    <cellStyle name="Normal 4 2 6 3 5 2" xfId="14399"/>
    <cellStyle name="Normal 4 2 6 3 5 3" xfId="14400"/>
    <cellStyle name="Normal 4 2 6 3 6" xfId="14401"/>
    <cellStyle name="Normal 4 2 6 3 7" xfId="14402"/>
    <cellStyle name="Normal 4 2 6 3 8" xfId="14403"/>
    <cellStyle name="Normal 4 2 6 3 9" xfId="14404"/>
    <cellStyle name="Normal 4 2 6 4" xfId="14405"/>
    <cellStyle name="Normal 4 2 6 4 10" xfId="14406"/>
    <cellStyle name="Normal 4 2 6 4 11" xfId="14407"/>
    <cellStyle name="Normal 4 2 6 4 12" xfId="14408"/>
    <cellStyle name="Normal 4 2 6 4 13" xfId="14409"/>
    <cellStyle name="Normal 4 2 6 4 2" xfId="14410"/>
    <cellStyle name="Normal 4 2 6 4 2 10" xfId="14411"/>
    <cellStyle name="Normal 4 2 6 4 2 11" xfId="14412"/>
    <cellStyle name="Normal 4 2 6 4 2 2" xfId="14413"/>
    <cellStyle name="Normal 4 2 6 4 2 3" xfId="14414"/>
    <cellStyle name="Normal 4 2 6 4 2 4" xfId="14415"/>
    <cellStyle name="Normal 4 2 6 4 2 5" xfId="14416"/>
    <cellStyle name="Normal 4 2 6 4 2 6" xfId="14417"/>
    <cellStyle name="Normal 4 2 6 4 2 7" xfId="14418"/>
    <cellStyle name="Normal 4 2 6 4 2 8" xfId="14419"/>
    <cellStyle name="Normal 4 2 6 4 2 9" xfId="14420"/>
    <cellStyle name="Normal 4 2 6 4 3" xfId="14421"/>
    <cellStyle name="Normal 4 2 6 4 3 10" xfId="14422"/>
    <cellStyle name="Normal 4 2 6 4 3 11" xfId="14423"/>
    <cellStyle name="Normal 4 2 6 4 3 2" xfId="14424"/>
    <cellStyle name="Normal 4 2 6 4 3 3" xfId="14425"/>
    <cellStyle name="Normal 4 2 6 4 3 4" xfId="14426"/>
    <cellStyle name="Normal 4 2 6 4 3 5" xfId="14427"/>
    <cellStyle name="Normal 4 2 6 4 3 6" xfId="14428"/>
    <cellStyle name="Normal 4 2 6 4 3 7" xfId="14429"/>
    <cellStyle name="Normal 4 2 6 4 3 8" xfId="14430"/>
    <cellStyle name="Normal 4 2 6 4 3 9" xfId="14431"/>
    <cellStyle name="Normal 4 2 6 4 4" xfId="14432"/>
    <cellStyle name="Normal 4 2 6 4 4 2" xfId="14433"/>
    <cellStyle name="Normal 4 2 6 4 4 3" xfId="14434"/>
    <cellStyle name="Normal 4 2 6 4 5" xfId="14435"/>
    <cellStyle name="Normal 4 2 6 4 5 2" xfId="14436"/>
    <cellStyle name="Normal 4 2 6 4 5 3" xfId="14437"/>
    <cellStyle name="Normal 4 2 6 4 6" xfId="14438"/>
    <cellStyle name="Normal 4 2 6 4 7" xfId="14439"/>
    <cellStyle name="Normal 4 2 6 4 8" xfId="14440"/>
    <cellStyle name="Normal 4 2 6 4 9" xfId="14441"/>
    <cellStyle name="Normal 4 2 6 5" xfId="14442"/>
    <cellStyle name="Normal 4 2 6 5 10" xfId="14443"/>
    <cellStyle name="Normal 4 2 6 5 11" xfId="14444"/>
    <cellStyle name="Normal 4 2 6 5 12" xfId="14445"/>
    <cellStyle name="Normal 4 2 6 5 13" xfId="14446"/>
    <cellStyle name="Normal 4 2 6 5 2" xfId="14447"/>
    <cellStyle name="Normal 4 2 6 5 2 10" xfId="14448"/>
    <cellStyle name="Normal 4 2 6 5 2 11" xfId="14449"/>
    <cellStyle name="Normal 4 2 6 5 2 2" xfId="14450"/>
    <cellStyle name="Normal 4 2 6 5 2 3" xfId="14451"/>
    <cellStyle name="Normal 4 2 6 5 2 4" xfId="14452"/>
    <cellStyle name="Normal 4 2 6 5 2 5" xfId="14453"/>
    <cellStyle name="Normal 4 2 6 5 2 6" xfId="14454"/>
    <cellStyle name="Normal 4 2 6 5 2 7" xfId="14455"/>
    <cellStyle name="Normal 4 2 6 5 2 8" xfId="14456"/>
    <cellStyle name="Normal 4 2 6 5 2 9" xfId="14457"/>
    <cellStyle name="Normal 4 2 6 5 3" xfId="14458"/>
    <cellStyle name="Normal 4 2 6 5 3 10" xfId="14459"/>
    <cellStyle name="Normal 4 2 6 5 3 11" xfId="14460"/>
    <cellStyle name="Normal 4 2 6 5 3 2" xfId="14461"/>
    <cellStyle name="Normal 4 2 6 5 3 3" xfId="14462"/>
    <cellStyle name="Normal 4 2 6 5 3 4" xfId="14463"/>
    <cellStyle name="Normal 4 2 6 5 3 5" xfId="14464"/>
    <cellStyle name="Normal 4 2 6 5 3 6" xfId="14465"/>
    <cellStyle name="Normal 4 2 6 5 3 7" xfId="14466"/>
    <cellStyle name="Normal 4 2 6 5 3 8" xfId="14467"/>
    <cellStyle name="Normal 4 2 6 5 3 9" xfId="14468"/>
    <cellStyle name="Normal 4 2 6 5 4" xfId="14469"/>
    <cellStyle name="Normal 4 2 6 5 4 2" xfId="14470"/>
    <cellStyle name="Normal 4 2 6 5 4 3" xfId="14471"/>
    <cellStyle name="Normal 4 2 6 5 5" xfId="14472"/>
    <cellStyle name="Normal 4 2 6 5 5 2" xfId="14473"/>
    <cellStyle name="Normal 4 2 6 5 5 3" xfId="14474"/>
    <cellStyle name="Normal 4 2 6 5 6" xfId="14475"/>
    <cellStyle name="Normal 4 2 6 5 7" xfId="14476"/>
    <cellStyle name="Normal 4 2 6 5 8" xfId="14477"/>
    <cellStyle name="Normal 4 2 6 5 9" xfId="14478"/>
    <cellStyle name="Normal 4 2 6 6" xfId="14479"/>
    <cellStyle name="Normal 4 2 6 6 10" xfId="14480"/>
    <cellStyle name="Normal 4 2 6 6 11" xfId="14481"/>
    <cellStyle name="Normal 4 2 6 6 12" xfId="14482"/>
    <cellStyle name="Normal 4 2 6 6 13" xfId="14483"/>
    <cellStyle name="Normal 4 2 6 6 2" xfId="14484"/>
    <cellStyle name="Normal 4 2 6 6 2 10" xfId="14485"/>
    <cellStyle name="Normal 4 2 6 6 2 11" xfId="14486"/>
    <cellStyle name="Normal 4 2 6 6 2 2" xfId="14487"/>
    <cellStyle name="Normal 4 2 6 6 2 3" xfId="14488"/>
    <cellStyle name="Normal 4 2 6 6 2 4" xfId="14489"/>
    <cellStyle name="Normal 4 2 6 6 2 5" xfId="14490"/>
    <cellStyle name="Normal 4 2 6 6 2 6" xfId="14491"/>
    <cellStyle name="Normal 4 2 6 6 2 7" xfId="14492"/>
    <cellStyle name="Normal 4 2 6 6 2 8" xfId="14493"/>
    <cellStyle name="Normal 4 2 6 6 2 9" xfId="14494"/>
    <cellStyle name="Normal 4 2 6 6 3" xfId="14495"/>
    <cellStyle name="Normal 4 2 6 6 3 10" xfId="14496"/>
    <cellStyle name="Normal 4 2 6 6 3 11" xfId="14497"/>
    <cellStyle name="Normal 4 2 6 6 3 2" xfId="14498"/>
    <cellStyle name="Normal 4 2 6 6 3 3" xfId="14499"/>
    <cellStyle name="Normal 4 2 6 6 3 4" xfId="14500"/>
    <cellStyle name="Normal 4 2 6 6 3 5" xfId="14501"/>
    <cellStyle name="Normal 4 2 6 6 3 6" xfId="14502"/>
    <cellStyle name="Normal 4 2 6 6 3 7" xfId="14503"/>
    <cellStyle name="Normal 4 2 6 6 3 8" xfId="14504"/>
    <cellStyle name="Normal 4 2 6 6 3 9" xfId="14505"/>
    <cellStyle name="Normal 4 2 6 6 4" xfId="14506"/>
    <cellStyle name="Normal 4 2 6 6 4 2" xfId="14507"/>
    <cellStyle name="Normal 4 2 6 6 4 3" xfId="14508"/>
    <cellStyle name="Normal 4 2 6 6 5" xfId="14509"/>
    <cellStyle name="Normal 4 2 6 6 5 2" xfId="14510"/>
    <cellStyle name="Normal 4 2 6 6 5 3" xfId="14511"/>
    <cellStyle name="Normal 4 2 6 6 6" xfId="14512"/>
    <cellStyle name="Normal 4 2 6 6 7" xfId="14513"/>
    <cellStyle name="Normal 4 2 6 6 8" xfId="14514"/>
    <cellStyle name="Normal 4 2 6 6 9" xfId="14515"/>
    <cellStyle name="Normal 4 2 6 7" xfId="14516"/>
    <cellStyle name="Normal 4 2 6 7 10" xfId="14517"/>
    <cellStyle name="Normal 4 2 6 7 11" xfId="14518"/>
    <cellStyle name="Normal 4 2 6 7 2" xfId="14519"/>
    <cellStyle name="Normal 4 2 6 7 3" xfId="14520"/>
    <cellStyle name="Normal 4 2 6 7 4" xfId="14521"/>
    <cellStyle name="Normal 4 2 6 7 5" xfId="14522"/>
    <cellStyle name="Normal 4 2 6 7 6" xfId="14523"/>
    <cellStyle name="Normal 4 2 6 7 7" xfId="14524"/>
    <cellStyle name="Normal 4 2 6 7 8" xfId="14525"/>
    <cellStyle name="Normal 4 2 6 7 9" xfId="14526"/>
    <cellStyle name="Normal 4 2 6 8" xfId="14527"/>
    <cellStyle name="Normal 4 2 6 8 10" xfId="14528"/>
    <cellStyle name="Normal 4 2 6 8 11" xfId="14529"/>
    <cellStyle name="Normal 4 2 6 8 2" xfId="14530"/>
    <cellStyle name="Normal 4 2 6 8 3" xfId="14531"/>
    <cellStyle name="Normal 4 2 6 8 4" xfId="14532"/>
    <cellStyle name="Normal 4 2 6 8 5" xfId="14533"/>
    <cellStyle name="Normal 4 2 6 8 6" xfId="14534"/>
    <cellStyle name="Normal 4 2 6 8 7" xfId="14535"/>
    <cellStyle name="Normal 4 2 6 8 8" xfId="14536"/>
    <cellStyle name="Normal 4 2 6 8 9" xfId="14537"/>
    <cellStyle name="Normal 4 2 6 9" xfId="14538"/>
    <cellStyle name="Normal 4 2 6 9 2" xfId="14539"/>
    <cellStyle name="Normal 4 2 6 9 3" xfId="14540"/>
    <cellStyle name="Normal 4 2 7" xfId="14541"/>
    <cellStyle name="Normal 4 2 7 10" xfId="14542"/>
    <cellStyle name="Normal 4 2 7 10 2" xfId="14543"/>
    <cellStyle name="Normal 4 2 7 10 3" xfId="14544"/>
    <cellStyle name="Normal 4 2 7 11" xfId="14545"/>
    <cellStyle name="Normal 4 2 7 12" xfId="14546"/>
    <cellStyle name="Normal 4 2 7 13" xfId="14547"/>
    <cellStyle name="Normal 4 2 7 14" xfId="14548"/>
    <cellStyle name="Normal 4 2 7 15" xfId="14549"/>
    <cellStyle name="Normal 4 2 7 16" xfId="14550"/>
    <cellStyle name="Normal 4 2 7 17" xfId="14551"/>
    <cellStyle name="Normal 4 2 7 18" xfId="14552"/>
    <cellStyle name="Normal 4 2 7 2" xfId="14553"/>
    <cellStyle name="Normal 4 2 7 2 10" xfId="14554"/>
    <cellStyle name="Normal 4 2 7 2 11" xfId="14555"/>
    <cellStyle name="Normal 4 2 7 2 12" xfId="14556"/>
    <cellStyle name="Normal 4 2 7 2 13" xfId="14557"/>
    <cellStyle name="Normal 4 2 7 2 2" xfId="14558"/>
    <cellStyle name="Normal 4 2 7 2 2 10" xfId="14559"/>
    <cellStyle name="Normal 4 2 7 2 2 11" xfId="14560"/>
    <cellStyle name="Normal 4 2 7 2 2 2" xfId="14561"/>
    <cellStyle name="Normal 4 2 7 2 2 3" xfId="14562"/>
    <cellStyle name="Normal 4 2 7 2 2 4" xfId="14563"/>
    <cellStyle name="Normal 4 2 7 2 2 5" xfId="14564"/>
    <cellStyle name="Normal 4 2 7 2 2 6" xfId="14565"/>
    <cellStyle name="Normal 4 2 7 2 2 7" xfId="14566"/>
    <cellStyle name="Normal 4 2 7 2 2 8" xfId="14567"/>
    <cellStyle name="Normal 4 2 7 2 2 9" xfId="14568"/>
    <cellStyle name="Normal 4 2 7 2 3" xfId="14569"/>
    <cellStyle name="Normal 4 2 7 2 3 10" xfId="14570"/>
    <cellStyle name="Normal 4 2 7 2 3 11" xfId="14571"/>
    <cellStyle name="Normal 4 2 7 2 3 2" xfId="14572"/>
    <cellStyle name="Normal 4 2 7 2 3 3" xfId="14573"/>
    <cellStyle name="Normal 4 2 7 2 3 4" xfId="14574"/>
    <cellStyle name="Normal 4 2 7 2 3 5" xfId="14575"/>
    <cellStyle name="Normal 4 2 7 2 3 6" xfId="14576"/>
    <cellStyle name="Normal 4 2 7 2 3 7" xfId="14577"/>
    <cellStyle name="Normal 4 2 7 2 3 8" xfId="14578"/>
    <cellStyle name="Normal 4 2 7 2 3 9" xfId="14579"/>
    <cellStyle name="Normal 4 2 7 2 4" xfId="14580"/>
    <cellStyle name="Normal 4 2 7 2 4 2" xfId="14581"/>
    <cellStyle name="Normal 4 2 7 2 4 3" xfId="14582"/>
    <cellStyle name="Normal 4 2 7 2 5" xfId="14583"/>
    <cellStyle name="Normal 4 2 7 2 5 2" xfId="14584"/>
    <cellStyle name="Normal 4 2 7 2 5 3" xfId="14585"/>
    <cellStyle name="Normal 4 2 7 2 6" xfId="14586"/>
    <cellStyle name="Normal 4 2 7 2 7" xfId="14587"/>
    <cellStyle name="Normal 4 2 7 2 8" xfId="14588"/>
    <cellStyle name="Normal 4 2 7 2 9" xfId="14589"/>
    <cellStyle name="Normal 4 2 7 3" xfId="14590"/>
    <cellStyle name="Normal 4 2 7 3 10" xfId="14591"/>
    <cellStyle name="Normal 4 2 7 3 11" xfId="14592"/>
    <cellStyle name="Normal 4 2 7 3 12" xfId="14593"/>
    <cellStyle name="Normal 4 2 7 3 13" xfId="14594"/>
    <cellStyle name="Normal 4 2 7 3 2" xfId="14595"/>
    <cellStyle name="Normal 4 2 7 3 2 10" xfId="14596"/>
    <cellStyle name="Normal 4 2 7 3 2 11" xfId="14597"/>
    <cellStyle name="Normal 4 2 7 3 2 2" xfId="14598"/>
    <cellStyle name="Normal 4 2 7 3 2 3" xfId="14599"/>
    <cellStyle name="Normal 4 2 7 3 2 4" xfId="14600"/>
    <cellStyle name="Normal 4 2 7 3 2 5" xfId="14601"/>
    <cellStyle name="Normal 4 2 7 3 2 6" xfId="14602"/>
    <cellStyle name="Normal 4 2 7 3 2 7" xfId="14603"/>
    <cellStyle name="Normal 4 2 7 3 2 8" xfId="14604"/>
    <cellStyle name="Normal 4 2 7 3 2 9" xfId="14605"/>
    <cellStyle name="Normal 4 2 7 3 3" xfId="14606"/>
    <cellStyle name="Normal 4 2 7 3 3 10" xfId="14607"/>
    <cellStyle name="Normal 4 2 7 3 3 11" xfId="14608"/>
    <cellStyle name="Normal 4 2 7 3 3 2" xfId="14609"/>
    <cellStyle name="Normal 4 2 7 3 3 3" xfId="14610"/>
    <cellStyle name="Normal 4 2 7 3 3 4" xfId="14611"/>
    <cellStyle name="Normal 4 2 7 3 3 5" xfId="14612"/>
    <cellStyle name="Normal 4 2 7 3 3 6" xfId="14613"/>
    <cellStyle name="Normal 4 2 7 3 3 7" xfId="14614"/>
    <cellStyle name="Normal 4 2 7 3 3 8" xfId="14615"/>
    <cellStyle name="Normal 4 2 7 3 3 9" xfId="14616"/>
    <cellStyle name="Normal 4 2 7 3 4" xfId="14617"/>
    <cellStyle name="Normal 4 2 7 3 4 2" xfId="14618"/>
    <cellStyle name="Normal 4 2 7 3 4 3" xfId="14619"/>
    <cellStyle name="Normal 4 2 7 3 5" xfId="14620"/>
    <cellStyle name="Normal 4 2 7 3 5 2" xfId="14621"/>
    <cellStyle name="Normal 4 2 7 3 5 3" xfId="14622"/>
    <cellStyle name="Normal 4 2 7 3 6" xfId="14623"/>
    <cellStyle name="Normal 4 2 7 3 7" xfId="14624"/>
    <cellStyle name="Normal 4 2 7 3 8" xfId="14625"/>
    <cellStyle name="Normal 4 2 7 3 9" xfId="14626"/>
    <cellStyle name="Normal 4 2 7 4" xfId="14627"/>
    <cellStyle name="Normal 4 2 7 4 10" xfId="14628"/>
    <cellStyle name="Normal 4 2 7 4 11" xfId="14629"/>
    <cellStyle name="Normal 4 2 7 4 12" xfId="14630"/>
    <cellStyle name="Normal 4 2 7 4 13" xfId="14631"/>
    <cellStyle name="Normal 4 2 7 4 2" xfId="14632"/>
    <cellStyle name="Normal 4 2 7 4 2 10" xfId="14633"/>
    <cellStyle name="Normal 4 2 7 4 2 11" xfId="14634"/>
    <cellStyle name="Normal 4 2 7 4 2 2" xfId="14635"/>
    <cellStyle name="Normal 4 2 7 4 2 3" xfId="14636"/>
    <cellStyle name="Normal 4 2 7 4 2 4" xfId="14637"/>
    <cellStyle name="Normal 4 2 7 4 2 5" xfId="14638"/>
    <cellStyle name="Normal 4 2 7 4 2 6" xfId="14639"/>
    <cellStyle name="Normal 4 2 7 4 2 7" xfId="14640"/>
    <cellStyle name="Normal 4 2 7 4 2 8" xfId="14641"/>
    <cellStyle name="Normal 4 2 7 4 2 9" xfId="14642"/>
    <cellStyle name="Normal 4 2 7 4 3" xfId="14643"/>
    <cellStyle name="Normal 4 2 7 4 3 10" xfId="14644"/>
    <cellStyle name="Normal 4 2 7 4 3 11" xfId="14645"/>
    <cellStyle name="Normal 4 2 7 4 3 2" xfId="14646"/>
    <cellStyle name="Normal 4 2 7 4 3 3" xfId="14647"/>
    <cellStyle name="Normal 4 2 7 4 3 4" xfId="14648"/>
    <cellStyle name="Normal 4 2 7 4 3 5" xfId="14649"/>
    <cellStyle name="Normal 4 2 7 4 3 6" xfId="14650"/>
    <cellStyle name="Normal 4 2 7 4 3 7" xfId="14651"/>
    <cellStyle name="Normal 4 2 7 4 3 8" xfId="14652"/>
    <cellStyle name="Normal 4 2 7 4 3 9" xfId="14653"/>
    <cellStyle name="Normal 4 2 7 4 4" xfId="14654"/>
    <cellStyle name="Normal 4 2 7 4 4 2" xfId="14655"/>
    <cellStyle name="Normal 4 2 7 4 4 3" xfId="14656"/>
    <cellStyle name="Normal 4 2 7 4 5" xfId="14657"/>
    <cellStyle name="Normal 4 2 7 4 5 2" xfId="14658"/>
    <cellStyle name="Normal 4 2 7 4 5 3" xfId="14659"/>
    <cellStyle name="Normal 4 2 7 4 6" xfId="14660"/>
    <cellStyle name="Normal 4 2 7 4 7" xfId="14661"/>
    <cellStyle name="Normal 4 2 7 4 8" xfId="14662"/>
    <cellStyle name="Normal 4 2 7 4 9" xfId="14663"/>
    <cellStyle name="Normal 4 2 7 5" xfId="14664"/>
    <cellStyle name="Normal 4 2 7 5 10" xfId="14665"/>
    <cellStyle name="Normal 4 2 7 5 11" xfId="14666"/>
    <cellStyle name="Normal 4 2 7 5 12" xfId="14667"/>
    <cellStyle name="Normal 4 2 7 5 13" xfId="14668"/>
    <cellStyle name="Normal 4 2 7 5 2" xfId="14669"/>
    <cellStyle name="Normal 4 2 7 5 2 10" xfId="14670"/>
    <cellStyle name="Normal 4 2 7 5 2 11" xfId="14671"/>
    <cellStyle name="Normal 4 2 7 5 2 2" xfId="14672"/>
    <cellStyle name="Normal 4 2 7 5 2 3" xfId="14673"/>
    <cellStyle name="Normal 4 2 7 5 2 4" xfId="14674"/>
    <cellStyle name="Normal 4 2 7 5 2 5" xfId="14675"/>
    <cellStyle name="Normal 4 2 7 5 2 6" xfId="14676"/>
    <cellStyle name="Normal 4 2 7 5 2 7" xfId="14677"/>
    <cellStyle name="Normal 4 2 7 5 2 8" xfId="14678"/>
    <cellStyle name="Normal 4 2 7 5 2 9" xfId="14679"/>
    <cellStyle name="Normal 4 2 7 5 3" xfId="14680"/>
    <cellStyle name="Normal 4 2 7 5 3 10" xfId="14681"/>
    <cellStyle name="Normal 4 2 7 5 3 11" xfId="14682"/>
    <cellStyle name="Normal 4 2 7 5 3 2" xfId="14683"/>
    <cellStyle name="Normal 4 2 7 5 3 3" xfId="14684"/>
    <cellStyle name="Normal 4 2 7 5 3 4" xfId="14685"/>
    <cellStyle name="Normal 4 2 7 5 3 5" xfId="14686"/>
    <cellStyle name="Normal 4 2 7 5 3 6" xfId="14687"/>
    <cellStyle name="Normal 4 2 7 5 3 7" xfId="14688"/>
    <cellStyle name="Normal 4 2 7 5 3 8" xfId="14689"/>
    <cellStyle name="Normal 4 2 7 5 3 9" xfId="14690"/>
    <cellStyle name="Normal 4 2 7 5 4" xfId="14691"/>
    <cellStyle name="Normal 4 2 7 5 4 2" xfId="14692"/>
    <cellStyle name="Normal 4 2 7 5 4 3" xfId="14693"/>
    <cellStyle name="Normal 4 2 7 5 5" xfId="14694"/>
    <cellStyle name="Normal 4 2 7 5 5 2" xfId="14695"/>
    <cellStyle name="Normal 4 2 7 5 5 3" xfId="14696"/>
    <cellStyle name="Normal 4 2 7 5 6" xfId="14697"/>
    <cellStyle name="Normal 4 2 7 5 7" xfId="14698"/>
    <cellStyle name="Normal 4 2 7 5 8" xfId="14699"/>
    <cellStyle name="Normal 4 2 7 5 9" xfId="14700"/>
    <cellStyle name="Normal 4 2 7 6" xfId="14701"/>
    <cellStyle name="Normal 4 2 7 6 10" xfId="14702"/>
    <cellStyle name="Normal 4 2 7 6 11" xfId="14703"/>
    <cellStyle name="Normal 4 2 7 6 12" xfId="14704"/>
    <cellStyle name="Normal 4 2 7 6 13" xfId="14705"/>
    <cellStyle name="Normal 4 2 7 6 2" xfId="14706"/>
    <cellStyle name="Normal 4 2 7 6 2 10" xfId="14707"/>
    <cellStyle name="Normal 4 2 7 6 2 11" xfId="14708"/>
    <cellStyle name="Normal 4 2 7 6 2 2" xfId="14709"/>
    <cellStyle name="Normal 4 2 7 6 2 3" xfId="14710"/>
    <cellStyle name="Normal 4 2 7 6 2 4" xfId="14711"/>
    <cellStyle name="Normal 4 2 7 6 2 5" xfId="14712"/>
    <cellStyle name="Normal 4 2 7 6 2 6" xfId="14713"/>
    <cellStyle name="Normal 4 2 7 6 2 7" xfId="14714"/>
    <cellStyle name="Normal 4 2 7 6 2 8" xfId="14715"/>
    <cellStyle name="Normal 4 2 7 6 2 9" xfId="14716"/>
    <cellStyle name="Normal 4 2 7 6 3" xfId="14717"/>
    <cellStyle name="Normal 4 2 7 6 3 10" xfId="14718"/>
    <cellStyle name="Normal 4 2 7 6 3 11" xfId="14719"/>
    <cellStyle name="Normal 4 2 7 6 3 2" xfId="14720"/>
    <cellStyle name="Normal 4 2 7 6 3 3" xfId="14721"/>
    <cellStyle name="Normal 4 2 7 6 3 4" xfId="14722"/>
    <cellStyle name="Normal 4 2 7 6 3 5" xfId="14723"/>
    <cellStyle name="Normal 4 2 7 6 3 6" xfId="14724"/>
    <cellStyle name="Normal 4 2 7 6 3 7" xfId="14725"/>
    <cellStyle name="Normal 4 2 7 6 3 8" xfId="14726"/>
    <cellStyle name="Normal 4 2 7 6 3 9" xfId="14727"/>
    <cellStyle name="Normal 4 2 7 6 4" xfId="14728"/>
    <cellStyle name="Normal 4 2 7 6 4 2" xfId="14729"/>
    <cellStyle name="Normal 4 2 7 6 4 3" xfId="14730"/>
    <cellStyle name="Normal 4 2 7 6 5" xfId="14731"/>
    <cellStyle name="Normal 4 2 7 6 5 2" xfId="14732"/>
    <cellStyle name="Normal 4 2 7 6 5 3" xfId="14733"/>
    <cellStyle name="Normal 4 2 7 6 6" xfId="14734"/>
    <cellStyle name="Normal 4 2 7 6 7" xfId="14735"/>
    <cellStyle name="Normal 4 2 7 6 8" xfId="14736"/>
    <cellStyle name="Normal 4 2 7 6 9" xfId="14737"/>
    <cellStyle name="Normal 4 2 7 7" xfId="14738"/>
    <cellStyle name="Normal 4 2 7 7 10" xfId="14739"/>
    <cellStyle name="Normal 4 2 7 7 11" xfId="14740"/>
    <cellStyle name="Normal 4 2 7 7 2" xfId="14741"/>
    <cellStyle name="Normal 4 2 7 7 3" xfId="14742"/>
    <cellStyle name="Normal 4 2 7 7 4" xfId="14743"/>
    <cellStyle name="Normal 4 2 7 7 5" xfId="14744"/>
    <cellStyle name="Normal 4 2 7 7 6" xfId="14745"/>
    <cellStyle name="Normal 4 2 7 7 7" xfId="14746"/>
    <cellStyle name="Normal 4 2 7 7 8" xfId="14747"/>
    <cellStyle name="Normal 4 2 7 7 9" xfId="14748"/>
    <cellStyle name="Normal 4 2 7 8" xfId="14749"/>
    <cellStyle name="Normal 4 2 7 8 10" xfId="14750"/>
    <cellStyle name="Normal 4 2 7 8 11" xfId="14751"/>
    <cellStyle name="Normal 4 2 7 8 2" xfId="14752"/>
    <cellStyle name="Normal 4 2 7 8 3" xfId="14753"/>
    <cellStyle name="Normal 4 2 7 8 4" xfId="14754"/>
    <cellStyle name="Normal 4 2 7 8 5" xfId="14755"/>
    <cellStyle name="Normal 4 2 7 8 6" xfId="14756"/>
    <cellStyle name="Normal 4 2 7 8 7" xfId="14757"/>
    <cellStyle name="Normal 4 2 7 8 8" xfId="14758"/>
    <cellStyle name="Normal 4 2 7 8 9" xfId="14759"/>
    <cellStyle name="Normal 4 2 7 9" xfId="14760"/>
    <cellStyle name="Normal 4 2 7 9 2" xfId="14761"/>
    <cellStyle name="Normal 4 2 7 9 3" xfId="14762"/>
    <cellStyle name="Normal 4 2 8" xfId="14763"/>
    <cellStyle name="Normal 4 2 8 10" xfId="14764"/>
    <cellStyle name="Normal 4 2 8 10 2" xfId="14765"/>
    <cellStyle name="Normal 4 2 8 10 3" xfId="14766"/>
    <cellStyle name="Normal 4 2 8 11" xfId="14767"/>
    <cellStyle name="Normal 4 2 8 12" xfId="14768"/>
    <cellStyle name="Normal 4 2 8 13" xfId="14769"/>
    <cellStyle name="Normal 4 2 8 14" xfId="14770"/>
    <cellStyle name="Normal 4 2 8 15" xfId="14771"/>
    <cellStyle name="Normal 4 2 8 16" xfId="14772"/>
    <cellStyle name="Normal 4 2 8 17" xfId="14773"/>
    <cellStyle name="Normal 4 2 8 18" xfId="14774"/>
    <cellStyle name="Normal 4 2 8 2" xfId="14775"/>
    <cellStyle name="Normal 4 2 8 2 10" xfId="14776"/>
    <cellStyle name="Normal 4 2 8 2 11" xfId="14777"/>
    <cellStyle name="Normal 4 2 8 2 12" xfId="14778"/>
    <cellStyle name="Normal 4 2 8 2 13" xfId="14779"/>
    <cellStyle name="Normal 4 2 8 2 2" xfId="14780"/>
    <cellStyle name="Normal 4 2 8 2 2 10" xfId="14781"/>
    <cellStyle name="Normal 4 2 8 2 2 11" xfId="14782"/>
    <cellStyle name="Normal 4 2 8 2 2 2" xfId="14783"/>
    <cellStyle name="Normal 4 2 8 2 2 3" xfId="14784"/>
    <cellStyle name="Normal 4 2 8 2 2 4" xfId="14785"/>
    <cellStyle name="Normal 4 2 8 2 2 5" xfId="14786"/>
    <cellStyle name="Normal 4 2 8 2 2 6" xfId="14787"/>
    <cellStyle name="Normal 4 2 8 2 2 7" xfId="14788"/>
    <cellStyle name="Normal 4 2 8 2 2 8" xfId="14789"/>
    <cellStyle name="Normal 4 2 8 2 2 9" xfId="14790"/>
    <cellStyle name="Normal 4 2 8 2 3" xfId="14791"/>
    <cellStyle name="Normal 4 2 8 2 3 10" xfId="14792"/>
    <cellStyle name="Normal 4 2 8 2 3 11" xfId="14793"/>
    <cellStyle name="Normal 4 2 8 2 3 2" xfId="14794"/>
    <cellStyle name="Normal 4 2 8 2 3 3" xfId="14795"/>
    <cellStyle name="Normal 4 2 8 2 3 4" xfId="14796"/>
    <cellStyle name="Normal 4 2 8 2 3 5" xfId="14797"/>
    <cellStyle name="Normal 4 2 8 2 3 6" xfId="14798"/>
    <cellStyle name="Normal 4 2 8 2 3 7" xfId="14799"/>
    <cellStyle name="Normal 4 2 8 2 3 8" xfId="14800"/>
    <cellStyle name="Normal 4 2 8 2 3 9" xfId="14801"/>
    <cellStyle name="Normal 4 2 8 2 4" xfId="14802"/>
    <cellStyle name="Normal 4 2 8 2 4 2" xfId="14803"/>
    <cellStyle name="Normal 4 2 8 2 4 3" xfId="14804"/>
    <cellStyle name="Normal 4 2 8 2 5" xfId="14805"/>
    <cellStyle name="Normal 4 2 8 2 5 2" xfId="14806"/>
    <cellStyle name="Normal 4 2 8 2 5 3" xfId="14807"/>
    <cellStyle name="Normal 4 2 8 2 6" xfId="14808"/>
    <cellStyle name="Normal 4 2 8 2 7" xfId="14809"/>
    <cellStyle name="Normal 4 2 8 2 8" xfId="14810"/>
    <cellStyle name="Normal 4 2 8 2 9" xfId="14811"/>
    <cellStyle name="Normal 4 2 8 3" xfId="14812"/>
    <cellStyle name="Normal 4 2 8 3 10" xfId="14813"/>
    <cellStyle name="Normal 4 2 8 3 11" xfId="14814"/>
    <cellStyle name="Normal 4 2 8 3 12" xfId="14815"/>
    <cellStyle name="Normal 4 2 8 3 13" xfId="14816"/>
    <cellStyle name="Normal 4 2 8 3 2" xfId="14817"/>
    <cellStyle name="Normal 4 2 8 3 2 10" xfId="14818"/>
    <cellStyle name="Normal 4 2 8 3 2 11" xfId="14819"/>
    <cellStyle name="Normal 4 2 8 3 2 2" xfId="14820"/>
    <cellStyle name="Normal 4 2 8 3 2 3" xfId="14821"/>
    <cellStyle name="Normal 4 2 8 3 2 4" xfId="14822"/>
    <cellStyle name="Normal 4 2 8 3 2 5" xfId="14823"/>
    <cellStyle name="Normal 4 2 8 3 2 6" xfId="14824"/>
    <cellStyle name="Normal 4 2 8 3 2 7" xfId="14825"/>
    <cellStyle name="Normal 4 2 8 3 2 8" xfId="14826"/>
    <cellStyle name="Normal 4 2 8 3 2 9" xfId="14827"/>
    <cellStyle name="Normal 4 2 8 3 3" xfId="14828"/>
    <cellStyle name="Normal 4 2 8 3 3 10" xfId="14829"/>
    <cellStyle name="Normal 4 2 8 3 3 11" xfId="14830"/>
    <cellStyle name="Normal 4 2 8 3 3 2" xfId="14831"/>
    <cellStyle name="Normal 4 2 8 3 3 3" xfId="14832"/>
    <cellStyle name="Normal 4 2 8 3 3 4" xfId="14833"/>
    <cellStyle name="Normal 4 2 8 3 3 5" xfId="14834"/>
    <cellStyle name="Normal 4 2 8 3 3 6" xfId="14835"/>
    <cellStyle name="Normal 4 2 8 3 3 7" xfId="14836"/>
    <cellStyle name="Normal 4 2 8 3 3 8" xfId="14837"/>
    <cellStyle name="Normal 4 2 8 3 3 9" xfId="14838"/>
    <cellStyle name="Normal 4 2 8 3 4" xfId="14839"/>
    <cellStyle name="Normal 4 2 8 3 4 2" xfId="14840"/>
    <cellStyle name="Normal 4 2 8 3 4 3" xfId="14841"/>
    <cellStyle name="Normal 4 2 8 3 5" xfId="14842"/>
    <cellStyle name="Normal 4 2 8 3 5 2" xfId="14843"/>
    <cellStyle name="Normal 4 2 8 3 5 3" xfId="14844"/>
    <cellStyle name="Normal 4 2 8 3 6" xfId="14845"/>
    <cellStyle name="Normal 4 2 8 3 7" xfId="14846"/>
    <cellStyle name="Normal 4 2 8 3 8" xfId="14847"/>
    <cellStyle name="Normal 4 2 8 3 9" xfId="14848"/>
    <cellStyle name="Normal 4 2 8 4" xfId="14849"/>
    <cellStyle name="Normal 4 2 8 4 10" xfId="14850"/>
    <cellStyle name="Normal 4 2 8 4 11" xfId="14851"/>
    <cellStyle name="Normal 4 2 8 4 12" xfId="14852"/>
    <cellStyle name="Normal 4 2 8 4 13" xfId="14853"/>
    <cellStyle name="Normal 4 2 8 4 2" xfId="14854"/>
    <cellStyle name="Normal 4 2 8 4 2 10" xfId="14855"/>
    <cellStyle name="Normal 4 2 8 4 2 11" xfId="14856"/>
    <cellStyle name="Normal 4 2 8 4 2 2" xfId="14857"/>
    <cellStyle name="Normal 4 2 8 4 2 3" xfId="14858"/>
    <cellStyle name="Normal 4 2 8 4 2 4" xfId="14859"/>
    <cellStyle name="Normal 4 2 8 4 2 5" xfId="14860"/>
    <cellStyle name="Normal 4 2 8 4 2 6" xfId="14861"/>
    <cellStyle name="Normal 4 2 8 4 2 7" xfId="14862"/>
    <cellStyle name="Normal 4 2 8 4 2 8" xfId="14863"/>
    <cellStyle name="Normal 4 2 8 4 2 9" xfId="14864"/>
    <cellStyle name="Normal 4 2 8 4 3" xfId="14865"/>
    <cellStyle name="Normal 4 2 8 4 3 10" xfId="14866"/>
    <cellStyle name="Normal 4 2 8 4 3 11" xfId="14867"/>
    <cellStyle name="Normal 4 2 8 4 3 2" xfId="14868"/>
    <cellStyle name="Normal 4 2 8 4 3 3" xfId="14869"/>
    <cellStyle name="Normal 4 2 8 4 3 4" xfId="14870"/>
    <cellStyle name="Normal 4 2 8 4 3 5" xfId="14871"/>
    <cellStyle name="Normal 4 2 8 4 3 6" xfId="14872"/>
    <cellStyle name="Normal 4 2 8 4 3 7" xfId="14873"/>
    <cellStyle name="Normal 4 2 8 4 3 8" xfId="14874"/>
    <cellStyle name="Normal 4 2 8 4 3 9" xfId="14875"/>
    <cellStyle name="Normal 4 2 8 4 4" xfId="14876"/>
    <cellStyle name="Normal 4 2 8 4 4 2" xfId="14877"/>
    <cellStyle name="Normal 4 2 8 4 4 3" xfId="14878"/>
    <cellStyle name="Normal 4 2 8 4 5" xfId="14879"/>
    <cellStyle name="Normal 4 2 8 4 5 2" xfId="14880"/>
    <cellStyle name="Normal 4 2 8 4 5 3" xfId="14881"/>
    <cellStyle name="Normal 4 2 8 4 6" xfId="14882"/>
    <cellStyle name="Normal 4 2 8 4 7" xfId="14883"/>
    <cellStyle name="Normal 4 2 8 4 8" xfId="14884"/>
    <cellStyle name="Normal 4 2 8 4 9" xfId="14885"/>
    <cellStyle name="Normal 4 2 8 5" xfId="14886"/>
    <cellStyle name="Normal 4 2 8 5 10" xfId="14887"/>
    <cellStyle name="Normal 4 2 8 5 11" xfId="14888"/>
    <cellStyle name="Normal 4 2 8 5 12" xfId="14889"/>
    <cellStyle name="Normal 4 2 8 5 13" xfId="14890"/>
    <cellStyle name="Normal 4 2 8 5 2" xfId="14891"/>
    <cellStyle name="Normal 4 2 8 5 2 10" xfId="14892"/>
    <cellStyle name="Normal 4 2 8 5 2 11" xfId="14893"/>
    <cellStyle name="Normal 4 2 8 5 2 2" xfId="14894"/>
    <cellStyle name="Normal 4 2 8 5 2 3" xfId="14895"/>
    <cellStyle name="Normal 4 2 8 5 2 4" xfId="14896"/>
    <cellStyle name="Normal 4 2 8 5 2 5" xfId="14897"/>
    <cellStyle name="Normal 4 2 8 5 2 6" xfId="14898"/>
    <cellStyle name="Normal 4 2 8 5 2 7" xfId="14899"/>
    <cellStyle name="Normal 4 2 8 5 2 8" xfId="14900"/>
    <cellStyle name="Normal 4 2 8 5 2 9" xfId="14901"/>
    <cellStyle name="Normal 4 2 8 5 3" xfId="14902"/>
    <cellStyle name="Normal 4 2 8 5 3 10" xfId="14903"/>
    <cellStyle name="Normal 4 2 8 5 3 11" xfId="14904"/>
    <cellStyle name="Normal 4 2 8 5 3 2" xfId="14905"/>
    <cellStyle name="Normal 4 2 8 5 3 3" xfId="14906"/>
    <cellStyle name="Normal 4 2 8 5 3 4" xfId="14907"/>
    <cellStyle name="Normal 4 2 8 5 3 5" xfId="14908"/>
    <cellStyle name="Normal 4 2 8 5 3 6" xfId="14909"/>
    <cellStyle name="Normal 4 2 8 5 3 7" xfId="14910"/>
    <cellStyle name="Normal 4 2 8 5 3 8" xfId="14911"/>
    <cellStyle name="Normal 4 2 8 5 3 9" xfId="14912"/>
    <cellStyle name="Normal 4 2 8 5 4" xfId="14913"/>
    <cellStyle name="Normal 4 2 8 5 4 2" xfId="14914"/>
    <cellStyle name="Normal 4 2 8 5 4 3" xfId="14915"/>
    <cellStyle name="Normal 4 2 8 5 5" xfId="14916"/>
    <cellStyle name="Normal 4 2 8 5 5 2" xfId="14917"/>
    <cellStyle name="Normal 4 2 8 5 5 3" xfId="14918"/>
    <cellStyle name="Normal 4 2 8 5 6" xfId="14919"/>
    <cellStyle name="Normal 4 2 8 5 7" xfId="14920"/>
    <cellStyle name="Normal 4 2 8 5 8" xfId="14921"/>
    <cellStyle name="Normal 4 2 8 5 9" xfId="14922"/>
    <cellStyle name="Normal 4 2 8 6" xfId="14923"/>
    <cellStyle name="Normal 4 2 8 6 10" xfId="14924"/>
    <cellStyle name="Normal 4 2 8 6 11" xfId="14925"/>
    <cellStyle name="Normal 4 2 8 6 12" xfId="14926"/>
    <cellStyle name="Normal 4 2 8 6 13" xfId="14927"/>
    <cellStyle name="Normal 4 2 8 6 2" xfId="14928"/>
    <cellStyle name="Normal 4 2 8 6 2 10" xfId="14929"/>
    <cellStyle name="Normal 4 2 8 6 2 11" xfId="14930"/>
    <cellStyle name="Normal 4 2 8 6 2 2" xfId="14931"/>
    <cellStyle name="Normal 4 2 8 6 2 3" xfId="14932"/>
    <cellStyle name="Normal 4 2 8 6 2 4" xfId="14933"/>
    <cellStyle name="Normal 4 2 8 6 2 5" xfId="14934"/>
    <cellStyle name="Normal 4 2 8 6 2 6" xfId="14935"/>
    <cellStyle name="Normal 4 2 8 6 2 7" xfId="14936"/>
    <cellStyle name="Normal 4 2 8 6 2 8" xfId="14937"/>
    <cellStyle name="Normal 4 2 8 6 2 9" xfId="14938"/>
    <cellStyle name="Normal 4 2 8 6 3" xfId="14939"/>
    <cellStyle name="Normal 4 2 8 6 3 10" xfId="14940"/>
    <cellStyle name="Normal 4 2 8 6 3 11" xfId="14941"/>
    <cellStyle name="Normal 4 2 8 6 3 2" xfId="14942"/>
    <cellStyle name="Normal 4 2 8 6 3 3" xfId="14943"/>
    <cellStyle name="Normal 4 2 8 6 3 4" xfId="14944"/>
    <cellStyle name="Normal 4 2 8 6 3 5" xfId="14945"/>
    <cellStyle name="Normal 4 2 8 6 3 6" xfId="14946"/>
    <cellStyle name="Normal 4 2 8 6 3 7" xfId="14947"/>
    <cellStyle name="Normal 4 2 8 6 3 8" xfId="14948"/>
    <cellStyle name="Normal 4 2 8 6 3 9" xfId="14949"/>
    <cellStyle name="Normal 4 2 8 6 4" xfId="14950"/>
    <cellStyle name="Normal 4 2 8 6 4 2" xfId="14951"/>
    <cellStyle name="Normal 4 2 8 6 4 3" xfId="14952"/>
    <cellStyle name="Normal 4 2 8 6 5" xfId="14953"/>
    <cellStyle name="Normal 4 2 8 6 5 2" xfId="14954"/>
    <cellStyle name="Normal 4 2 8 6 5 3" xfId="14955"/>
    <cellStyle name="Normal 4 2 8 6 6" xfId="14956"/>
    <cellStyle name="Normal 4 2 8 6 7" xfId="14957"/>
    <cellStyle name="Normal 4 2 8 6 8" xfId="14958"/>
    <cellStyle name="Normal 4 2 8 6 9" xfId="14959"/>
    <cellStyle name="Normal 4 2 8 7" xfId="14960"/>
    <cellStyle name="Normal 4 2 8 7 10" xfId="14961"/>
    <cellStyle name="Normal 4 2 8 7 11" xfId="14962"/>
    <cellStyle name="Normal 4 2 8 7 2" xfId="14963"/>
    <cellStyle name="Normal 4 2 8 7 3" xfId="14964"/>
    <cellStyle name="Normal 4 2 8 7 4" xfId="14965"/>
    <cellStyle name="Normal 4 2 8 7 5" xfId="14966"/>
    <cellStyle name="Normal 4 2 8 7 6" xfId="14967"/>
    <cellStyle name="Normal 4 2 8 7 7" xfId="14968"/>
    <cellStyle name="Normal 4 2 8 7 8" xfId="14969"/>
    <cellStyle name="Normal 4 2 8 7 9" xfId="14970"/>
    <cellStyle name="Normal 4 2 8 8" xfId="14971"/>
    <cellStyle name="Normal 4 2 8 8 10" xfId="14972"/>
    <cellStyle name="Normal 4 2 8 8 11" xfId="14973"/>
    <cellStyle name="Normal 4 2 8 8 2" xfId="14974"/>
    <cellStyle name="Normal 4 2 8 8 3" xfId="14975"/>
    <cellStyle name="Normal 4 2 8 8 4" xfId="14976"/>
    <cellStyle name="Normal 4 2 8 8 5" xfId="14977"/>
    <cellStyle name="Normal 4 2 8 8 6" xfId="14978"/>
    <cellStyle name="Normal 4 2 8 8 7" xfId="14979"/>
    <cellStyle name="Normal 4 2 8 8 8" xfId="14980"/>
    <cellStyle name="Normal 4 2 8 8 9" xfId="14981"/>
    <cellStyle name="Normal 4 2 8 9" xfId="14982"/>
    <cellStyle name="Normal 4 2 8 9 2" xfId="14983"/>
    <cellStyle name="Normal 4 2 8 9 3" xfId="14984"/>
    <cellStyle name="Normal 4 2 9" xfId="14985"/>
    <cellStyle name="Normal 4 2 9 10" xfId="14986"/>
    <cellStyle name="Normal 4 2 9 10 2" xfId="14987"/>
    <cellStyle name="Normal 4 2 9 10 3" xfId="14988"/>
    <cellStyle name="Normal 4 2 9 11" xfId="14989"/>
    <cellStyle name="Normal 4 2 9 12" xfId="14990"/>
    <cellStyle name="Normal 4 2 9 13" xfId="14991"/>
    <cellStyle name="Normal 4 2 9 14" xfId="14992"/>
    <cellStyle name="Normal 4 2 9 15" xfId="14993"/>
    <cellStyle name="Normal 4 2 9 16" xfId="14994"/>
    <cellStyle name="Normal 4 2 9 17" xfId="14995"/>
    <cellStyle name="Normal 4 2 9 18" xfId="14996"/>
    <cellStyle name="Normal 4 2 9 2" xfId="14997"/>
    <cellStyle name="Normal 4 2 9 2 10" xfId="14998"/>
    <cellStyle name="Normal 4 2 9 2 11" xfId="14999"/>
    <cellStyle name="Normal 4 2 9 2 12" xfId="15000"/>
    <cellStyle name="Normal 4 2 9 2 13" xfId="15001"/>
    <cellStyle name="Normal 4 2 9 2 2" xfId="15002"/>
    <cellStyle name="Normal 4 2 9 2 2 10" xfId="15003"/>
    <cellStyle name="Normal 4 2 9 2 2 11" xfId="15004"/>
    <cellStyle name="Normal 4 2 9 2 2 2" xfId="15005"/>
    <cellStyle name="Normal 4 2 9 2 2 3" xfId="15006"/>
    <cellStyle name="Normal 4 2 9 2 2 4" xfId="15007"/>
    <cellStyle name="Normal 4 2 9 2 2 5" xfId="15008"/>
    <cellStyle name="Normal 4 2 9 2 2 6" xfId="15009"/>
    <cellStyle name="Normal 4 2 9 2 2 7" xfId="15010"/>
    <cellStyle name="Normal 4 2 9 2 2 8" xfId="15011"/>
    <cellStyle name="Normal 4 2 9 2 2 9" xfId="15012"/>
    <cellStyle name="Normal 4 2 9 2 3" xfId="15013"/>
    <cellStyle name="Normal 4 2 9 2 3 10" xfId="15014"/>
    <cellStyle name="Normal 4 2 9 2 3 11" xfId="15015"/>
    <cellStyle name="Normal 4 2 9 2 3 2" xfId="15016"/>
    <cellStyle name="Normal 4 2 9 2 3 3" xfId="15017"/>
    <cellStyle name="Normal 4 2 9 2 3 4" xfId="15018"/>
    <cellStyle name="Normal 4 2 9 2 3 5" xfId="15019"/>
    <cellStyle name="Normal 4 2 9 2 3 6" xfId="15020"/>
    <cellStyle name="Normal 4 2 9 2 3 7" xfId="15021"/>
    <cellStyle name="Normal 4 2 9 2 3 8" xfId="15022"/>
    <cellStyle name="Normal 4 2 9 2 3 9" xfId="15023"/>
    <cellStyle name="Normal 4 2 9 2 4" xfId="15024"/>
    <cellStyle name="Normal 4 2 9 2 4 2" xfId="15025"/>
    <cellStyle name="Normal 4 2 9 2 4 3" xfId="15026"/>
    <cellStyle name="Normal 4 2 9 2 5" xfId="15027"/>
    <cellStyle name="Normal 4 2 9 2 5 2" xfId="15028"/>
    <cellStyle name="Normal 4 2 9 2 5 3" xfId="15029"/>
    <cellStyle name="Normal 4 2 9 2 6" xfId="15030"/>
    <cellStyle name="Normal 4 2 9 2 7" xfId="15031"/>
    <cellStyle name="Normal 4 2 9 2 8" xfId="15032"/>
    <cellStyle name="Normal 4 2 9 2 9" xfId="15033"/>
    <cellStyle name="Normal 4 2 9 3" xfId="15034"/>
    <cellStyle name="Normal 4 2 9 3 10" xfId="15035"/>
    <cellStyle name="Normal 4 2 9 3 11" xfId="15036"/>
    <cellStyle name="Normal 4 2 9 3 12" xfId="15037"/>
    <cellStyle name="Normal 4 2 9 3 13" xfId="15038"/>
    <cellStyle name="Normal 4 2 9 3 2" xfId="15039"/>
    <cellStyle name="Normal 4 2 9 3 2 10" xfId="15040"/>
    <cellStyle name="Normal 4 2 9 3 2 11" xfId="15041"/>
    <cellStyle name="Normal 4 2 9 3 2 2" xfId="15042"/>
    <cellStyle name="Normal 4 2 9 3 2 3" xfId="15043"/>
    <cellStyle name="Normal 4 2 9 3 2 4" xfId="15044"/>
    <cellStyle name="Normal 4 2 9 3 2 5" xfId="15045"/>
    <cellStyle name="Normal 4 2 9 3 2 6" xfId="15046"/>
    <cellStyle name="Normal 4 2 9 3 2 7" xfId="15047"/>
    <cellStyle name="Normal 4 2 9 3 2 8" xfId="15048"/>
    <cellStyle name="Normal 4 2 9 3 2 9" xfId="15049"/>
    <cellStyle name="Normal 4 2 9 3 3" xfId="15050"/>
    <cellStyle name="Normal 4 2 9 3 3 10" xfId="15051"/>
    <cellStyle name="Normal 4 2 9 3 3 11" xfId="15052"/>
    <cellStyle name="Normal 4 2 9 3 3 2" xfId="15053"/>
    <cellStyle name="Normal 4 2 9 3 3 3" xfId="15054"/>
    <cellStyle name="Normal 4 2 9 3 3 4" xfId="15055"/>
    <cellStyle name="Normal 4 2 9 3 3 5" xfId="15056"/>
    <cellStyle name="Normal 4 2 9 3 3 6" xfId="15057"/>
    <cellStyle name="Normal 4 2 9 3 3 7" xfId="15058"/>
    <cellStyle name="Normal 4 2 9 3 3 8" xfId="15059"/>
    <cellStyle name="Normal 4 2 9 3 3 9" xfId="15060"/>
    <cellStyle name="Normal 4 2 9 3 4" xfId="15061"/>
    <cellStyle name="Normal 4 2 9 3 4 2" xfId="15062"/>
    <cellStyle name="Normal 4 2 9 3 4 3" xfId="15063"/>
    <cellStyle name="Normal 4 2 9 3 5" xfId="15064"/>
    <cellStyle name="Normal 4 2 9 3 5 2" xfId="15065"/>
    <cellStyle name="Normal 4 2 9 3 5 3" xfId="15066"/>
    <cellStyle name="Normal 4 2 9 3 6" xfId="15067"/>
    <cellStyle name="Normal 4 2 9 3 7" xfId="15068"/>
    <cellStyle name="Normal 4 2 9 3 8" xfId="15069"/>
    <cellStyle name="Normal 4 2 9 3 9" xfId="15070"/>
    <cellStyle name="Normal 4 2 9 4" xfId="15071"/>
    <cellStyle name="Normal 4 2 9 4 10" xfId="15072"/>
    <cellStyle name="Normal 4 2 9 4 11" xfId="15073"/>
    <cellStyle name="Normal 4 2 9 4 12" xfId="15074"/>
    <cellStyle name="Normal 4 2 9 4 13" xfId="15075"/>
    <cellStyle name="Normal 4 2 9 4 2" xfId="15076"/>
    <cellStyle name="Normal 4 2 9 4 2 10" xfId="15077"/>
    <cellStyle name="Normal 4 2 9 4 2 11" xfId="15078"/>
    <cellStyle name="Normal 4 2 9 4 2 2" xfId="15079"/>
    <cellStyle name="Normal 4 2 9 4 2 3" xfId="15080"/>
    <cellStyle name="Normal 4 2 9 4 2 4" xfId="15081"/>
    <cellStyle name="Normal 4 2 9 4 2 5" xfId="15082"/>
    <cellStyle name="Normal 4 2 9 4 2 6" xfId="15083"/>
    <cellStyle name="Normal 4 2 9 4 2 7" xfId="15084"/>
    <cellStyle name="Normal 4 2 9 4 2 8" xfId="15085"/>
    <cellStyle name="Normal 4 2 9 4 2 9" xfId="15086"/>
    <cellStyle name="Normal 4 2 9 4 3" xfId="15087"/>
    <cellStyle name="Normal 4 2 9 4 3 10" xfId="15088"/>
    <cellStyle name="Normal 4 2 9 4 3 11" xfId="15089"/>
    <cellStyle name="Normal 4 2 9 4 3 2" xfId="15090"/>
    <cellStyle name="Normal 4 2 9 4 3 3" xfId="15091"/>
    <cellStyle name="Normal 4 2 9 4 3 4" xfId="15092"/>
    <cellStyle name="Normal 4 2 9 4 3 5" xfId="15093"/>
    <cellStyle name="Normal 4 2 9 4 3 6" xfId="15094"/>
    <cellStyle name="Normal 4 2 9 4 3 7" xfId="15095"/>
    <cellStyle name="Normal 4 2 9 4 3 8" xfId="15096"/>
    <cellStyle name="Normal 4 2 9 4 3 9" xfId="15097"/>
    <cellStyle name="Normal 4 2 9 4 4" xfId="15098"/>
    <cellStyle name="Normal 4 2 9 4 4 2" xfId="15099"/>
    <cellStyle name="Normal 4 2 9 4 4 3" xfId="15100"/>
    <cellStyle name="Normal 4 2 9 4 5" xfId="15101"/>
    <cellStyle name="Normal 4 2 9 4 5 2" xfId="15102"/>
    <cellStyle name="Normal 4 2 9 4 5 3" xfId="15103"/>
    <cellStyle name="Normal 4 2 9 4 6" xfId="15104"/>
    <cellStyle name="Normal 4 2 9 4 7" xfId="15105"/>
    <cellStyle name="Normal 4 2 9 4 8" xfId="15106"/>
    <cellStyle name="Normal 4 2 9 4 9" xfId="15107"/>
    <cellStyle name="Normal 4 2 9 5" xfId="15108"/>
    <cellStyle name="Normal 4 2 9 5 10" xfId="15109"/>
    <cellStyle name="Normal 4 2 9 5 11" xfId="15110"/>
    <cellStyle name="Normal 4 2 9 5 12" xfId="15111"/>
    <cellStyle name="Normal 4 2 9 5 13" xfId="15112"/>
    <cellStyle name="Normal 4 2 9 5 2" xfId="15113"/>
    <cellStyle name="Normal 4 2 9 5 2 10" xfId="15114"/>
    <cellStyle name="Normal 4 2 9 5 2 11" xfId="15115"/>
    <cellStyle name="Normal 4 2 9 5 2 2" xfId="15116"/>
    <cellStyle name="Normal 4 2 9 5 2 3" xfId="15117"/>
    <cellStyle name="Normal 4 2 9 5 2 4" xfId="15118"/>
    <cellStyle name="Normal 4 2 9 5 2 5" xfId="15119"/>
    <cellStyle name="Normal 4 2 9 5 2 6" xfId="15120"/>
    <cellStyle name="Normal 4 2 9 5 2 7" xfId="15121"/>
    <cellStyle name="Normal 4 2 9 5 2 8" xfId="15122"/>
    <cellStyle name="Normal 4 2 9 5 2 9" xfId="15123"/>
    <cellStyle name="Normal 4 2 9 5 3" xfId="15124"/>
    <cellStyle name="Normal 4 2 9 5 3 10" xfId="15125"/>
    <cellStyle name="Normal 4 2 9 5 3 11" xfId="15126"/>
    <cellStyle name="Normal 4 2 9 5 3 2" xfId="15127"/>
    <cellStyle name="Normal 4 2 9 5 3 3" xfId="15128"/>
    <cellStyle name="Normal 4 2 9 5 3 4" xfId="15129"/>
    <cellStyle name="Normal 4 2 9 5 3 5" xfId="15130"/>
    <cellStyle name="Normal 4 2 9 5 3 6" xfId="15131"/>
    <cellStyle name="Normal 4 2 9 5 3 7" xfId="15132"/>
    <cellStyle name="Normal 4 2 9 5 3 8" xfId="15133"/>
    <cellStyle name="Normal 4 2 9 5 3 9" xfId="15134"/>
    <cellStyle name="Normal 4 2 9 5 4" xfId="15135"/>
    <cellStyle name="Normal 4 2 9 5 4 2" xfId="15136"/>
    <cellStyle name="Normal 4 2 9 5 4 3" xfId="15137"/>
    <cellStyle name="Normal 4 2 9 5 5" xfId="15138"/>
    <cellStyle name="Normal 4 2 9 5 5 2" xfId="15139"/>
    <cellStyle name="Normal 4 2 9 5 5 3" xfId="15140"/>
    <cellStyle name="Normal 4 2 9 5 6" xfId="15141"/>
    <cellStyle name="Normal 4 2 9 5 7" xfId="15142"/>
    <cellStyle name="Normal 4 2 9 5 8" xfId="15143"/>
    <cellStyle name="Normal 4 2 9 5 9" xfId="15144"/>
    <cellStyle name="Normal 4 2 9 6" xfId="15145"/>
    <cellStyle name="Normal 4 2 9 6 10" xfId="15146"/>
    <cellStyle name="Normal 4 2 9 6 11" xfId="15147"/>
    <cellStyle name="Normal 4 2 9 6 12" xfId="15148"/>
    <cellStyle name="Normal 4 2 9 6 13" xfId="15149"/>
    <cellStyle name="Normal 4 2 9 6 2" xfId="15150"/>
    <cellStyle name="Normal 4 2 9 6 2 10" xfId="15151"/>
    <cellStyle name="Normal 4 2 9 6 2 11" xfId="15152"/>
    <cellStyle name="Normal 4 2 9 6 2 2" xfId="15153"/>
    <cellStyle name="Normal 4 2 9 6 2 3" xfId="15154"/>
    <cellStyle name="Normal 4 2 9 6 2 4" xfId="15155"/>
    <cellStyle name="Normal 4 2 9 6 2 5" xfId="15156"/>
    <cellStyle name="Normal 4 2 9 6 2 6" xfId="15157"/>
    <cellStyle name="Normal 4 2 9 6 2 7" xfId="15158"/>
    <cellStyle name="Normal 4 2 9 6 2 8" xfId="15159"/>
    <cellStyle name="Normal 4 2 9 6 2 9" xfId="15160"/>
    <cellStyle name="Normal 4 2 9 6 3" xfId="15161"/>
    <cellStyle name="Normal 4 2 9 6 3 10" xfId="15162"/>
    <cellStyle name="Normal 4 2 9 6 3 11" xfId="15163"/>
    <cellStyle name="Normal 4 2 9 6 3 2" xfId="15164"/>
    <cellStyle name="Normal 4 2 9 6 3 3" xfId="15165"/>
    <cellStyle name="Normal 4 2 9 6 3 4" xfId="15166"/>
    <cellStyle name="Normal 4 2 9 6 3 5" xfId="15167"/>
    <cellStyle name="Normal 4 2 9 6 3 6" xfId="15168"/>
    <cellStyle name="Normal 4 2 9 6 3 7" xfId="15169"/>
    <cellStyle name="Normal 4 2 9 6 3 8" xfId="15170"/>
    <cellStyle name="Normal 4 2 9 6 3 9" xfId="15171"/>
    <cellStyle name="Normal 4 2 9 6 4" xfId="15172"/>
    <cellStyle name="Normal 4 2 9 6 4 2" xfId="15173"/>
    <cellStyle name="Normal 4 2 9 6 4 3" xfId="15174"/>
    <cellStyle name="Normal 4 2 9 6 5" xfId="15175"/>
    <cellStyle name="Normal 4 2 9 6 5 2" xfId="15176"/>
    <cellStyle name="Normal 4 2 9 6 5 3" xfId="15177"/>
    <cellStyle name="Normal 4 2 9 6 6" xfId="15178"/>
    <cellStyle name="Normal 4 2 9 6 7" xfId="15179"/>
    <cellStyle name="Normal 4 2 9 6 8" xfId="15180"/>
    <cellStyle name="Normal 4 2 9 6 9" xfId="15181"/>
    <cellStyle name="Normal 4 2 9 7" xfId="15182"/>
    <cellStyle name="Normal 4 2 9 7 10" xfId="15183"/>
    <cellStyle name="Normal 4 2 9 7 11" xfId="15184"/>
    <cellStyle name="Normal 4 2 9 7 2" xfId="15185"/>
    <cellStyle name="Normal 4 2 9 7 3" xfId="15186"/>
    <cellStyle name="Normal 4 2 9 7 4" xfId="15187"/>
    <cellStyle name="Normal 4 2 9 7 5" xfId="15188"/>
    <cellStyle name="Normal 4 2 9 7 6" xfId="15189"/>
    <cellStyle name="Normal 4 2 9 7 7" xfId="15190"/>
    <cellStyle name="Normal 4 2 9 7 8" xfId="15191"/>
    <cellStyle name="Normal 4 2 9 7 9" xfId="15192"/>
    <cellStyle name="Normal 4 2 9 8" xfId="15193"/>
    <cellStyle name="Normal 4 2 9 8 10" xfId="15194"/>
    <cellStyle name="Normal 4 2 9 8 11" xfId="15195"/>
    <cellStyle name="Normal 4 2 9 8 2" xfId="15196"/>
    <cellStyle name="Normal 4 2 9 8 3" xfId="15197"/>
    <cellStyle name="Normal 4 2 9 8 4" xfId="15198"/>
    <cellStyle name="Normal 4 2 9 8 5" xfId="15199"/>
    <cellStyle name="Normal 4 2 9 8 6" xfId="15200"/>
    <cellStyle name="Normal 4 2 9 8 7" xfId="15201"/>
    <cellStyle name="Normal 4 2 9 8 8" xfId="15202"/>
    <cellStyle name="Normal 4 2 9 8 9" xfId="15203"/>
    <cellStyle name="Normal 4 2 9 9" xfId="15204"/>
    <cellStyle name="Normal 4 2 9 9 2" xfId="15205"/>
    <cellStyle name="Normal 4 2 9 9 3" xfId="15206"/>
    <cellStyle name="Normal 4 2_2bhk_19122016" xfId="15207"/>
    <cellStyle name="Normal 4 20" xfId="15208"/>
    <cellStyle name="Normal 4 20 2" xfId="15209"/>
    <cellStyle name="Normal 4 21" xfId="15210"/>
    <cellStyle name="Normal 4 21 2" xfId="15211"/>
    <cellStyle name="Normal 4 22" xfId="15212"/>
    <cellStyle name="Normal 4 23" xfId="15213"/>
    <cellStyle name="Normal 4 24" xfId="15214"/>
    <cellStyle name="Normal 4 25" xfId="15215"/>
    <cellStyle name="Normal 4 26" xfId="15216"/>
    <cellStyle name="Normal 4 27" xfId="15217"/>
    <cellStyle name="Normal 4 28" xfId="15218"/>
    <cellStyle name="Normal 4 29" xfId="15219"/>
    <cellStyle name="Normal 4 3" xfId="15220"/>
    <cellStyle name="Normal 4 3 10" xfId="15221"/>
    <cellStyle name="Normal 4 3 10 10" xfId="15222"/>
    <cellStyle name="Normal 4 3 10 10 2" xfId="15223"/>
    <cellStyle name="Normal 4 3 10 10 3" xfId="15224"/>
    <cellStyle name="Normal 4 3 10 11" xfId="15225"/>
    <cellStyle name="Normal 4 3 10 12" xfId="15226"/>
    <cellStyle name="Normal 4 3 10 13" xfId="15227"/>
    <cellStyle name="Normal 4 3 10 14" xfId="15228"/>
    <cellStyle name="Normal 4 3 10 15" xfId="15229"/>
    <cellStyle name="Normal 4 3 10 16" xfId="15230"/>
    <cellStyle name="Normal 4 3 10 17" xfId="15231"/>
    <cellStyle name="Normal 4 3 10 18" xfId="15232"/>
    <cellStyle name="Normal 4 3 10 2" xfId="15233"/>
    <cellStyle name="Normal 4 3 10 2 2" xfId="15234"/>
    <cellStyle name="Normal 4 3 10 2 2 2" xfId="15235"/>
    <cellStyle name="Normal 4 3 10 2 2 2 2" xfId="15236"/>
    <cellStyle name="Normal 4 3 10 2 2 2 3" xfId="15237"/>
    <cellStyle name="Normal 4 3 10 2 2 3" xfId="15238"/>
    <cellStyle name="Normal 4 3 10 2 2 3 2" xfId="15239"/>
    <cellStyle name="Normal 4 3 10 2 2 3 3" xfId="15240"/>
    <cellStyle name="Normal 4 3 10 2 2 4" xfId="15241"/>
    <cellStyle name="Normal 4 3 10 2 2 5" xfId="15242"/>
    <cellStyle name="Normal 4 3 10 2 2 6" xfId="15243"/>
    <cellStyle name="Normal 4 3 10 2 2 7" xfId="15244"/>
    <cellStyle name="Normal 4 3 10 2 3" xfId="15245"/>
    <cellStyle name="Normal 4 3 10 2 4" xfId="15246"/>
    <cellStyle name="Normal 4 3 10 2 4 2" xfId="15247"/>
    <cellStyle name="Normal 4 3 10 2 4 3" xfId="15248"/>
    <cellStyle name="Normal 4 3 10 2 5" xfId="15249"/>
    <cellStyle name="Normal 4 3 10 2 5 2" xfId="15250"/>
    <cellStyle name="Normal 4 3 10 2 5 3" xfId="15251"/>
    <cellStyle name="Normal 4 3 10 2 6" xfId="15252"/>
    <cellStyle name="Normal 4 3 10 2 7" xfId="15253"/>
    <cellStyle name="Normal 4 3 10 2 8" xfId="15254"/>
    <cellStyle name="Normal 4 3 10 2 9" xfId="15255"/>
    <cellStyle name="Normal 4 3 10 3" xfId="15256"/>
    <cellStyle name="Normal 4 3 10 3 2" xfId="15257"/>
    <cellStyle name="Normal 4 3 10 3 3" xfId="15258"/>
    <cellStyle name="Normal 4 3 10 3 3 2" xfId="15259"/>
    <cellStyle name="Normal 4 3 10 3 3 3" xfId="15260"/>
    <cellStyle name="Normal 4 3 10 3 4" xfId="15261"/>
    <cellStyle name="Normal 4 3 10 3 4 2" xfId="15262"/>
    <cellStyle name="Normal 4 3 10 3 4 3" xfId="15263"/>
    <cellStyle name="Normal 4 3 10 3 5" xfId="15264"/>
    <cellStyle name="Normal 4 3 10 3 6" xfId="15265"/>
    <cellStyle name="Normal 4 3 10 3 7" xfId="15266"/>
    <cellStyle name="Normal 4 3 10 3 8" xfId="15267"/>
    <cellStyle name="Normal 4 3 10 4" xfId="15268"/>
    <cellStyle name="Normal 4 3 10 4 2" xfId="15269"/>
    <cellStyle name="Normal 4 3 10 5" xfId="15270"/>
    <cellStyle name="Normal 4 3 10 5 2" xfId="15271"/>
    <cellStyle name="Normal 4 3 10 6" xfId="15272"/>
    <cellStyle name="Normal 4 3 10 6 2" xfId="15273"/>
    <cellStyle name="Normal 4 3 10 7" xfId="15274"/>
    <cellStyle name="Normal 4 3 10 7 2" xfId="15275"/>
    <cellStyle name="Normal 4 3 10 8" xfId="15276"/>
    <cellStyle name="Normal 4 3 10 8 2" xfId="15277"/>
    <cellStyle name="Normal 4 3 10 9" xfId="15278"/>
    <cellStyle name="Normal 4 3 10 9 2" xfId="15279"/>
    <cellStyle name="Normal 4 3 10 9 3" xfId="15280"/>
    <cellStyle name="Normal 4 3 11" xfId="15281"/>
    <cellStyle name="Normal 4 3 11 10" xfId="15282"/>
    <cellStyle name="Normal 4 3 11 10 2" xfId="15283"/>
    <cellStyle name="Normal 4 3 11 10 3" xfId="15284"/>
    <cellStyle name="Normal 4 3 11 11" xfId="15285"/>
    <cellStyle name="Normal 4 3 11 12" xfId="15286"/>
    <cellStyle name="Normal 4 3 11 13" xfId="15287"/>
    <cellStyle name="Normal 4 3 11 14" xfId="15288"/>
    <cellStyle name="Normal 4 3 11 15" xfId="15289"/>
    <cellStyle name="Normal 4 3 11 16" xfId="15290"/>
    <cellStyle name="Normal 4 3 11 17" xfId="15291"/>
    <cellStyle name="Normal 4 3 11 18" xfId="15292"/>
    <cellStyle name="Normal 4 3 11 2" xfId="15293"/>
    <cellStyle name="Normal 4 3 11 2 2" xfId="15294"/>
    <cellStyle name="Normal 4 3 11 2 3" xfId="15295"/>
    <cellStyle name="Normal 4 3 11 2 3 2" xfId="15296"/>
    <cellStyle name="Normal 4 3 11 2 3 3" xfId="15297"/>
    <cellStyle name="Normal 4 3 11 2 4" xfId="15298"/>
    <cellStyle name="Normal 4 3 11 2 4 2" xfId="15299"/>
    <cellStyle name="Normal 4 3 11 2 4 3" xfId="15300"/>
    <cellStyle name="Normal 4 3 11 2 5" xfId="15301"/>
    <cellStyle name="Normal 4 3 11 2 6" xfId="15302"/>
    <cellStyle name="Normal 4 3 11 2 7" xfId="15303"/>
    <cellStyle name="Normal 4 3 11 2 8" xfId="15304"/>
    <cellStyle name="Normal 4 3 11 3" xfId="15305"/>
    <cellStyle name="Normal 4 3 11 3 2" xfId="15306"/>
    <cellStyle name="Normal 4 3 11 4" xfId="15307"/>
    <cellStyle name="Normal 4 3 11 4 2" xfId="15308"/>
    <cellStyle name="Normal 4 3 11 5" xfId="15309"/>
    <cellStyle name="Normal 4 3 11 5 2" xfId="15310"/>
    <cellStyle name="Normal 4 3 11 6" xfId="15311"/>
    <cellStyle name="Normal 4 3 11 6 2" xfId="15312"/>
    <cellStyle name="Normal 4 3 11 7" xfId="15313"/>
    <cellStyle name="Normal 4 3 11 7 2" xfId="15314"/>
    <cellStyle name="Normal 4 3 11 8" xfId="15315"/>
    <cellStyle name="Normal 4 3 11 8 2" xfId="15316"/>
    <cellStyle name="Normal 4 3 11 9" xfId="15317"/>
    <cellStyle name="Normal 4 3 11 9 2" xfId="15318"/>
    <cellStyle name="Normal 4 3 11 9 3" xfId="15319"/>
    <cellStyle name="Normal 4 3 12" xfId="15320"/>
    <cellStyle name="Normal 4 3 12 2" xfId="15321"/>
    <cellStyle name="Normal 4 3 12 2 2" xfId="15322"/>
    <cellStyle name="Normal 4 3 12 2 2 2" xfId="15323"/>
    <cellStyle name="Normal 4 3 12 2 2 3" xfId="15324"/>
    <cellStyle name="Normal 4 3 12 2 3" xfId="15325"/>
    <cellStyle name="Normal 4 3 12 2 3 2" xfId="15326"/>
    <cellStyle name="Normal 4 3 12 2 3 3" xfId="15327"/>
    <cellStyle name="Normal 4 3 12 2 4" xfId="15328"/>
    <cellStyle name="Normal 4 3 12 2 5" xfId="15329"/>
    <cellStyle name="Normal 4 3 12 2 6" xfId="15330"/>
    <cellStyle name="Normal 4 3 12 2 7" xfId="15331"/>
    <cellStyle name="Normal 4 3 12 3" xfId="15332"/>
    <cellStyle name="Normal 4 3 12 4" xfId="15333"/>
    <cellStyle name="Normal 4 3 12 4 2" xfId="15334"/>
    <cellStyle name="Normal 4 3 12 4 3" xfId="15335"/>
    <cellStyle name="Normal 4 3 12 5" xfId="15336"/>
    <cellStyle name="Normal 4 3 12 5 2" xfId="15337"/>
    <cellStyle name="Normal 4 3 12 5 3" xfId="15338"/>
    <cellStyle name="Normal 4 3 12 6" xfId="15339"/>
    <cellStyle name="Normal 4 3 12 7" xfId="15340"/>
    <cellStyle name="Normal 4 3 12 8" xfId="15341"/>
    <cellStyle name="Normal 4 3 12 9" xfId="15342"/>
    <cellStyle name="Normal 4 3 13" xfId="15343"/>
    <cellStyle name="Normal 4 3 13 2" xfId="15344"/>
    <cellStyle name="Normal 4 3 13 3" xfId="15345"/>
    <cellStyle name="Normal 4 3 13 3 2" xfId="15346"/>
    <cellStyle name="Normal 4 3 13 3 3" xfId="15347"/>
    <cellStyle name="Normal 4 3 13 4" xfId="15348"/>
    <cellStyle name="Normal 4 3 13 4 2" xfId="15349"/>
    <cellStyle name="Normal 4 3 13 4 3" xfId="15350"/>
    <cellStyle name="Normal 4 3 13 5" xfId="15351"/>
    <cellStyle name="Normal 4 3 13 6" xfId="15352"/>
    <cellStyle name="Normal 4 3 13 7" xfId="15353"/>
    <cellStyle name="Normal 4 3 13 8" xfId="15354"/>
    <cellStyle name="Normal 4 3 14" xfId="15355"/>
    <cellStyle name="Normal 4 3 14 2" xfId="15356"/>
    <cellStyle name="Normal 4 3 15" xfId="15357"/>
    <cellStyle name="Normal 4 3 15 2" xfId="15358"/>
    <cellStyle name="Normal 4 3 16" xfId="15359"/>
    <cellStyle name="Normal 4 3 16 2" xfId="15360"/>
    <cellStyle name="Normal 4 3 17" xfId="15361"/>
    <cellStyle name="Normal 4 3 17 2" xfId="15362"/>
    <cellStyle name="Normal 4 3 18" xfId="15363"/>
    <cellStyle name="Normal 4 3 18 2" xfId="15364"/>
    <cellStyle name="Normal 4 3 19" xfId="15365"/>
    <cellStyle name="Normal 4 3 19 2" xfId="15366"/>
    <cellStyle name="Normal 4 3 19 3" xfId="15367"/>
    <cellStyle name="Normal 4 3 2" xfId="15368"/>
    <cellStyle name="Normal 4 3 2 10" xfId="15369"/>
    <cellStyle name="Normal 4 3 2 10 10" xfId="15370"/>
    <cellStyle name="Normal 4 3 2 10 11" xfId="15371"/>
    <cellStyle name="Normal 4 3 2 10 12" xfId="15372"/>
    <cellStyle name="Normal 4 3 2 10 13" xfId="15373"/>
    <cellStyle name="Normal 4 3 2 10 14" xfId="15374"/>
    <cellStyle name="Normal 4 3 2 10 15" xfId="15375"/>
    <cellStyle name="Normal 4 3 2 10 16" xfId="15376"/>
    <cellStyle name="Normal 4 3 2 10 17" xfId="15377"/>
    <cellStyle name="Normal 4 3 2 10 18" xfId="15378"/>
    <cellStyle name="Normal 4 3 2 10 2" xfId="15379"/>
    <cellStyle name="Normal 4 3 2 10 2 2" xfId="15380"/>
    <cellStyle name="Normal 4 3 2 10 3" xfId="15381"/>
    <cellStyle name="Normal 4 3 2 10 3 2" xfId="15382"/>
    <cellStyle name="Normal 4 3 2 10 4" xfId="15383"/>
    <cellStyle name="Normal 4 3 2 10 4 2" xfId="15384"/>
    <cellStyle name="Normal 4 3 2 10 5" xfId="15385"/>
    <cellStyle name="Normal 4 3 2 10 5 2" xfId="15386"/>
    <cellStyle name="Normal 4 3 2 10 6" xfId="15387"/>
    <cellStyle name="Normal 4 3 2 10 6 2" xfId="15388"/>
    <cellStyle name="Normal 4 3 2 10 7" xfId="15389"/>
    <cellStyle name="Normal 4 3 2 10 7 2" xfId="15390"/>
    <cellStyle name="Normal 4 3 2 10 8" xfId="15391"/>
    <cellStyle name="Normal 4 3 2 10 8 2" xfId="15392"/>
    <cellStyle name="Normal 4 3 2 10 9" xfId="15393"/>
    <cellStyle name="Normal 4 3 2 11" xfId="15394"/>
    <cellStyle name="Normal 4 3 2 11 2" xfId="15395"/>
    <cellStyle name="Normal 4 3 2 12" xfId="15396"/>
    <cellStyle name="Normal 4 3 2 12 2" xfId="15397"/>
    <cellStyle name="Normal 4 3 2 13" xfId="15398"/>
    <cellStyle name="Normal 4 3 2 13 2" xfId="15399"/>
    <cellStyle name="Normal 4 3 2 14" xfId="15400"/>
    <cellStyle name="Normal 4 3 2 14 2" xfId="15401"/>
    <cellStyle name="Normal 4 3 2 15" xfId="15402"/>
    <cellStyle name="Normal 4 3 2 15 2" xfId="15403"/>
    <cellStyle name="Normal 4 3 2 16" xfId="15404"/>
    <cellStyle name="Normal 4 3 2 16 2" xfId="15405"/>
    <cellStyle name="Normal 4 3 2 17" xfId="15406"/>
    <cellStyle name="Normal 4 3 2 17 2" xfId="15407"/>
    <cellStyle name="Normal 4 3 2 18" xfId="15408"/>
    <cellStyle name="Normal 4 3 2 19" xfId="15409"/>
    <cellStyle name="Normal 4 3 2 2" xfId="15410"/>
    <cellStyle name="Normal 4 3 2 2 10" xfId="15411"/>
    <cellStyle name="Normal 4 3 2 2 11" xfId="15412"/>
    <cellStyle name="Normal 4 3 2 2 12" xfId="15413"/>
    <cellStyle name="Normal 4 3 2 2 13" xfId="15414"/>
    <cellStyle name="Normal 4 3 2 2 14" xfId="15415"/>
    <cellStyle name="Normal 4 3 2 2 15" xfId="15416"/>
    <cellStyle name="Normal 4 3 2 2 16" xfId="15417"/>
    <cellStyle name="Normal 4 3 2 2 17" xfId="15418"/>
    <cellStyle name="Normal 4 3 2 2 18" xfId="15419"/>
    <cellStyle name="Normal 4 3 2 2 2" xfId="15420"/>
    <cellStyle name="Normal 4 3 2 2 2 2" xfId="15421"/>
    <cellStyle name="Normal 4 3 2 2 3" xfId="15422"/>
    <cellStyle name="Normal 4 3 2 2 3 2" xfId="15423"/>
    <cellStyle name="Normal 4 3 2 2 4" xfId="15424"/>
    <cellStyle name="Normal 4 3 2 2 4 2" xfId="15425"/>
    <cellStyle name="Normal 4 3 2 2 5" xfId="15426"/>
    <cellStyle name="Normal 4 3 2 2 5 2" xfId="15427"/>
    <cellStyle name="Normal 4 3 2 2 6" xfId="15428"/>
    <cellStyle name="Normal 4 3 2 2 6 2" xfId="15429"/>
    <cellStyle name="Normal 4 3 2 2 7" xfId="15430"/>
    <cellStyle name="Normal 4 3 2 2 7 2" xfId="15431"/>
    <cellStyle name="Normal 4 3 2 2 8" xfId="15432"/>
    <cellStyle name="Normal 4 3 2 2 8 2" xfId="15433"/>
    <cellStyle name="Normal 4 3 2 2 9" xfId="15434"/>
    <cellStyle name="Normal 4 3 2 20" xfId="15435"/>
    <cellStyle name="Normal 4 3 2 21" xfId="15436"/>
    <cellStyle name="Normal 4 3 2 22" xfId="15437"/>
    <cellStyle name="Normal 4 3 2 23" xfId="15438"/>
    <cellStyle name="Normal 4 3 2 24" xfId="15439"/>
    <cellStyle name="Normal 4 3 2 25" xfId="15440"/>
    <cellStyle name="Normal 4 3 2 26" xfId="15441"/>
    <cellStyle name="Normal 4 3 2 27" xfId="15442"/>
    <cellStyle name="Normal 4 3 2 3" xfId="15443"/>
    <cellStyle name="Normal 4 3 2 3 10" xfId="15444"/>
    <cellStyle name="Normal 4 3 2 3 11" xfId="15445"/>
    <cellStyle name="Normal 4 3 2 3 12" xfId="15446"/>
    <cellStyle name="Normal 4 3 2 3 13" xfId="15447"/>
    <cellStyle name="Normal 4 3 2 3 14" xfId="15448"/>
    <cellStyle name="Normal 4 3 2 3 15" xfId="15449"/>
    <cellStyle name="Normal 4 3 2 3 16" xfId="15450"/>
    <cellStyle name="Normal 4 3 2 3 17" xfId="15451"/>
    <cellStyle name="Normal 4 3 2 3 18" xfId="15452"/>
    <cellStyle name="Normal 4 3 2 3 2" xfId="15453"/>
    <cellStyle name="Normal 4 3 2 3 2 2" xfId="15454"/>
    <cellStyle name="Normal 4 3 2 3 3" xfId="15455"/>
    <cellStyle name="Normal 4 3 2 3 3 2" xfId="15456"/>
    <cellStyle name="Normal 4 3 2 3 4" xfId="15457"/>
    <cellStyle name="Normal 4 3 2 3 4 2" xfId="15458"/>
    <cellStyle name="Normal 4 3 2 3 5" xfId="15459"/>
    <cellStyle name="Normal 4 3 2 3 5 2" xfId="15460"/>
    <cellStyle name="Normal 4 3 2 3 6" xfId="15461"/>
    <cellStyle name="Normal 4 3 2 3 6 2" xfId="15462"/>
    <cellStyle name="Normal 4 3 2 3 7" xfId="15463"/>
    <cellStyle name="Normal 4 3 2 3 7 2" xfId="15464"/>
    <cellStyle name="Normal 4 3 2 3 8" xfId="15465"/>
    <cellStyle name="Normal 4 3 2 3 8 2" xfId="15466"/>
    <cellStyle name="Normal 4 3 2 3 9" xfId="15467"/>
    <cellStyle name="Normal 4 3 2 4" xfId="15468"/>
    <cellStyle name="Normal 4 3 2 4 10" xfId="15469"/>
    <cellStyle name="Normal 4 3 2 4 11" xfId="15470"/>
    <cellStyle name="Normal 4 3 2 4 12" xfId="15471"/>
    <cellStyle name="Normal 4 3 2 4 13" xfId="15472"/>
    <cellStyle name="Normal 4 3 2 4 14" xfId="15473"/>
    <cellStyle name="Normal 4 3 2 4 15" xfId="15474"/>
    <cellStyle name="Normal 4 3 2 4 16" xfId="15475"/>
    <cellStyle name="Normal 4 3 2 4 17" xfId="15476"/>
    <cellStyle name="Normal 4 3 2 4 18" xfId="15477"/>
    <cellStyle name="Normal 4 3 2 4 2" xfId="15478"/>
    <cellStyle name="Normal 4 3 2 4 2 2" xfId="15479"/>
    <cellStyle name="Normal 4 3 2 4 3" xfId="15480"/>
    <cellStyle name="Normal 4 3 2 4 3 2" xfId="15481"/>
    <cellStyle name="Normal 4 3 2 4 4" xfId="15482"/>
    <cellStyle name="Normal 4 3 2 4 4 2" xfId="15483"/>
    <cellStyle name="Normal 4 3 2 4 5" xfId="15484"/>
    <cellStyle name="Normal 4 3 2 4 5 2" xfId="15485"/>
    <cellStyle name="Normal 4 3 2 4 6" xfId="15486"/>
    <cellStyle name="Normal 4 3 2 4 6 2" xfId="15487"/>
    <cellStyle name="Normal 4 3 2 4 7" xfId="15488"/>
    <cellStyle name="Normal 4 3 2 4 7 2" xfId="15489"/>
    <cellStyle name="Normal 4 3 2 4 8" xfId="15490"/>
    <cellStyle name="Normal 4 3 2 4 8 2" xfId="15491"/>
    <cellStyle name="Normal 4 3 2 4 9" xfId="15492"/>
    <cellStyle name="Normal 4 3 2 5" xfId="15493"/>
    <cellStyle name="Normal 4 3 2 5 10" xfId="15494"/>
    <cellStyle name="Normal 4 3 2 5 11" xfId="15495"/>
    <cellStyle name="Normal 4 3 2 5 12" xfId="15496"/>
    <cellStyle name="Normal 4 3 2 5 13" xfId="15497"/>
    <cellStyle name="Normal 4 3 2 5 14" xfId="15498"/>
    <cellStyle name="Normal 4 3 2 5 15" xfId="15499"/>
    <cellStyle name="Normal 4 3 2 5 16" xfId="15500"/>
    <cellStyle name="Normal 4 3 2 5 17" xfId="15501"/>
    <cellStyle name="Normal 4 3 2 5 18" xfId="15502"/>
    <cellStyle name="Normal 4 3 2 5 2" xfId="15503"/>
    <cellStyle name="Normal 4 3 2 5 2 2" xfId="15504"/>
    <cellStyle name="Normal 4 3 2 5 3" xfId="15505"/>
    <cellStyle name="Normal 4 3 2 5 3 2" xfId="15506"/>
    <cellStyle name="Normal 4 3 2 5 4" xfId="15507"/>
    <cellStyle name="Normal 4 3 2 5 4 2" xfId="15508"/>
    <cellStyle name="Normal 4 3 2 5 5" xfId="15509"/>
    <cellStyle name="Normal 4 3 2 5 5 2" xfId="15510"/>
    <cellStyle name="Normal 4 3 2 5 6" xfId="15511"/>
    <cellStyle name="Normal 4 3 2 5 6 2" xfId="15512"/>
    <cellStyle name="Normal 4 3 2 5 7" xfId="15513"/>
    <cellStyle name="Normal 4 3 2 5 7 2" xfId="15514"/>
    <cellStyle name="Normal 4 3 2 5 8" xfId="15515"/>
    <cellStyle name="Normal 4 3 2 5 8 2" xfId="15516"/>
    <cellStyle name="Normal 4 3 2 5 9" xfId="15517"/>
    <cellStyle name="Normal 4 3 2 6" xfId="15518"/>
    <cellStyle name="Normal 4 3 2 6 10" xfId="15519"/>
    <cellStyle name="Normal 4 3 2 6 11" xfId="15520"/>
    <cellStyle name="Normal 4 3 2 6 12" xfId="15521"/>
    <cellStyle name="Normal 4 3 2 6 13" xfId="15522"/>
    <cellStyle name="Normal 4 3 2 6 14" xfId="15523"/>
    <cellStyle name="Normal 4 3 2 6 15" xfId="15524"/>
    <cellStyle name="Normal 4 3 2 6 16" xfId="15525"/>
    <cellStyle name="Normal 4 3 2 6 17" xfId="15526"/>
    <cellStyle name="Normal 4 3 2 6 18" xfId="15527"/>
    <cellStyle name="Normal 4 3 2 6 2" xfId="15528"/>
    <cellStyle name="Normal 4 3 2 6 2 2" xfId="15529"/>
    <cellStyle name="Normal 4 3 2 6 3" xfId="15530"/>
    <cellStyle name="Normal 4 3 2 6 3 2" xfId="15531"/>
    <cellStyle name="Normal 4 3 2 6 4" xfId="15532"/>
    <cellStyle name="Normal 4 3 2 6 4 2" xfId="15533"/>
    <cellStyle name="Normal 4 3 2 6 5" xfId="15534"/>
    <cellStyle name="Normal 4 3 2 6 5 2" xfId="15535"/>
    <cellStyle name="Normal 4 3 2 6 6" xfId="15536"/>
    <cellStyle name="Normal 4 3 2 6 6 2" xfId="15537"/>
    <cellStyle name="Normal 4 3 2 6 7" xfId="15538"/>
    <cellStyle name="Normal 4 3 2 6 7 2" xfId="15539"/>
    <cellStyle name="Normal 4 3 2 6 8" xfId="15540"/>
    <cellStyle name="Normal 4 3 2 6 8 2" xfId="15541"/>
    <cellStyle name="Normal 4 3 2 6 9" xfId="15542"/>
    <cellStyle name="Normal 4 3 2 7" xfId="15543"/>
    <cellStyle name="Normal 4 3 2 7 10" xfId="15544"/>
    <cellStyle name="Normal 4 3 2 7 11" xfId="15545"/>
    <cellStyle name="Normal 4 3 2 7 12" xfId="15546"/>
    <cellStyle name="Normal 4 3 2 7 13" xfId="15547"/>
    <cellStyle name="Normal 4 3 2 7 14" xfId="15548"/>
    <cellStyle name="Normal 4 3 2 7 15" xfId="15549"/>
    <cellStyle name="Normal 4 3 2 7 16" xfId="15550"/>
    <cellStyle name="Normal 4 3 2 7 17" xfId="15551"/>
    <cellStyle name="Normal 4 3 2 7 18" xfId="15552"/>
    <cellStyle name="Normal 4 3 2 7 2" xfId="15553"/>
    <cellStyle name="Normal 4 3 2 7 2 2" xfId="15554"/>
    <cellStyle name="Normal 4 3 2 7 3" xfId="15555"/>
    <cellStyle name="Normal 4 3 2 7 3 2" xfId="15556"/>
    <cellStyle name="Normal 4 3 2 7 4" xfId="15557"/>
    <cellStyle name="Normal 4 3 2 7 4 2" xfId="15558"/>
    <cellStyle name="Normal 4 3 2 7 5" xfId="15559"/>
    <cellStyle name="Normal 4 3 2 7 5 2" xfId="15560"/>
    <cellStyle name="Normal 4 3 2 7 6" xfId="15561"/>
    <cellStyle name="Normal 4 3 2 7 6 2" xfId="15562"/>
    <cellStyle name="Normal 4 3 2 7 7" xfId="15563"/>
    <cellStyle name="Normal 4 3 2 7 7 2" xfId="15564"/>
    <cellStyle name="Normal 4 3 2 7 8" xfId="15565"/>
    <cellStyle name="Normal 4 3 2 7 8 2" xfId="15566"/>
    <cellStyle name="Normal 4 3 2 7 9" xfId="15567"/>
    <cellStyle name="Normal 4 3 2 8" xfId="15568"/>
    <cellStyle name="Normal 4 3 2 8 10" xfId="15569"/>
    <cellStyle name="Normal 4 3 2 8 11" xfId="15570"/>
    <cellStyle name="Normal 4 3 2 8 12" xfId="15571"/>
    <cellStyle name="Normal 4 3 2 8 13" xfId="15572"/>
    <cellStyle name="Normal 4 3 2 8 14" xfId="15573"/>
    <cellStyle name="Normal 4 3 2 8 15" xfId="15574"/>
    <cellStyle name="Normal 4 3 2 8 16" xfId="15575"/>
    <cellStyle name="Normal 4 3 2 8 17" xfId="15576"/>
    <cellStyle name="Normal 4 3 2 8 18" xfId="15577"/>
    <cellStyle name="Normal 4 3 2 8 2" xfId="15578"/>
    <cellStyle name="Normal 4 3 2 8 2 2" xfId="15579"/>
    <cellStyle name="Normal 4 3 2 8 3" xfId="15580"/>
    <cellStyle name="Normal 4 3 2 8 3 2" xfId="15581"/>
    <cellStyle name="Normal 4 3 2 8 4" xfId="15582"/>
    <cellStyle name="Normal 4 3 2 8 4 2" xfId="15583"/>
    <cellStyle name="Normal 4 3 2 8 5" xfId="15584"/>
    <cellStyle name="Normal 4 3 2 8 5 2" xfId="15585"/>
    <cellStyle name="Normal 4 3 2 8 6" xfId="15586"/>
    <cellStyle name="Normal 4 3 2 8 6 2" xfId="15587"/>
    <cellStyle name="Normal 4 3 2 8 7" xfId="15588"/>
    <cellStyle name="Normal 4 3 2 8 7 2" xfId="15589"/>
    <cellStyle name="Normal 4 3 2 8 8" xfId="15590"/>
    <cellStyle name="Normal 4 3 2 8 8 2" xfId="15591"/>
    <cellStyle name="Normal 4 3 2 8 9" xfId="15592"/>
    <cellStyle name="Normal 4 3 2 9" xfId="15593"/>
    <cellStyle name="Normal 4 3 2 9 10" xfId="15594"/>
    <cellStyle name="Normal 4 3 2 9 11" xfId="15595"/>
    <cellStyle name="Normal 4 3 2 9 12" xfId="15596"/>
    <cellStyle name="Normal 4 3 2 9 13" xfId="15597"/>
    <cellStyle name="Normal 4 3 2 9 14" xfId="15598"/>
    <cellStyle name="Normal 4 3 2 9 15" xfId="15599"/>
    <cellStyle name="Normal 4 3 2 9 16" xfId="15600"/>
    <cellStyle name="Normal 4 3 2 9 17" xfId="15601"/>
    <cellStyle name="Normal 4 3 2 9 18" xfId="15602"/>
    <cellStyle name="Normal 4 3 2 9 2" xfId="15603"/>
    <cellStyle name="Normal 4 3 2 9 2 2" xfId="15604"/>
    <cellStyle name="Normal 4 3 2 9 3" xfId="15605"/>
    <cellStyle name="Normal 4 3 2 9 3 2" xfId="15606"/>
    <cellStyle name="Normal 4 3 2 9 4" xfId="15607"/>
    <cellStyle name="Normal 4 3 2 9 4 2" xfId="15608"/>
    <cellStyle name="Normal 4 3 2 9 5" xfId="15609"/>
    <cellStyle name="Normal 4 3 2 9 5 2" xfId="15610"/>
    <cellStyle name="Normal 4 3 2 9 6" xfId="15611"/>
    <cellStyle name="Normal 4 3 2 9 6 2" xfId="15612"/>
    <cellStyle name="Normal 4 3 2 9 7" xfId="15613"/>
    <cellStyle name="Normal 4 3 2 9 7 2" xfId="15614"/>
    <cellStyle name="Normal 4 3 2 9 8" xfId="15615"/>
    <cellStyle name="Normal 4 3 2 9 8 2" xfId="15616"/>
    <cellStyle name="Normal 4 3 2 9 9" xfId="15617"/>
    <cellStyle name="Normal 4 3 2_Achampally-Gattubuthkur-Ganga-CRR" xfId="15618"/>
    <cellStyle name="Normal 4 3 20" xfId="15619"/>
    <cellStyle name="Normal 4 3 20 2" xfId="15620"/>
    <cellStyle name="Normal 4 3 20 3" xfId="15621"/>
    <cellStyle name="Normal 4 3 21" xfId="15622"/>
    <cellStyle name="Normal 4 3 22" xfId="15623"/>
    <cellStyle name="Normal 4 3 23" xfId="15624"/>
    <cellStyle name="Normal 4 3 24" xfId="15625"/>
    <cellStyle name="Normal 4 3 25" xfId="15626"/>
    <cellStyle name="Normal 4 3 26" xfId="15627"/>
    <cellStyle name="Normal 4 3 27" xfId="15628"/>
    <cellStyle name="Normal 4 3 28" xfId="15629"/>
    <cellStyle name="Normal 4 3 3" xfId="15630"/>
    <cellStyle name="Normal 4 3 3 10" xfId="15631"/>
    <cellStyle name="Normal 4 3 3 11" xfId="15632"/>
    <cellStyle name="Normal 4 3 3 12" xfId="15633"/>
    <cellStyle name="Normal 4 3 3 13" xfId="15634"/>
    <cellStyle name="Normal 4 3 3 14" xfId="15635"/>
    <cellStyle name="Normal 4 3 3 15" xfId="15636"/>
    <cellStyle name="Normal 4 3 3 16" xfId="15637"/>
    <cellStyle name="Normal 4 3 3 17" xfId="15638"/>
    <cellStyle name="Normal 4 3 3 18" xfId="15639"/>
    <cellStyle name="Normal 4 3 3 2" xfId="15640"/>
    <cellStyle name="Normal 4 3 3 2 2" xfId="15641"/>
    <cellStyle name="Normal 4 3 3 3" xfId="15642"/>
    <cellStyle name="Normal 4 3 3 3 2" xfId="15643"/>
    <cellStyle name="Normal 4 3 3 4" xfId="15644"/>
    <cellStyle name="Normal 4 3 3 4 2" xfId="15645"/>
    <cellStyle name="Normal 4 3 3 5" xfId="15646"/>
    <cellStyle name="Normal 4 3 3 5 2" xfId="15647"/>
    <cellStyle name="Normal 4 3 3 6" xfId="15648"/>
    <cellStyle name="Normal 4 3 3 6 2" xfId="15649"/>
    <cellStyle name="Normal 4 3 3 7" xfId="15650"/>
    <cellStyle name="Normal 4 3 3 7 2" xfId="15651"/>
    <cellStyle name="Normal 4 3 3 8" xfId="15652"/>
    <cellStyle name="Normal 4 3 3 8 2" xfId="15653"/>
    <cellStyle name="Normal 4 3 3 9" xfId="15654"/>
    <cellStyle name="Normal 4 3 4" xfId="15655"/>
    <cellStyle name="Normal 4 3 4 10" xfId="15656"/>
    <cellStyle name="Normal 4 3 4 11" xfId="15657"/>
    <cellStyle name="Normal 4 3 4 12" xfId="15658"/>
    <cellStyle name="Normal 4 3 4 13" xfId="15659"/>
    <cellStyle name="Normal 4 3 4 14" xfId="15660"/>
    <cellStyle name="Normal 4 3 4 15" xfId="15661"/>
    <cellStyle name="Normal 4 3 4 16" xfId="15662"/>
    <cellStyle name="Normal 4 3 4 17" xfId="15663"/>
    <cellStyle name="Normal 4 3 4 18" xfId="15664"/>
    <cellStyle name="Normal 4 3 4 2" xfId="15665"/>
    <cellStyle name="Normal 4 3 4 2 2" xfId="15666"/>
    <cellStyle name="Normal 4 3 4 3" xfId="15667"/>
    <cellStyle name="Normal 4 3 4 3 2" xfId="15668"/>
    <cellStyle name="Normal 4 3 4 4" xfId="15669"/>
    <cellStyle name="Normal 4 3 4 4 2" xfId="15670"/>
    <cellStyle name="Normal 4 3 4 5" xfId="15671"/>
    <cellStyle name="Normal 4 3 4 5 2" xfId="15672"/>
    <cellStyle name="Normal 4 3 4 6" xfId="15673"/>
    <cellStyle name="Normal 4 3 4 6 2" xfId="15674"/>
    <cellStyle name="Normal 4 3 4 7" xfId="15675"/>
    <cellStyle name="Normal 4 3 4 7 2" xfId="15676"/>
    <cellStyle name="Normal 4 3 4 8" xfId="15677"/>
    <cellStyle name="Normal 4 3 4 8 2" xfId="15678"/>
    <cellStyle name="Normal 4 3 4 9" xfId="15679"/>
    <cellStyle name="Normal 4 3 5" xfId="15680"/>
    <cellStyle name="Normal 4 3 5 10" xfId="15681"/>
    <cellStyle name="Normal 4 3 5 10 2" xfId="15682"/>
    <cellStyle name="Normal 4 3 5 10 3" xfId="15683"/>
    <cellStyle name="Normal 4 3 5 11" xfId="15684"/>
    <cellStyle name="Normal 4 3 5 11 2" xfId="15685"/>
    <cellStyle name="Normal 4 3 5 11 3" xfId="15686"/>
    <cellStyle name="Normal 4 3 5 12" xfId="15687"/>
    <cellStyle name="Normal 4 3 5 13" xfId="15688"/>
    <cellStyle name="Normal 4 3 5 14" xfId="15689"/>
    <cellStyle name="Normal 4 3 5 15" xfId="15690"/>
    <cellStyle name="Normal 4 3 5 16" xfId="15691"/>
    <cellStyle name="Normal 4 3 5 17" xfId="15692"/>
    <cellStyle name="Normal 4 3 5 18" xfId="15693"/>
    <cellStyle name="Normal 4 3 5 2" xfId="15694"/>
    <cellStyle name="Normal 4 3 5 2 10" xfId="15695"/>
    <cellStyle name="Normal 4 3 5 2 11" xfId="15696"/>
    <cellStyle name="Normal 4 3 5 2 12" xfId="15697"/>
    <cellStyle name="Normal 4 3 5 2 2" xfId="15698"/>
    <cellStyle name="Normal 4 3 5 2 2 2" xfId="15699"/>
    <cellStyle name="Normal 4 3 5 2 2 2 2" xfId="15700"/>
    <cellStyle name="Normal 4 3 5 2 2 2 2 2" xfId="15701"/>
    <cellStyle name="Normal 4 3 5 2 2 2 2 2 2" xfId="15702"/>
    <cellStyle name="Normal 4 3 5 2 2 2 2 2 3" xfId="15703"/>
    <cellStyle name="Normal 4 3 5 2 2 2 2 3" xfId="15704"/>
    <cellStyle name="Normal 4 3 5 2 2 2 2 3 2" xfId="15705"/>
    <cellStyle name="Normal 4 3 5 2 2 2 2 3 3" xfId="15706"/>
    <cellStyle name="Normal 4 3 5 2 2 2 2 4" xfId="15707"/>
    <cellStyle name="Normal 4 3 5 2 2 2 2 5" xfId="15708"/>
    <cellStyle name="Normal 4 3 5 2 2 2 2 6" xfId="15709"/>
    <cellStyle name="Normal 4 3 5 2 2 2 2 7" xfId="15710"/>
    <cellStyle name="Normal 4 3 5 2 2 2 3" xfId="15711"/>
    <cellStyle name="Normal 4 3 5 2 2 2 3 2" xfId="15712"/>
    <cellStyle name="Normal 4 3 5 2 2 2 3 3" xfId="15713"/>
    <cellStyle name="Normal 4 3 5 2 2 2 4" xfId="15714"/>
    <cellStyle name="Normal 4 3 5 2 2 2 4 2" xfId="15715"/>
    <cellStyle name="Normal 4 3 5 2 2 2 4 3" xfId="15716"/>
    <cellStyle name="Normal 4 3 5 2 2 2 5" xfId="15717"/>
    <cellStyle name="Normal 4 3 5 2 2 2 6" xfId="15718"/>
    <cellStyle name="Normal 4 3 5 2 2 2 7" xfId="15719"/>
    <cellStyle name="Normal 4 3 5 2 2 2 8" xfId="15720"/>
    <cellStyle name="Normal 4 3 5 2 2 3" xfId="15721"/>
    <cellStyle name="Normal 4 3 5 2 2 3 2" xfId="15722"/>
    <cellStyle name="Normal 4 3 5 2 2 3 2 2" xfId="15723"/>
    <cellStyle name="Normal 4 3 5 2 2 3 2 3" xfId="15724"/>
    <cellStyle name="Normal 4 3 5 2 2 3 3" xfId="15725"/>
    <cellStyle name="Normal 4 3 5 2 2 3 3 2" xfId="15726"/>
    <cellStyle name="Normal 4 3 5 2 2 3 3 3" xfId="15727"/>
    <cellStyle name="Normal 4 3 5 2 2 3 4" xfId="15728"/>
    <cellStyle name="Normal 4 3 5 2 2 3 5" xfId="15729"/>
    <cellStyle name="Normal 4 3 5 2 2 3 6" xfId="15730"/>
    <cellStyle name="Normal 4 3 5 2 2 3 7" xfId="15731"/>
    <cellStyle name="Normal 4 3 5 2 2 4" xfId="15732"/>
    <cellStyle name="Normal 4 3 5 2 2 4 2" xfId="15733"/>
    <cellStyle name="Normal 4 3 5 2 2 4 3" xfId="15734"/>
    <cellStyle name="Normal 4 3 5 2 2 5" xfId="15735"/>
    <cellStyle name="Normal 4 3 5 2 2 5 2" xfId="15736"/>
    <cellStyle name="Normal 4 3 5 2 2 5 3" xfId="15737"/>
    <cellStyle name="Normal 4 3 5 2 2 6" xfId="15738"/>
    <cellStyle name="Normal 4 3 5 2 2 7" xfId="15739"/>
    <cellStyle name="Normal 4 3 5 2 2 8" xfId="15740"/>
    <cellStyle name="Normal 4 3 5 2 2 9" xfId="15741"/>
    <cellStyle name="Normal 4 3 5 2 3" xfId="15742"/>
    <cellStyle name="Normal 4 3 5 2 3 2" xfId="15743"/>
    <cellStyle name="Normal 4 3 5 2 3 2 2" xfId="15744"/>
    <cellStyle name="Normal 4 3 5 2 3 2 2 2" xfId="15745"/>
    <cellStyle name="Normal 4 3 5 2 3 2 2 3" xfId="15746"/>
    <cellStyle name="Normal 4 3 5 2 3 2 3" xfId="15747"/>
    <cellStyle name="Normal 4 3 5 2 3 2 3 2" xfId="15748"/>
    <cellStyle name="Normal 4 3 5 2 3 2 3 3" xfId="15749"/>
    <cellStyle name="Normal 4 3 5 2 3 2 4" xfId="15750"/>
    <cellStyle name="Normal 4 3 5 2 3 2 5" xfId="15751"/>
    <cellStyle name="Normal 4 3 5 2 3 2 6" xfId="15752"/>
    <cellStyle name="Normal 4 3 5 2 3 2 7" xfId="15753"/>
    <cellStyle name="Normal 4 3 5 2 3 3" xfId="15754"/>
    <cellStyle name="Normal 4 3 5 2 3 3 2" xfId="15755"/>
    <cellStyle name="Normal 4 3 5 2 3 3 3" xfId="15756"/>
    <cellStyle name="Normal 4 3 5 2 3 4" xfId="15757"/>
    <cellStyle name="Normal 4 3 5 2 3 4 2" xfId="15758"/>
    <cellStyle name="Normal 4 3 5 2 3 4 3" xfId="15759"/>
    <cellStyle name="Normal 4 3 5 2 3 5" xfId="15760"/>
    <cellStyle name="Normal 4 3 5 2 3 6" xfId="15761"/>
    <cellStyle name="Normal 4 3 5 2 3 7" xfId="15762"/>
    <cellStyle name="Normal 4 3 5 2 3 8" xfId="15763"/>
    <cellStyle name="Normal 4 3 5 2 4" xfId="15764"/>
    <cellStyle name="Normal 4 3 5 2 4 2" xfId="15765"/>
    <cellStyle name="Normal 4 3 5 2 4 2 2" xfId="15766"/>
    <cellStyle name="Normal 4 3 5 2 4 2 2 2" xfId="15767"/>
    <cellStyle name="Normal 4 3 5 2 4 2 2 3" xfId="15768"/>
    <cellStyle name="Normal 4 3 5 2 4 2 3" xfId="15769"/>
    <cellStyle name="Normal 4 3 5 2 4 2 3 2" xfId="15770"/>
    <cellStyle name="Normal 4 3 5 2 4 2 3 3" xfId="15771"/>
    <cellStyle name="Normal 4 3 5 2 4 2 4" xfId="15772"/>
    <cellStyle name="Normal 4 3 5 2 4 2 5" xfId="15773"/>
    <cellStyle name="Normal 4 3 5 2 4 2 6" xfId="15774"/>
    <cellStyle name="Normal 4 3 5 2 4 2 7" xfId="15775"/>
    <cellStyle name="Normal 4 3 5 2 4 3" xfId="15776"/>
    <cellStyle name="Normal 4 3 5 2 4 3 2" xfId="15777"/>
    <cellStyle name="Normal 4 3 5 2 4 3 3" xfId="15778"/>
    <cellStyle name="Normal 4 3 5 2 4 4" xfId="15779"/>
    <cellStyle name="Normal 4 3 5 2 4 4 2" xfId="15780"/>
    <cellStyle name="Normal 4 3 5 2 4 4 3" xfId="15781"/>
    <cellStyle name="Normal 4 3 5 2 4 5" xfId="15782"/>
    <cellStyle name="Normal 4 3 5 2 4 6" xfId="15783"/>
    <cellStyle name="Normal 4 3 5 2 4 7" xfId="15784"/>
    <cellStyle name="Normal 4 3 5 2 4 8" xfId="15785"/>
    <cellStyle name="Normal 4 3 5 2 5" xfId="15786"/>
    <cellStyle name="Normal 4 3 5 2 5 2" xfId="15787"/>
    <cellStyle name="Normal 4 3 5 2 5 2 2" xfId="15788"/>
    <cellStyle name="Normal 4 3 5 2 5 2 3" xfId="15789"/>
    <cellStyle name="Normal 4 3 5 2 5 3" xfId="15790"/>
    <cellStyle name="Normal 4 3 5 2 5 3 2" xfId="15791"/>
    <cellStyle name="Normal 4 3 5 2 5 3 3" xfId="15792"/>
    <cellStyle name="Normal 4 3 5 2 5 4" xfId="15793"/>
    <cellStyle name="Normal 4 3 5 2 5 5" xfId="15794"/>
    <cellStyle name="Normal 4 3 5 2 5 6" xfId="15795"/>
    <cellStyle name="Normal 4 3 5 2 5 7" xfId="15796"/>
    <cellStyle name="Normal 4 3 5 2 6" xfId="15797"/>
    <cellStyle name="Normal 4 3 5 2 7" xfId="15798"/>
    <cellStyle name="Normal 4 3 5 2 7 2" xfId="15799"/>
    <cellStyle name="Normal 4 3 5 2 7 3" xfId="15800"/>
    <cellStyle name="Normal 4 3 5 2 8" xfId="15801"/>
    <cellStyle name="Normal 4 3 5 2 8 2" xfId="15802"/>
    <cellStyle name="Normal 4 3 5 2 8 3" xfId="15803"/>
    <cellStyle name="Normal 4 3 5 2 9" xfId="15804"/>
    <cellStyle name="Normal 4 3 5 3" xfId="15805"/>
    <cellStyle name="Normal 4 3 5 3 10" xfId="15806"/>
    <cellStyle name="Normal 4 3 5 3 11" xfId="15807"/>
    <cellStyle name="Normal 4 3 5 3 12" xfId="15808"/>
    <cellStyle name="Normal 4 3 5 3 2" xfId="15809"/>
    <cellStyle name="Normal 4 3 5 3 2 2" xfId="15810"/>
    <cellStyle name="Normal 4 3 5 3 2 2 2" xfId="15811"/>
    <cellStyle name="Normal 4 3 5 3 2 2 2 2" xfId="15812"/>
    <cellStyle name="Normal 4 3 5 3 2 2 2 2 2" xfId="15813"/>
    <cellStyle name="Normal 4 3 5 3 2 2 2 2 3" xfId="15814"/>
    <cellStyle name="Normal 4 3 5 3 2 2 2 3" xfId="15815"/>
    <cellStyle name="Normal 4 3 5 3 2 2 2 3 2" xfId="15816"/>
    <cellStyle name="Normal 4 3 5 3 2 2 2 3 3" xfId="15817"/>
    <cellStyle name="Normal 4 3 5 3 2 2 2 4" xfId="15818"/>
    <cellStyle name="Normal 4 3 5 3 2 2 2 5" xfId="15819"/>
    <cellStyle name="Normal 4 3 5 3 2 2 2 6" xfId="15820"/>
    <cellStyle name="Normal 4 3 5 3 2 2 2 7" xfId="15821"/>
    <cellStyle name="Normal 4 3 5 3 2 2 3" xfId="15822"/>
    <cellStyle name="Normal 4 3 5 3 2 2 3 2" xfId="15823"/>
    <cellStyle name="Normal 4 3 5 3 2 2 3 3" xfId="15824"/>
    <cellStyle name="Normal 4 3 5 3 2 2 4" xfId="15825"/>
    <cellStyle name="Normal 4 3 5 3 2 2 4 2" xfId="15826"/>
    <cellStyle name="Normal 4 3 5 3 2 2 4 3" xfId="15827"/>
    <cellStyle name="Normal 4 3 5 3 2 2 5" xfId="15828"/>
    <cellStyle name="Normal 4 3 5 3 2 2 6" xfId="15829"/>
    <cellStyle name="Normal 4 3 5 3 2 2 7" xfId="15830"/>
    <cellStyle name="Normal 4 3 5 3 2 2 8" xfId="15831"/>
    <cellStyle name="Normal 4 3 5 3 2 3" xfId="15832"/>
    <cellStyle name="Normal 4 3 5 3 2 3 2" xfId="15833"/>
    <cellStyle name="Normal 4 3 5 3 2 3 2 2" xfId="15834"/>
    <cellStyle name="Normal 4 3 5 3 2 3 2 3" xfId="15835"/>
    <cellStyle name="Normal 4 3 5 3 2 3 3" xfId="15836"/>
    <cellStyle name="Normal 4 3 5 3 2 3 3 2" xfId="15837"/>
    <cellStyle name="Normal 4 3 5 3 2 3 3 3" xfId="15838"/>
    <cellStyle name="Normal 4 3 5 3 2 3 4" xfId="15839"/>
    <cellStyle name="Normal 4 3 5 3 2 3 5" xfId="15840"/>
    <cellStyle name="Normal 4 3 5 3 2 3 6" xfId="15841"/>
    <cellStyle name="Normal 4 3 5 3 2 3 7" xfId="15842"/>
    <cellStyle name="Normal 4 3 5 3 2 4" xfId="15843"/>
    <cellStyle name="Normal 4 3 5 3 2 4 2" xfId="15844"/>
    <cellStyle name="Normal 4 3 5 3 2 4 3" xfId="15845"/>
    <cellStyle name="Normal 4 3 5 3 2 5" xfId="15846"/>
    <cellStyle name="Normal 4 3 5 3 2 5 2" xfId="15847"/>
    <cellStyle name="Normal 4 3 5 3 2 5 3" xfId="15848"/>
    <cellStyle name="Normal 4 3 5 3 2 6" xfId="15849"/>
    <cellStyle name="Normal 4 3 5 3 2 7" xfId="15850"/>
    <cellStyle name="Normal 4 3 5 3 2 8" xfId="15851"/>
    <cellStyle name="Normal 4 3 5 3 2 9" xfId="15852"/>
    <cellStyle name="Normal 4 3 5 3 3" xfId="15853"/>
    <cellStyle name="Normal 4 3 5 3 3 2" xfId="15854"/>
    <cellStyle name="Normal 4 3 5 3 3 2 2" xfId="15855"/>
    <cellStyle name="Normal 4 3 5 3 3 2 2 2" xfId="15856"/>
    <cellStyle name="Normal 4 3 5 3 3 2 2 3" xfId="15857"/>
    <cellStyle name="Normal 4 3 5 3 3 2 3" xfId="15858"/>
    <cellStyle name="Normal 4 3 5 3 3 2 3 2" xfId="15859"/>
    <cellStyle name="Normal 4 3 5 3 3 2 3 3" xfId="15860"/>
    <cellStyle name="Normal 4 3 5 3 3 2 4" xfId="15861"/>
    <cellStyle name="Normal 4 3 5 3 3 2 5" xfId="15862"/>
    <cellStyle name="Normal 4 3 5 3 3 2 6" xfId="15863"/>
    <cellStyle name="Normal 4 3 5 3 3 2 7" xfId="15864"/>
    <cellStyle name="Normal 4 3 5 3 3 3" xfId="15865"/>
    <cellStyle name="Normal 4 3 5 3 3 3 2" xfId="15866"/>
    <cellStyle name="Normal 4 3 5 3 3 3 3" xfId="15867"/>
    <cellStyle name="Normal 4 3 5 3 3 4" xfId="15868"/>
    <cellStyle name="Normal 4 3 5 3 3 4 2" xfId="15869"/>
    <cellStyle name="Normal 4 3 5 3 3 4 3" xfId="15870"/>
    <cellStyle name="Normal 4 3 5 3 3 5" xfId="15871"/>
    <cellStyle name="Normal 4 3 5 3 3 6" xfId="15872"/>
    <cellStyle name="Normal 4 3 5 3 3 7" xfId="15873"/>
    <cellStyle name="Normal 4 3 5 3 3 8" xfId="15874"/>
    <cellStyle name="Normal 4 3 5 3 4" xfId="15875"/>
    <cellStyle name="Normal 4 3 5 3 4 2" xfId="15876"/>
    <cellStyle name="Normal 4 3 5 3 4 2 2" xfId="15877"/>
    <cellStyle name="Normal 4 3 5 3 4 2 2 2" xfId="15878"/>
    <cellStyle name="Normal 4 3 5 3 4 2 2 3" xfId="15879"/>
    <cellStyle name="Normal 4 3 5 3 4 2 3" xfId="15880"/>
    <cellStyle name="Normal 4 3 5 3 4 2 3 2" xfId="15881"/>
    <cellStyle name="Normal 4 3 5 3 4 2 3 3" xfId="15882"/>
    <cellStyle name="Normal 4 3 5 3 4 2 4" xfId="15883"/>
    <cellStyle name="Normal 4 3 5 3 4 2 5" xfId="15884"/>
    <cellStyle name="Normal 4 3 5 3 4 2 6" xfId="15885"/>
    <cellStyle name="Normal 4 3 5 3 4 2 7" xfId="15886"/>
    <cellStyle name="Normal 4 3 5 3 4 3" xfId="15887"/>
    <cellStyle name="Normal 4 3 5 3 4 3 2" xfId="15888"/>
    <cellStyle name="Normal 4 3 5 3 4 3 3" xfId="15889"/>
    <cellStyle name="Normal 4 3 5 3 4 4" xfId="15890"/>
    <cellStyle name="Normal 4 3 5 3 4 4 2" xfId="15891"/>
    <cellStyle name="Normal 4 3 5 3 4 4 3" xfId="15892"/>
    <cellStyle name="Normal 4 3 5 3 4 5" xfId="15893"/>
    <cellStyle name="Normal 4 3 5 3 4 6" xfId="15894"/>
    <cellStyle name="Normal 4 3 5 3 4 7" xfId="15895"/>
    <cellStyle name="Normal 4 3 5 3 4 8" xfId="15896"/>
    <cellStyle name="Normal 4 3 5 3 5" xfId="15897"/>
    <cellStyle name="Normal 4 3 5 3 5 2" xfId="15898"/>
    <cellStyle name="Normal 4 3 5 3 5 2 2" xfId="15899"/>
    <cellStyle name="Normal 4 3 5 3 5 2 3" xfId="15900"/>
    <cellStyle name="Normal 4 3 5 3 5 3" xfId="15901"/>
    <cellStyle name="Normal 4 3 5 3 5 3 2" xfId="15902"/>
    <cellStyle name="Normal 4 3 5 3 5 3 3" xfId="15903"/>
    <cellStyle name="Normal 4 3 5 3 5 4" xfId="15904"/>
    <cellStyle name="Normal 4 3 5 3 5 5" xfId="15905"/>
    <cellStyle name="Normal 4 3 5 3 5 6" xfId="15906"/>
    <cellStyle name="Normal 4 3 5 3 5 7" xfId="15907"/>
    <cellStyle name="Normal 4 3 5 3 6" xfId="15908"/>
    <cellStyle name="Normal 4 3 5 3 7" xfId="15909"/>
    <cellStyle name="Normal 4 3 5 3 7 2" xfId="15910"/>
    <cellStyle name="Normal 4 3 5 3 7 3" xfId="15911"/>
    <cellStyle name="Normal 4 3 5 3 8" xfId="15912"/>
    <cellStyle name="Normal 4 3 5 3 8 2" xfId="15913"/>
    <cellStyle name="Normal 4 3 5 3 8 3" xfId="15914"/>
    <cellStyle name="Normal 4 3 5 3 9" xfId="15915"/>
    <cellStyle name="Normal 4 3 5 4" xfId="15916"/>
    <cellStyle name="Normal 4 3 5 4 10" xfId="15917"/>
    <cellStyle name="Normal 4 3 5 4 2" xfId="15918"/>
    <cellStyle name="Normal 4 3 5 4 2 2" xfId="15919"/>
    <cellStyle name="Normal 4 3 5 4 2 2 2" xfId="15920"/>
    <cellStyle name="Normal 4 3 5 4 2 2 2 2" xfId="15921"/>
    <cellStyle name="Normal 4 3 5 4 2 2 2 3" xfId="15922"/>
    <cellStyle name="Normal 4 3 5 4 2 2 3" xfId="15923"/>
    <cellStyle name="Normal 4 3 5 4 2 2 3 2" xfId="15924"/>
    <cellStyle name="Normal 4 3 5 4 2 2 3 3" xfId="15925"/>
    <cellStyle name="Normal 4 3 5 4 2 2 4" xfId="15926"/>
    <cellStyle name="Normal 4 3 5 4 2 2 5" xfId="15927"/>
    <cellStyle name="Normal 4 3 5 4 2 2 6" xfId="15928"/>
    <cellStyle name="Normal 4 3 5 4 2 2 7" xfId="15929"/>
    <cellStyle name="Normal 4 3 5 4 2 3" xfId="15930"/>
    <cellStyle name="Normal 4 3 5 4 2 3 2" xfId="15931"/>
    <cellStyle name="Normal 4 3 5 4 2 3 3" xfId="15932"/>
    <cellStyle name="Normal 4 3 5 4 2 4" xfId="15933"/>
    <cellStyle name="Normal 4 3 5 4 2 4 2" xfId="15934"/>
    <cellStyle name="Normal 4 3 5 4 2 4 3" xfId="15935"/>
    <cellStyle name="Normal 4 3 5 4 2 5" xfId="15936"/>
    <cellStyle name="Normal 4 3 5 4 2 6" xfId="15937"/>
    <cellStyle name="Normal 4 3 5 4 2 7" xfId="15938"/>
    <cellStyle name="Normal 4 3 5 4 2 8" xfId="15939"/>
    <cellStyle name="Normal 4 3 5 4 3" xfId="15940"/>
    <cellStyle name="Normal 4 3 5 4 3 2" xfId="15941"/>
    <cellStyle name="Normal 4 3 5 4 3 2 2" xfId="15942"/>
    <cellStyle name="Normal 4 3 5 4 3 2 3" xfId="15943"/>
    <cellStyle name="Normal 4 3 5 4 3 3" xfId="15944"/>
    <cellStyle name="Normal 4 3 5 4 3 3 2" xfId="15945"/>
    <cellStyle name="Normal 4 3 5 4 3 3 3" xfId="15946"/>
    <cellStyle name="Normal 4 3 5 4 3 4" xfId="15947"/>
    <cellStyle name="Normal 4 3 5 4 3 5" xfId="15948"/>
    <cellStyle name="Normal 4 3 5 4 3 6" xfId="15949"/>
    <cellStyle name="Normal 4 3 5 4 3 7" xfId="15950"/>
    <cellStyle name="Normal 4 3 5 4 4" xfId="15951"/>
    <cellStyle name="Normal 4 3 5 4 5" xfId="15952"/>
    <cellStyle name="Normal 4 3 5 4 5 2" xfId="15953"/>
    <cellStyle name="Normal 4 3 5 4 5 3" xfId="15954"/>
    <cellStyle name="Normal 4 3 5 4 6" xfId="15955"/>
    <cellStyle name="Normal 4 3 5 4 6 2" xfId="15956"/>
    <cellStyle name="Normal 4 3 5 4 6 3" xfId="15957"/>
    <cellStyle name="Normal 4 3 5 4 7" xfId="15958"/>
    <cellStyle name="Normal 4 3 5 4 8" xfId="15959"/>
    <cellStyle name="Normal 4 3 5 4 9" xfId="15960"/>
    <cellStyle name="Normal 4 3 5 5" xfId="15961"/>
    <cellStyle name="Normal 4 3 5 5 2" xfId="15962"/>
    <cellStyle name="Normal 4 3 5 5 2 2" xfId="15963"/>
    <cellStyle name="Normal 4 3 5 5 2 2 2" xfId="15964"/>
    <cellStyle name="Normal 4 3 5 5 2 2 3" xfId="15965"/>
    <cellStyle name="Normal 4 3 5 5 2 3" xfId="15966"/>
    <cellStyle name="Normal 4 3 5 5 2 3 2" xfId="15967"/>
    <cellStyle name="Normal 4 3 5 5 2 3 3" xfId="15968"/>
    <cellStyle name="Normal 4 3 5 5 2 4" xfId="15969"/>
    <cellStyle name="Normal 4 3 5 5 2 5" xfId="15970"/>
    <cellStyle name="Normal 4 3 5 5 2 6" xfId="15971"/>
    <cellStyle name="Normal 4 3 5 5 2 7" xfId="15972"/>
    <cellStyle name="Normal 4 3 5 5 3" xfId="15973"/>
    <cellStyle name="Normal 4 3 5 5 4" xfId="15974"/>
    <cellStyle name="Normal 4 3 5 5 4 2" xfId="15975"/>
    <cellStyle name="Normal 4 3 5 5 4 3" xfId="15976"/>
    <cellStyle name="Normal 4 3 5 5 5" xfId="15977"/>
    <cellStyle name="Normal 4 3 5 5 5 2" xfId="15978"/>
    <cellStyle name="Normal 4 3 5 5 5 3" xfId="15979"/>
    <cellStyle name="Normal 4 3 5 5 6" xfId="15980"/>
    <cellStyle name="Normal 4 3 5 5 7" xfId="15981"/>
    <cellStyle name="Normal 4 3 5 5 8" xfId="15982"/>
    <cellStyle name="Normal 4 3 5 5 9" xfId="15983"/>
    <cellStyle name="Normal 4 3 5 6" xfId="15984"/>
    <cellStyle name="Normal 4 3 5 6 2" xfId="15985"/>
    <cellStyle name="Normal 4 3 5 6 2 2" xfId="15986"/>
    <cellStyle name="Normal 4 3 5 6 2 2 2" xfId="15987"/>
    <cellStyle name="Normal 4 3 5 6 2 2 3" xfId="15988"/>
    <cellStyle name="Normal 4 3 5 6 2 3" xfId="15989"/>
    <cellStyle name="Normal 4 3 5 6 2 3 2" xfId="15990"/>
    <cellStyle name="Normal 4 3 5 6 2 3 3" xfId="15991"/>
    <cellStyle name="Normal 4 3 5 6 2 4" xfId="15992"/>
    <cellStyle name="Normal 4 3 5 6 2 5" xfId="15993"/>
    <cellStyle name="Normal 4 3 5 6 2 6" xfId="15994"/>
    <cellStyle name="Normal 4 3 5 6 2 7" xfId="15995"/>
    <cellStyle name="Normal 4 3 5 6 3" xfId="15996"/>
    <cellStyle name="Normal 4 3 5 6 4" xfId="15997"/>
    <cellStyle name="Normal 4 3 5 6 4 2" xfId="15998"/>
    <cellStyle name="Normal 4 3 5 6 4 3" xfId="15999"/>
    <cellStyle name="Normal 4 3 5 6 5" xfId="16000"/>
    <cellStyle name="Normal 4 3 5 6 5 2" xfId="16001"/>
    <cellStyle name="Normal 4 3 5 6 5 3" xfId="16002"/>
    <cellStyle name="Normal 4 3 5 6 6" xfId="16003"/>
    <cellStyle name="Normal 4 3 5 6 7" xfId="16004"/>
    <cellStyle name="Normal 4 3 5 6 8" xfId="16005"/>
    <cellStyle name="Normal 4 3 5 6 9" xfId="16006"/>
    <cellStyle name="Normal 4 3 5 7" xfId="16007"/>
    <cellStyle name="Normal 4 3 5 7 2" xfId="16008"/>
    <cellStyle name="Normal 4 3 5 7 3" xfId="16009"/>
    <cellStyle name="Normal 4 3 5 7 3 2" xfId="16010"/>
    <cellStyle name="Normal 4 3 5 7 3 3" xfId="16011"/>
    <cellStyle name="Normal 4 3 5 7 4" xfId="16012"/>
    <cellStyle name="Normal 4 3 5 7 4 2" xfId="16013"/>
    <cellStyle name="Normal 4 3 5 7 4 3" xfId="16014"/>
    <cellStyle name="Normal 4 3 5 7 5" xfId="16015"/>
    <cellStyle name="Normal 4 3 5 7 6" xfId="16016"/>
    <cellStyle name="Normal 4 3 5 7 7" xfId="16017"/>
    <cellStyle name="Normal 4 3 5 7 8" xfId="16018"/>
    <cellStyle name="Normal 4 3 5 8" xfId="16019"/>
    <cellStyle name="Normal 4 3 5 8 2" xfId="16020"/>
    <cellStyle name="Normal 4 3 5 9" xfId="16021"/>
    <cellStyle name="Normal 4 3 6" xfId="16022"/>
    <cellStyle name="Normal 4 3 6 10" xfId="16023"/>
    <cellStyle name="Normal 4 3 6 10 2" xfId="16024"/>
    <cellStyle name="Normal 4 3 6 10 3" xfId="16025"/>
    <cellStyle name="Normal 4 3 6 11" xfId="16026"/>
    <cellStyle name="Normal 4 3 6 12" xfId="16027"/>
    <cellStyle name="Normal 4 3 6 13" xfId="16028"/>
    <cellStyle name="Normal 4 3 6 14" xfId="16029"/>
    <cellStyle name="Normal 4 3 6 15" xfId="16030"/>
    <cellStyle name="Normal 4 3 6 16" xfId="16031"/>
    <cellStyle name="Normal 4 3 6 17" xfId="16032"/>
    <cellStyle name="Normal 4 3 6 18" xfId="16033"/>
    <cellStyle name="Normal 4 3 6 2" xfId="16034"/>
    <cellStyle name="Normal 4 3 6 2 10" xfId="16035"/>
    <cellStyle name="Normal 4 3 6 2 2" xfId="16036"/>
    <cellStyle name="Normal 4 3 6 2 2 2" xfId="16037"/>
    <cellStyle name="Normal 4 3 6 2 2 2 2" xfId="16038"/>
    <cellStyle name="Normal 4 3 6 2 2 2 2 2" xfId="16039"/>
    <cellStyle name="Normal 4 3 6 2 2 2 2 3" xfId="16040"/>
    <cellStyle name="Normal 4 3 6 2 2 2 3" xfId="16041"/>
    <cellStyle name="Normal 4 3 6 2 2 2 3 2" xfId="16042"/>
    <cellStyle name="Normal 4 3 6 2 2 2 3 3" xfId="16043"/>
    <cellStyle name="Normal 4 3 6 2 2 2 4" xfId="16044"/>
    <cellStyle name="Normal 4 3 6 2 2 2 5" xfId="16045"/>
    <cellStyle name="Normal 4 3 6 2 2 2 6" xfId="16046"/>
    <cellStyle name="Normal 4 3 6 2 2 2 7" xfId="16047"/>
    <cellStyle name="Normal 4 3 6 2 2 3" xfId="16048"/>
    <cellStyle name="Normal 4 3 6 2 2 3 2" xfId="16049"/>
    <cellStyle name="Normal 4 3 6 2 2 3 3" xfId="16050"/>
    <cellStyle name="Normal 4 3 6 2 2 4" xfId="16051"/>
    <cellStyle name="Normal 4 3 6 2 2 4 2" xfId="16052"/>
    <cellStyle name="Normal 4 3 6 2 2 4 3" xfId="16053"/>
    <cellStyle name="Normal 4 3 6 2 2 5" xfId="16054"/>
    <cellStyle name="Normal 4 3 6 2 2 6" xfId="16055"/>
    <cellStyle name="Normal 4 3 6 2 2 7" xfId="16056"/>
    <cellStyle name="Normal 4 3 6 2 2 8" xfId="16057"/>
    <cellStyle name="Normal 4 3 6 2 3" xfId="16058"/>
    <cellStyle name="Normal 4 3 6 2 3 2" xfId="16059"/>
    <cellStyle name="Normal 4 3 6 2 3 2 2" xfId="16060"/>
    <cellStyle name="Normal 4 3 6 2 3 2 3" xfId="16061"/>
    <cellStyle name="Normal 4 3 6 2 3 3" xfId="16062"/>
    <cellStyle name="Normal 4 3 6 2 3 3 2" xfId="16063"/>
    <cellStyle name="Normal 4 3 6 2 3 3 3" xfId="16064"/>
    <cellStyle name="Normal 4 3 6 2 3 4" xfId="16065"/>
    <cellStyle name="Normal 4 3 6 2 3 5" xfId="16066"/>
    <cellStyle name="Normal 4 3 6 2 3 6" xfId="16067"/>
    <cellStyle name="Normal 4 3 6 2 3 7" xfId="16068"/>
    <cellStyle name="Normal 4 3 6 2 4" xfId="16069"/>
    <cellStyle name="Normal 4 3 6 2 5" xfId="16070"/>
    <cellStyle name="Normal 4 3 6 2 5 2" xfId="16071"/>
    <cellStyle name="Normal 4 3 6 2 5 3" xfId="16072"/>
    <cellStyle name="Normal 4 3 6 2 6" xfId="16073"/>
    <cellStyle name="Normal 4 3 6 2 6 2" xfId="16074"/>
    <cellStyle name="Normal 4 3 6 2 6 3" xfId="16075"/>
    <cellStyle name="Normal 4 3 6 2 7" xfId="16076"/>
    <cellStyle name="Normal 4 3 6 2 8" xfId="16077"/>
    <cellStyle name="Normal 4 3 6 2 9" xfId="16078"/>
    <cellStyle name="Normal 4 3 6 3" xfId="16079"/>
    <cellStyle name="Normal 4 3 6 3 2" xfId="16080"/>
    <cellStyle name="Normal 4 3 6 3 2 2" xfId="16081"/>
    <cellStyle name="Normal 4 3 6 3 2 2 2" xfId="16082"/>
    <cellStyle name="Normal 4 3 6 3 2 2 3" xfId="16083"/>
    <cellStyle name="Normal 4 3 6 3 2 3" xfId="16084"/>
    <cellStyle name="Normal 4 3 6 3 2 3 2" xfId="16085"/>
    <cellStyle name="Normal 4 3 6 3 2 3 3" xfId="16086"/>
    <cellStyle name="Normal 4 3 6 3 2 4" xfId="16087"/>
    <cellStyle name="Normal 4 3 6 3 2 5" xfId="16088"/>
    <cellStyle name="Normal 4 3 6 3 2 6" xfId="16089"/>
    <cellStyle name="Normal 4 3 6 3 2 7" xfId="16090"/>
    <cellStyle name="Normal 4 3 6 3 3" xfId="16091"/>
    <cellStyle name="Normal 4 3 6 3 4" xfId="16092"/>
    <cellStyle name="Normal 4 3 6 3 4 2" xfId="16093"/>
    <cellStyle name="Normal 4 3 6 3 4 3" xfId="16094"/>
    <cellStyle name="Normal 4 3 6 3 5" xfId="16095"/>
    <cellStyle name="Normal 4 3 6 3 5 2" xfId="16096"/>
    <cellStyle name="Normal 4 3 6 3 5 3" xfId="16097"/>
    <cellStyle name="Normal 4 3 6 3 6" xfId="16098"/>
    <cellStyle name="Normal 4 3 6 3 7" xfId="16099"/>
    <cellStyle name="Normal 4 3 6 3 8" xfId="16100"/>
    <cellStyle name="Normal 4 3 6 3 9" xfId="16101"/>
    <cellStyle name="Normal 4 3 6 4" xfId="16102"/>
    <cellStyle name="Normal 4 3 6 4 2" xfId="16103"/>
    <cellStyle name="Normal 4 3 6 4 2 2" xfId="16104"/>
    <cellStyle name="Normal 4 3 6 4 2 2 2" xfId="16105"/>
    <cellStyle name="Normal 4 3 6 4 2 2 3" xfId="16106"/>
    <cellStyle name="Normal 4 3 6 4 2 3" xfId="16107"/>
    <cellStyle name="Normal 4 3 6 4 2 3 2" xfId="16108"/>
    <cellStyle name="Normal 4 3 6 4 2 3 3" xfId="16109"/>
    <cellStyle name="Normal 4 3 6 4 2 4" xfId="16110"/>
    <cellStyle name="Normal 4 3 6 4 2 5" xfId="16111"/>
    <cellStyle name="Normal 4 3 6 4 2 6" xfId="16112"/>
    <cellStyle name="Normal 4 3 6 4 2 7" xfId="16113"/>
    <cellStyle name="Normal 4 3 6 4 3" xfId="16114"/>
    <cellStyle name="Normal 4 3 6 4 4" xfId="16115"/>
    <cellStyle name="Normal 4 3 6 4 4 2" xfId="16116"/>
    <cellStyle name="Normal 4 3 6 4 4 3" xfId="16117"/>
    <cellStyle name="Normal 4 3 6 4 5" xfId="16118"/>
    <cellStyle name="Normal 4 3 6 4 5 2" xfId="16119"/>
    <cellStyle name="Normal 4 3 6 4 5 3" xfId="16120"/>
    <cellStyle name="Normal 4 3 6 4 6" xfId="16121"/>
    <cellStyle name="Normal 4 3 6 4 7" xfId="16122"/>
    <cellStyle name="Normal 4 3 6 4 8" xfId="16123"/>
    <cellStyle name="Normal 4 3 6 4 9" xfId="16124"/>
    <cellStyle name="Normal 4 3 6 5" xfId="16125"/>
    <cellStyle name="Normal 4 3 6 5 2" xfId="16126"/>
    <cellStyle name="Normal 4 3 6 5 3" xfId="16127"/>
    <cellStyle name="Normal 4 3 6 5 3 2" xfId="16128"/>
    <cellStyle name="Normal 4 3 6 5 3 3" xfId="16129"/>
    <cellStyle name="Normal 4 3 6 5 4" xfId="16130"/>
    <cellStyle name="Normal 4 3 6 5 4 2" xfId="16131"/>
    <cellStyle name="Normal 4 3 6 5 4 3" xfId="16132"/>
    <cellStyle name="Normal 4 3 6 5 5" xfId="16133"/>
    <cellStyle name="Normal 4 3 6 5 6" xfId="16134"/>
    <cellStyle name="Normal 4 3 6 5 7" xfId="16135"/>
    <cellStyle name="Normal 4 3 6 5 8" xfId="16136"/>
    <cellStyle name="Normal 4 3 6 6" xfId="16137"/>
    <cellStyle name="Normal 4 3 6 6 2" xfId="16138"/>
    <cellStyle name="Normal 4 3 6 7" xfId="16139"/>
    <cellStyle name="Normal 4 3 6 7 2" xfId="16140"/>
    <cellStyle name="Normal 4 3 6 8" xfId="16141"/>
    <cellStyle name="Normal 4 3 6 8 2" xfId="16142"/>
    <cellStyle name="Normal 4 3 6 9" xfId="16143"/>
    <cellStyle name="Normal 4 3 6 9 2" xfId="16144"/>
    <cellStyle name="Normal 4 3 6 9 3" xfId="16145"/>
    <cellStyle name="Normal 4 3 7" xfId="16146"/>
    <cellStyle name="Normal 4 3 7 10" xfId="16147"/>
    <cellStyle name="Normal 4 3 7 10 2" xfId="16148"/>
    <cellStyle name="Normal 4 3 7 10 3" xfId="16149"/>
    <cellStyle name="Normal 4 3 7 11" xfId="16150"/>
    <cellStyle name="Normal 4 3 7 12" xfId="16151"/>
    <cellStyle name="Normal 4 3 7 13" xfId="16152"/>
    <cellStyle name="Normal 4 3 7 14" xfId="16153"/>
    <cellStyle name="Normal 4 3 7 15" xfId="16154"/>
    <cellStyle name="Normal 4 3 7 16" xfId="16155"/>
    <cellStyle name="Normal 4 3 7 17" xfId="16156"/>
    <cellStyle name="Normal 4 3 7 18" xfId="16157"/>
    <cellStyle name="Normal 4 3 7 2" xfId="16158"/>
    <cellStyle name="Normal 4 3 7 2 10" xfId="16159"/>
    <cellStyle name="Normal 4 3 7 2 2" xfId="16160"/>
    <cellStyle name="Normal 4 3 7 2 2 2" xfId="16161"/>
    <cellStyle name="Normal 4 3 7 2 2 2 2" xfId="16162"/>
    <cellStyle name="Normal 4 3 7 2 2 2 2 2" xfId="16163"/>
    <cellStyle name="Normal 4 3 7 2 2 2 2 3" xfId="16164"/>
    <cellStyle name="Normal 4 3 7 2 2 2 3" xfId="16165"/>
    <cellStyle name="Normal 4 3 7 2 2 2 3 2" xfId="16166"/>
    <cellStyle name="Normal 4 3 7 2 2 2 3 3" xfId="16167"/>
    <cellStyle name="Normal 4 3 7 2 2 2 4" xfId="16168"/>
    <cellStyle name="Normal 4 3 7 2 2 2 5" xfId="16169"/>
    <cellStyle name="Normal 4 3 7 2 2 2 6" xfId="16170"/>
    <cellStyle name="Normal 4 3 7 2 2 2 7" xfId="16171"/>
    <cellStyle name="Normal 4 3 7 2 2 3" xfId="16172"/>
    <cellStyle name="Normal 4 3 7 2 2 3 2" xfId="16173"/>
    <cellStyle name="Normal 4 3 7 2 2 3 3" xfId="16174"/>
    <cellStyle name="Normal 4 3 7 2 2 4" xfId="16175"/>
    <cellStyle name="Normal 4 3 7 2 2 4 2" xfId="16176"/>
    <cellStyle name="Normal 4 3 7 2 2 4 3" xfId="16177"/>
    <cellStyle name="Normal 4 3 7 2 2 5" xfId="16178"/>
    <cellStyle name="Normal 4 3 7 2 2 6" xfId="16179"/>
    <cellStyle name="Normal 4 3 7 2 2 7" xfId="16180"/>
    <cellStyle name="Normal 4 3 7 2 2 8" xfId="16181"/>
    <cellStyle name="Normal 4 3 7 2 3" xfId="16182"/>
    <cellStyle name="Normal 4 3 7 2 3 2" xfId="16183"/>
    <cellStyle name="Normal 4 3 7 2 3 2 2" xfId="16184"/>
    <cellStyle name="Normal 4 3 7 2 3 2 3" xfId="16185"/>
    <cellStyle name="Normal 4 3 7 2 3 3" xfId="16186"/>
    <cellStyle name="Normal 4 3 7 2 3 3 2" xfId="16187"/>
    <cellStyle name="Normal 4 3 7 2 3 3 3" xfId="16188"/>
    <cellStyle name="Normal 4 3 7 2 3 4" xfId="16189"/>
    <cellStyle name="Normal 4 3 7 2 3 5" xfId="16190"/>
    <cellStyle name="Normal 4 3 7 2 3 6" xfId="16191"/>
    <cellStyle name="Normal 4 3 7 2 3 7" xfId="16192"/>
    <cellStyle name="Normal 4 3 7 2 4" xfId="16193"/>
    <cellStyle name="Normal 4 3 7 2 5" xfId="16194"/>
    <cellStyle name="Normal 4 3 7 2 5 2" xfId="16195"/>
    <cellStyle name="Normal 4 3 7 2 5 3" xfId="16196"/>
    <cellStyle name="Normal 4 3 7 2 6" xfId="16197"/>
    <cellStyle name="Normal 4 3 7 2 6 2" xfId="16198"/>
    <cellStyle name="Normal 4 3 7 2 6 3" xfId="16199"/>
    <cellStyle name="Normal 4 3 7 2 7" xfId="16200"/>
    <cellStyle name="Normal 4 3 7 2 8" xfId="16201"/>
    <cellStyle name="Normal 4 3 7 2 9" xfId="16202"/>
    <cellStyle name="Normal 4 3 7 3" xfId="16203"/>
    <cellStyle name="Normal 4 3 7 3 2" xfId="16204"/>
    <cellStyle name="Normal 4 3 7 3 2 2" xfId="16205"/>
    <cellStyle name="Normal 4 3 7 3 2 2 2" xfId="16206"/>
    <cellStyle name="Normal 4 3 7 3 2 2 3" xfId="16207"/>
    <cellStyle name="Normal 4 3 7 3 2 3" xfId="16208"/>
    <cellStyle name="Normal 4 3 7 3 2 3 2" xfId="16209"/>
    <cellStyle name="Normal 4 3 7 3 2 3 3" xfId="16210"/>
    <cellStyle name="Normal 4 3 7 3 2 4" xfId="16211"/>
    <cellStyle name="Normal 4 3 7 3 2 5" xfId="16212"/>
    <cellStyle name="Normal 4 3 7 3 2 6" xfId="16213"/>
    <cellStyle name="Normal 4 3 7 3 2 7" xfId="16214"/>
    <cellStyle name="Normal 4 3 7 3 3" xfId="16215"/>
    <cellStyle name="Normal 4 3 7 3 4" xfId="16216"/>
    <cellStyle name="Normal 4 3 7 3 4 2" xfId="16217"/>
    <cellStyle name="Normal 4 3 7 3 4 3" xfId="16218"/>
    <cellStyle name="Normal 4 3 7 3 5" xfId="16219"/>
    <cellStyle name="Normal 4 3 7 3 5 2" xfId="16220"/>
    <cellStyle name="Normal 4 3 7 3 5 3" xfId="16221"/>
    <cellStyle name="Normal 4 3 7 3 6" xfId="16222"/>
    <cellStyle name="Normal 4 3 7 3 7" xfId="16223"/>
    <cellStyle name="Normal 4 3 7 3 8" xfId="16224"/>
    <cellStyle name="Normal 4 3 7 3 9" xfId="16225"/>
    <cellStyle name="Normal 4 3 7 4" xfId="16226"/>
    <cellStyle name="Normal 4 3 7 4 2" xfId="16227"/>
    <cellStyle name="Normal 4 3 7 4 2 2" xfId="16228"/>
    <cellStyle name="Normal 4 3 7 4 2 2 2" xfId="16229"/>
    <cellStyle name="Normal 4 3 7 4 2 2 3" xfId="16230"/>
    <cellStyle name="Normal 4 3 7 4 2 3" xfId="16231"/>
    <cellStyle name="Normal 4 3 7 4 2 3 2" xfId="16232"/>
    <cellStyle name="Normal 4 3 7 4 2 3 3" xfId="16233"/>
    <cellStyle name="Normal 4 3 7 4 2 4" xfId="16234"/>
    <cellStyle name="Normal 4 3 7 4 2 5" xfId="16235"/>
    <cellStyle name="Normal 4 3 7 4 2 6" xfId="16236"/>
    <cellStyle name="Normal 4 3 7 4 2 7" xfId="16237"/>
    <cellStyle name="Normal 4 3 7 4 3" xfId="16238"/>
    <cellStyle name="Normal 4 3 7 4 4" xfId="16239"/>
    <cellStyle name="Normal 4 3 7 4 4 2" xfId="16240"/>
    <cellStyle name="Normal 4 3 7 4 4 3" xfId="16241"/>
    <cellStyle name="Normal 4 3 7 4 5" xfId="16242"/>
    <cellStyle name="Normal 4 3 7 4 5 2" xfId="16243"/>
    <cellStyle name="Normal 4 3 7 4 5 3" xfId="16244"/>
    <cellStyle name="Normal 4 3 7 4 6" xfId="16245"/>
    <cellStyle name="Normal 4 3 7 4 7" xfId="16246"/>
    <cellStyle name="Normal 4 3 7 4 8" xfId="16247"/>
    <cellStyle name="Normal 4 3 7 4 9" xfId="16248"/>
    <cellStyle name="Normal 4 3 7 5" xfId="16249"/>
    <cellStyle name="Normal 4 3 7 5 2" xfId="16250"/>
    <cellStyle name="Normal 4 3 7 5 3" xfId="16251"/>
    <cellStyle name="Normal 4 3 7 5 3 2" xfId="16252"/>
    <cellStyle name="Normal 4 3 7 5 3 3" xfId="16253"/>
    <cellStyle name="Normal 4 3 7 5 4" xfId="16254"/>
    <cellStyle name="Normal 4 3 7 5 4 2" xfId="16255"/>
    <cellStyle name="Normal 4 3 7 5 4 3" xfId="16256"/>
    <cellStyle name="Normal 4 3 7 5 5" xfId="16257"/>
    <cellStyle name="Normal 4 3 7 5 6" xfId="16258"/>
    <cellStyle name="Normal 4 3 7 5 7" xfId="16259"/>
    <cellStyle name="Normal 4 3 7 5 8" xfId="16260"/>
    <cellStyle name="Normal 4 3 7 6" xfId="16261"/>
    <cellStyle name="Normal 4 3 7 6 2" xfId="16262"/>
    <cellStyle name="Normal 4 3 7 7" xfId="16263"/>
    <cellStyle name="Normal 4 3 7 7 2" xfId="16264"/>
    <cellStyle name="Normal 4 3 7 8" xfId="16265"/>
    <cellStyle name="Normal 4 3 7 8 2" xfId="16266"/>
    <cellStyle name="Normal 4 3 7 9" xfId="16267"/>
    <cellStyle name="Normal 4 3 7 9 2" xfId="16268"/>
    <cellStyle name="Normal 4 3 7 9 3" xfId="16269"/>
    <cellStyle name="Normal 4 3 8" xfId="16270"/>
    <cellStyle name="Normal 4 3 8 10" xfId="16271"/>
    <cellStyle name="Normal 4 3 8 10 2" xfId="16272"/>
    <cellStyle name="Normal 4 3 8 10 3" xfId="16273"/>
    <cellStyle name="Normal 4 3 8 11" xfId="16274"/>
    <cellStyle name="Normal 4 3 8 12" xfId="16275"/>
    <cellStyle name="Normal 4 3 8 13" xfId="16276"/>
    <cellStyle name="Normal 4 3 8 14" xfId="16277"/>
    <cellStyle name="Normal 4 3 8 15" xfId="16278"/>
    <cellStyle name="Normal 4 3 8 16" xfId="16279"/>
    <cellStyle name="Normal 4 3 8 17" xfId="16280"/>
    <cellStyle name="Normal 4 3 8 18" xfId="16281"/>
    <cellStyle name="Normal 4 3 8 2" xfId="16282"/>
    <cellStyle name="Normal 4 3 8 2 10" xfId="16283"/>
    <cellStyle name="Normal 4 3 8 2 2" xfId="16284"/>
    <cellStyle name="Normal 4 3 8 2 2 2" xfId="16285"/>
    <cellStyle name="Normal 4 3 8 2 2 2 2" xfId="16286"/>
    <cellStyle name="Normal 4 3 8 2 2 2 2 2" xfId="16287"/>
    <cellStyle name="Normal 4 3 8 2 2 2 2 3" xfId="16288"/>
    <cellStyle name="Normal 4 3 8 2 2 2 3" xfId="16289"/>
    <cellStyle name="Normal 4 3 8 2 2 2 3 2" xfId="16290"/>
    <cellStyle name="Normal 4 3 8 2 2 2 3 3" xfId="16291"/>
    <cellStyle name="Normal 4 3 8 2 2 2 4" xfId="16292"/>
    <cellStyle name="Normal 4 3 8 2 2 2 5" xfId="16293"/>
    <cellStyle name="Normal 4 3 8 2 2 2 6" xfId="16294"/>
    <cellStyle name="Normal 4 3 8 2 2 2 7" xfId="16295"/>
    <cellStyle name="Normal 4 3 8 2 2 3" xfId="16296"/>
    <cellStyle name="Normal 4 3 8 2 2 3 2" xfId="16297"/>
    <cellStyle name="Normal 4 3 8 2 2 3 3" xfId="16298"/>
    <cellStyle name="Normal 4 3 8 2 2 4" xfId="16299"/>
    <cellStyle name="Normal 4 3 8 2 2 4 2" xfId="16300"/>
    <cellStyle name="Normal 4 3 8 2 2 4 3" xfId="16301"/>
    <cellStyle name="Normal 4 3 8 2 2 5" xfId="16302"/>
    <cellStyle name="Normal 4 3 8 2 2 6" xfId="16303"/>
    <cellStyle name="Normal 4 3 8 2 2 7" xfId="16304"/>
    <cellStyle name="Normal 4 3 8 2 2 8" xfId="16305"/>
    <cellStyle name="Normal 4 3 8 2 3" xfId="16306"/>
    <cellStyle name="Normal 4 3 8 2 3 2" xfId="16307"/>
    <cellStyle name="Normal 4 3 8 2 3 2 2" xfId="16308"/>
    <cellStyle name="Normal 4 3 8 2 3 2 3" xfId="16309"/>
    <cellStyle name="Normal 4 3 8 2 3 3" xfId="16310"/>
    <cellStyle name="Normal 4 3 8 2 3 3 2" xfId="16311"/>
    <cellStyle name="Normal 4 3 8 2 3 3 3" xfId="16312"/>
    <cellStyle name="Normal 4 3 8 2 3 4" xfId="16313"/>
    <cellStyle name="Normal 4 3 8 2 3 5" xfId="16314"/>
    <cellStyle name="Normal 4 3 8 2 3 6" xfId="16315"/>
    <cellStyle name="Normal 4 3 8 2 3 7" xfId="16316"/>
    <cellStyle name="Normal 4 3 8 2 4" xfId="16317"/>
    <cellStyle name="Normal 4 3 8 2 5" xfId="16318"/>
    <cellStyle name="Normal 4 3 8 2 5 2" xfId="16319"/>
    <cellStyle name="Normal 4 3 8 2 5 3" xfId="16320"/>
    <cellStyle name="Normal 4 3 8 2 6" xfId="16321"/>
    <cellStyle name="Normal 4 3 8 2 6 2" xfId="16322"/>
    <cellStyle name="Normal 4 3 8 2 6 3" xfId="16323"/>
    <cellStyle name="Normal 4 3 8 2 7" xfId="16324"/>
    <cellStyle name="Normal 4 3 8 2 8" xfId="16325"/>
    <cellStyle name="Normal 4 3 8 2 9" xfId="16326"/>
    <cellStyle name="Normal 4 3 8 3" xfId="16327"/>
    <cellStyle name="Normal 4 3 8 3 2" xfId="16328"/>
    <cellStyle name="Normal 4 3 8 3 2 2" xfId="16329"/>
    <cellStyle name="Normal 4 3 8 3 2 2 2" xfId="16330"/>
    <cellStyle name="Normal 4 3 8 3 2 2 3" xfId="16331"/>
    <cellStyle name="Normal 4 3 8 3 2 3" xfId="16332"/>
    <cellStyle name="Normal 4 3 8 3 2 3 2" xfId="16333"/>
    <cellStyle name="Normal 4 3 8 3 2 3 3" xfId="16334"/>
    <cellStyle name="Normal 4 3 8 3 2 4" xfId="16335"/>
    <cellStyle name="Normal 4 3 8 3 2 5" xfId="16336"/>
    <cellStyle name="Normal 4 3 8 3 2 6" xfId="16337"/>
    <cellStyle name="Normal 4 3 8 3 2 7" xfId="16338"/>
    <cellStyle name="Normal 4 3 8 3 3" xfId="16339"/>
    <cellStyle name="Normal 4 3 8 3 4" xfId="16340"/>
    <cellStyle name="Normal 4 3 8 3 4 2" xfId="16341"/>
    <cellStyle name="Normal 4 3 8 3 4 3" xfId="16342"/>
    <cellStyle name="Normal 4 3 8 3 5" xfId="16343"/>
    <cellStyle name="Normal 4 3 8 3 5 2" xfId="16344"/>
    <cellStyle name="Normal 4 3 8 3 5 3" xfId="16345"/>
    <cellStyle name="Normal 4 3 8 3 6" xfId="16346"/>
    <cellStyle name="Normal 4 3 8 3 7" xfId="16347"/>
    <cellStyle name="Normal 4 3 8 3 8" xfId="16348"/>
    <cellStyle name="Normal 4 3 8 3 9" xfId="16349"/>
    <cellStyle name="Normal 4 3 8 4" xfId="16350"/>
    <cellStyle name="Normal 4 3 8 4 2" xfId="16351"/>
    <cellStyle name="Normal 4 3 8 4 2 2" xfId="16352"/>
    <cellStyle name="Normal 4 3 8 4 2 2 2" xfId="16353"/>
    <cellStyle name="Normal 4 3 8 4 2 2 3" xfId="16354"/>
    <cellStyle name="Normal 4 3 8 4 2 3" xfId="16355"/>
    <cellStyle name="Normal 4 3 8 4 2 3 2" xfId="16356"/>
    <cellStyle name="Normal 4 3 8 4 2 3 3" xfId="16357"/>
    <cellStyle name="Normal 4 3 8 4 2 4" xfId="16358"/>
    <cellStyle name="Normal 4 3 8 4 2 5" xfId="16359"/>
    <cellStyle name="Normal 4 3 8 4 2 6" xfId="16360"/>
    <cellStyle name="Normal 4 3 8 4 2 7" xfId="16361"/>
    <cellStyle name="Normal 4 3 8 4 3" xfId="16362"/>
    <cellStyle name="Normal 4 3 8 4 4" xfId="16363"/>
    <cellStyle name="Normal 4 3 8 4 4 2" xfId="16364"/>
    <cellStyle name="Normal 4 3 8 4 4 3" xfId="16365"/>
    <cellStyle name="Normal 4 3 8 4 5" xfId="16366"/>
    <cellStyle name="Normal 4 3 8 4 5 2" xfId="16367"/>
    <cellStyle name="Normal 4 3 8 4 5 3" xfId="16368"/>
    <cellStyle name="Normal 4 3 8 4 6" xfId="16369"/>
    <cellStyle name="Normal 4 3 8 4 7" xfId="16370"/>
    <cellStyle name="Normal 4 3 8 4 8" xfId="16371"/>
    <cellStyle name="Normal 4 3 8 4 9" xfId="16372"/>
    <cellStyle name="Normal 4 3 8 5" xfId="16373"/>
    <cellStyle name="Normal 4 3 8 5 2" xfId="16374"/>
    <cellStyle name="Normal 4 3 8 5 3" xfId="16375"/>
    <cellStyle name="Normal 4 3 8 5 3 2" xfId="16376"/>
    <cellStyle name="Normal 4 3 8 5 3 3" xfId="16377"/>
    <cellStyle name="Normal 4 3 8 5 4" xfId="16378"/>
    <cellStyle name="Normal 4 3 8 5 4 2" xfId="16379"/>
    <cellStyle name="Normal 4 3 8 5 4 3" xfId="16380"/>
    <cellStyle name="Normal 4 3 8 5 5" xfId="16381"/>
    <cellStyle name="Normal 4 3 8 5 6" xfId="16382"/>
    <cellStyle name="Normal 4 3 8 5 7" xfId="16383"/>
    <cellStyle name="Normal 4 3 8 5 8" xfId="16384"/>
    <cellStyle name="Normal 4 3 8 6" xfId="16385"/>
    <cellStyle name="Normal 4 3 8 6 2" xfId="16386"/>
    <cellStyle name="Normal 4 3 8 7" xfId="16387"/>
    <cellStyle name="Normal 4 3 8 7 2" xfId="16388"/>
    <cellStyle name="Normal 4 3 8 8" xfId="16389"/>
    <cellStyle name="Normal 4 3 8 8 2" xfId="16390"/>
    <cellStyle name="Normal 4 3 8 9" xfId="16391"/>
    <cellStyle name="Normal 4 3 8 9 2" xfId="16392"/>
    <cellStyle name="Normal 4 3 8 9 3" xfId="16393"/>
    <cellStyle name="Normal 4 3 9" xfId="16394"/>
    <cellStyle name="Normal 4 3 9 10" xfId="16395"/>
    <cellStyle name="Normal 4 3 9 10 2" xfId="16396"/>
    <cellStyle name="Normal 4 3 9 10 3" xfId="16397"/>
    <cellStyle name="Normal 4 3 9 11" xfId="16398"/>
    <cellStyle name="Normal 4 3 9 12" xfId="16399"/>
    <cellStyle name="Normal 4 3 9 13" xfId="16400"/>
    <cellStyle name="Normal 4 3 9 14" xfId="16401"/>
    <cellStyle name="Normal 4 3 9 15" xfId="16402"/>
    <cellStyle name="Normal 4 3 9 16" xfId="16403"/>
    <cellStyle name="Normal 4 3 9 17" xfId="16404"/>
    <cellStyle name="Normal 4 3 9 18" xfId="16405"/>
    <cellStyle name="Normal 4 3 9 2" xfId="16406"/>
    <cellStyle name="Normal 4 3 9 2 10" xfId="16407"/>
    <cellStyle name="Normal 4 3 9 2 2" xfId="16408"/>
    <cellStyle name="Normal 4 3 9 2 2 2" xfId="16409"/>
    <cellStyle name="Normal 4 3 9 2 2 2 2" xfId="16410"/>
    <cellStyle name="Normal 4 3 9 2 2 2 2 2" xfId="16411"/>
    <cellStyle name="Normal 4 3 9 2 2 2 2 3" xfId="16412"/>
    <cellStyle name="Normal 4 3 9 2 2 2 3" xfId="16413"/>
    <cellStyle name="Normal 4 3 9 2 2 2 3 2" xfId="16414"/>
    <cellStyle name="Normal 4 3 9 2 2 2 3 3" xfId="16415"/>
    <cellStyle name="Normal 4 3 9 2 2 2 4" xfId="16416"/>
    <cellStyle name="Normal 4 3 9 2 2 2 5" xfId="16417"/>
    <cellStyle name="Normal 4 3 9 2 2 2 6" xfId="16418"/>
    <cellStyle name="Normal 4 3 9 2 2 2 7" xfId="16419"/>
    <cellStyle name="Normal 4 3 9 2 2 3" xfId="16420"/>
    <cellStyle name="Normal 4 3 9 2 2 3 2" xfId="16421"/>
    <cellStyle name="Normal 4 3 9 2 2 3 3" xfId="16422"/>
    <cellStyle name="Normal 4 3 9 2 2 4" xfId="16423"/>
    <cellStyle name="Normal 4 3 9 2 2 4 2" xfId="16424"/>
    <cellStyle name="Normal 4 3 9 2 2 4 3" xfId="16425"/>
    <cellStyle name="Normal 4 3 9 2 2 5" xfId="16426"/>
    <cellStyle name="Normal 4 3 9 2 2 6" xfId="16427"/>
    <cellStyle name="Normal 4 3 9 2 2 7" xfId="16428"/>
    <cellStyle name="Normal 4 3 9 2 2 8" xfId="16429"/>
    <cellStyle name="Normal 4 3 9 2 3" xfId="16430"/>
    <cellStyle name="Normal 4 3 9 2 3 2" xfId="16431"/>
    <cellStyle name="Normal 4 3 9 2 3 2 2" xfId="16432"/>
    <cellStyle name="Normal 4 3 9 2 3 2 3" xfId="16433"/>
    <cellStyle name="Normal 4 3 9 2 3 3" xfId="16434"/>
    <cellStyle name="Normal 4 3 9 2 3 3 2" xfId="16435"/>
    <cellStyle name="Normal 4 3 9 2 3 3 3" xfId="16436"/>
    <cellStyle name="Normal 4 3 9 2 3 4" xfId="16437"/>
    <cellStyle name="Normal 4 3 9 2 3 5" xfId="16438"/>
    <cellStyle name="Normal 4 3 9 2 3 6" xfId="16439"/>
    <cellStyle name="Normal 4 3 9 2 3 7" xfId="16440"/>
    <cellStyle name="Normal 4 3 9 2 4" xfId="16441"/>
    <cellStyle name="Normal 4 3 9 2 5" xfId="16442"/>
    <cellStyle name="Normal 4 3 9 2 5 2" xfId="16443"/>
    <cellStyle name="Normal 4 3 9 2 5 3" xfId="16444"/>
    <cellStyle name="Normal 4 3 9 2 6" xfId="16445"/>
    <cellStyle name="Normal 4 3 9 2 6 2" xfId="16446"/>
    <cellStyle name="Normal 4 3 9 2 6 3" xfId="16447"/>
    <cellStyle name="Normal 4 3 9 2 7" xfId="16448"/>
    <cellStyle name="Normal 4 3 9 2 8" xfId="16449"/>
    <cellStyle name="Normal 4 3 9 2 9" xfId="16450"/>
    <cellStyle name="Normal 4 3 9 3" xfId="16451"/>
    <cellStyle name="Normal 4 3 9 3 2" xfId="16452"/>
    <cellStyle name="Normal 4 3 9 3 2 2" xfId="16453"/>
    <cellStyle name="Normal 4 3 9 3 2 2 2" xfId="16454"/>
    <cellStyle name="Normal 4 3 9 3 2 2 3" xfId="16455"/>
    <cellStyle name="Normal 4 3 9 3 2 3" xfId="16456"/>
    <cellStyle name="Normal 4 3 9 3 2 3 2" xfId="16457"/>
    <cellStyle name="Normal 4 3 9 3 2 3 3" xfId="16458"/>
    <cellStyle name="Normal 4 3 9 3 2 4" xfId="16459"/>
    <cellStyle name="Normal 4 3 9 3 2 5" xfId="16460"/>
    <cellStyle name="Normal 4 3 9 3 2 6" xfId="16461"/>
    <cellStyle name="Normal 4 3 9 3 2 7" xfId="16462"/>
    <cellStyle name="Normal 4 3 9 3 3" xfId="16463"/>
    <cellStyle name="Normal 4 3 9 3 4" xfId="16464"/>
    <cellStyle name="Normal 4 3 9 3 4 2" xfId="16465"/>
    <cellStyle name="Normal 4 3 9 3 4 3" xfId="16466"/>
    <cellStyle name="Normal 4 3 9 3 5" xfId="16467"/>
    <cellStyle name="Normal 4 3 9 3 5 2" xfId="16468"/>
    <cellStyle name="Normal 4 3 9 3 5 3" xfId="16469"/>
    <cellStyle name="Normal 4 3 9 3 6" xfId="16470"/>
    <cellStyle name="Normal 4 3 9 3 7" xfId="16471"/>
    <cellStyle name="Normal 4 3 9 3 8" xfId="16472"/>
    <cellStyle name="Normal 4 3 9 3 9" xfId="16473"/>
    <cellStyle name="Normal 4 3 9 4" xfId="16474"/>
    <cellStyle name="Normal 4 3 9 4 2" xfId="16475"/>
    <cellStyle name="Normal 4 3 9 4 2 2" xfId="16476"/>
    <cellStyle name="Normal 4 3 9 4 2 2 2" xfId="16477"/>
    <cellStyle name="Normal 4 3 9 4 2 2 3" xfId="16478"/>
    <cellStyle name="Normal 4 3 9 4 2 3" xfId="16479"/>
    <cellStyle name="Normal 4 3 9 4 2 3 2" xfId="16480"/>
    <cellStyle name="Normal 4 3 9 4 2 3 3" xfId="16481"/>
    <cellStyle name="Normal 4 3 9 4 2 4" xfId="16482"/>
    <cellStyle name="Normal 4 3 9 4 2 5" xfId="16483"/>
    <cellStyle name="Normal 4 3 9 4 2 6" xfId="16484"/>
    <cellStyle name="Normal 4 3 9 4 2 7" xfId="16485"/>
    <cellStyle name="Normal 4 3 9 4 3" xfId="16486"/>
    <cellStyle name="Normal 4 3 9 4 4" xfId="16487"/>
    <cellStyle name="Normal 4 3 9 4 4 2" xfId="16488"/>
    <cellStyle name="Normal 4 3 9 4 4 3" xfId="16489"/>
    <cellStyle name="Normal 4 3 9 4 5" xfId="16490"/>
    <cellStyle name="Normal 4 3 9 4 5 2" xfId="16491"/>
    <cellStyle name="Normal 4 3 9 4 5 3" xfId="16492"/>
    <cellStyle name="Normal 4 3 9 4 6" xfId="16493"/>
    <cellStyle name="Normal 4 3 9 4 7" xfId="16494"/>
    <cellStyle name="Normal 4 3 9 4 8" xfId="16495"/>
    <cellStyle name="Normal 4 3 9 4 9" xfId="16496"/>
    <cellStyle name="Normal 4 3 9 5" xfId="16497"/>
    <cellStyle name="Normal 4 3 9 5 2" xfId="16498"/>
    <cellStyle name="Normal 4 3 9 5 3" xfId="16499"/>
    <cellStyle name="Normal 4 3 9 5 3 2" xfId="16500"/>
    <cellStyle name="Normal 4 3 9 5 3 3" xfId="16501"/>
    <cellStyle name="Normal 4 3 9 5 4" xfId="16502"/>
    <cellStyle name="Normal 4 3 9 5 4 2" xfId="16503"/>
    <cellStyle name="Normal 4 3 9 5 4 3" xfId="16504"/>
    <cellStyle name="Normal 4 3 9 5 5" xfId="16505"/>
    <cellStyle name="Normal 4 3 9 5 6" xfId="16506"/>
    <cellStyle name="Normal 4 3 9 5 7" xfId="16507"/>
    <cellStyle name="Normal 4 3 9 5 8" xfId="16508"/>
    <cellStyle name="Normal 4 3 9 6" xfId="16509"/>
    <cellStyle name="Normal 4 3 9 6 2" xfId="16510"/>
    <cellStyle name="Normal 4 3 9 7" xfId="16511"/>
    <cellStyle name="Normal 4 3 9 7 2" xfId="16512"/>
    <cellStyle name="Normal 4 3 9 8" xfId="16513"/>
    <cellStyle name="Normal 4 3 9 8 2" xfId="16514"/>
    <cellStyle name="Normal 4 3 9 9" xfId="16515"/>
    <cellStyle name="Normal 4 3 9 9 2" xfId="16516"/>
    <cellStyle name="Normal 4 3 9 9 3" xfId="16517"/>
    <cellStyle name="Normal 4 3_29-Col-unconnected GP" xfId="16518"/>
    <cellStyle name="Normal 4 30" xfId="16519"/>
    <cellStyle name="Normal 4 31" xfId="16520"/>
    <cellStyle name="Normal 4 35" xfId="16521"/>
    <cellStyle name="Normal 4 35 2" xfId="16522"/>
    <cellStyle name="Normal 4 4" xfId="16523"/>
    <cellStyle name="Normal 4 4 10" xfId="16524"/>
    <cellStyle name="Normal 4 4 10 10" xfId="16525"/>
    <cellStyle name="Normal 4 4 10 11" xfId="16526"/>
    <cellStyle name="Normal 4 4 10 12" xfId="16527"/>
    <cellStyle name="Normal 4 4 10 13" xfId="16528"/>
    <cellStyle name="Normal 4 4 10 14" xfId="16529"/>
    <cellStyle name="Normal 4 4 10 15" xfId="16530"/>
    <cellStyle name="Normal 4 4 10 16" xfId="16531"/>
    <cellStyle name="Normal 4 4 10 17" xfId="16532"/>
    <cellStyle name="Normal 4 4 10 18" xfId="16533"/>
    <cellStyle name="Normal 4 4 10 2" xfId="16534"/>
    <cellStyle name="Normal 4 4 10 2 2" xfId="16535"/>
    <cellStyle name="Normal 4 4 10 3" xfId="16536"/>
    <cellStyle name="Normal 4 4 10 3 2" xfId="16537"/>
    <cellStyle name="Normal 4 4 10 4" xfId="16538"/>
    <cellStyle name="Normal 4 4 10 4 2" xfId="16539"/>
    <cellStyle name="Normal 4 4 10 5" xfId="16540"/>
    <cellStyle name="Normal 4 4 10 5 2" xfId="16541"/>
    <cellStyle name="Normal 4 4 10 6" xfId="16542"/>
    <cellStyle name="Normal 4 4 10 6 2" xfId="16543"/>
    <cellStyle name="Normal 4 4 10 7" xfId="16544"/>
    <cellStyle name="Normal 4 4 10 7 2" xfId="16545"/>
    <cellStyle name="Normal 4 4 10 8" xfId="16546"/>
    <cellStyle name="Normal 4 4 10 8 2" xfId="16547"/>
    <cellStyle name="Normal 4 4 10 9" xfId="16548"/>
    <cellStyle name="Normal 4 4 11" xfId="16549"/>
    <cellStyle name="Normal 4 4 11 2" xfId="16550"/>
    <cellStyle name="Normal 4 4 12" xfId="16551"/>
    <cellStyle name="Normal 4 4 12 2" xfId="16552"/>
    <cellStyle name="Normal 4 4 13" xfId="16553"/>
    <cellStyle name="Normal 4 4 13 2" xfId="16554"/>
    <cellStyle name="Normal 4 4 14" xfId="16555"/>
    <cellStyle name="Normal 4 4 14 2" xfId="16556"/>
    <cellStyle name="Normal 4 4 15" xfId="16557"/>
    <cellStyle name="Normal 4 4 15 2" xfId="16558"/>
    <cellStyle name="Normal 4 4 16" xfId="16559"/>
    <cellStyle name="Normal 4 4 16 2" xfId="16560"/>
    <cellStyle name="Normal 4 4 17" xfId="16561"/>
    <cellStyle name="Normal 4 4 17 2" xfId="16562"/>
    <cellStyle name="Normal 4 4 18" xfId="16563"/>
    <cellStyle name="Normal 4 4 19" xfId="16564"/>
    <cellStyle name="Normal 4 4 2" xfId="16565"/>
    <cellStyle name="Normal 4 4 2 10" xfId="16566"/>
    <cellStyle name="Normal 4 4 2 11" xfId="16567"/>
    <cellStyle name="Normal 4 4 2 12" xfId="16568"/>
    <cellStyle name="Normal 4 4 2 13" xfId="16569"/>
    <cellStyle name="Normal 4 4 2 14" xfId="16570"/>
    <cellStyle name="Normal 4 4 2 15" xfId="16571"/>
    <cellStyle name="Normal 4 4 2 16" xfId="16572"/>
    <cellStyle name="Normal 4 4 2 17" xfId="16573"/>
    <cellStyle name="Normal 4 4 2 18" xfId="16574"/>
    <cellStyle name="Normal 4 4 2 2" xfId="16575"/>
    <cellStyle name="Normal 4 4 2 2 2" xfId="16576"/>
    <cellStyle name="Normal 4 4 2 3" xfId="16577"/>
    <cellStyle name="Normal 4 4 2 3 2" xfId="16578"/>
    <cellStyle name="Normal 4 4 2 4" xfId="16579"/>
    <cellStyle name="Normal 4 4 2 4 2" xfId="16580"/>
    <cellStyle name="Normal 4 4 2 5" xfId="16581"/>
    <cellStyle name="Normal 4 4 2 5 2" xfId="16582"/>
    <cellStyle name="Normal 4 4 2 6" xfId="16583"/>
    <cellStyle name="Normal 4 4 2 6 2" xfId="16584"/>
    <cellStyle name="Normal 4 4 2 7" xfId="16585"/>
    <cellStyle name="Normal 4 4 2 7 2" xfId="16586"/>
    <cellStyle name="Normal 4 4 2 8" xfId="16587"/>
    <cellStyle name="Normal 4 4 2 8 2" xfId="16588"/>
    <cellStyle name="Normal 4 4 2 9" xfId="16589"/>
    <cellStyle name="Normal 4 4 20" xfId="16590"/>
    <cellStyle name="Normal 4 4 21" xfId="16591"/>
    <cellStyle name="Normal 4 4 22" xfId="16592"/>
    <cellStyle name="Normal 4 4 23" xfId="16593"/>
    <cellStyle name="Normal 4 4 24" xfId="16594"/>
    <cellStyle name="Normal 4 4 25" xfId="16595"/>
    <cellStyle name="Normal 4 4 26" xfId="16596"/>
    <cellStyle name="Normal 4 4 27" xfId="16597"/>
    <cellStyle name="Normal 4 4 3" xfId="16598"/>
    <cellStyle name="Normal 4 4 3 10" xfId="16599"/>
    <cellStyle name="Normal 4 4 3 11" xfId="16600"/>
    <cellStyle name="Normal 4 4 3 12" xfId="16601"/>
    <cellStyle name="Normal 4 4 3 13" xfId="16602"/>
    <cellStyle name="Normal 4 4 3 14" xfId="16603"/>
    <cellStyle name="Normal 4 4 3 15" xfId="16604"/>
    <cellStyle name="Normal 4 4 3 16" xfId="16605"/>
    <cellStyle name="Normal 4 4 3 17" xfId="16606"/>
    <cellStyle name="Normal 4 4 3 18" xfId="16607"/>
    <cellStyle name="Normal 4 4 3 2" xfId="16608"/>
    <cellStyle name="Normal 4 4 3 2 2" xfId="16609"/>
    <cellStyle name="Normal 4 4 3 3" xfId="16610"/>
    <cellStyle name="Normal 4 4 3 3 2" xfId="16611"/>
    <cellStyle name="Normal 4 4 3 4" xfId="16612"/>
    <cellStyle name="Normal 4 4 3 4 2" xfId="16613"/>
    <cellStyle name="Normal 4 4 3 5" xfId="16614"/>
    <cellStyle name="Normal 4 4 3 5 2" xfId="16615"/>
    <cellStyle name="Normal 4 4 3 6" xfId="16616"/>
    <cellStyle name="Normal 4 4 3 6 2" xfId="16617"/>
    <cellStyle name="Normal 4 4 3 7" xfId="16618"/>
    <cellStyle name="Normal 4 4 3 7 2" xfId="16619"/>
    <cellStyle name="Normal 4 4 3 8" xfId="16620"/>
    <cellStyle name="Normal 4 4 3 8 2" xfId="16621"/>
    <cellStyle name="Normal 4 4 3 9" xfId="16622"/>
    <cellStyle name="Normal 4 4 4" xfId="16623"/>
    <cellStyle name="Normal 4 4 4 10" xfId="16624"/>
    <cellStyle name="Normal 4 4 4 11" xfId="16625"/>
    <cellStyle name="Normal 4 4 4 12" xfId="16626"/>
    <cellStyle name="Normal 4 4 4 13" xfId="16627"/>
    <cellStyle name="Normal 4 4 4 14" xfId="16628"/>
    <cellStyle name="Normal 4 4 4 15" xfId="16629"/>
    <cellStyle name="Normal 4 4 4 16" xfId="16630"/>
    <cellStyle name="Normal 4 4 4 17" xfId="16631"/>
    <cellStyle name="Normal 4 4 4 18" xfId="16632"/>
    <cellStyle name="Normal 4 4 4 2" xfId="16633"/>
    <cellStyle name="Normal 4 4 4 2 2" xfId="16634"/>
    <cellStyle name="Normal 4 4 4 3" xfId="16635"/>
    <cellStyle name="Normal 4 4 4 3 2" xfId="16636"/>
    <cellStyle name="Normal 4 4 4 4" xfId="16637"/>
    <cellStyle name="Normal 4 4 4 4 2" xfId="16638"/>
    <cellStyle name="Normal 4 4 4 5" xfId="16639"/>
    <cellStyle name="Normal 4 4 4 5 2" xfId="16640"/>
    <cellStyle name="Normal 4 4 4 6" xfId="16641"/>
    <cellStyle name="Normal 4 4 4 6 2" xfId="16642"/>
    <cellStyle name="Normal 4 4 4 7" xfId="16643"/>
    <cellStyle name="Normal 4 4 4 7 2" xfId="16644"/>
    <cellStyle name="Normal 4 4 4 8" xfId="16645"/>
    <cellStyle name="Normal 4 4 4 8 2" xfId="16646"/>
    <cellStyle name="Normal 4 4 4 9" xfId="16647"/>
    <cellStyle name="Normal 4 4 5" xfId="16648"/>
    <cellStyle name="Normal 4 4 5 10" xfId="16649"/>
    <cellStyle name="Normal 4 4 5 11" xfId="16650"/>
    <cellStyle name="Normal 4 4 5 12" xfId="16651"/>
    <cellStyle name="Normal 4 4 5 13" xfId="16652"/>
    <cellStyle name="Normal 4 4 5 14" xfId="16653"/>
    <cellStyle name="Normal 4 4 5 15" xfId="16654"/>
    <cellStyle name="Normal 4 4 5 16" xfId="16655"/>
    <cellStyle name="Normal 4 4 5 17" xfId="16656"/>
    <cellStyle name="Normal 4 4 5 18" xfId="16657"/>
    <cellStyle name="Normal 4 4 5 2" xfId="16658"/>
    <cellStyle name="Normal 4 4 5 2 2" xfId="16659"/>
    <cellStyle name="Normal 4 4 5 3" xfId="16660"/>
    <cellStyle name="Normal 4 4 5 3 2" xfId="16661"/>
    <cellStyle name="Normal 4 4 5 4" xfId="16662"/>
    <cellStyle name="Normal 4 4 5 4 2" xfId="16663"/>
    <cellStyle name="Normal 4 4 5 5" xfId="16664"/>
    <cellStyle name="Normal 4 4 5 5 2" xfId="16665"/>
    <cellStyle name="Normal 4 4 5 6" xfId="16666"/>
    <cellStyle name="Normal 4 4 5 6 2" xfId="16667"/>
    <cellStyle name="Normal 4 4 5 7" xfId="16668"/>
    <cellStyle name="Normal 4 4 5 7 2" xfId="16669"/>
    <cellStyle name="Normal 4 4 5 8" xfId="16670"/>
    <cellStyle name="Normal 4 4 5 8 2" xfId="16671"/>
    <cellStyle name="Normal 4 4 5 9" xfId="16672"/>
    <cellStyle name="Normal 4 4 6" xfId="16673"/>
    <cellStyle name="Normal 4 4 6 10" xfId="16674"/>
    <cellStyle name="Normal 4 4 6 11" xfId="16675"/>
    <cellStyle name="Normal 4 4 6 12" xfId="16676"/>
    <cellStyle name="Normal 4 4 6 13" xfId="16677"/>
    <cellStyle name="Normal 4 4 6 14" xfId="16678"/>
    <cellStyle name="Normal 4 4 6 15" xfId="16679"/>
    <cellStyle name="Normal 4 4 6 16" xfId="16680"/>
    <cellStyle name="Normal 4 4 6 17" xfId="16681"/>
    <cellStyle name="Normal 4 4 6 18" xfId="16682"/>
    <cellStyle name="Normal 4 4 6 2" xfId="16683"/>
    <cellStyle name="Normal 4 4 6 2 2" xfId="16684"/>
    <cellStyle name="Normal 4 4 6 3" xfId="16685"/>
    <cellStyle name="Normal 4 4 6 3 2" xfId="16686"/>
    <cellStyle name="Normal 4 4 6 4" xfId="16687"/>
    <cellStyle name="Normal 4 4 6 4 2" xfId="16688"/>
    <cellStyle name="Normal 4 4 6 5" xfId="16689"/>
    <cellStyle name="Normal 4 4 6 5 2" xfId="16690"/>
    <cellStyle name="Normal 4 4 6 6" xfId="16691"/>
    <cellStyle name="Normal 4 4 6 6 2" xfId="16692"/>
    <cellStyle name="Normal 4 4 6 7" xfId="16693"/>
    <cellStyle name="Normal 4 4 6 7 2" xfId="16694"/>
    <cellStyle name="Normal 4 4 6 8" xfId="16695"/>
    <cellStyle name="Normal 4 4 6 8 2" xfId="16696"/>
    <cellStyle name="Normal 4 4 6 9" xfId="16697"/>
    <cellStyle name="Normal 4 4 7" xfId="16698"/>
    <cellStyle name="Normal 4 4 7 10" xfId="16699"/>
    <cellStyle name="Normal 4 4 7 11" xfId="16700"/>
    <cellStyle name="Normal 4 4 7 12" xfId="16701"/>
    <cellStyle name="Normal 4 4 7 13" xfId="16702"/>
    <cellStyle name="Normal 4 4 7 14" xfId="16703"/>
    <cellStyle name="Normal 4 4 7 15" xfId="16704"/>
    <cellStyle name="Normal 4 4 7 16" xfId="16705"/>
    <cellStyle name="Normal 4 4 7 17" xfId="16706"/>
    <cellStyle name="Normal 4 4 7 18" xfId="16707"/>
    <cellStyle name="Normal 4 4 7 2" xfId="16708"/>
    <cellStyle name="Normal 4 4 7 2 2" xfId="16709"/>
    <cellStyle name="Normal 4 4 7 3" xfId="16710"/>
    <cellStyle name="Normal 4 4 7 3 2" xfId="16711"/>
    <cellStyle name="Normal 4 4 7 4" xfId="16712"/>
    <cellStyle name="Normal 4 4 7 4 2" xfId="16713"/>
    <cellStyle name="Normal 4 4 7 5" xfId="16714"/>
    <cellStyle name="Normal 4 4 7 5 2" xfId="16715"/>
    <cellStyle name="Normal 4 4 7 6" xfId="16716"/>
    <cellStyle name="Normal 4 4 7 6 2" xfId="16717"/>
    <cellStyle name="Normal 4 4 7 7" xfId="16718"/>
    <cellStyle name="Normal 4 4 7 7 2" xfId="16719"/>
    <cellStyle name="Normal 4 4 7 8" xfId="16720"/>
    <cellStyle name="Normal 4 4 7 8 2" xfId="16721"/>
    <cellStyle name="Normal 4 4 7 9" xfId="16722"/>
    <cellStyle name="Normal 4 4 8" xfId="16723"/>
    <cellStyle name="Normal 4 4 8 10" xfId="16724"/>
    <cellStyle name="Normal 4 4 8 11" xfId="16725"/>
    <cellStyle name="Normal 4 4 8 12" xfId="16726"/>
    <cellStyle name="Normal 4 4 8 13" xfId="16727"/>
    <cellStyle name="Normal 4 4 8 14" xfId="16728"/>
    <cellStyle name="Normal 4 4 8 15" xfId="16729"/>
    <cellStyle name="Normal 4 4 8 16" xfId="16730"/>
    <cellStyle name="Normal 4 4 8 17" xfId="16731"/>
    <cellStyle name="Normal 4 4 8 18" xfId="16732"/>
    <cellStyle name="Normal 4 4 8 2" xfId="16733"/>
    <cellStyle name="Normal 4 4 8 2 2" xfId="16734"/>
    <cellStyle name="Normal 4 4 8 3" xfId="16735"/>
    <cellStyle name="Normal 4 4 8 3 2" xfId="16736"/>
    <cellStyle name="Normal 4 4 8 4" xfId="16737"/>
    <cellStyle name="Normal 4 4 8 4 2" xfId="16738"/>
    <cellStyle name="Normal 4 4 8 5" xfId="16739"/>
    <cellStyle name="Normal 4 4 8 5 2" xfId="16740"/>
    <cellStyle name="Normal 4 4 8 6" xfId="16741"/>
    <cellStyle name="Normal 4 4 8 6 2" xfId="16742"/>
    <cellStyle name="Normal 4 4 8 7" xfId="16743"/>
    <cellStyle name="Normal 4 4 8 7 2" xfId="16744"/>
    <cellStyle name="Normal 4 4 8 8" xfId="16745"/>
    <cellStyle name="Normal 4 4 8 8 2" xfId="16746"/>
    <cellStyle name="Normal 4 4 8 9" xfId="16747"/>
    <cellStyle name="Normal 4 4 9" xfId="16748"/>
    <cellStyle name="Normal 4 4 9 10" xfId="16749"/>
    <cellStyle name="Normal 4 4 9 11" xfId="16750"/>
    <cellStyle name="Normal 4 4 9 12" xfId="16751"/>
    <cellStyle name="Normal 4 4 9 13" xfId="16752"/>
    <cellStyle name="Normal 4 4 9 14" xfId="16753"/>
    <cellStyle name="Normal 4 4 9 15" xfId="16754"/>
    <cellStyle name="Normal 4 4 9 16" xfId="16755"/>
    <cellStyle name="Normal 4 4 9 17" xfId="16756"/>
    <cellStyle name="Normal 4 4 9 18" xfId="16757"/>
    <cellStyle name="Normal 4 4 9 2" xfId="16758"/>
    <cellStyle name="Normal 4 4 9 2 2" xfId="16759"/>
    <cellStyle name="Normal 4 4 9 3" xfId="16760"/>
    <cellStyle name="Normal 4 4 9 3 2" xfId="16761"/>
    <cellStyle name="Normal 4 4 9 4" xfId="16762"/>
    <cellStyle name="Normal 4 4 9 4 2" xfId="16763"/>
    <cellStyle name="Normal 4 4 9 5" xfId="16764"/>
    <cellStyle name="Normal 4 4 9 5 2" xfId="16765"/>
    <cellStyle name="Normal 4 4 9 6" xfId="16766"/>
    <cellStyle name="Normal 4 4 9 6 2" xfId="16767"/>
    <cellStyle name="Normal 4 4 9 7" xfId="16768"/>
    <cellStyle name="Normal 4 4 9 7 2" xfId="16769"/>
    <cellStyle name="Normal 4 4 9 8" xfId="16770"/>
    <cellStyle name="Normal 4 4 9 8 2" xfId="16771"/>
    <cellStyle name="Normal 4 4 9 9" xfId="16772"/>
    <cellStyle name="Normal 4 4_Achampally-Gattubuthkur-Ganga-CRR" xfId="16773"/>
    <cellStyle name="Normal 4 5" xfId="16774"/>
    <cellStyle name="Normal 4 5 10" xfId="16775"/>
    <cellStyle name="Normal 4 5 10 10" xfId="16776"/>
    <cellStyle name="Normal 4 5 10 11" xfId="16777"/>
    <cellStyle name="Normal 4 5 10 12" xfId="16778"/>
    <cellStyle name="Normal 4 5 10 13" xfId="16779"/>
    <cellStyle name="Normal 4 5 10 14" xfId="16780"/>
    <cellStyle name="Normal 4 5 10 15" xfId="16781"/>
    <cellStyle name="Normal 4 5 10 16" xfId="16782"/>
    <cellStyle name="Normal 4 5 10 17" xfId="16783"/>
    <cellStyle name="Normal 4 5 10 18" xfId="16784"/>
    <cellStyle name="Normal 4 5 10 2" xfId="16785"/>
    <cellStyle name="Normal 4 5 10 2 2" xfId="16786"/>
    <cellStyle name="Normal 4 5 10 3" xfId="16787"/>
    <cellStyle name="Normal 4 5 10 3 2" xfId="16788"/>
    <cellStyle name="Normal 4 5 10 4" xfId="16789"/>
    <cellStyle name="Normal 4 5 10 4 2" xfId="16790"/>
    <cellStyle name="Normal 4 5 10 5" xfId="16791"/>
    <cellStyle name="Normal 4 5 10 5 2" xfId="16792"/>
    <cellStyle name="Normal 4 5 10 6" xfId="16793"/>
    <cellStyle name="Normal 4 5 10 6 2" xfId="16794"/>
    <cellStyle name="Normal 4 5 10 7" xfId="16795"/>
    <cellStyle name="Normal 4 5 10 7 2" xfId="16796"/>
    <cellStyle name="Normal 4 5 10 8" xfId="16797"/>
    <cellStyle name="Normal 4 5 10 8 2" xfId="16798"/>
    <cellStyle name="Normal 4 5 10 9" xfId="16799"/>
    <cellStyle name="Normal 4 5 11" xfId="16800"/>
    <cellStyle name="Normal 4 5 11 10" xfId="16801"/>
    <cellStyle name="Normal 4 5 11 11" xfId="16802"/>
    <cellStyle name="Normal 4 5 11 12" xfId="16803"/>
    <cellStyle name="Normal 4 5 11 13" xfId="16804"/>
    <cellStyle name="Normal 4 5 11 14" xfId="16805"/>
    <cellStyle name="Normal 4 5 11 15" xfId="16806"/>
    <cellStyle name="Normal 4 5 11 16" xfId="16807"/>
    <cellStyle name="Normal 4 5 11 17" xfId="16808"/>
    <cellStyle name="Normal 4 5 11 18" xfId="16809"/>
    <cellStyle name="Normal 4 5 11 2" xfId="16810"/>
    <cellStyle name="Normal 4 5 11 2 2" xfId="16811"/>
    <cellStyle name="Normal 4 5 11 3" xfId="16812"/>
    <cellStyle name="Normal 4 5 11 3 2" xfId="16813"/>
    <cellStyle name="Normal 4 5 11 4" xfId="16814"/>
    <cellStyle name="Normal 4 5 11 4 2" xfId="16815"/>
    <cellStyle name="Normal 4 5 11 5" xfId="16816"/>
    <cellStyle name="Normal 4 5 11 5 2" xfId="16817"/>
    <cellStyle name="Normal 4 5 11 6" xfId="16818"/>
    <cellStyle name="Normal 4 5 11 6 2" xfId="16819"/>
    <cellStyle name="Normal 4 5 11 7" xfId="16820"/>
    <cellStyle name="Normal 4 5 11 7 2" xfId="16821"/>
    <cellStyle name="Normal 4 5 11 8" xfId="16822"/>
    <cellStyle name="Normal 4 5 11 8 2" xfId="16823"/>
    <cellStyle name="Normal 4 5 11 9" xfId="16824"/>
    <cellStyle name="Normal 4 5 12" xfId="16825"/>
    <cellStyle name="Normal 4 5 12 2" xfId="16826"/>
    <cellStyle name="Normal 4 5 13" xfId="16827"/>
    <cellStyle name="Normal 4 5 13 2" xfId="16828"/>
    <cellStyle name="Normal 4 5 14" xfId="16829"/>
    <cellStyle name="Normal 4 5 14 2" xfId="16830"/>
    <cellStyle name="Normal 4 5 15" xfId="16831"/>
    <cellStyle name="Normal 4 5 15 2" xfId="16832"/>
    <cellStyle name="Normal 4 5 16" xfId="16833"/>
    <cellStyle name="Normal 4 5 16 2" xfId="16834"/>
    <cellStyle name="Normal 4 5 17" xfId="16835"/>
    <cellStyle name="Normal 4 5 17 2" xfId="16836"/>
    <cellStyle name="Normal 4 5 18" xfId="16837"/>
    <cellStyle name="Normal 4 5 18 2" xfId="16838"/>
    <cellStyle name="Normal 4 5 19" xfId="16839"/>
    <cellStyle name="Normal 4 5 2" xfId="16840"/>
    <cellStyle name="Normal 4 5 2 10" xfId="16841"/>
    <cellStyle name="Normal 4 5 2 10 10" xfId="16842"/>
    <cellStyle name="Normal 4 5 2 10 11" xfId="16843"/>
    <cellStyle name="Normal 4 5 2 10 12" xfId="16844"/>
    <cellStyle name="Normal 4 5 2 10 13" xfId="16845"/>
    <cellStyle name="Normal 4 5 2 10 14" xfId="16846"/>
    <cellStyle name="Normal 4 5 2 10 15" xfId="16847"/>
    <cellStyle name="Normal 4 5 2 10 16" xfId="16848"/>
    <cellStyle name="Normal 4 5 2 10 17" xfId="16849"/>
    <cellStyle name="Normal 4 5 2 10 18" xfId="16850"/>
    <cellStyle name="Normal 4 5 2 10 2" xfId="16851"/>
    <cellStyle name="Normal 4 5 2 10 2 2" xfId="16852"/>
    <cellStyle name="Normal 4 5 2 10 3" xfId="16853"/>
    <cellStyle name="Normal 4 5 2 10 3 2" xfId="16854"/>
    <cellStyle name="Normal 4 5 2 10 4" xfId="16855"/>
    <cellStyle name="Normal 4 5 2 10 4 2" xfId="16856"/>
    <cellStyle name="Normal 4 5 2 10 5" xfId="16857"/>
    <cellStyle name="Normal 4 5 2 10 5 2" xfId="16858"/>
    <cellStyle name="Normal 4 5 2 10 6" xfId="16859"/>
    <cellStyle name="Normal 4 5 2 10 6 2" xfId="16860"/>
    <cellStyle name="Normal 4 5 2 10 7" xfId="16861"/>
    <cellStyle name="Normal 4 5 2 10 7 2" xfId="16862"/>
    <cellStyle name="Normal 4 5 2 10 8" xfId="16863"/>
    <cellStyle name="Normal 4 5 2 10 8 2" xfId="16864"/>
    <cellStyle name="Normal 4 5 2 10 9" xfId="16865"/>
    <cellStyle name="Normal 4 5 2 11" xfId="16866"/>
    <cellStyle name="Normal 4 5 2 11 2" xfId="16867"/>
    <cellStyle name="Normal 4 5 2 12" xfId="16868"/>
    <cellStyle name="Normal 4 5 2 12 2" xfId="16869"/>
    <cellStyle name="Normal 4 5 2 13" xfId="16870"/>
    <cellStyle name="Normal 4 5 2 13 2" xfId="16871"/>
    <cellStyle name="Normal 4 5 2 14" xfId="16872"/>
    <cellStyle name="Normal 4 5 2 14 2" xfId="16873"/>
    <cellStyle name="Normal 4 5 2 15" xfId="16874"/>
    <cellStyle name="Normal 4 5 2 15 2" xfId="16875"/>
    <cellStyle name="Normal 4 5 2 16" xfId="16876"/>
    <cellStyle name="Normal 4 5 2 16 2" xfId="16877"/>
    <cellStyle name="Normal 4 5 2 17" xfId="16878"/>
    <cellStyle name="Normal 4 5 2 17 2" xfId="16879"/>
    <cellStyle name="Normal 4 5 2 18" xfId="16880"/>
    <cellStyle name="Normal 4 5 2 19" xfId="16881"/>
    <cellStyle name="Normal 4 5 2 2" xfId="16882"/>
    <cellStyle name="Normal 4 5 2 2 10" xfId="16883"/>
    <cellStyle name="Normal 4 5 2 2 11" xfId="16884"/>
    <cellStyle name="Normal 4 5 2 2 12" xfId="16885"/>
    <cellStyle name="Normal 4 5 2 2 13" xfId="16886"/>
    <cellStyle name="Normal 4 5 2 2 14" xfId="16887"/>
    <cellStyle name="Normal 4 5 2 2 15" xfId="16888"/>
    <cellStyle name="Normal 4 5 2 2 16" xfId="16889"/>
    <cellStyle name="Normal 4 5 2 2 17" xfId="16890"/>
    <cellStyle name="Normal 4 5 2 2 18" xfId="16891"/>
    <cellStyle name="Normal 4 5 2 2 2" xfId="16892"/>
    <cellStyle name="Normal 4 5 2 2 2 2" xfId="16893"/>
    <cellStyle name="Normal 4 5 2 2 3" xfId="16894"/>
    <cellStyle name="Normal 4 5 2 2 3 2" xfId="16895"/>
    <cellStyle name="Normal 4 5 2 2 4" xfId="16896"/>
    <cellStyle name="Normal 4 5 2 2 4 2" xfId="16897"/>
    <cellStyle name="Normal 4 5 2 2 5" xfId="16898"/>
    <cellStyle name="Normal 4 5 2 2 5 2" xfId="16899"/>
    <cellStyle name="Normal 4 5 2 2 6" xfId="16900"/>
    <cellStyle name="Normal 4 5 2 2 6 2" xfId="16901"/>
    <cellStyle name="Normal 4 5 2 2 7" xfId="16902"/>
    <cellStyle name="Normal 4 5 2 2 7 2" xfId="16903"/>
    <cellStyle name="Normal 4 5 2 2 8" xfId="16904"/>
    <cellStyle name="Normal 4 5 2 2 8 2" xfId="16905"/>
    <cellStyle name="Normal 4 5 2 2 9" xfId="16906"/>
    <cellStyle name="Normal 4 5 2 20" xfId="16907"/>
    <cellStyle name="Normal 4 5 2 21" xfId="16908"/>
    <cellStyle name="Normal 4 5 2 22" xfId="16909"/>
    <cellStyle name="Normal 4 5 2 23" xfId="16910"/>
    <cellStyle name="Normal 4 5 2 24" xfId="16911"/>
    <cellStyle name="Normal 4 5 2 25" xfId="16912"/>
    <cellStyle name="Normal 4 5 2 26" xfId="16913"/>
    <cellStyle name="Normal 4 5 2 27" xfId="16914"/>
    <cellStyle name="Normal 4 5 2 3" xfId="16915"/>
    <cellStyle name="Normal 4 5 2 3 10" xfId="16916"/>
    <cellStyle name="Normal 4 5 2 3 11" xfId="16917"/>
    <cellStyle name="Normal 4 5 2 3 12" xfId="16918"/>
    <cellStyle name="Normal 4 5 2 3 13" xfId="16919"/>
    <cellStyle name="Normal 4 5 2 3 14" xfId="16920"/>
    <cellStyle name="Normal 4 5 2 3 15" xfId="16921"/>
    <cellStyle name="Normal 4 5 2 3 16" xfId="16922"/>
    <cellStyle name="Normal 4 5 2 3 17" xfId="16923"/>
    <cellStyle name="Normal 4 5 2 3 18" xfId="16924"/>
    <cellStyle name="Normal 4 5 2 3 2" xfId="16925"/>
    <cellStyle name="Normal 4 5 2 3 2 2" xfId="16926"/>
    <cellStyle name="Normal 4 5 2 3 3" xfId="16927"/>
    <cellStyle name="Normal 4 5 2 3 3 2" xfId="16928"/>
    <cellStyle name="Normal 4 5 2 3 4" xfId="16929"/>
    <cellStyle name="Normal 4 5 2 3 4 2" xfId="16930"/>
    <cellStyle name="Normal 4 5 2 3 5" xfId="16931"/>
    <cellStyle name="Normal 4 5 2 3 5 2" xfId="16932"/>
    <cellStyle name="Normal 4 5 2 3 6" xfId="16933"/>
    <cellStyle name="Normal 4 5 2 3 6 2" xfId="16934"/>
    <cellStyle name="Normal 4 5 2 3 7" xfId="16935"/>
    <cellStyle name="Normal 4 5 2 3 7 2" xfId="16936"/>
    <cellStyle name="Normal 4 5 2 3 8" xfId="16937"/>
    <cellStyle name="Normal 4 5 2 3 8 2" xfId="16938"/>
    <cellStyle name="Normal 4 5 2 3 9" xfId="16939"/>
    <cellStyle name="Normal 4 5 2 4" xfId="16940"/>
    <cellStyle name="Normal 4 5 2 4 10" xfId="16941"/>
    <cellStyle name="Normal 4 5 2 4 11" xfId="16942"/>
    <cellStyle name="Normal 4 5 2 4 12" xfId="16943"/>
    <cellStyle name="Normal 4 5 2 4 13" xfId="16944"/>
    <cellStyle name="Normal 4 5 2 4 14" xfId="16945"/>
    <cellStyle name="Normal 4 5 2 4 15" xfId="16946"/>
    <cellStyle name="Normal 4 5 2 4 16" xfId="16947"/>
    <cellStyle name="Normal 4 5 2 4 17" xfId="16948"/>
    <cellStyle name="Normal 4 5 2 4 18" xfId="16949"/>
    <cellStyle name="Normal 4 5 2 4 2" xfId="16950"/>
    <cellStyle name="Normal 4 5 2 4 2 2" xfId="16951"/>
    <cellStyle name="Normal 4 5 2 4 3" xfId="16952"/>
    <cellStyle name="Normal 4 5 2 4 3 2" xfId="16953"/>
    <cellStyle name="Normal 4 5 2 4 4" xfId="16954"/>
    <cellStyle name="Normal 4 5 2 4 4 2" xfId="16955"/>
    <cellStyle name="Normal 4 5 2 4 5" xfId="16956"/>
    <cellStyle name="Normal 4 5 2 4 5 2" xfId="16957"/>
    <cellStyle name="Normal 4 5 2 4 6" xfId="16958"/>
    <cellStyle name="Normal 4 5 2 4 6 2" xfId="16959"/>
    <cellStyle name="Normal 4 5 2 4 7" xfId="16960"/>
    <cellStyle name="Normal 4 5 2 4 7 2" xfId="16961"/>
    <cellStyle name="Normal 4 5 2 4 8" xfId="16962"/>
    <cellStyle name="Normal 4 5 2 4 8 2" xfId="16963"/>
    <cellStyle name="Normal 4 5 2 4 9" xfId="16964"/>
    <cellStyle name="Normal 4 5 2 5" xfId="16965"/>
    <cellStyle name="Normal 4 5 2 5 10" xfId="16966"/>
    <cellStyle name="Normal 4 5 2 5 11" xfId="16967"/>
    <cellStyle name="Normal 4 5 2 5 12" xfId="16968"/>
    <cellStyle name="Normal 4 5 2 5 13" xfId="16969"/>
    <cellStyle name="Normal 4 5 2 5 14" xfId="16970"/>
    <cellStyle name="Normal 4 5 2 5 15" xfId="16971"/>
    <cellStyle name="Normal 4 5 2 5 16" xfId="16972"/>
    <cellStyle name="Normal 4 5 2 5 17" xfId="16973"/>
    <cellStyle name="Normal 4 5 2 5 18" xfId="16974"/>
    <cellStyle name="Normal 4 5 2 5 2" xfId="16975"/>
    <cellStyle name="Normal 4 5 2 5 2 2" xfId="16976"/>
    <cellStyle name="Normal 4 5 2 5 3" xfId="16977"/>
    <cellStyle name="Normal 4 5 2 5 3 2" xfId="16978"/>
    <cellStyle name="Normal 4 5 2 5 4" xfId="16979"/>
    <cellStyle name="Normal 4 5 2 5 4 2" xfId="16980"/>
    <cellStyle name="Normal 4 5 2 5 5" xfId="16981"/>
    <cellStyle name="Normal 4 5 2 5 5 2" xfId="16982"/>
    <cellStyle name="Normal 4 5 2 5 6" xfId="16983"/>
    <cellStyle name="Normal 4 5 2 5 6 2" xfId="16984"/>
    <cellStyle name="Normal 4 5 2 5 7" xfId="16985"/>
    <cellStyle name="Normal 4 5 2 5 7 2" xfId="16986"/>
    <cellStyle name="Normal 4 5 2 5 8" xfId="16987"/>
    <cellStyle name="Normal 4 5 2 5 8 2" xfId="16988"/>
    <cellStyle name="Normal 4 5 2 5 9" xfId="16989"/>
    <cellStyle name="Normal 4 5 2 6" xfId="16990"/>
    <cellStyle name="Normal 4 5 2 6 10" xfId="16991"/>
    <cellStyle name="Normal 4 5 2 6 11" xfId="16992"/>
    <cellStyle name="Normal 4 5 2 6 12" xfId="16993"/>
    <cellStyle name="Normal 4 5 2 6 13" xfId="16994"/>
    <cellStyle name="Normal 4 5 2 6 14" xfId="16995"/>
    <cellStyle name="Normal 4 5 2 6 15" xfId="16996"/>
    <cellStyle name="Normal 4 5 2 6 16" xfId="16997"/>
    <cellStyle name="Normal 4 5 2 6 17" xfId="16998"/>
    <cellStyle name="Normal 4 5 2 6 18" xfId="16999"/>
    <cellStyle name="Normal 4 5 2 6 2" xfId="17000"/>
    <cellStyle name="Normal 4 5 2 6 2 2" xfId="17001"/>
    <cellStyle name="Normal 4 5 2 6 3" xfId="17002"/>
    <cellStyle name="Normal 4 5 2 6 3 2" xfId="17003"/>
    <cellStyle name="Normal 4 5 2 6 4" xfId="17004"/>
    <cellStyle name="Normal 4 5 2 6 4 2" xfId="17005"/>
    <cellStyle name="Normal 4 5 2 6 5" xfId="17006"/>
    <cellStyle name="Normal 4 5 2 6 5 2" xfId="17007"/>
    <cellStyle name="Normal 4 5 2 6 6" xfId="17008"/>
    <cellStyle name="Normal 4 5 2 6 6 2" xfId="17009"/>
    <cellStyle name="Normal 4 5 2 6 7" xfId="17010"/>
    <cellStyle name="Normal 4 5 2 6 7 2" xfId="17011"/>
    <cellStyle name="Normal 4 5 2 6 8" xfId="17012"/>
    <cellStyle name="Normal 4 5 2 6 8 2" xfId="17013"/>
    <cellStyle name="Normal 4 5 2 6 9" xfId="17014"/>
    <cellStyle name="Normal 4 5 2 7" xfId="17015"/>
    <cellStyle name="Normal 4 5 2 7 10" xfId="17016"/>
    <cellStyle name="Normal 4 5 2 7 11" xfId="17017"/>
    <cellStyle name="Normal 4 5 2 7 12" xfId="17018"/>
    <cellStyle name="Normal 4 5 2 7 13" xfId="17019"/>
    <cellStyle name="Normal 4 5 2 7 14" xfId="17020"/>
    <cellStyle name="Normal 4 5 2 7 15" xfId="17021"/>
    <cellStyle name="Normal 4 5 2 7 16" xfId="17022"/>
    <cellStyle name="Normal 4 5 2 7 17" xfId="17023"/>
    <cellStyle name="Normal 4 5 2 7 18" xfId="17024"/>
    <cellStyle name="Normal 4 5 2 7 2" xfId="17025"/>
    <cellStyle name="Normal 4 5 2 7 2 2" xfId="17026"/>
    <cellStyle name="Normal 4 5 2 7 3" xfId="17027"/>
    <cellStyle name="Normal 4 5 2 7 3 2" xfId="17028"/>
    <cellStyle name="Normal 4 5 2 7 4" xfId="17029"/>
    <cellStyle name="Normal 4 5 2 7 4 2" xfId="17030"/>
    <cellStyle name="Normal 4 5 2 7 5" xfId="17031"/>
    <cellStyle name="Normal 4 5 2 7 5 2" xfId="17032"/>
    <cellStyle name="Normal 4 5 2 7 6" xfId="17033"/>
    <cellStyle name="Normal 4 5 2 7 6 2" xfId="17034"/>
    <cellStyle name="Normal 4 5 2 7 7" xfId="17035"/>
    <cellStyle name="Normal 4 5 2 7 7 2" xfId="17036"/>
    <cellStyle name="Normal 4 5 2 7 8" xfId="17037"/>
    <cellStyle name="Normal 4 5 2 7 8 2" xfId="17038"/>
    <cellStyle name="Normal 4 5 2 7 9" xfId="17039"/>
    <cellStyle name="Normal 4 5 2 8" xfId="17040"/>
    <cellStyle name="Normal 4 5 2 8 10" xfId="17041"/>
    <cellStyle name="Normal 4 5 2 8 11" xfId="17042"/>
    <cellStyle name="Normal 4 5 2 8 12" xfId="17043"/>
    <cellStyle name="Normal 4 5 2 8 13" xfId="17044"/>
    <cellStyle name="Normal 4 5 2 8 14" xfId="17045"/>
    <cellStyle name="Normal 4 5 2 8 15" xfId="17046"/>
    <cellStyle name="Normal 4 5 2 8 16" xfId="17047"/>
    <cellStyle name="Normal 4 5 2 8 17" xfId="17048"/>
    <cellStyle name="Normal 4 5 2 8 18" xfId="17049"/>
    <cellStyle name="Normal 4 5 2 8 2" xfId="17050"/>
    <cellStyle name="Normal 4 5 2 8 2 2" xfId="17051"/>
    <cellStyle name="Normal 4 5 2 8 3" xfId="17052"/>
    <cellStyle name="Normal 4 5 2 8 3 2" xfId="17053"/>
    <cellStyle name="Normal 4 5 2 8 4" xfId="17054"/>
    <cellStyle name="Normal 4 5 2 8 4 2" xfId="17055"/>
    <cellStyle name="Normal 4 5 2 8 5" xfId="17056"/>
    <cellStyle name="Normal 4 5 2 8 5 2" xfId="17057"/>
    <cellStyle name="Normal 4 5 2 8 6" xfId="17058"/>
    <cellStyle name="Normal 4 5 2 8 6 2" xfId="17059"/>
    <cellStyle name="Normal 4 5 2 8 7" xfId="17060"/>
    <cellStyle name="Normal 4 5 2 8 7 2" xfId="17061"/>
    <cellStyle name="Normal 4 5 2 8 8" xfId="17062"/>
    <cellStyle name="Normal 4 5 2 8 8 2" xfId="17063"/>
    <cellStyle name="Normal 4 5 2 8 9" xfId="17064"/>
    <cellStyle name="Normal 4 5 2 9" xfId="17065"/>
    <cellStyle name="Normal 4 5 2 9 10" xfId="17066"/>
    <cellStyle name="Normal 4 5 2 9 11" xfId="17067"/>
    <cellStyle name="Normal 4 5 2 9 12" xfId="17068"/>
    <cellStyle name="Normal 4 5 2 9 13" xfId="17069"/>
    <cellStyle name="Normal 4 5 2 9 14" xfId="17070"/>
    <cellStyle name="Normal 4 5 2 9 15" xfId="17071"/>
    <cellStyle name="Normal 4 5 2 9 16" xfId="17072"/>
    <cellStyle name="Normal 4 5 2 9 17" xfId="17073"/>
    <cellStyle name="Normal 4 5 2 9 18" xfId="17074"/>
    <cellStyle name="Normal 4 5 2 9 2" xfId="17075"/>
    <cellStyle name="Normal 4 5 2 9 2 2" xfId="17076"/>
    <cellStyle name="Normal 4 5 2 9 3" xfId="17077"/>
    <cellStyle name="Normal 4 5 2 9 3 2" xfId="17078"/>
    <cellStyle name="Normal 4 5 2 9 4" xfId="17079"/>
    <cellStyle name="Normal 4 5 2 9 4 2" xfId="17080"/>
    <cellStyle name="Normal 4 5 2 9 5" xfId="17081"/>
    <cellStyle name="Normal 4 5 2 9 5 2" xfId="17082"/>
    <cellStyle name="Normal 4 5 2 9 6" xfId="17083"/>
    <cellStyle name="Normal 4 5 2 9 6 2" xfId="17084"/>
    <cellStyle name="Normal 4 5 2 9 7" xfId="17085"/>
    <cellStyle name="Normal 4 5 2 9 7 2" xfId="17086"/>
    <cellStyle name="Normal 4 5 2 9 8" xfId="17087"/>
    <cellStyle name="Normal 4 5 2 9 8 2" xfId="17088"/>
    <cellStyle name="Normal 4 5 2 9 9" xfId="17089"/>
    <cellStyle name="Normal 4 5 2_Achampally-Gattubuthkur-Ganga-CRR" xfId="17090"/>
    <cellStyle name="Normal 4 5 20" xfId="17091"/>
    <cellStyle name="Normal 4 5 21" xfId="17092"/>
    <cellStyle name="Normal 4 5 22" xfId="17093"/>
    <cellStyle name="Normal 4 5 23" xfId="17094"/>
    <cellStyle name="Normal 4 5 24" xfId="17095"/>
    <cellStyle name="Normal 4 5 25" xfId="17096"/>
    <cellStyle name="Normal 4 5 26" xfId="17097"/>
    <cellStyle name="Normal 4 5 27" xfId="17098"/>
    <cellStyle name="Normal 4 5 28" xfId="17099"/>
    <cellStyle name="Normal 4 5 3" xfId="17100"/>
    <cellStyle name="Normal 4 5 3 10" xfId="17101"/>
    <cellStyle name="Normal 4 5 3 11" xfId="17102"/>
    <cellStyle name="Normal 4 5 3 12" xfId="17103"/>
    <cellStyle name="Normal 4 5 3 13" xfId="17104"/>
    <cellStyle name="Normal 4 5 3 14" xfId="17105"/>
    <cellStyle name="Normal 4 5 3 15" xfId="17106"/>
    <cellStyle name="Normal 4 5 3 16" xfId="17107"/>
    <cellStyle name="Normal 4 5 3 17" xfId="17108"/>
    <cellStyle name="Normal 4 5 3 18" xfId="17109"/>
    <cellStyle name="Normal 4 5 3 2" xfId="17110"/>
    <cellStyle name="Normal 4 5 3 2 2" xfId="17111"/>
    <cellStyle name="Normal 4 5 3 3" xfId="17112"/>
    <cellStyle name="Normal 4 5 3 3 2" xfId="17113"/>
    <cellStyle name="Normal 4 5 3 4" xfId="17114"/>
    <cellStyle name="Normal 4 5 3 4 2" xfId="17115"/>
    <cellStyle name="Normal 4 5 3 5" xfId="17116"/>
    <cellStyle name="Normal 4 5 3 5 2" xfId="17117"/>
    <cellStyle name="Normal 4 5 3 6" xfId="17118"/>
    <cellStyle name="Normal 4 5 3 6 2" xfId="17119"/>
    <cellStyle name="Normal 4 5 3 7" xfId="17120"/>
    <cellStyle name="Normal 4 5 3 7 2" xfId="17121"/>
    <cellStyle name="Normal 4 5 3 8" xfId="17122"/>
    <cellStyle name="Normal 4 5 3 8 2" xfId="17123"/>
    <cellStyle name="Normal 4 5 3 9" xfId="17124"/>
    <cellStyle name="Normal 4 5 4" xfId="17125"/>
    <cellStyle name="Normal 4 5 4 10" xfId="17126"/>
    <cellStyle name="Normal 4 5 4 11" xfId="17127"/>
    <cellStyle name="Normal 4 5 4 12" xfId="17128"/>
    <cellStyle name="Normal 4 5 4 13" xfId="17129"/>
    <cellStyle name="Normal 4 5 4 14" xfId="17130"/>
    <cellStyle name="Normal 4 5 4 15" xfId="17131"/>
    <cellStyle name="Normal 4 5 4 16" xfId="17132"/>
    <cellStyle name="Normal 4 5 4 17" xfId="17133"/>
    <cellStyle name="Normal 4 5 4 18" xfId="17134"/>
    <cellStyle name="Normal 4 5 4 2" xfId="17135"/>
    <cellStyle name="Normal 4 5 4 2 2" xfId="17136"/>
    <cellStyle name="Normal 4 5 4 3" xfId="17137"/>
    <cellStyle name="Normal 4 5 4 3 2" xfId="17138"/>
    <cellStyle name="Normal 4 5 4 4" xfId="17139"/>
    <cellStyle name="Normal 4 5 4 4 2" xfId="17140"/>
    <cellStyle name="Normal 4 5 4 5" xfId="17141"/>
    <cellStyle name="Normal 4 5 4 5 2" xfId="17142"/>
    <cellStyle name="Normal 4 5 4 6" xfId="17143"/>
    <cellStyle name="Normal 4 5 4 6 2" xfId="17144"/>
    <cellStyle name="Normal 4 5 4 7" xfId="17145"/>
    <cellStyle name="Normal 4 5 4 7 2" xfId="17146"/>
    <cellStyle name="Normal 4 5 4 8" xfId="17147"/>
    <cellStyle name="Normal 4 5 4 8 2" xfId="17148"/>
    <cellStyle name="Normal 4 5 4 9" xfId="17149"/>
    <cellStyle name="Normal 4 5 5" xfId="17150"/>
    <cellStyle name="Normal 4 5 5 10" xfId="17151"/>
    <cellStyle name="Normal 4 5 5 11" xfId="17152"/>
    <cellStyle name="Normal 4 5 5 12" xfId="17153"/>
    <cellStyle name="Normal 4 5 5 13" xfId="17154"/>
    <cellStyle name="Normal 4 5 5 14" xfId="17155"/>
    <cellStyle name="Normal 4 5 5 15" xfId="17156"/>
    <cellStyle name="Normal 4 5 5 16" xfId="17157"/>
    <cellStyle name="Normal 4 5 5 17" xfId="17158"/>
    <cellStyle name="Normal 4 5 5 18" xfId="17159"/>
    <cellStyle name="Normal 4 5 5 2" xfId="17160"/>
    <cellStyle name="Normal 4 5 5 2 2" xfId="17161"/>
    <cellStyle name="Normal 4 5 5 3" xfId="17162"/>
    <cellStyle name="Normal 4 5 5 3 2" xfId="17163"/>
    <cellStyle name="Normal 4 5 5 4" xfId="17164"/>
    <cellStyle name="Normal 4 5 5 4 2" xfId="17165"/>
    <cellStyle name="Normal 4 5 5 5" xfId="17166"/>
    <cellStyle name="Normal 4 5 5 5 2" xfId="17167"/>
    <cellStyle name="Normal 4 5 5 6" xfId="17168"/>
    <cellStyle name="Normal 4 5 5 6 2" xfId="17169"/>
    <cellStyle name="Normal 4 5 5 7" xfId="17170"/>
    <cellStyle name="Normal 4 5 5 7 2" xfId="17171"/>
    <cellStyle name="Normal 4 5 5 8" xfId="17172"/>
    <cellStyle name="Normal 4 5 5 8 2" xfId="17173"/>
    <cellStyle name="Normal 4 5 5 9" xfId="17174"/>
    <cellStyle name="Normal 4 5 6" xfId="17175"/>
    <cellStyle name="Normal 4 5 6 10" xfId="17176"/>
    <cellStyle name="Normal 4 5 6 11" xfId="17177"/>
    <cellStyle name="Normal 4 5 6 12" xfId="17178"/>
    <cellStyle name="Normal 4 5 6 13" xfId="17179"/>
    <cellStyle name="Normal 4 5 6 14" xfId="17180"/>
    <cellStyle name="Normal 4 5 6 15" xfId="17181"/>
    <cellStyle name="Normal 4 5 6 16" xfId="17182"/>
    <cellStyle name="Normal 4 5 6 17" xfId="17183"/>
    <cellStyle name="Normal 4 5 6 18" xfId="17184"/>
    <cellStyle name="Normal 4 5 6 2" xfId="17185"/>
    <cellStyle name="Normal 4 5 6 2 2" xfId="17186"/>
    <cellStyle name="Normal 4 5 6 3" xfId="17187"/>
    <cellStyle name="Normal 4 5 6 3 2" xfId="17188"/>
    <cellStyle name="Normal 4 5 6 4" xfId="17189"/>
    <cellStyle name="Normal 4 5 6 4 2" xfId="17190"/>
    <cellStyle name="Normal 4 5 6 5" xfId="17191"/>
    <cellStyle name="Normal 4 5 6 5 2" xfId="17192"/>
    <cellStyle name="Normal 4 5 6 6" xfId="17193"/>
    <cellStyle name="Normal 4 5 6 6 2" xfId="17194"/>
    <cellStyle name="Normal 4 5 6 7" xfId="17195"/>
    <cellStyle name="Normal 4 5 6 7 2" xfId="17196"/>
    <cellStyle name="Normal 4 5 6 8" xfId="17197"/>
    <cellStyle name="Normal 4 5 6 8 2" xfId="17198"/>
    <cellStyle name="Normal 4 5 6 9" xfId="17199"/>
    <cellStyle name="Normal 4 5 7" xfId="17200"/>
    <cellStyle name="Normal 4 5 7 10" xfId="17201"/>
    <cellStyle name="Normal 4 5 7 11" xfId="17202"/>
    <cellStyle name="Normal 4 5 7 12" xfId="17203"/>
    <cellStyle name="Normal 4 5 7 13" xfId="17204"/>
    <cellStyle name="Normal 4 5 7 14" xfId="17205"/>
    <cellStyle name="Normal 4 5 7 15" xfId="17206"/>
    <cellStyle name="Normal 4 5 7 16" xfId="17207"/>
    <cellStyle name="Normal 4 5 7 17" xfId="17208"/>
    <cellStyle name="Normal 4 5 7 18" xfId="17209"/>
    <cellStyle name="Normal 4 5 7 2" xfId="17210"/>
    <cellStyle name="Normal 4 5 7 2 2" xfId="17211"/>
    <cellStyle name="Normal 4 5 7 3" xfId="17212"/>
    <cellStyle name="Normal 4 5 7 3 2" xfId="17213"/>
    <cellStyle name="Normal 4 5 7 4" xfId="17214"/>
    <cellStyle name="Normal 4 5 7 4 2" xfId="17215"/>
    <cellStyle name="Normal 4 5 7 5" xfId="17216"/>
    <cellStyle name="Normal 4 5 7 5 2" xfId="17217"/>
    <cellStyle name="Normal 4 5 7 6" xfId="17218"/>
    <cellStyle name="Normal 4 5 7 6 2" xfId="17219"/>
    <cellStyle name="Normal 4 5 7 7" xfId="17220"/>
    <cellStyle name="Normal 4 5 7 7 2" xfId="17221"/>
    <cellStyle name="Normal 4 5 7 8" xfId="17222"/>
    <cellStyle name="Normal 4 5 7 8 2" xfId="17223"/>
    <cellStyle name="Normal 4 5 7 9" xfId="17224"/>
    <cellStyle name="Normal 4 5 8" xfId="17225"/>
    <cellStyle name="Normal 4 5 8 10" xfId="17226"/>
    <cellStyle name="Normal 4 5 8 11" xfId="17227"/>
    <cellStyle name="Normal 4 5 8 12" xfId="17228"/>
    <cellStyle name="Normal 4 5 8 13" xfId="17229"/>
    <cellStyle name="Normal 4 5 8 14" xfId="17230"/>
    <cellStyle name="Normal 4 5 8 15" xfId="17231"/>
    <cellStyle name="Normal 4 5 8 16" xfId="17232"/>
    <cellStyle name="Normal 4 5 8 17" xfId="17233"/>
    <cellStyle name="Normal 4 5 8 18" xfId="17234"/>
    <cellStyle name="Normal 4 5 8 2" xfId="17235"/>
    <cellStyle name="Normal 4 5 8 2 2" xfId="17236"/>
    <cellStyle name="Normal 4 5 8 3" xfId="17237"/>
    <cellStyle name="Normal 4 5 8 3 2" xfId="17238"/>
    <cellStyle name="Normal 4 5 8 4" xfId="17239"/>
    <cellStyle name="Normal 4 5 8 4 2" xfId="17240"/>
    <cellStyle name="Normal 4 5 8 5" xfId="17241"/>
    <cellStyle name="Normal 4 5 8 5 2" xfId="17242"/>
    <cellStyle name="Normal 4 5 8 6" xfId="17243"/>
    <cellStyle name="Normal 4 5 8 6 2" xfId="17244"/>
    <cellStyle name="Normal 4 5 8 7" xfId="17245"/>
    <cellStyle name="Normal 4 5 8 7 2" xfId="17246"/>
    <cellStyle name="Normal 4 5 8 8" xfId="17247"/>
    <cellStyle name="Normal 4 5 8 8 2" xfId="17248"/>
    <cellStyle name="Normal 4 5 8 9" xfId="17249"/>
    <cellStyle name="Normal 4 5 9" xfId="17250"/>
    <cellStyle name="Normal 4 5 9 10" xfId="17251"/>
    <cellStyle name="Normal 4 5 9 11" xfId="17252"/>
    <cellStyle name="Normal 4 5 9 12" xfId="17253"/>
    <cellStyle name="Normal 4 5 9 13" xfId="17254"/>
    <cellStyle name="Normal 4 5 9 14" xfId="17255"/>
    <cellStyle name="Normal 4 5 9 15" xfId="17256"/>
    <cellStyle name="Normal 4 5 9 16" xfId="17257"/>
    <cellStyle name="Normal 4 5 9 17" xfId="17258"/>
    <cellStyle name="Normal 4 5 9 18" xfId="17259"/>
    <cellStyle name="Normal 4 5 9 2" xfId="17260"/>
    <cellStyle name="Normal 4 5 9 2 2" xfId="17261"/>
    <cellStyle name="Normal 4 5 9 3" xfId="17262"/>
    <cellStyle name="Normal 4 5 9 3 2" xfId="17263"/>
    <cellStyle name="Normal 4 5 9 4" xfId="17264"/>
    <cellStyle name="Normal 4 5 9 4 2" xfId="17265"/>
    <cellStyle name="Normal 4 5 9 5" xfId="17266"/>
    <cellStyle name="Normal 4 5 9 5 2" xfId="17267"/>
    <cellStyle name="Normal 4 5 9 6" xfId="17268"/>
    <cellStyle name="Normal 4 5 9 6 2" xfId="17269"/>
    <cellStyle name="Normal 4 5 9 7" xfId="17270"/>
    <cellStyle name="Normal 4 5 9 7 2" xfId="17271"/>
    <cellStyle name="Normal 4 5 9 8" xfId="17272"/>
    <cellStyle name="Normal 4 5 9 8 2" xfId="17273"/>
    <cellStyle name="Normal 4 5 9 9" xfId="17274"/>
    <cellStyle name="Normal 4 5_29-Col-unconnected GP" xfId="17275"/>
    <cellStyle name="Normal 4 6" xfId="17276"/>
    <cellStyle name="Normal 4 6 10" xfId="17277"/>
    <cellStyle name="Normal 4 6 11" xfId="17278"/>
    <cellStyle name="Normal 4 6 12" xfId="17279"/>
    <cellStyle name="Normal 4 6 13" xfId="17280"/>
    <cellStyle name="Normal 4 6 14" xfId="17281"/>
    <cellStyle name="Normal 4 6 15" xfId="17282"/>
    <cellStyle name="Normal 4 6 16" xfId="17283"/>
    <cellStyle name="Normal 4 6 17" xfId="17284"/>
    <cellStyle name="Normal 4 6 18" xfId="17285"/>
    <cellStyle name="Normal 4 6 2" xfId="17286"/>
    <cellStyle name="Normal 4 6 2 2" xfId="17287"/>
    <cellStyle name="Normal 4 6 3" xfId="17288"/>
    <cellStyle name="Normal 4 6 3 2" xfId="17289"/>
    <cellStyle name="Normal 4 6 3 3" xfId="17290"/>
    <cellStyle name="Normal 4 6 3 3 2" xfId="17291"/>
    <cellStyle name="Normal 4 6 3 3 3" xfId="17292"/>
    <cellStyle name="Normal 4 6 3 4" xfId="17293"/>
    <cellStyle name="Normal 4 6 3 4 2" xfId="17294"/>
    <cellStyle name="Normal 4 6 3 4 3" xfId="17295"/>
    <cellStyle name="Normal 4 6 3 5" xfId="17296"/>
    <cellStyle name="Normal 4 6 3 6" xfId="17297"/>
    <cellStyle name="Normal 4 6 3 7" xfId="17298"/>
    <cellStyle name="Normal 4 6 3 8" xfId="17299"/>
    <cellStyle name="Normal 4 6 4" xfId="17300"/>
    <cellStyle name="Normal 4 6 4 2" xfId="17301"/>
    <cellStyle name="Normal 4 6 5" xfId="17302"/>
    <cellStyle name="Normal 4 6 5 2" xfId="17303"/>
    <cellStyle name="Normal 4 6 6" xfId="17304"/>
    <cellStyle name="Normal 4 6 6 2" xfId="17305"/>
    <cellStyle name="Normal 4 6 7" xfId="17306"/>
    <cellStyle name="Normal 4 6 7 2" xfId="17307"/>
    <cellStyle name="Normal 4 6 8" xfId="17308"/>
    <cellStyle name="Normal 4 6 8 2" xfId="17309"/>
    <cellStyle name="Normal 4 6 9" xfId="17310"/>
    <cellStyle name="Normal 4 7" xfId="17311"/>
    <cellStyle name="Normal 4 7 2" xfId="17312"/>
    <cellStyle name="Normal 4 7 3" xfId="17313"/>
    <cellStyle name="Normal 4 8" xfId="17314"/>
    <cellStyle name="Normal 4 8 2" xfId="17315"/>
    <cellStyle name="Normal 4 9" xfId="17316"/>
    <cellStyle name="Normal 4 9 2" xfId="17317"/>
    <cellStyle name="Normal 4_13th fin Undrapudi 18.12.2011" xfId="17318"/>
    <cellStyle name="Normal 40" xfId="17319"/>
    <cellStyle name="Normal 40 2" xfId="17320"/>
    <cellStyle name="Normal 40 3" xfId="17321"/>
    <cellStyle name="Normal 41" xfId="17322"/>
    <cellStyle name="Normal 41 2" xfId="17323"/>
    <cellStyle name="Normal 42" xfId="17324"/>
    <cellStyle name="Normal 42 2" xfId="17325"/>
    <cellStyle name="Normal 43" xfId="17326"/>
    <cellStyle name="Normal 43 10" xfId="17327"/>
    <cellStyle name="Normal 43 11" xfId="17328"/>
    <cellStyle name="Normal 43 12" xfId="17329"/>
    <cellStyle name="Normal 43 2" xfId="17330"/>
    <cellStyle name="Normal 43 2 2" xfId="17331"/>
    <cellStyle name="Normal 43 2 2 2" xfId="17332"/>
    <cellStyle name="Normal 43 2 2 2 2" xfId="17333"/>
    <cellStyle name="Normal 43 2 2 2 2 2" xfId="17334"/>
    <cellStyle name="Normal 43 2 2 2 2 3" xfId="17335"/>
    <cellStyle name="Normal 43 2 2 2 3" xfId="17336"/>
    <cellStyle name="Normal 43 2 2 2 3 2" xfId="17337"/>
    <cellStyle name="Normal 43 2 2 2 3 3" xfId="17338"/>
    <cellStyle name="Normal 43 2 2 2 4" xfId="17339"/>
    <cellStyle name="Normal 43 2 2 2 5" xfId="17340"/>
    <cellStyle name="Normal 43 2 2 2 6" xfId="17341"/>
    <cellStyle name="Normal 43 2 2 2 7" xfId="17342"/>
    <cellStyle name="Normal 43 2 2 3" xfId="17343"/>
    <cellStyle name="Normal 43 2 2 3 2" xfId="17344"/>
    <cellStyle name="Normal 43 2 2 3 3" xfId="17345"/>
    <cellStyle name="Normal 43 2 2 4" xfId="17346"/>
    <cellStyle name="Normal 43 2 2 4 2" xfId="17347"/>
    <cellStyle name="Normal 43 2 2 4 3" xfId="17348"/>
    <cellStyle name="Normal 43 2 2 5" xfId="17349"/>
    <cellStyle name="Normal 43 2 2 6" xfId="17350"/>
    <cellStyle name="Normal 43 2 2 7" xfId="17351"/>
    <cellStyle name="Normal 43 2 2 8" xfId="17352"/>
    <cellStyle name="Normal 43 2 3" xfId="17353"/>
    <cellStyle name="Normal 43 2 3 2" xfId="17354"/>
    <cellStyle name="Normal 43 2 3 2 2" xfId="17355"/>
    <cellStyle name="Normal 43 2 3 2 3" xfId="17356"/>
    <cellStyle name="Normal 43 2 3 3" xfId="17357"/>
    <cellStyle name="Normal 43 2 3 3 2" xfId="17358"/>
    <cellStyle name="Normal 43 2 3 3 3" xfId="17359"/>
    <cellStyle name="Normal 43 2 3 4" xfId="17360"/>
    <cellStyle name="Normal 43 2 3 5" xfId="17361"/>
    <cellStyle name="Normal 43 2 3 6" xfId="17362"/>
    <cellStyle name="Normal 43 2 3 7" xfId="17363"/>
    <cellStyle name="Normal 43 2 4" xfId="17364"/>
    <cellStyle name="Normal 43 2 4 2" xfId="17365"/>
    <cellStyle name="Normal 43 2 4 3" xfId="17366"/>
    <cellStyle name="Normal 43 2 5" xfId="17367"/>
    <cellStyle name="Normal 43 2 5 2" xfId="17368"/>
    <cellStyle name="Normal 43 2 5 3" xfId="17369"/>
    <cellStyle name="Normal 43 2 6" xfId="17370"/>
    <cellStyle name="Normal 43 2 7" xfId="17371"/>
    <cellStyle name="Normal 43 2 8" xfId="17372"/>
    <cellStyle name="Normal 43 2 9" xfId="17373"/>
    <cellStyle name="Normal 43 3" xfId="17374"/>
    <cellStyle name="Normal 43 3 2" xfId="17375"/>
    <cellStyle name="Normal 43 3 2 2" xfId="17376"/>
    <cellStyle name="Normal 43 3 2 2 2" xfId="17377"/>
    <cellStyle name="Normal 43 3 2 2 3" xfId="17378"/>
    <cellStyle name="Normal 43 3 2 3" xfId="17379"/>
    <cellStyle name="Normal 43 3 2 3 2" xfId="17380"/>
    <cellStyle name="Normal 43 3 2 3 3" xfId="17381"/>
    <cellStyle name="Normal 43 3 2 4" xfId="17382"/>
    <cellStyle name="Normal 43 3 2 5" xfId="17383"/>
    <cellStyle name="Normal 43 3 2 6" xfId="17384"/>
    <cellStyle name="Normal 43 3 2 7" xfId="17385"/>
    <cellStyle name="Normal 43 3 3" xfId="17386"/>
    <cellStyle name="Normal 43 3 3 2" xfId="17387"/>
    <cellStyle name="Normal 43 3 3 3" xfId="17388"/>
    <cellStyle name="Normal 43 3 4" xfId="17389"/>
    <cellStyle name="Normal 43 3 4 2" xfId="17390"/>
    <cellStyle name="Normal 43 3 4 3" xfId="17391"/>
    <cellStyle name="Normal 43 3 5" xfId="17392"/>
    <cellStyle name="Normal 43 3 6" xfId="17393"/>
    <cellStyle name="Normal 43 3 7" xfId="17394"/>
    <cellStyle name="Normal 43 3 8" xfId="17395"/>
    <cellStyle name="Normal 43 4" xfId="17396"/>
    <cellStyle name="Normal 43 4 2" xfId="17397"/>
    <cellStyle name="Normal 43 4 2 2" xfId="17398"/>
    <cellStyle name="Normal 43 4 2 2 2" xfId="17399"/>
    <cellStyle name="Normal 43 4 2 2 3" xfId="17400"/>
    <cellStyle name="Normal 43 4 2 3" xfId="17401"/>
    <cellStyle name="Normal 43 4 2 3 2" xfId="17402"/>
    <cellStyle name="Normal 43 4 2 3 3" xfId="17403"/>
    <cellStyle name="Normal 43 4 2 4" xfId="17404"/>
    <cellStyle name="Normal 43 4 2 5" xfId="17405"/>
    <cellStyle name="Normal 43 4 2 6" xfId="17406"/>
    <cellStyle name="Normal 43 4 2 7" xfId="17407"/>
    <cellStyle name="Normal 43 4 3" xfId="17408"/>
    <cellStyle name="Normal 43 4 3 2" xfId="17409"/>
    <cellStyle name="Normal 43 4 3 3" xfId="17410"/>
    <cellStyle name="Normal 43 4 4" xfId="17411"/>
    <cellStyle name="Normal 43 4 4 2" xfId="17412"/>
    <cellStyle name="Normal 43 4 4 3" xfId="17413"/>
    <cellStyle name="Normal 43 4 5" xfId="17414"/>
    <cellStyle name="Normal 43 4 6" xfId="17415"/>
    <cellStyle name="Normal 43 4 7" xfId="17416"/>
    <cellStyle name="Normal 43 4 8" xfId="17417"/>
    <cellStyle name="Normal 43 5" xfId="17418"/>
    <cellStyle name="Normal 43 5 2" xfId="17419"/>
    <cellStyle name="Normal 43 5 2 2" xfId="17420"/>
    <cellStyle name="Normal 43 5 2 3" xfId="17421"/>
    <cellStyle name="Normal 43 5 3" xfId="17422"/>
    <cellStyle name="Normal 43 5 3 2" xfId="17423"/>
    <cellStyle name="Normal 43 5 3 3" xfId="17424"/>
    <cellStyle name="Normal 43 5 4" xfId="17425"/>
    <cellStyle name="Normal 43 5 5" xfId="17426"/>
    <cellStyle name="Normal 43 5 6" xfId="17427"/>
    <cellStyle name="Normal 43 5 7" xfId="17428"/>
    <cellStyle name="Normal 43 6" xfId="17429"/>
    <cellStyle name="Normal 43 7" xfId="17430"/>
    <cellStyle name="Normal 43 7 2" xfId="17431"/>
    <cellStyle name="Normal 43 7 3" xfId="17432"/>
    <cellStyle name="Normal 43 8" xfId="17433"/>
    <cellStyle name="Normal 43 8 2" xfId="17434"/>
    <cellStyle name="Normal 43 8 3" xfId="17435"/>
    <cellStyle name="Normal 43 9" xfId="17436"/>
    <cellStyle name="Normal 44" xfId="17437"/>
    <cellStyle name="Normal 44 2" xfId="17438"/>
    <cellStyle name="Normal 44 2 2" xfId="17439"/>
    <cellStyle name="Normal 44 2 2 2" xfId="17440"/>
    <cellStyle name="Normal 44 2 2 3" xfId="17441"/>
    <cellStyle name="Normal 44 2 3" xfId="17442"/>
    <cellStyle name="Normal 44 2 4" xfId="17443"/>
    <cellStyle name="Normal 44 3" xfId="17444"/>
    <cellStyle name="Normal 44 4" xfId="17445"/>
    <cellStyle name="Normal 45" xfId="17446"/>
    <cellStyle name="Normal 45 10" xfId="17447"/>
    <cellStyle name="Normal 45 11" xfId="17448"/>
    <cellStyle name="Normal 45 12" xfId="17449"/>
    <cellStyle name="Normal 45 13" xfId="17450"/>
    <cellStyle name="Normal 45 2" xfId="17451"/>
    <cellStyle name="Normal 45 2 10" xfId="17452"/>
    <cellStyle name="Normal 45 2 11" xfId="17453"/>
    <cellStyle name="Normal 45 2 2" xfId="17454"/>
    <cellStyle name="Normal 45 2 2 2" xfId="17455"/>
    <cellStyle name="Normal 45 2 2 3" xfId="17456"/>
    <cellStyle name="Normal 45 2 3" xfId="17457"/>
    <cellStyle name="Normal 45 2 4" xfId="17458"/>
    <cellStyle name="Normal 45 2 5" xfId="17459"/>
    <cellStyle name="Normal 45 2 6" xfId="17460"/>
    <cellStyle name="Normal 45 2 7" xfId="17461"/>
    <cellStyle name="Normal 45 2 8" xfId="17462"/>
    <cellStyle name="Normal 45 2 9" xfId="17463"/>
    <cellStyle name="Normal 45 3" xfId="17464"/>
    <cellStyle name="Normal 45 3 10" xfId="17465"/>
    <cellStyle name="Normal 45 3 11" xfId="17466"/>
    <cellStyle name="Normal 45 3 2" xfId="17467"/>
    <cellStyle name="Normal 45 3 3" xfId="17468"/>
    <cellStyle name="Normal 45 3 4" xfId="17469"/>
    <cellStyle name="Normal 45 3 5" xfId="17470"/>
    <cellStyle name="Normal 45 3 6" xfId="17471"/>
    <cellStyle name="Normal 45 3 7" xfId="17472"/>
    <cellStyle name="Normal 45 3 8" xfId="17473"/>
    <cellStyle name="Normal 45 3 9" xfId="17474"/>
    <cellStyle name="Normal 45 4" xfId="17475"/>
    <cellStyle name="Normal 45 4 2" xfId="17476"/>
    <cellStyle name="Normal 45 4 3" xfId="17477"/>
    <cellStyle name="Normal 45 5" xfId="17478"/>
    <cellStyle name="Normal 45 6" xfId="17479"/>
    <cellStyle name="Normal 45 7" xfId="17480"/>
    <cellStyle name="Normal 45 8" xfId="17481"/>
    <cellStyle name="Normal 45 9" xfId="17482"/>
    <cellStyle name="Normal 46" xfId="17483"/>
    <cellStyle name="Normal 46 2" xfId="17484"/>
    <cellStyle name="Normal 46 3" xfId="17485"/>
    <cellStyle name="Normal 47" xfId="17486"/>
    <cellStyle name="Normal 47 10" xfId="17487"/>
    <cellStyle name="Normal 47 11" xfId="17488"/>
    <cellStyle name="Normal 47 12" xfId="17489"/>
    <cellStyle name="Normal 47 13" xfId="17490"/>
    <cellStyle name="Normal 47 2" xfId="17491"/>
    <cellStyle name="Normal 47 2 10" xfId="17492"/>
    <cellStyle name="Normal 47 2 11" xfId="17493"/>
    <cellStyle name="Normal 47 2 2" xfId="17494"/>
    <cellStyle name="Normal 47 2 2 2" xfId="17495"/>
    <cellStyle name="Normal 47 2 2 3" xfId="17496"/>
    <cellStyle name="Normal 47 2 3" xfId="17497"/>
    <cellStyle name="Normal 47 2 4" xfId="17498"/>
    <cellStyle name="Normal 47 2 5" xfId="17499"/>
    <cellStyle name="Normal 47 2 6" xfId="17500"/>
    <cellStyle name="Normal 47 2 7" xfId="17501"/>
    <cellStyle name="Normal 47 2 8" xfId="17502"/>
    <cellStyle name="Normal 47 2 9" xfId="17503"/>
    <cellStyle name="Normal 47 3" xfId="17504"/>
    <cellStyle name="Normal 47 3 10" xfId="17505"/>
    <cellStyle name="Normal 47 3 11" xfId="17506"/>
    <cellStyle name="Normal 47 3 2" xfId="17507"/>
    <cellStyle name="Normal 47 3 3" xfId="17508"/>
    <cellStyle name="Normal 47 3 4" xfId="17509"/>
    <cellStyle name="Normal 47 3 5" xfId="17510"/>
    <cellStyle name="Normal 47 3 6" xfId="17511"/>
    <cellStyle name="Normal 47 3 7" xfId="17512"/>
    <cellStyle name="Normal 47 3 8" xfId="17513"/>
    <cellStyle name="Normal 47 3 9" xfId="17514"/>
    <cellStyle name="Normal 47 4" xfId="17515"/>
    <cellStyle name="Normal 47 4 2" xfId="17516"/>
    <cellStyle name="Normal 47 4 3" xfId="17517"/>
    <cellStyle name="Normal 47 5" xfId="17518"/>
    <cellStyle name="Normal 47 6" xfId="17519"/>
    <cellStyle name="Normal 47 7" xfId="17520"/>
    <cellStyle name="Normal 47 8" xfId="17521"/>
    <cellStyle name="Normal 47 9" xfId="17522"/>
    <cellStyle name="Normal 48" xfId="17523"/>
    <cellStyle name="Normal 48 2" xfId="17524"/>
    <cellStyle name="Normal 48 3" xfId="17525"/>
    <cellStyle name="Normal 49" xfId="17526"/>
    <cellStyle name="Normal 49 2" xfId="17527"/>
    <cellStyle name="Normal 49 3" xfId="17528"/>
    <cellStyle name="Normal 49 3 2" xfId="17529"/>
    <cellStyle name="Normal 49 3 3" xfId="17530"/>
    <cellStyle name="Normal 5" xfId="17531"/>
    <cellStyle name="Normal 5 10" xfId="17532"/>
    <cellStyle name="Normal 5 10 10" xfId="17533"/>
    <cellStyle name="Normal 5 10 11" xfId="17534"/>
    <cellStyle name="Normal 5 10 12" xfId="17535"/>
    <cellStyle name="Normal 5 10 13" xfId="17536"/>
    <cellStyle name="Normal 5 10 14" xfId="17537"/>
    <cellStyle name="Normal 5 10 15" xfId="17538"/>
    <cellStyle name="Normal 5 10 16" xfId="17539"/>
    <cellStyle name="Normal 5 10 17" xfId="17540"/>
    <cellStyle name="Normal 5 10 18" xfId="17541"/>
    <cellStyle name="Normal 5 10 2" xfId="17542"/>
    <cellStyle name="Normal 5 10 2 2" xfId="17543"/>
    <cellStyle name="Normal 5 10 3" xfId="17544"/>
    <cellStyle name="Normal 5 10 3 2" xfId="17545"/>
    <cellStyle name="Normal 5 10 4" xfId="17546"/>
    <cellStyle name="Normal 5 10 4 2" xfId="17547"/>
    <cellStyle name="Normal 5 10 5" xfId="17548"/>
    <cellStyle name="Normal 5 10 5 2" xfId="17549"/>
    <cellStyle name="Normal 5 10 6" xfId="17550"/>
    <cellStyle name="Normal 5 10 6 2" xfId="17551"/>
    <cellStyle name="Normal 5 10 7" xfId="17552"/>
    <cellStyle name="Normal 5 10 7 2" xfId="17553"/>
    <cellStyle name="Normal 5 10 8" xfId="17554"/>
    <cellStyle name="Normal 5 10 8 2" xfId="17555"/>
    <cellStyle name="Normal 5 10 9" xfId="17556"/>
    <cellStyle name="Normal 5 11" xfId="17557"/>
    <cellStyle name="Normal 5 11 10" xfId="17558"/>
    <cellStyle name="Normal 5 11 11" xfId="17559"/>
    <cellStyle name="Normal 5 11 12" xfId="17560"/>
    <cellStyle name="Normal 5 11 13" xfId="17561"/>
    <cellStyle name="Normal 5 11 14" xfId="17562"/>
    <cellStyle name="Normal 5 11 15" xfId="17563"/>
    <cellStyle name="Normal 5 11 16" xfId="17564"/>
    <cellStyle name="Normal 5 11 17" xfId="17565"/>
    <cellStyle name="Normal 5 11 18" xfId="17566"/>
    <cellStyle name="Normal 5 11 2" xfId="17567"/>
    <cellStyle name="Normal 5 11 2 2" xfId="17568"/>
    <cellStyle name="Normal 5 11 3" xfId="17569"/>
    <cellStyle name="Normal 5 11 3 2" xfId="17570"/>
    <cellStyle name="Normal 5 11 4" xfId="17571"/>
    <cellStyle name="Normal 5 11 4 2" xfId="17572"/>
    <cellStyle name="Normal 5 11 5" xfId="17573"/>
    <cellStyle name="Normal 5 11 5 2" xfId="17574"/>
    <cellStyle name="Normal 5 11 6" xfId="17575"/>
    <cellStyle name="Normal 5 11 6 2" xfId="17576"/>
    <cellStyle name="Normal 5 11 7" xfId="17577"/>
    <cellStyle name="Normal 5 11 7 2" xfId="17578"/>
    <cellStyle name="Normal 5 11 8" xfId="17579"/>
    <cellStyle name="Normal 5 11 8 2" xfId="17580"/>
    <cellStyle name="Normal 5 11 9" xfId="17581"/>
    <cellStyle name="Normal 5 12" xfId="17582"/>
    <cellStyle name="Normal 5 12 2" xfId="17583"/>
    <cellStyle name="Normal 5 13" xfId="17584"/>
    <cellStyle name="Normal 5 13 2" xfId="17585"/>
    <cellStyle name="Normal 5 14" xfId="17586"/>
    <cellStyle name="Normal 5 14 2" xfId="17587"/>
    <cellStyle name="Normal 5 15" xfId="17588"/>
    <cellStyle name="Normal 5 15 2" xfId="17589"/>
    <cellStyle name="Normal 5 16" xfId="17590"/>
    <cellStyle name="Normal 5 16 2" xfId="17591"/>
    <cellStyle name="Normal 5 17" xfId="17592"/>
    <cellStyle name="Normal 5 17 2" xfId="17593"/>
    <cellStyle name="Normal 5 18" xfId="17594"/>
    <cellStyle name="Normal 5 18 2" xfId="17595"/>
    <cellStyle name="Normal 5 19" xfId="17596"/>
    <cellStyle name="Normal 5 2" xfId="17597"/>
    <cellStyle name="Normal 5 2 10" xfId="17598"/>
    <cellStyle name="Normal 5 2 10 10" xfId="17599"/>
    <cellStyle name="Normal 5 2 10 10 2" xfId="17600"/>
    <cellStyle name="Normal 5 2 10 10 3" xfId="17601"/>
    <cellStyle name="Normal 5 2 10 11" xfId="17602"/>
    <cellStyle name="Normal 5 2 10 12" xfId="17603"/>
    <cellStyle name="Normal 5 2 10 13" xfId="17604"/>
    <cellStyle name="Normal 5 2 10 14" xfId="17605"/>
    <cellStyle name="Normal 5 2 10 15" xfId="17606"/>
    <cellStyle name="Normal 5 2 10 16" xfId="17607"/>
    <cellStyle name="Normal 5 2 10 17" xfId="17608"/>
    <cellStyle name="Normal 5 2 10 18" xfId="17609"/>
    <cellStyle name="Normal 5 2 10 2" xfId="17610"/>
    <cellStyle name="Normal 5 2 10 2 10" xfId="17611"/>
    <cellStyle name="Normal 5 2 10 2 11" xfId="17612"/>
    <cellStyle name="Normal 5 2 10 2 12" xfId="17613"/>
    <cellStyle name="Normal 5 2 10 2 13" xfId="17614"/>
    <cellStyle name="Normal 5 2 10 2 2" xfId="17615"/>
    <cellStyle name="Normal 5 2 10 2 2 10" xfId="17616"/>
    <cellStyle name="Normal 5 2 10 2 2 11" xfId="17617"/>
    <cellStyle name="Normal 5 2 10 2 2 2" xfId="17618"/>
    <cellStyle name="Normal 5 2 10 2 2 2 2" xfId="17619"/>
    <cellStyle name="Normal 5 2 10 2 2 2 2 2" xfId="17620"/>
    <cellStyle name="Normal 5 2 10 2 2 2 2 3" xfId="17621"/>
    <cellStyle name="Normal 5 2 10 2 2 2 3" xfId="17622"/>
    <cellStyle name="Normal 5 2 10 2 2 2 3 2" xfId="17623"/>
    <cellStyle name="Normal 5 2 10 2 2 2 3 3" xfId="17624"/>
    <cellStyle name="Normal 5 2 10 2 2 2 4" xfId="17625"/>
    <cellStyle name="Normal 5 2 10 2 2 2 5" xfId="17626"/>
    <cellStyle name="Normal 5 2 10 2 2 2 6" xfId="17627"/>
    <cellStyle name="Normal 5 2 10 2 2 2 7" xfId="17628"/>
    <cellStyle name="Normal 5 2 10 2 2 3" xfId="17629"/>
    <cellStyle name="Normal 5 2 10 2 2 3 2" xfId="17630"/>
    <cellStyle name="Normal 5 2 10 2 2 3 3" xfId="17631"/>
    <cellStyle name="Normal 5 2 10 2 2 4" xfId="17632"/>
    <cellStyle name="Normal 5 2 10 2 2 4 2" xfId="17633"/>
    <cellStyle name="Normal 5 2 10 2 2 4 3" xfId="17634"/>
    <cellStyle name="Normal 5 2 10 2 2 5" xfId="17635"/>
    <cellStyle name="Normal 5 2 10 2 2 6" xfId="17636"/>
    <cellStyle name="Normal 5 2 10 2 2 7" xfId="17637"/>
    <cellStyle name="Normal 5 2 10 2 2 8" xfId="17638"/>
    <cellStyle name="Normal 5 2 10 2 2 9" xfId="17639"/>
    <cellStyle name="Normal 5 2 10 2 3" xfId="17640"/>
    <cellStyle name="Normal 5 2 10 2 3 10" xfId="17641"/>
    <cellStyle name="Normal 5 2 10 2 3 11" xfId="17642"/>
    <cellStyle name="Normal 5 2 10 2 3 2" xfId="17643"/>
    <cellStyle name="Normal 5 2 10 2 3 2 2" xfId="17644"/>
    <cellStyle name="Normal 5 2 10 2 3 2 3" xfId="17645"/>
    <cellStyle name="Normal 5 2 10 2 3 3" xfId="17646"/>
    <cellStyle name="Normal 5 2 10 2 3 3 2" xfId="17647"/>
    <cellStyle name="Normal 5 2 10 2 3 3 3" xfId="17648"/>
    <cellStyle name="Normal 5 2 10 2 3 4" xfId="17649"/>
    <cellStyle name="Normal 5 2 10 2 3 5" xfId="17650"/>
    <cellStyle name="Normal 5 2 10 2 3 6" xfId="17651"/>
    <cellStyle name="Normal 5 2 10 2 3 7" xfId="17652"/>
    <cellStyle name="Normal 5 2 10 2 3 8" xfId="17653"/>
    <cellStyle name="Normal 5 2 10 2 3 9" xfId="17654"/>
    <cellStyle name="Normal 5 2 10 2 4" xfId="17655"/>
    <cellStyle name="Normal 5 2 10 2 4 2" xfId="17656"/>
    <cellStyle name="Normal 5 2 10 2 4 3" xfId="17657"/>
    <cellStyle name="Normal 5 2 10 2 5" xfId="17658"/>
    <cellStyle name="Normal 5 2 10 2 5 2" xfId="17659"/>
    <cellStyle name="Normal 5 2 10 2 5 3" xfId="17660"/>
    <cellStyle name="Normal 5 2 10 2 6" xfId="17661"/>
    <cellStyle name="Normal 5 2 10 2 7" xfId="17662"/>
    <cellStyle name="Normal 5 2 10 2 8" xfId="17663"/>
    <cellStyle name="Normal 5 2 10 2 9" xfId="17664"/>
    <cellStyle name="Normal 5 2 10 3" xfId="17665"/>
    <cellStyle name="Normal 5 2 10 3 10" xfId="17666"/>
    <cellStyle name="Normal 5 2 10 3 11" xfId="17667"/>
    <cellStyle name="Normal 5 2 10 3 12" xfId="17668"/>
    <cellStyle name="Normal 5 2 10 3 13" xfId="17669"/>
    <cellStyle name="Normal 5 2 10 3 2" xfId="17670"/>
    <cellStyle name="Normal 5 2 10 3 2 10" xfId="17671"/>
    <cellStyle name="Normal 5 2 10 3 2 11" xfId="17672"/>
    <cellStyle name="Normal 5 2 10 3 2 2" xfId="17673"/>
    <cellStyle name="Normal 5 2 10 3 2 2 2" xfId="17674"/>
    <cellStyle name="Normal 5 2 10 3 2 2 3" xfId="17675"/>
    <cellStyle name="Normal 5 2 10 3 2 3" xfId="17676"/>
    <cellStyle name="Normal 5 2 10 3 2 3 2" xfId="17677"/>
    <cellStyle name="Normal 5 2 10 3 2 3 3" xfId="17678"/>
    <cellStyle name="Normal 5 2 10 3 2 4" xfId="17679"/>
    <cellStyle name="Normal 5 2 10 3 2 5" xfId="17680"/>
    <cellStyle name="Normal 5 2 10 3 2 6" xfId="17681"/>
    <cellStyle name="Normal 5 2 10 3 2 7" xfId="17682"/>
    <cellStyle name="Normal 5 2 10 3 2 8" xfId="17683"/>
    <cellStyle name="Normal 5 2 10 3 2 9" xfId="17684"/>
    <cellStyle name="Normal 5 2 10 3 3" xfId="17685"/>
    <cellStyle name="Normal 5 2 10 3 3 10" xfId="17686"/>
    <cellStyle name="Normal 5 2 10 3 3 11" xfId="17687"/>
    <cellStyle name="Normal 5 2 10 3 3 2" xfId="17688"/>
    <cellStyle name="Normal 5 2 10 3 3 3" xfId="17689"/>
    <cellStyle name="Normal 5 2 10 3 3 4" xfId="17690"/>
    <cellStyle name="Normal 5 2 10 3 3 5" xfId="17691"/>
    <cellStyle name="Normal 5 2 10 3 3 6" xfId="17692"/>
    <cellStyle name="Normal 5 2 10 3 3 7" xfId="17693"/>
    <cellStyle name="Normal 5 2 10 3 3 8" xfId="17694"/>
    <cellStyle name="Normal 5 2 10 3 3 9" xfId="17695"/>
    <cellStyle name="Normal 5 2 10 3 4" xfId="17696"/>
    <cellStyle name="Normal 5 2 10 3 4 2" xfId="17697"/>
    <cellStyle name="Normal 5 2 10 3 4 3" xfId="17698"/>
    <cellStyle name="Normal 5 2 10 3 5" xfId="17699"/>
    <cellStyle name="Normal 5 2 10 3 5 2" xfId="17700"/>
    <cellStyle name="Normal 5 2 10 3 5 3" xfId="17701"/>
    <cellStyle name="Normal 5 2 10 3 6" xfId="17702"/>
    <cellStyle name="Normal 5 2 10 3 7" xfId="17703"/>
    <cellStyle name="Normal 5 2 10 3 8" xfId="17704"/>
    <cellStyle name="Normal 5 2 10 3 9" xfId="17705"/>
    <cellStyle name="Normal 5 2 10 4" xfId="17706"/>
    <cellStyle name="Normal 5 2 10 4 10" xfId="17707"/>
    <cellStyle name="Normal 5 2 10 4 11" xfId="17708"/>
    <cellStyle name="Normal 5 2 10 4 12" xfId="17709"/>
    <cellStyle name="Normal 5 2 10 4 13" xfId="17710"/>
    <cellStyle name="Normal 5 2 10 4 2" xfId="17711"/>
    <cellStyle name="Normal 5 2 10 4 2 10" xfId="17712"/>
    <cellStyle name="Normal 5 2 10 4 2 11" xfId="17713"/>
    <cellStyle name="Normal 5 2 10 4 2 2" xfId="17714"/>
    <cellStyle name="Normal 5 2 10 4 2 2 2" xfId="17715"/>
    <cellStyle name="Normal 5 2 10 4 2 2 3" xfId="17716"/>
    <cellStyle name="Normal 5 2 10 4 2 3" xfId="17717"/>
    <cellStyle name="Normal 5 2 10 4 2 3 2" xfId="17718"/>
    <cellStyle name="Normal 5 2 10 4 2 3 3" xfId="17719"/>
    <cellStyle name="Normal 5 2 10 4 2 4" xfId="17720"/>
    <cellStyle name="Normal 5 2 10 4 2 5" xfId="17721"/>
    <cellStyle name="Normal 5 2 10 4 2 6" xfId="17722"/>
    <cellStyle name="Normal 5 2 10 4 2 7" xfId="17723"/>
    <cellStyle name="Normal 5 2 10 4 2 8" xfId="17724"/>
    <cellStyle name="Normal 5 2 10 4 2 9" xfId="17725"/>
    <cellStyle name="Normal 5 2 10 4 3" xfId="17726"/>
    <cellStyle name="Normal 5 2 10 4 3 10" xfId="17727"/>
    <cellStyle name="Normal 5 2 10 4 3 11" xfId="17728"/>
    <cellStyle name="Normal 5 2 10 4 3 2" xfId="17729"/>
    <cellStyle name="Normal 5 2 10 4 3 3" xfId="17730"/>
    <cellStyle name="Normal 5 2 10 4 3 4" xfId="17731"/>
    <cellStyle name="Normal 5 2 10 4 3 5" xfId="17732"/>
    <cellStyle name="Normal 5 2 10 4 3 6" xfId="17733"/>
    <cellStyle name="Normal 5 2 10 4 3 7" xfId="17734"/>
    <cellStyle name="Normal 5 2 10 4 3 8" xfId="17735"/>
    <cellStyle name="Normal 5 2 10 4 3 9" xfId="17736"/>
    <cellStyle name="Normal 5 2 10 4 4" xfId="17737"/>
    <cellStyle name="Normal 5 2 10 4 4 2" xfId="17738"/>
    <cellStyle name="Normal 5 2 10 4 4 3" xfId="17739"/>
    <cellStyle name="Normal 5 2 10 4 5" xfId="17740"/>
    <cellStyle name="Normal 5 2 10 4 5 2" xfId="17741"/>
    <cellStyle name="Normal 5 2 10 4 5 3" xfId="17742"/>
    <cellStyle name="Normal 5 2 10 4 6" xfId="17743"/>
    <cellStyle name="Normal 5 2 10 4 7" xfId="17744"/>
    <cellStyle name="Normal 5 2 10 4 8" xfId="17745"/>
    <cellStyle name="Normal 5 2 10 4 9" xfId="17746"/>
    <cellStyle name="Normal 5 2 10 5" xfId="17747"/>
    <cellStyle name="Normal 5 2 10 5 10" xfId="17748"/>
    <cellStyle name="Normal 5 2 10 5 11" xfId="17749"/>
    <cellStyle name="Normal 5 2 10 5 12" xfId="17750"/>
    <cellStyle name="Normal 5 2 10 5 13" xfId="17751"/>
    <cellStyle name="Normal 5 2 10 5 2" xfId="17752"/>
    <cellStyle name="Normal 5 2 10 5 2 10" xfId="17753"/>
    <cellStyle name="Normal 5 2 10 5 2 11" xfId="17754"/>
    <cellStyle name="Normal 5 2 10 5 2 2" xfId="17755"/>
    <cellStyle name="Normal 5 2 10 5 2 3" xfId="17756"/>
    <cellStyle name="Normal 5 2 10 5 2 4" xfId="17757"/>
    <cellStyle name="Normal 5 2 10 5 2 5" xfId="17758"/>
    <cellStyle name="Normal 5 2 10 5 2 6" xfId="17759"/>
    <cellStyle name="Normal 5 2 10 5 2 7" xfId="17760"/>
    <cellStyle name="Normal 5 2 10 5 2 8" xfId="17761"/>
    <cellStyle name="Normal 5 2 10 5 2 9" xfId="17762"/>
    <cellStyle name="Normal 5 2 10 5 3" xfId="17763"/>
    <cellStyle name="Normal 5 2 10 5 3 10" xfId="17764"/>
    <cellStyle name="Normal 5 2 10 5 3 11" xfId="17765"/>
    <cellStyle name="Normal 5 2 10 5 3 2" xfId="17766"/>
    <cellStyle name="Normal 5 2 10 5 3 3" xfId="17767"/>
    <cellStyle name="Normal 5 2 10 5 3 4" xfId="17768"/>
    <cellStyle name="Normal 5 2 10 5 3 5" xfId="17769"/>
    <cellStyle name="Normal 5 2 10 5 3 6" xfId="17770"/>
    <cellStyle name="Normal 5 2 10 5 3 7" xfId="17771"/>
    <cellStyle name="Normal 5 2 10 5 3 8" xfId="17772"/>
    <cellStyle name="Normal 5 2 10 5 3 9" xfId="17773"/>
    <cellStyle name="Normal 5 2 10 5 4" xfId="17774"/>
    <cellStyle name="Normal 5 2 10 5 4 2" xfId="17775"/>
    <cellStyle name="Normal 5 2 10 5 4 3" xfId="17776"/>
    <cellStyle name="Normal 5 2 10 5 5" xfId="17777"/>
    <cellStyle name="Normal 5 2 10 5 5 2" xfId="17778"/>
    <cellStyle name="Normal 5 2 10 5 5 3" xfId="17779"/>
    <cellStyle name="Normal 5 2 10 5 6" xfId="17780"/>
    <cellStyle name="Normal 5 2 10 5 7" xfId="17781"/>
    <cellStyle name="Normal 5 2 10 5 8" xfId="17782"/>
    <cellStyle name="Normal 5 2 10 5 9" xfId="17783"/>
    <cellStyle name="Normal 5 2 10 6" xfId="17784"/>
    <cellStyle name="Normal 5 2 10 6 10" xfId="17785"/>
    <cellStyle name="Normal 5 2 10 6 11" xfId="17786"/>
    <cellStyle name="Normal 5 2 10 6 12" xfId="17787"/>
    <cellStyle name="Normal 5 2 10 6 13" xfId="17788"/>
    <cellStyle name="Normal 5 2 10 6 2" xfId="17789"/>
    <cellStyle name="Normal 5 2 10 6 2 10" xfId="17790"/>
    <cellStyle name="Normal 5 2 10 6 2 11" xfId="17791"/>
    <cellStyle name="Normal 5 2 10 6 2 2" xfId="17792"/>
    <cellStyle name="Normal 5 2 10 6 2 3" xfId="17793"/>
    <cellStyle name="Normal 5 2 10 6 2 4" xfId="17794"/>
    <cellStyle name="Normal 5 2 10 6 2 5" xfId="17795"/>
    <cellStyle name="Normal 5 2 10 6 2 6" xfId="17796"/>
    <cellStyle name="Normal 5 2 10 6 2 7" xfId="17797"/>
    <cellStyle name="Normal 5 2 10 6 2 8" xfId="17798"/>
    <cellStyle name="Normal 5 2 10 6 2 9" xfId="17799"/>
    <cellStyle name="Normal 5 2 10 6 3" xfId="17800"/>
    <cellStyle name="Normal 5 2 10 6 3 10" xfId="17801"/>
    <cellStyle name="Normal 5 2 10 6 3 11" xfId="17802"/>
    <cellStyle name="Normal 5 2 10 6 3 2" xfId="17803"/>
    <cellStyle name="Normal 5 2 10 6 3 3" xfId="17804"/>
    <cellStyle name="Normal 5 2 10 6 3 4" xfId="17805"/>
    <cellStyle name="Normal 5 2 10 6 3 5" xfId="17806"/>
    <cellStyle name="Normal 5 2 10 6 3 6" xfId="17807"/>
    <cellStyle name="Normal 5 2 10 6 3 7" xfId="17808"/>
    <cellStyle name="Normal 5 2 10 6 3 8" xfId="17809"/>
    <cellStyle name="Normal 5 2 10 6 3 9" xfId="17810"/>
    <cellStyle name="Normal 5 2 10 6 4" xfId="17811"/>
    <cellStyle name="Normal 5 2 10 6 4 2" xfId="17812"/>
    <cellStyle name="Normal 5 2 10 6 4 3" xfId="17813"/>
    <cellStyle name="Normal 5 2 10 6 5" xfId="17814"/>
    <cellStyle name="Normal 5 2 10 6 5 2" xfId="17815"/>
    <cellStyle name="Normal 5 2 10 6 5 3" xfId="17816"/>
    <cellStyle name="Normal 5 2 10 6 6" xfId="17817"/>
    <cellStyle name="Normal 5 2 10 6 7" xfId="17818"/>
    <cellStyle name="Normal 5 2 10 6 8" xfId="17819"/>
    <cellStyle name="Normal 5 2 10 6 9" xfId="17820"/>
    <cellStyle name="Normal 5 2 10 7" xfId="17821"/>
    <cellStyle name="Normal 5 2 10 7 10" xfId="17822"/>
    <cellStyle name="Normal 5 2 10 7 11" xfId="17823"/>
    <cellStyle name="Normal 5 2 10 7 2" xfId="17824"/>
    <cellStyle name="Normal 5 2 10 7 3" xfId="17825"/>
    <cellStyle name="Normal 5 2 10 7 4" xfId="17826"/>
    <cellStyle name="Normal 5 2 10 7 5" xfId="17827"/>
    <cellStyle name="Normal 5 2 10 7 6" xfId="17828"/>
    <cellStyle name="Normal 5 2 10 7 7" xfId="17829"/>
    <cellStyle name="Normal 5 2 10 7 8" xfId="17830"/>
    <cellStyle name="Normal 5 2 10 7 9" xfId="17831"/>
    <cellStyle name="Normal 5 2 10 8" xfId="17832"/>
    <cellStyle name="Normal 5 2 10 8 10" xfId="17833"/>
    <cellStyle name="Normal 5 2 10 8 11" xfId="17834"/>
    <cellStyle name="Normal 5 2 10 8 2" xfId="17835"/>
    <cellStyle name="Normal 5 2 10 8 3" xfId="17836"/>
    <cellStyle name="Normal 5 2 10 8 4" xfId="17837"/>
    <cellStyle name="Normal 5 2 10 8 5" xfId="17838"/>
    <cellStyle name="Normal 5 2 10 8 6" xfId="17839"/>
    <cellStyle name="Normal 5 2 10 8 7" xfId="17840"/>
    <cellStyle name="Normal 5 2 10 8 8" xfId="17841"/>
    <cellStyle name="Normal 5 2 10 8 9" xfId="17842"/>
    <cellStyle name="Normal 5 2 10 9" xfId="17843"/>
    <cellStyle name="Normal 5 2 10 9 2" xfId="17844"/>
    <cellStyle name="Normal 5 2 10 9 3" xfId="17845"/>
    <cellStyle name="Normal 5 2 11" xfId="17846"/>
    <cellStyle name="Normal 5 2 11 10" xfId="17847"/>
    <cellStyle name="Normal 5 2 11 11" xfId="17848"/>
    <cellStyle name="Normal 5 2 11 12" xfId="17849"/>
    <cellStyle name="Normal 5 2 11 13" xfId="17850"/>
    <cellStyle name="Normal 5 2 11 2" xfId="17851"/>
    <cellStyle name="Normal 5 2 11 2 10" xfId="17852"/>
    <cellStyle name="Normal 5 2 11 2 11" xfId="17853"/>
    <cellStyle name="Normal 5 2 11 2 2" xfId="17854"/>
    <cellStyle name="Normal 5 2 11 2 2 2" xfId="17855"/>
    <cellStyle name="Normal 5 2 11 2 2 2 2" xfId="17856"/>
    <cellStyle name="Normal 5 2 11 2 2 2 2 2" xfId="17857"/>
    <cellStyle name="Normal 5 2 11 2 2 2 2 3" xfId="17858"/>
    <cellStyle name="Normal 5 2 11 2 2 2 3" xfId="17859"/>
    <cellStyle name="Normal 5 2 11 2 2 2 3 2" xfId="17860"/>
    <cellStyle name="Normal 5 2 11 2 2 2 3 3" xfId="17861"/>
    <cellStyle name="Normal 5 2 11 2 2 2 4" xfId="17862"/>
    <cellStyle name="Normal 5 2 11 2 2 2 5" xfId="17863"/>
    <cellStyle name="Normal 5 2 11 2 2 2 6" xfId="17864"/>
    <cellStyle name="Normal 5 2 11 2 2 2 7" xfId="17865"/>
    <cellStyle name="Normal 5 2 11 2 2 3" xfId="17866"/>
    <cellStyle name="Normal 5 2 11 2 2 3 2" xfId="17867"/>
    <cellStyle name="Normal 5 2 11 2 2 3 3" xfId="17868"/>
    <cellStyle name="Normal 5 2 11 2 2 4" xfId="17869"/>
    <cellStyle name="Normal 5 2 11 2 2 4 2" xfId="17870"/>
    <cellStyle name="Normal 5 2 11 2 2 4 3" xfId="17871"/>
    <cellStyle name="Normal 5 2 11 2 2 5" xfId="17872"/>
    <cellStyle name="Normal 5 2 11 2 2 6" xfId="17873"/>
    <cellStyle name="Normal 5 2 11 2 2 7" xfId="17874"/>
    <cellStyle name="Normal 5 2 11 2 2 8" xfId="17875"/>
    <cellStyle name="Normal 5 2 11 2 3" xfId="17876"/>
    <cellStyle name="Normal 5 2 11 2 3 2" xfId="17877"/>
    <cellStyle name="Normal 5 2 11 2 3 2 2" xfId="17878"/>
    <cellStyle name="Normal 5 2 11 2 3 2 3" xfId="17879"/>
    <cellStyle name="Normal 5 2 11 2 3 3" xfId="17880"/>
    <cellStyle name="Normal 5 2 11 2 3 3 2" xfId="17881"/>
    <cellStyle name="Normal 5 2 11 2 3 3 3" xfId="17882"/>
    <cellStyle name="Normal 5 2 11 2 3 4" xfId="17883"/>
    <cellStyle name="Normal 5 2 11 2 3 5" xfId="17884"/>
    <cellStyle name="Normal 5 2 11 2 3 6" xfId="17885"/>
    <cellStyle name="Normal 5 2 11 2 3 7" xfId="17886"/>
    <cellStyle name="Normal 5 2 11 2 4" xfId="17887"/>
    <cellStyle name="Normal 5 2 11 2 4 2" xfId="17888"/>
    <cellStyle name="Normal 5 2 11 2 4 3" xfId="17889"/>
    <cellStyle name="Normal 5 2 11 2 5" xfId="17890"/>
    <cellStyle name="Normal 5 2 11 2 5 2" xfId="17891"/>
    <cellStyle name="Normal 5 2 11 2 5 3" xfId="17892"/>
    <cellStyle name="Normal 5 2 11 2 6" xfId="17893"/>
    <cellStyle name="Normal 5 2 11 2 7" xfId="17894"/>
    <cellStyle name="Normal 5 2 11 2 8" xfId="17895"/>
    <cellStyle name="Normal 5 2 11 2 9" xfId="17896"/>
    <cellStyle name="Normal 5 2 11 3" xfId="17897"/>
    <cellStyle name="Normal 5 2 11 3 10" xfId="17898"/>
    <cellStyle name="Normal 5 2 11 3 11" xfId="17899"/>
    <cellStyle name="Normal 5 2 11 3 2" xfId="17900"/>
    <cellStyle name="Normal 5 2 11 3 2 2" xfId="17901"/>
    <cellStyle name="Normal 5 2 11 3 2 2 2" xfId="17902"/>
    <cellStyle name="Normal 5 2 11 3 2 2 3" xfId="17903"/>
    <cellStyle name="Normal 5 2 11 3 2 3" xfId="17904"/>
    <cellStyle name="Normal 5 2 11 3 2 3 2" xfId="17905"/>
    <cellStyle name="Normal 5 2 11 3 2 3 3" xfId="17906"/>
    <cellStyle name="Normal 5 2 11 3 2 4" xfId="17907"/>
    <cellStyle name="Normal 5 2 11 3 2 5" xfId="17908"/>
    <cellStyle name="Normal 5 2 11 3 2 6" xfId="17909"/>
    <cellStyle name="Normal 5 2 11 3 2 7" xfId="17910"/>
    <cellStyle name="Normal 5 2 11 3 3" xfId="17911"/>
    <cellStyle name="Normal 5 2 11 3 3 2" xfId="17912"/>
    <cellStyle name="Normal 5 2 11 3 3 3" xfId="17913"/>
    <cellStyle name="Normal 5 2 11 3 4" xfId="17914"/>
    <cellStyle name="Normal 5 2 11 3 4 2" xfId="17915"/>
    <cellStyle name="Normal 5 2 11 3 4 3" xfId="17916"/>
    <cellStyle name="Normal 5 2 11 3 5" xfId="17917"/>
    <cellStyle name="Normal 5 2 11 3 6" xfId="17918"/>
    <cellStyle name="Normal 5 2 11 3 7" xfId="17919"/>
    <cellStyle name="Normal 5 2 11 3 8" xfId="17920"/>
    <cellStyle name="Normal 5 2 11 3 9" xfId="17921"/>
    <cellStyle name="Normal 5 2 11 4" xfId="17922"/>
    <cellStyle name="Normal 5 2 11 4 2" xfId="17923"/>
    <cellStyle name="Normal 5 2 11 4 2 2" xfId="17924"/>
    <cellStyle name="Normal 5 2 11 4 2 2 2" xfId="17925"/>
    <cellStyle name="Normal 5 2 11 4 2 2 3" xfId="17926"/>
    <cellStyle name="Normal 5 2 11 4 2 3" xfId="17927"/>
    <cellStyle name="Normal 5 2 11 4 2 3 2" xfId="17928"/>
    <cellStyle name="Normal 5 2 11 4 2 3 3" xfId="17929"/>
    <cellStyle name="Normal 5 2 11 4 2 4" xfId="17930"/>
    <cellStyle name="Normal 5 2 11 4 2 5" xfId="17931"/>
    <cellStyle name="Normal 5 2 11 4 2 6" xfId="17932"/>
    <cellStyle name="Normal 5 2 11 4 2 7" xfId="17933"/>
    <cellStyle name="Normal 5 2 11 4 3" xfId="17934"/>
    <cellStyle name="Normal 5 2 11 4 3 2" xfId="17935"/>
    <cellStyle name="Normal 5 2 11 4 3 3" xfId="17936"/>
    <cellStyle name="Normal 5 2 11 4 4" xfId="17937"/>
    <cellStyle name="Normal 5 2 11 4 4 2" xfId="17938"/>
    <cellStyle name="Normal 5 2 11 4 4 3" xfId="17939"/>
    <cellStyle name="Normal 5 2 11 4 5" xfId="17940"/>
    <cellStyle name="Normal 5 2 11 4 6" xfId="17941"/>
    <cellStyle name="Normal 5 2 11 4 7" xfId="17942"/>
    <cellStyle name="Normal 5 2 11 4 8" xfId="17943"/>
    <cellStyle name="Normal 5 2 11 5" xfId="17944"/>
    <cellStyle name="Normal 5 2 11 5 2" xfId="17945"/>
    <cellStyle name="Normal 5 2 11 5 2 2" xfId="17946"/>
    <cellStyle name="Normal 5 2 11 5 2 3" xfId="17947"/>
    <cellStyle name="Normal 5 2 11 5 3" xfId="17948"/>
    <cellStyle name="Normal 5 2 11 5 3 2" xfId="17949"/>
    <cellStyle name="Normal 5 2 11 5 3 3" xfId="17950"/>
    <cellStyle name="Normal 5 2 11 5 4" xfId="17951"/>
    <cellStyle name="Normal 5 2 11 5 5" xfId="17952"/>
    <cellStyle name="Normal 5 2 11 5 6" xfId="17953"/>
    <cellStyle name="Normal 5 2 11 5 7" xfId="17954"/>
    <cellStyle name="Normal 5 2 11 6" xfId="17955"/>
    <cellStyle name="Normal 5 2 11 6 2" xfId="17956"/>
    <cellStyle name="Normal 5 2 11 6 3" xfId="17957"/>
    <cellStyle name="Normal 5 2 11 7" xfId="17958"/>
    <cellStyle name="Normal 5 2 11 7 2" xfId="17959"/>
    <cellStyle name="Normal 5 2 11 7 3" xfId="17960"/>
    <cellStyle name="Normal 5 2 11 8" xfId="17961"/>
    <cellStyle name="Normal 5 2 11 9" xfId="17962"/>
    <cellStyle name="Normal 5 2 12" xfId="17963"/>
    <cellStyle name="Normal 5 2 12 10" xfId="17964"/>
    <cellStyle name="Normal 5 2 12 11" xfId="17965"/>
    <cellStyle name="Normal 5 2 12 12" xfId="17966"/>
    <cellStyle name="Normal 5 2 12 13" xfId="17967"/>
    <cellStyle name="Normal 5 2 12 2" xfId="17968"/>
    <cellStyle name="Normal 5 2 12 2 10" xfId="17969"/>
    <cellStyle name="Normal 5 2 12 2 11" xfId="17970"/>
    <cellStyle name="Normal 5 2 12 2 2" xfId="17971"/>
    <cellStyle name="Normal 5 2 12 2 2 2" xfId="17972"/>
    <cellStyle name="Normal 5 2 12 2 2 2 2" xfId="17973"/>
    <cellStyle name="Normal 5 2 12 2 2 2 3" xfId="17974"/>
    <cellStyle name="Normal 5 2 12 2 2 3" xfId="17975"/>
    <cellStyle name="Normal 5 2 12 2 2 3 2" xfId="17976"/>
    <cellStyle name="Normal 5 2 12 2 2 3 3" xfId="17977"/>
    <cellStyle name="Normal 5 2 12 2 2 4" xfId="17978"/>
    <cellStyle name="Normal 5 2 12 2 2 5" xfId="17979"/>
    <cellStyle name="Normal 5 2 12 2 2 6" xfId="17980"/>
    <cellStyle name="Normal 5 2 12 2 2 7" xfId="17981"/>
    <cellStyle name="Normal 5 2 12 2 3" xfId="17982"/>
    <cellStyle name="Normal 5 2 12 2 3 2" xfId="17983"/>
    <cellStyle name="Normal 5 2 12 2 3 3" xfId="17984"/>
    <cellStyle name="Normal 5 2 12 2 4" xfId="17985"/>
    <cellStyle name="Normal 5 2 12 2 4 2" xfId="17986"/>
    <cellStyle name="Normal 5 2 12 2 4 3" xfId="17987"/>
    <cellStyle name="Normal 5 2 12 2 5" xfId="17988"/>
    <cellStyle name="Normal 5 2 12 2 6" xfId="17989"/>
    <cellStyle name="Normal 5 2 12 2 7" xfId="17990"/>
    <cellStyle name="Normal 5 2 12 2 8" xfId="17991"/>
    <cellStyle name="Normal 5 2 12 2 9" xfId="17992"/>
    <cellStyle name="Normal 5 2 12 3" xfId="17993"/>
    <cellStyle name="Normal 5 2 12 3 10" xfId="17994"/>
    <cellStyle name="Normal 5 2 12 3 11" xfId="17995"/>
    <cellStyle name="Normal 5 2 12 3 2" xfId="17996"/>
    <cellStyle name="Normal 5 2 12 3 2 2" xfId="17997"/>
    <cellStyle name="Normal 5 2 12 3 2 3" xfId="17998"/>
    <cellStyle name="Normal 5 2 12 3 3" xfId="17999"/>
    <cellStyle name="Normal 5 2 12 3 3 2" xfId="18000"/>
    <cellStyle name="Normal 5 2 12 3 3 3" xfId="18001"/>
    <cellStyle name="Normal 5 2 12 3 4" xfId="18002"/>
    <cellStyle name="Normal 5 2 12 3 5" xfId="18003"/>
    <cellStyle name="Normal 5 2 12 3 6" xfId="18004"/>
    <cellStyle name="Normal 5 2 12 3 7" xfId="18005"/>
    <cellStyle name="Normal 5 2 12 3 8" xfId="18006"/>
    <cellStyle name="Normal 5 2 12 3 9" xfId="18007"/>
    <cellStyle name="Normal 5 2 12 4" xfId="18008"/>
    <cellStyle name="Normal 5 2 12 4 2" xfId="18009"/>
    <cellStyle name="Normal 5 2 12 4 3" xfId="18010"/>
    <cellStyle name="Normal 5 2 12 5" xfId="18011"/>
    <cellStyle name="Normal 5 2 12 5 2" xfId="18012"/>
    <cellStyle name="Normal 5 2 12 5 3" xfId="18013"/>
    <cellStyle name="Normal 5 2 12 6" xfId="18014"/>
    <cellStyle name="Normal 5 2 12 7" xfId="18015"/>
    <cellStyle name="Normal 5 2 12 8" xfId="18016"/>
    <cellStyle name="Normal 5 2 12 9" xfId="18017"/>
    <cellStyle name="Normal 5 2 13" xfId="18018"/>
    <cellStyle name="Normal 5 2 13 10" xfId="18019"/>
    <cellStyle name="Normal 5 2 13 11" xfId="18020"/>
    <cellStyle name="Normal 5 2 13 12" xfId="18021"/>
    <cellStyle name="Normal 5 2 13 13" xfId="18022"/>
    <cellStyle name="Normal 5 2 13 2" xfId="18023"/>
    <cellStyle name="Normal 5 2 13 2 10" xfId="18024"/>
    <cellStyle name="Normal 5 2 13 2 11" xfId="18025"/>
    <cellStyle name="Normal 5 2 13 2 2" xfId="18026"/>
    <cellStyle name="Normal 5 2 13 2 2 2" xfId="18027"/>
    <cellStyle name="Normal 5 2 13 2 2 3" xfId="18028"/>
    <cellStyle name="Normal 5 2 13 2 3" xfId="18029"/>
    <cellStyle name="Normal 5 2 13 2 3 2" xfId="18030"/>
    <cellStyle name="Normal 5 2 13 2 3 3" xfId="18031"/>
    <cellStyle name="Normal 5 2 13 2 4" xfId="18032"/>
    <cellStyle name="Normal 5 2 13 2 5" xfId="18033"/>
    <cellStyle name="Normal 5 2 13 2 6" xfId="18034"/>
    <cellStyle name="Normal 5 2 13 2 7" xfId="18035"/>
    <cellStyle name="Normal 5 2 13 2 8" xfId="18036"/>
    <cellStyle name="Normal 5 2 13 2 9" xfId="18037"/>
    <cellStyle name="Normal 5 2 13 3" xfId="18038"/>
    <cellStyle name="Normal 5 2 13 3 10" xfId="18039"/>
    <cellStyle name="Normal 5 2 13 3 11" xfId="18040"/>
    <cellStyle name="Normal 5 2 13 3 2" xfId="18041"/>
    <cellStyle name="Normal 5 2 13 3 3" xfId="18042"/>
    <cellStyle name="Normal 5 2 13 3 4" xfId="18043"/>
    <cellStyle name="Normal 5 2 13 3 5" xfId="18044"/>
    <cellStyle name="Normal 5 2 13 3 6" xfId="18045"/>
    <cellStyle name="Normal 5 2 13 3 7" xfId="18046"/>
    <cellStyle name="Normal 5 2 13 3 8" xfId="18047"/>
    <cellStyle name="Normal 5 2 13 3 9" xfId="18048"/>
    <cellStyle name="Normal 5 2 13 4" xfId="18049"/>
    <cellStyle name="Normal 5 2 13 4 2" xfId="18050"/>
    <cellStyle name="Normal 5 2 13 4 3" xfId="18051"/>
    <cellStyle name="Normal 5 2 13 5" xfId="18052"/>
    <cellStyle name="Normal 5 2 13 5 2" xfId="18053"/>
    <cellStyle name="Normal 5 2 13 5 3" xfId="18054"/>
    <cellStyle name="Normal 5 2 13 6" xfId="18055"/>
    <cellStyle name="Normal 5 2 13 7" xfId="18056"/>
    <cellStyle name="Normal 5 2 13 8" xfId="18057"/>
    <cellStyle name="Normal 5 2 13 9" xfId="18058"/>
    <cellStyle name="Normal 5 2 14" xfId="18059"/>
    <cellStyle name="Normal 5 2 14 10" xfId="18060"/>
    <cellStyle name="Normal 5 2 14 11" xfId="18061"/>
    <cellStyle name="Normal 5 2 14 12" xfId="18062"/>
    <cellStyle name="Normal 5 2 14 13" xfId="18063"/>
    <cellStyle name="Normal 5 2 14 2" xfId="18064"/>
    <cellStyle name="Normal 5 2 14 2 10" xfId="18065"/>
    <cellStyle name="Normal 5 2 14 2 11" xfId="18066"/>
    <cellStyle name="Normal 5 2 14 2 2" xfId="18067"/>
    <cellStyle name="Normal 5 2 14 2 2 2" xfId="18068"/>
    <cellStyle name="Normal 5 2 14 2 2 3" xfId="18069"/>
    <cellStyle name="Normal 5 2 14 2 3" xfId="18070"/>
    <cellStyle name="Normal 5 2 14 2 3 2" xfId="18071"/>
    <cellStyle name="Normal 5 2 14 2 3 3" xfId="18072"/>
    <cellStyle name="Normal 5 2 14 2 4" xfId="18073"/>
    <cellStyle name="Normal 5 2 14 2 5" xfId="18074"/>
    <cellStyle name="Normal 5 2 14 2 6" xfId="18075"/>
    <cellStyle name="Normal 5 2 14 2 7" xfId="18076"/>
    <cellStyle name="Normal 5 2 14 2 8" xfId="18077"/>
    <cellStyle name="Normal 5 2 14 2 9" xfId="18078"/>
    <cellStyle name="Normal 5 2 14 3" xfId="18079"/>
    <cellStyle name="Normal 5 2 14 3 10" xfId="18080"/>
    <cellStyle name="Normal 5 2 14 3 11" xfId="18081"/>
    <cellStyle name="Normal 5 2 14 3 2" xfId="18082"/>
    <cellStyle name="Normal 5 2 14 3 3" xfId="18083"/>
    <cellStyle name="Normal 5 2 14 3 4" xfId="18084"/>
    <cellStyle name="Normal 5 2 14 3 5" xfId="18085"/>
    <cellStyle name="Normal 5 2 14 3 6" xfId="18086"/>
    <cellStyle name="Normal 5 2 14 3 7" xfId="18087"/>
    <cellStyle name="Normal 5 2 14 3 8" xfId="18088"/>
    <cellStyle name="Normal 5 2 14 3 9" xfId="18089"/>
    <cellStyle name="Normal 5 2 14 4" xfId="18090"/>
    <cellStyle name="Normal 5 2 14 4 2" xfId="18091"/>
    <cellStyle name="Normal 5 2 14 4 3" xfId="18092"/>
    <cellStyle name="Normal 5 2 14 5" xfId="18093"/>
    <cellStyle name="Normal 5 2 14 5 2" xfId="18094"/>
    <cellStyle name="Normal 5 2 14 5 3" xfId="18095"/>
    <cellStyle name="Normal 5 2 14 6" xfId="18096"/>
    <cellStyle name="Normal 5 2 14 7" xfId="18097"/>
    <cellStyle name="Normal 5 2 14 8" xfId="18098"/>
    <cellStyle name="Normal 5 2 14 9" xfId="18099"/>
    <cellStyle name="Normal 5 2 15" xfId="18100"/>
    <cellStyle name="Normal 5 2 15 10" xfId="18101"/>
    <cellStyle name="Normal 5 2 15 11" xfId="18102"/>
    <cellStyle name="Normal 5 2 15 12" xfId="18103"/>
    <cellStyle name="Normal 5 2 15 13" xfId="18104"/>
    <cellStyle name="Normal 5 2 15 2" xfId="18105"/>
    <cellStyle name="Normal 5 2 15 2 10" xfId="18106"/>
    <cellStyle name="Normal 5 2 15 2 11" xfId="18107"/>
    <cellStyle name="Normal 5 2 15 2 2" xfId="18108"/>
    <cellStyle name="Normal 5 2 15 2 3" xfId="18109"/>
    <cellStyle name="Normal 5 2 15 2 4" xfId="18110"/>
    <cellStyle name="Normal 5 2 15 2 5" xfId="18111"/>
    <cellStyle name="Normal 5 2 15 2 6" xfId="18112"/>
    <cellStyle name="Normal 5 2 15 2 7" xfId="18113"/>
    <cellStyle name="Normal 5 2 15 2 8" xfId="18114"/>
    <cellStyle name="Normal 5 2 15 2 9" xfId="18115"/>
    <cellStyle name="Normal 5 2 15 3" xfId="18116"/>
    <cellStyle name="Normal 5 2 15 3 10" xfId="18117"/>
    <cellStyle name="Normal 5 2 15 3 11" xfId="18118"/>
    <cellStyle name="Normal 5 2 15 3 2" xfId="18119"/>
    <cellStyle name="Normal 5 2 15 3 3" xfId="18120"/>
    <cellStyle name="Normal 5 2 15 3 4" xfId="18121"/>
    <cellStyle name="Normal 5 2 15 3 5" xfId="18122"/>
    <cellStyle name="Normal 5 2 15 3 6" xfId="18123"/>
    <cellStyle name="Normal 5 2 15 3 7" xfId="18124"/>
    <cellStyle name="Normal 5 2 15 3 8" xfId="18125"/>
    <cellStyle name="Normal 5 2 15 3 9" xfId="18126"/>
    <cellStyle name="Normal 5 2 15 4" xfId="18127"/>
    <cellStyle name="Normal 5 2 15 4 2" xfId="18128"/>
    <cellStyle name="Normal 5 2 15 4 3" xfId="18129"/>
    <cellStyle name="Normal 5 2 15 5" xfId="18130"/>
    <cellStyle name="Normal 5 2 15 5 2" xfId="18131"/>
    <cellStyle name="Normal 5 2 15 5 3" xfId="18132"/>
    <cellStyle name="Normal 5 2 15 6" xfId="18133"/>
    <cellStyle name="Normal 5 2 15 7" xfId="18134"/>
    <cellStyle name="Normal 5 2 15 8" xfId="18135"/>
    <cellStyle name="Normal 5 2 15 9" xfId="18136"/>
    <cellStyle name="Normal 5 2 16" xfId="18137"/>
    <cellStyle name="Normal 5 2 16 10" xfId="18138"/>
    <cellStyle name="Normal 5 2 16 11" xfId="18139"/>
    <cellStyle name="Normal 5 2 16 2" xfId="18140"/>
    <cellStyle name="Normal 5 2 16 2 2" xfId="18141"/>
    <cellStyle name="Normal 5 2 16 2 3" xfId="18142"/>
    <cellStyle name="Normal 5 2 16 3" xfId="18143"/>
    <cellStyle name="Normal 5 2 16 3 2" xfId="18144"/>
    <cellStyle name="Normal 5 2 16 3 3" xfId="18145"/>
    <cellStyle name="Normal 5 2 16 4" xfId="18146"/>
    <cellStyle name="Normal 5 2 16 5" xfId="18147"/>
    <cellStyle name="Normal 5 2 16 6" xfId="18148"/>
    <cellStyle name="Normal 5 2 16 7" xfId="18149"/>
    <cellStyle name="Normal 5 2 16 8" xfId="18150"/>
    <cellStyle name="Normal 5 2 16 9" xfId="18151"/>
    <cellStyle name="Normal 5 2 17" xfId="18152"/>
    <cellStyle name="Normal 5 2 17 10" xfId="18153"/>
    <cellStyle name="Normal 5 2 17 11" xfId="18154"/>
    <cellStyle name="Normal 5 2 17 2" xfId="18155"/>
    <cellStyle name="Normal 5 2 17 3" xfId="18156"/>
    <cellStyle name="Normal 5 2 17 4" xfId="18157"/>
    <cellStyle name="Normal 5 2 17 5" xfId="18158"/>
    <cellStyle name="Normal 5 2 17 6" xfId="18159"/>
    <cellStyle name="Normal 5 2 17 7" xfId="18160"/>
    <cellStyle name="Normal 5 2 17 8" xfId="18161"/>
    <cellStyle name="Normal 5 2 17 9" xfId="18162"/>
    <cellStyle name="Normal 5 2 18" xfId="18163"/>
    <cellStyle name="Normal 5 2 18 2" xfId="18164"/>
    <cellStyle name="Normal 5 2 18 3" xfId="18165"/>
    <cellStyle name="Normal 5 2 19" xfId="18166"/>
    <cellStyle name="Normal 5 2 19 2" xfId="18167"/>
    <cellStyle name="Normal 5 2 19 3" xfId="18168"/>
    <cellStyle name="Normal 5 2 2" xfId="18169"/>
    <cellStyle name="Normal 5 2 2 2" xfId="18170"/>
    <cellStyle name="Normal 5 2 2 2 2" xfId="18171"/>
    <cellStyle name="Normal 5 2 2 2 3" xfId="18172"/>
    <cellStyle name="Normal 5 2 2 3" xfId="18173"/>
    <cellStyle name="Normal 5 2 2 4" xfId="18174"/>
    <cellStyle name="Normal 5 2 20" xfId="18175"/>
    <cellStyle name="Normal 5 2 21" xfId="18176"/>
    <cellStyle name="Normal 5 2 22" xfId="18177"/>
    <cellStyle name="Normal 5 2 23" xfId="18178"/>
    <cellStyle name="Normal 5 2 24" xfId="18179"/>
    <cellStyle name="Normal 5 2 25" xfId="18180"/>
    <cellStyle name="Normal 5 2 26" xfId="18181"/>
    <cellStyle name="Normal 5 2 27" xfId="18182"/>
    <cellStyle name="Normal 5 2 3" xfId="18183"/>
    <cellStyle name="Normal 5 2 3 10" xfId="18184"/>
    <cellStyle name="Normal 5 2 3 11" xfId="18185"/>
    <cellStyle name="Normal 5 2 3 12" xfId="18186"/>
    <cellStyle name="Normal 5 2 3 13" xfId="18187"/>
    <cellStyle name="Normal 5 2 3 14" xfId="18188"/>
    <cellStyle name="Normal 5 2 3 15" xfId="18189"/>
    <cellStyle name="Normal 5 2 3 16" xfId="18190"/>
    <cellStyle name="Normal 5 2 3 17" xfId="18191"/>
    <cellStyle name="Normal 5 2 3 18" xfId="18192"/>
    <cellStyle name="Normal 5 2 3 2" xfId="18193"/>
    <cellStyle name="Normal 5 2 3 2 10" xfId="18194"/>
    <cellStyle name="Normal 5 2 3 2 11" xfId="18195"/>
    <cellStyle name="Normal 5 2 3 2 12" xfId="18196"/>
    <cellStyle name="Normal 5 2 3 2 13" xfId="18197"/>
    <cellStyle name="Normal 5 2 3 2 2" xfId="18198"/>
    <cellStyle name="Normal 5 2 3 2 2 10" xfId="18199"/>
    <cellStyle name="Normal 5 2 3 2 2 11" xfId="18200"/>
    <cellStyle name="Normal 5 2 3 2 2 2" xfId="18201"/>
    <cellStyle name="Normal 5 2 3 2 2 3" xfId="18202"/>
    <cellStyle name="Normal 5 2 3 2 2 4" xfId="18203"/>
    <cellStyle name="Normal 5 2 3 2 2 5" xfId="18204"/>
    <cellStyle name="Normal 5 2 3 2 2 6" xfId="18205"/>
    <cellStyle name="Normal 5 2 3 2 2 7" xfId="18206"/>
    <cellStyle name="Normal 5 2 3 2 2 8" xfId="18207"/>
    <cellStyle name="Normal 5 2 3 2 2 9" xfId="18208"/>
    <cellStyle name="Normal 5 2 3 2 3" xfId="18209"/>
    <cellStyle name="Normal 5 2 3 2 3 10" xfId="18210"/>
    <cellStyle name="Normal 5 2 3 2 3 11" xfId="18211"/>
    <cellStyle name="Normal 5 2 3 2 3 2" xfId="18212"/>
    <cellStyle name="Normal 5 2 3 2 3 3" xfId="18213"/>
    <cellStyle name="Normal 5 2 3 2 3 4" xfId="18214"/>
    <cellStyle name="Normal 5 2 3 2 3 5" xfId="18215"/>
    <cellStyle name="Normal 5 2 3 2 3 6" xfId="18216"/>
    <cellStyle name="Normal 5 2 3 2 3 7" xfId="18217"/>
    <cellStyle name="Normal 5 2 3 2 3 8" xfId="18218"/>
    <cellStyle name="Normal 5 2 3 2 3 9" xfId="18219"/>
    <cellStyle name="Normal 5 2 3 2 4" xfId="18220"/>
    <cellStyle name="Normal 5 2 3 2 4 2" xfId="18221"/>
    <cellStyle name="Normal 5 2 3 2 4 3" xfId="18222"/>
    <cellStyle name="Normal 5 2 3 2 5" xfId="18223"/>
    <cellStyle name="Normal 5 2 3 2 5 2" xfId="18224"/>
    <cellStyle name="Normal 5 2 3 2 5 3" xfId="18225"/>
    <cellStyle name="Normal 5 2 3 2 6" xfId="18226"/>
    <cellStyle name="Normal 5 2 3 2 7" xfId="18227"/>
    <cellStyle name="Normal 5 2 3 2 8" xfId="18228"/>
    <cellStyle name="Normal 5 2 3 2 9" xfId="18229"/>
    <cellStyle name="Normal 5 2 3 3" xfId="18230"/>
    <cellStyle name="Normal 5 2 3 3 10" xfId="18231"/>
    <cellStyle name="Normal 5 2 3 3 11" xfId="18232"/>
    <cellStyle name="Normal 5 2 3 3 12" xfId="18233"/>
    <cellStyle name="Normal 5 2 3 3 13" xfId="18234"/>
    <cellStyle name="Normal 5 2 3 3 2" xfId="18235"/>
    <cellStyle name="Normal 5 2 3 3 2 10" xfId="18236"/>
    <cellStyle name="Normal 5 2 3 3 2 11" xfId="18237"/>
    <cellStyle name="Normal 5 2 3 3 2 2" xfId="18238"/>
    <cellStyle name="Normal 5 2 3 3 2 3" xfId="18239"/>
    <cellStyle name="Normal 5 2 3 3 2 4" xfId="18240"/>
    <cellStyle name="Normal 5 2 3 3 2 5" xfId="18241"/>
    <cellStyle name="Normal 5 2 3 3 2 6" xfId="18242"/>
    <cellStyle name="Normal 5 2 3 3 2 7" xfId="18243"/>
    <cellStyle name="Normal 5 2 3 3 2 8" xfId="18244"/>
    <cellStyle name="Normal 5 2 3 3 2 9" xfId="18245"/>
    <cellStyle name="Normal 5 2 3 3 3" xfId="18246"/>
    <cellStyle name="Normal 5 2 3 3 3 10" xfId="18247"/>
    <cellStyle name="Normal 5 2 3 3 3 11" xfId="18248"/>
    <cellStyle name="Normal 5 2 3 3 3 2" xfId="18249"/>
    <cellStyle name="Normal 5 2 3 3 3 3" xfId="18250"/>
    <cellStyle name="Normal 5 2 3 3 3 4" xfId="18251"/>
    <cellStyle name="Normal 5 2 3 3 3 5" xfId="18252"/>
    <cellStyle name="Normal 5 2 3 3 3 6" xfId="18253"/>
    <cellStyle name="Normal 5 2 3 3 3 7" xfId="18254"/>
    <cellStyle name="Normal 5 2 3 3 3 8" xfId="18255"/>
    <cellStyle name="Normal 5 2 3 3 3 9" xfId="18256"/>
    <cellStyle name="Normal 5 2 3 3 4" xfId="18257"/>
    <cellStyle name="Normal 5 2 3 3 4 2" xfId="18258"/>
    <cellStyle name="Normal 5 2 3 3 4 3" xfId="18259"/>
    <cellStyle name="Normal 5 2 3 3 5" xfId="18260"/>
    <cellStyle name="Normal 5 2 3 3 5 2" xfId="18261"/>
    <cellStyle name="Normal 5 2 3 3 5 3" xfId="18262"/>
    <cellStyle name="Normal 5 2 3 3 6" xfId="18263"/>
    <cellStyle name="Normal 5 2 3 3 7" xfId="18264"/>
    <cellStyle name="Normal 5 2 3 3 8" xfId="18265"/>
    <cellStyle name="Normal 5 2 3 3 9" xfId="18266"/>
    <cellStyle name="Normal 5 2 3 4" xfId="18267"/>
    <cellStyle name="Normal 5 2 3 4 10" xfId="18268"/>
    <cellStyle name="Normal 5 2 3 4 11" xfId="18269"/>
    <cellStyle name="Normal 5 2 3 4 12" xfId="18270"/>
    <cellStyle name="Normal 5 2 3 4 13" xfId="18271"/>
    <cellStyle name="Normal 5 2 3 4 2" xfId="18272"/>
    <cellStyle name="Normal 5 2 3 4 2 10" xfId="18273"/>
    <cellStyle name="Normal 5 2 3 4 2 11" xfId="18274"/>
    <cellStyle name="Normal 5 2 3 4 2 2" xfId="18275"/>
    <cellStyle name="Normal 5 2 3 4 2 3" xfId="18276"/>
    <cellStyle name="Normal 5 2 3 4 2 4" xfId="18277"/>
    <cellStyle name="Normal 5 2 3 4 2 5" xfId="18278"/>
    <cellStyle name="Normal 5 2 3 4 2 6" xfId="18279"/>
    <cellStyle name="Normal 5 2 3 4 2 7" xfId="18280"/>
    <cellStyle name="Normal 5 2 3 4 2 8" xfId="18281"/>
    <cellStyle name="Normal 5 2 3 4 2 9" xfId="18282"/>
    <cellStyle name="Normal 5 2 3 4 3" xfId="18283"/>
    <cellStyle name="Normal 5 2 3 4 3 10" xfId="18284"/>
    <cellStyle name="Normal 5 2 3 4 3 11" xfId="18285"/>
    <cellStyle name="Normal 5 2 3 4 3 2" xfId="18286"/>
    <cellStyle name="Normal 5 2 3 4 3 3" xfId="18287"/>
    <cellStyle name="Normal 5 2 3 4 3 4" xfId="18288"/>
    <cellStyle name="Normal 5 2 3 4 3 5" xfId="18289"/>
    <cellStyle name="Normal 5 2 3 4 3 6" xfId="18290"/>
    <cellStyle name="Normal 5 2 3 4 3 7" xfId="18291"/>
    <cellStyle name="Normal 5 2 3 4 3 8" xfId="18292"/>
    <cellStyle name="Normal 5 2 3 4 3 9" xfId="18293"/>
    <cellStyle name="Normal 5 2 3 4 4" xfId="18294"/>
    <cellStyle name="Normal 5 2 3 4 4 2" xfId="18295"/>
    <cellStyle name="Normal 5 2 3 4 4 3" xfId="18296"/>
    <cellStyle name="Normal 5 2 3 4 5" xfId="18297"/>
    <cellStyle name="Normal 5 2 3 4 5 2" xfId="18298"/>
    <cellStyle name="Normal 5 2 3 4 5 3" xfId="18299"/>
    <cellStyle name="Normal 5 2 3 4 6" xfId="18300"/>
    <cellStyle name="Normal 5 2 3 4 7" xfId="18301"/>
    <cellStyle name="Normal 5 2 3 4 8" xfId="18302"/>
    <cellStyle name="Normal 5 2 3 4 9" xfId="18303"/>
    <cellStyle name="Normal 5 2 3 5" xfId="18304"/>
    <cellStyle name="Normal 5 2 3 5 10" xfId="18305"/>
    <cellStyle name="Normal 5 2 3 5 11" xfId="18306"/>
    <cellStyle name="Normal 5 2 3 5 12" xfId="18307"/>
    <cellStyle name="Normal 5 2 3 5 13" xfId="18308"/>
    <cellStyle name="Normal 5 2 3 5 2" xfId="18309"/>
    <cellStyle name="Normal 5 2 3 5 2 10" xfId="18310"/>
    <cellStyle name="Normal 5 2 3 5 2 11" xfId="18311"/>
    <cellStyle name="Normal 5 2 3 5 2 2" xfId="18312"/>
    <cellStyle name="Normal 5 2 3 5 2 3" xfId="18313"/>
    <cellStyle name="Normal 5 2 3 5 2 4" xfId="18314"/>
    <cellStyle name="Normal 5 2 3 5 2 5" xfId="18315"/>
    <cellStyle name="Normal 5 2 3 5 2 6" xfId="18316"/>
    <cellStyle name="Normal 5 2 3 5 2 7" xfId="18317"/>
    <cellStyle name="Normal 5 2 3 5 2 8" xfId="18318"/>
    <cellStyle name="Normal 5 2 3 5 2 9" xfId="18319"/>
    <cellStyle name="Normal 5 2 3 5 3" xfId="18320"/>
    <cellStyle name="Normal 5 2 3 5 3 10" xfId="18321"/>
    <cellStyle name="Normal 5 2 3 5 3 11" xfId="18322"/>
    <cellStyle name="Normal 5 2 3 5 3 2" xfId="18323"/>
    <cellStyle name="Normal 5 2 3 5 3 3" xfId="18324"/>
    <cellStyle name="Normal 5 2 3 5 3 4" xfId="18325"/>
    <cellStyle name="Normal 5 2 3 5 3 5" xfId="18326"/>
    <cellStyle name="Normal 5 2 3 5 3 6" xfId="18327"/>
    <cellStyle name="Normal 5 2 3 5 3 7" xfId="18328"/>
    <cellStyle name="Normal 5 2 3 5 3 8" xfId="18329"/>
    <cellStyle name="Normal 5 2 3 5 3 9" xfId="18330"/>
    <cellStyle name="Normal 5 2 3 5 4" xfId="18331"/>
    <cellStyle name="Normal 5 2 3 5 4 2" xfId="18332"/>
    <cellStyle name="Normal 5 2 3 5 4 3" xfId="18333"/>
    <cellStyle name="Normal 5 2 3 5 5" xfId="18334"/>
    <cellStyle name="Normal 5 2 3 5 5 2" xfId="18335"/>
    <cellStyle name="Normal 5 2 3 5 5 3" xfId="18336"/>
    <cellStyle name="Normal 5 2 3 5 6" xfId="18337"/>
    <cellStyle name="Normal 5 2 3 5 7" xfId="18338"/>
    <cellStyle name="Normal 5 2 3 5 8" xfId="18339"/>
    <cellStyle name="Normal 5 2 3 5 9" xfId="18340"/>
    <cellStyle name="Normal 5 2 3 6" xfId="18341"/>
    <cellStyle name="Normal 5 2 3 6 10" xfId="18342"/>
    <cellStyle name="Normal 5 2 3 6 11" xfId="18343"/>
    <cellStyle name="Normal 5 2 3 6 12" xfId="18344"/>
    <cellStyle name="Normal 5 2 3 6 13" xfId="18345"/>
    <cellStyle name="Normal 5 2 3 6 2" xfId="18346"/>
    <cellStyle name="Normal 5 2 3 6 2 10" xfId="18347"/>
    <cellStyle name="Normal 5 2 3 6 2 11" xfId="18348"/>
    <cellStyle name="Normal 5 2 3 6 2 2" xfId="18349"/>
    <cellStyle name="Normal 5 2 3 6 2 3" xfId="18350"/>
    <cellStyle name="Normal 5 2 3 6 2 4" xfId="18351"/>
    <cellStyle name="Normal 5 2 3 6 2 5" xfId="18352"/>
    <cellStyle name="Normal 5 2 3 6 2 6" xfId="18353"/>
    <cellStyle name="Normal 5 2 3 6 2 7" xfId="18354"/>
    <cellStyle name="Normal 5 2 3 6 2 8" xfId="18355"/>
    <cellStyle name="Normal 5 2 3 6 2 9" xfId="18356"/>
    <cellStyle name="Normal 5 2 3 6 3" xfId="18357"/>
    <cellStyle name="Normal 5 2 3 6 3 10" xfId="18358"/>
    <cellStyle name="Normal 5 2 3 6 3 11" xfId="18359"/>
    <cellStyle name="Normal 5 2 3 6 3 2" xfId="18360"/>
    <cellStyle name="Normal 5 2 3 6 3 3" xfId="18361"/>
    <cellStyle name="Normal 5 2 3 6 3 4" xfId="18362"/>
    <cellStyle name="Normal 5 2 3 6 3 5" xfId="18363"/>
    <cellStyle name="Normal 5 2 3 6 3 6" xfId="18364"/>
    <cellStyle name="Normal 5 2 3 6 3 7" xfId="18365"/>
    <cellStyle name="Normal 5 2 3 6 3 8" xfId="18366"/>
    <cellStyle name="Normal 5 2 3 6 3 9" xfId="18367"/>
    <cellStyle name="Normal 5 2 3 6 4" xfId="18368"/>
    <cellStyle name="Normal 5 2 3 6 4 2" xfId="18369"/>
    <cellStyle name="Normal 5 2 3 6 4 3" xfId="18370"/>
    <cellStyle name="Normal 5 2 3 6 5" xfId="18371"/>
    <cellStyle name="Normal 5 2 3 6 5 2" xfId="18372"/>
    <cellStyle name="Normal 5 2 3 6 5 3" xfId="18373"/>
    <cellStyle name="Normal 5 2 3 6 6" xfId="18374"/>
    <cellStyle name="Normal 5 2 3 6 7" xfId="18375"/>
    <cellStyle name="Normal 5 2 3 6 8" xfId="18376"/>
    <cellStyle name="Normal 5 2 3 6 9" xfId="18377"/>
    <cellStyle name="Normal 5 2 3 7" xfId="18378"/>
    <cellStyle name="Normal 5 2 3 7 10" xfId="18379"/>
    <cellStyle name="Normal 5 2 3 7 11" xfId="18380"/>
    <cellStyle name="Normal 5 2 3 7 2" xfId="18381"/>
    <cellStyle name="Normal 5 2 3 7 3" xfId="18382"/>
    <cellStyle name="Normal 5 2 3 7 4" xfId="18383"/>
    <cellStyle name="Normal 5 2 3 7 5" xfId="18384"/>
    <cellStyle name="Normal 5 2 3 7 6" xfId="18385"/>
    <cellStyle name="Normal 5 2 3 7 7" xfId="18386"/>
    <cellStyle name="Normal 5 2 3 7 8" xfId="18387"/>
    <cellStyle name="Normal 5 2 3 7 9" xfId="18388"/>
    <cellStyle name="Normal 5 2 3 8" xfId="18389"/>
    <cellStyle name="Normal 5 2 3 8 10" xfId="18390"/>
    <cellStyle name="Normal 5 2 3 8 11" xfId="18391"/>
    <cellStyle name="Normal 5 2 3 8 2" xfId="18392"/>
    <cellStyle name="Normal 5 2 3 8 3" xfId="18393"/>
    <cellStyle name="Normal 5 2 3 8 4" xfId="18394"/>
    <cellStyle name="Normal 5 2 3 8 5" xfId="18395"/>
    <cellStyle name="Normal 5 2 3 8 6" xfId="18396"/>
    <cellStyle name="Normal 5 2 3 8 7" xfId="18397"/>
    <cellStyle name="Normal 5 2 3 8 8" xfId="18398"/>
    <cellStyle name="Normal 5 2 3 8 9" xfId="18399"/>
    <cellStyle name="Normal 5 2 3 9" xfId="18400"/>
    <cellStyle name="Normal 5 2 4" xfId="18401"/>
    <cellStyle name="Normal 5 2 4 10" xfId="18402"/>
    <cellStyle name="Normal 5 2 4 10 2" xfId="18403"/>
    <cellStyle name="Normal 5 2 4 10 2 2" xfId="18404"/>
    <cellStyle name="Normal 5 2 4 10 2 3" xfId="18405"/>
    <cellStyle name="Normal 5 2 4 10 3" xfId="18406"/>
    <cellStyle name="Normal 5 2 4 10 3 2" xfId="18407"/>
    <cellStyle name="Normal 5 2 4 10 3 3" xfId="18408"/>
    <cellStyle name="Normal 5 2 4 10 4" xfId="18409"/>
    <cellStyle name="Normal 5 2 4 10 5" xfId="18410"/>
    <cellStyle name="Normal 5 2 4 10 6" xfId="18411"/>
    <cellStyle name="Normal 5 2 4 10 7" xfId="18412"/>
    <cellStyle name="Normal 5 2 4 11" xfId="18413"/>
    <cellStyle name="Normal 5 2 4 11 2" xfId="18414"/>
    <cellStyle name="Normal 5 2 4 11 3" xfId="18415"/>
    <cellStyle name="Normal 5 2 4 12" xfId="18416"/>
    <cellStyle name="Normal 5 2 4 12 2" xfId="18417"/>
    <cellStyle name="Normal 5 2 4 12 3" xfId="18418"/>
    <cellStyle name="Normal 5 2 4 13" xfId="18419"/>
    <cellStyle name="Normal 5 2 4 14" xfId="18420"/>
    <cellStyle name="Normal 5 2 4 15" xfId="18421"/>
    <cellStyle name="Normal 5 2 4 16" xfId="18422"/>
    <cellStyle name="Normal 5 2 4 17" xfId="18423"/>
    <cellStyle name="Normal 5 2 4 18" xfId="18424"/>
    <cellStyle name="Normal 5 2 4 2" xfId="18425"/>
    <cellStyle name="Normal 5 2 4 2 10" xfId="18426"/>
    <cellStyle name="Normal 5 2 4 2 11" xfId="18427"/>
    <cellStyle name="Normal 5 2 4 2 12" xfId="18428"/>
    <cellStyle name="Normal 5 2 4 2 13" xfId="18429"/>
    <cellStyle name="Normal 5 2 4 2 2" xfId="18430"/>
    <cellStyle name="Normal 5 2 4 2 2 10" xfId="18431"/>
    <cellStyle name="Normal 5 2 4 2 2 11" xfId="18432"/>
    <cellStyle name="Normal 5 2 4 2 2 2" xfId="18433"/>
    <cellStyle name="Normal 5 2 4 2 2 2 2" xfId="18434"/>
    <cellStyle name="Normal 5 2 4 2 2 2 2 2" xfId="18435"/>
    <cellStyle name="Normal 5 2 4 2 2 2 2 2 2" xfId="18436"/>
    <cellStyle name="Normal 5 2 4 2 2 2 2 2 2 2" xfId="18437"/>
    <cellStyle name="Normal 5 2 4 2 2 2 2 2 2 3" xfId="18438"/>
    <cellStyle name="Normal 5 2 4 2 2 2 2 2 3" xfId="18439"/>
    <cellStyle name="Normal 5 2 4 2 2 2 2 2 3 2" xfId="18440"/>
    <cellStyle name="Normal 5 2 4 2 2 2 2 2 3 3" xfId="18441"/>
    <cellStyle name="Normal 5 2 4 2 2 2 2 2 4" xfId="18442"/>
    <cellStyle name="Normal 5 2 4 2 2 2 2 2 5" xfId="18443"/>
    <cellStyle name="Normal 5 2 4 2 2 2 2 2 6" xfId="18444"/>
    <cellStyle name="Normal 5 2 4 2 2 2 2 2 7" xfId="18445"/>
    <cellStyle name="Normal 5 2 4 2 2 2 2 3" xfId="18446"/>
    <cellStyle name="Normal 5 2 4 2 2 2 2 3 2" xfId="18447"/>
    <cellStyle name="Normal 5 2 4 2 2 2 2 3 3" xfId="18448"/>
    <cellStyle name="Normal 5 2 4 2 2 2 2 4" xfId="18449"/>
    <cellStyle name="Normal 5 2 4 2 2 2 2 4 2" xfId="18450"/>
    <cellStyle name="Normal 5 2 4 2 2 2 2 4 3" xfId="18451"/>
    <cellStyle name="Normal 5 2 4 2 2 2 2 5" xfId="18452"/>
    <cellStyle name="Normal 5 2 4 2 2 2 2 6" xfId="18453"/>
    <cellStyle name="Normal 5 2 4 2 2 2 2 7" xfId="18454"/>
    <cellStyle name="Normal 5 2 4 2 2 2 2 8" xfId="18455"/>
    <cellStyle name="Normal 5 2 4 2 2 2 3" xfId="18456"/>
    <cellStyle name="Normal 5 2 4 2 2 2 3 2" xfId="18457"/>
    <cellStyle name="Normal 5 2 4 2 2 2 3 2 2" xfId="18458"/>
    <cellStyle name="Normal 5 2 4 2 2 2 3 2 3" xfId="18459"/>
    <cellStyle name="Normal 5 2 4 2 2 2 3 3" xfId="18460"/>
    <cellStyle name="Normal 5 2 4 2 2 2 3 3 2" xfId="18461"/>
    <cellStyle name="Normal 5 2 4 2 2 2 3 3 3" xfId="18462"/>
    <cellStyle name="Normal 5 2 4 2 2 2 3 4" xfId="18463"/>
    <cellStyle name="Normal 5 2 4 2 2 2 3 5" xfId="18464"/>
    <cellStyle name="Normal 5 2 4 2 2 2 3 6" xfId="18465"/>
    <cellStyle name="Normal 5 2 4 2 2 2 3 7" xfId="18466"/>
    <cellStyle name="Normal 5 2 4 2 2 2 4" xfId="18467"/>
    <cellStyle name="Normal 5 2 4 2 2 2 4 2" xfId="18468"/>
    <cellStyle name="Normal 5 2 4 2 2 2 4 3" xfId="18469"/>
    <cellStyle name="Normal 5 2 4 2 2 2 5" xfId="18470"/>
    <cellStyle name="Normal 5 2 4 2 2 2 5 2" xfId="18471"/>
    <cellStyle name="Normal 5 2 4 2 2 2 5 3" xfId="18472"/>
    <cellStyle name="Normal 5 2 4 2 2 2 6" xfId="18473"/>
    <cellStyle name="Normal 5 2 4 2 2 2 7" xfId="18474"/>
    <cellStyle name="Normal 5 2 4 2 2 2 8" xfId="18475"/>
    <cellStyle name="Normal 5 2 4 2 2 2 9" xfId="18476"/>
    <cellStyle name="Normal 5 2 4 2 2 3" xfId="18477"/>
    <cellStyle name="Normal 5 2 4 2 2 3 2" xfId="18478"/>
    <cellStyle name="Normal 5 2 4 2 2 3 2 2" xfId="18479"/>
    <cellStyle name="Normal 5 2 4 2 2 3 2 2 2" xfId="18480"/>
    <cellStyle name="Normal 5 2 4 2 2 3 2 2 3" xfId="18481"/>
    <cellStyle name="Normal 5 2 4 2 2 3 2 3" xfId="18482"/>
    <cellStyle name="Normal 5 2 4 2 2 3 2 3 2" xfId="18483"/>
    <cellStyle name="Normal 5 2 4 2 2 3 2 3 3" xfId="18484"/>
    <cellStyle name="Normal 5 2 4 2 2 3 2 4" xfId="18485"/>
    <cellStyle name="Normal 5 2 4 2 2 3 2 5" xfId="18486"/>
    <cellStyle name="Normal 5 2 4 2 2 3 2 6" xfId="18487"/>
    <cellStyle name="Normal 5 2 4 2 2 3 2 7" xfId="18488"/>
    <cellStyle name="Normal 5 2 4 2 2 3 3" xfId="18489"/>
    <cellStyle name="Normal 5 2 4 2 2 3 3 2" xfId="18490"/>
    <cellStyle name="Normal 5 2 4 2 2 3 3 3" xfId="18491"/>
    <cellStyle name="Normal 5 2 4 2 2 3 4" xfId="18492"/>
    <cellStyle name="Normal 5 2 4 2 2 3 4 2" xfId="18493"/>
    <cellStyle name="Normal 5 2 4 2 2 3 4 3" xfId="18494"/>
    <cellStyle name="Normal 5 2 4 2 2 3 5" xfId="18495"/>
    <cellStyle name="Normal 5 2 4 2 2 3 6" xfId="18496"/>
    <cellStyle name="Normal 5 2 4 2 2 3 7" xfId="18497"/>
    <cellStyle name="Normal 5 2 4 2 2 3 8" xfId="18498"/>
    <cellStyle name="Normal 5 2 4 2 2 4" xfId="18499"/>
    <cellStyle name="Normal 5 2 4 2 2 4 2" xfId="18500"/>
    <cellStyle name="Normal 5 2 4 2 2 4 2 2" xfId="18501"/>
    <cellStyle name="Normal 5 2 4 2 2 4 2 2 2" xfId="18502"/>
    <cellStyle name="Normal 5 2 4 2 2 4 2 2 3" xfId="18503"/>
    <cellStyle name="Normal 5 2 4 2 2 4 2 3" xfId="18504"/>
    <cellStyle name="Normal 5 2 4 2 2 4 2 3 2" xfId="18505"/>
    <cellStyle name="Normal 5 2 4 2 2 4 2 3 3" xfId="18506"/>
    <cellStyle name="Normal 5 2 4 2 2 4 2 4" xfId="18507"/>
    <cellStyle name="Normal 5 2 4 2 2 4 2 5" xfId="18508"/>
    <cellStyle name="Normal 5 2 4 2 2 4 2 6" xfId="18509"/>
    <cellStyle name="Normal 5 2 4 2 2 4 2 7" xfId="18510"/>
    <cellStyle name="Normal 5 2 4 2 2 4 3" xfId="18511"/>
    <cellStyle name="Normal 5 2 4 2 2 4 3 2" xfId="18512"/>
    <cellStyle name="Normal 5 2 4 2 2 4 3 3" xfId="18513"/>
    <cellStyle name="Normal 5 2 4 2 2 4 4" xfId="18514"/>
    <cellStyle name="Normal 5 2 4 2 2 4 4 2" xfId="18515"/>
    <cellStyle name="Normal 5 2 4 2 2 4 4 3" xfId="18516"/>
    <cellStyle name="Normal 5 2 4 2 2 4 5" xfId="18517"/>
    <cellStyle name="Normal 5 2 4 2 2 4 6" xfId="18518"/>
    <cellStyle name="Normal 5 2 4 2 2 4 7" xfId="18519"/>
    <cellStyle name="Normal 5 2 4 2 2 4 8" xfId="18520"/>
    <cellStyle name="Normal 5 2 4 2 2 5" xfId="18521"/>
    <cellStyle name="Normal 5 2 4 2 2 5 2" xfId="18522"/>
    <cellStyle name="Normal 5 2 4 2 2 5 2 2" xfId="18523"/>
    <cellStyle name="Normal 5 2 4 2 2 5 2 3" xfId="18524"/>
    <cellStyle name="Normal 5 2 4 2 2 5 3" xfId="18525"/>
    <cellStyle name="Normal 5 2 4 2 2 5 3 2" xfId="18526"/>
    <cellStyle name="Normal 5 2 4 2 2 5 3 3" xfId="18527"/>
    <cellStyle name="Normal 5 2 4 2 2 5 4" xfId="18528"/>
    <cellStyle name="Normal 5 2 4 2 2 5 5" xfId="18529"/>
    <cellStyle name="Normal 5 2 4 2 2 5 6" xfId="18530"/>
    <cellStyle name="Normal 5 2 4 2 2 5 7" xfId="18531"/>
    <cellStyle name="Normal 5 2 4 2 2 6" xfId="18532"/>
    <cellStyle name="Normal 5 2 4 2 2 6 2" xfId="18533"/>
    <cellStyle name="Normal 5 2 4 2 2 6 3" xfId="18534"/>
    <cellStyle name="Normal 5 2 4 2 2 7" xfId="18535"/>
    <cellStyle name="Normal 5 2 4 2 2 7 2" xfId="18536"/>
    <cellStyle name="Normal 5 2 4 2 2 7 3" xfId="18537"/>
    <cellStyle name="Normal 5 2 4 2 2 8" xfId="18538"/>
    <cellStyle name="Normal 5 2 4 2 2 9" xfId="18539"/>
    <cellStyle name="Normal 5 2 4 2 3" xfId="18540"/>
    <cellStyle name="Normal 5 2 4 2 3 10" xfId="18541"/>
    <cellStyle name="Normal 5 2 4 2 3 11" xfId="18542"/>
    <cellStyle name="Normal 5 2 4 2 3 2" xfId="18543"/>
    <cellStyle name="Normal 5 2 4 2 3 2 2" xfId="18544"/>
    <cellStyle name="Normal 5 2 4 2 3 2 2 2" xfId="18545"/>
    <cellStyle name="Normal 5 2 4 2 3 2 2 2 2" xfId="18546"/>
    <cellStyle name="Normal 5 2 4 2 3 2 2 2 2 2" xfId="18547"/>
    <cellStyle name="Normal 5 2 4 2 3 2 2 2 2 3" xfId="18548"/>
    <cellStyle name="Normal 5 2 4 2 3 2 2 2 3" xfId="18549"/>
    <cellStyle name="Normal 5 2 4 2 3 2 2 2 3 2" xfId="18550"/>
    <cellStyle name="Normal 5 2 4 2 3 2 2 2 3 3" xfId="18551"/>
    <cellStyle name="Normal 5 2 4 2 3 2 2 2 4" xfId="18552"/>
    <cellStyle name="Normal 5 2 4 2 3 2 2 2 5" xfId="18553"/>
    <cellStyle name="Normal 5 2 4 2 3 2 2 2 6" xfId="18554"/>
    <cellStyle name="Normal 5 2 4 2 3 2 2 2 7" xfId="18555"/>
    <cellStyle name="Normal 5 2 4 2 3 2 2 3" xfId="18556"/>
    <cellStyle name="Normal 5 2 4 2 3 2 2 3 2" xfId="18557"/>
    <cellStyle name="Normal 5 2 4 2 3 2 2 3 3" xfId="18558"/>
    <cellStyle name="Normal 5 2 4 2 3 2 2 4" xfId="18559"/>
    <cellStyle name="Normal 5 2 4 2 3 2 2 4 2" xfId="18560"/>
    <cellStyle name="Normal 5 2 4 2 3 2 2 4 3" xfId="18561"/>
    <cellStyle name="Normal 5 2 4 2 3 2 2 5" xfId="18562"/>
    <cellStyle name="Normal 5 2 4 2 3 2 2 6" xfId="18563"/>
    <cellStyle name="Normal 5 2 4 2 3 2 2 7" xfId="18564"/>
    <cellStyle name="Normal 5 2 4 2 3 2 2 8" xfId="18565"/>
    <cellStyle name="Normal 5 2 4 2 3 2 3" xfId="18566"/>
    <cellStyle name="Normal 5 2 4 2 3 2 3 2" xfId="18567"/>
    <cellStyle name="Normal 5 2 4 2 3 2 3 2 2" xfId="18568"/>
    <cellStyle name="Normal 5 2 4 2 3 2 3 2 3" xfId="18569"/>
    <cellStyle name="Normal 5 2 4 2 3 2 3 3" xfId="18570"/>
    <cellStyle name="Normal 5 2 4 2 3 2 3 3 2" xfId="18571"/>
    <cellStyle name="Normal 5 2 4 2 3 2 3 3 3" xfId="18572"/>
    <cellStyle name="Normal 5 2 4 2 3 2 3 4" xfId="18573"/>
    <cellStyle name="Normal 5 2 4 2 3 2 3 5" xfId="18574"/>
    <cellStyle name="Normal 5 2 4 2 3 2 3 6" xfId="18575"/>
    <cellStyle name="Normal 5 2 4 2 3 2 3 7" xfId="18576"/>
    <cellStyle name="Normal 5 2 4 2 3 2 4" xfId="18577"/>
    <cellStyle name="Normal 5 2 4 2 3 2 4 2" xfId="18578"/>
    <cellStyle name="Normal 5 2 4 2 3 2 4 3" xfId="18579"/>
    <cellStyle name="Normal 5 2 4 2 3 2 5" xfId="18580"/>
    <cellStyle name="Normal 5 2 4 2 3 2 5 2" xfId="18581"/>
    <cellStyle name="Normal 5 2 4 2 3 2 5 3" xfId="18582"/>
    <cellStyle name="Normal 5 2 4 2 3 2 6" xfId="18583"/>
    <cellStyle name="Normal 5 2 4 2 3 2 7" xfId="18584"/>
    <cellStyle name="Normal 5 2 4 2 3 2 8" xfId="18585"/>
    <cellStyle name="Normal 5 2 4 2 3 2 9" xfId="18586"/>
    <cellStyle name="Normal 5 2 4 2 3 3" xfId="18587"/>
    <cellStyle name="Normal 5 2 4 2 3 3 2" xfId="18588"/>
    <cellStyle name="Normal 5 2 4 2 3 3 2 2" xfId="18589"/>
    <cellStyle name="Normal 5 2 4 2 3 3 2 2 2" xfId="18590"/>
    <cellStyle name="Normal 5 2 4 2 3 3 2 2 3" xfId="18591"/>
    <cellStyle name="Normal 5 2 4 2 3 3 2 3" xfId="18592"/>
    <cellStyle name="Normal 5 2 4 2 3 3 2 3 2" xfId="18593"/>
    <cellStyle name="Normal 5 2 4 2 3 3 2 3 3" xfId="18594"/>
    <cellStyle name="Normal 5 2 4 2 3 3 2 4" xfId="18595"/>
    <cellStyle name="Normal 5 2 4 2 3 3 2 5" xfId="18596"/>
    <cellStyle name="Normal 5 2 4 2 3 3 2 6" xfId="18597"/>
    <cellStyle name="Normal 5 2 4 2 3 3 2 7" xfId="18598"/>
    <cellStyle name="Normal 5 2 4 2 3 3 3" xfId="18599"/>
    <cellStyle name="Normal 5 2 4 2 3 3 3 2" xfId="18600"/>
    <cellStyle name="Normal 5 2 4 2 3 3 3 3" xfId="18601"/>
    <cellStyle name="Normal 5 2 4 2 3 3 4" xfId="18602"/>
    <cellStyle name="Normal 5 2 4 2 3 3 4 2" xfId="18603"/>
    <cellStyle name="Normal 5 2 4 2 3 3 4 3" xfId="18604"/>
    <cellStyle name="Normal 5 2 4 2 3 3 5" xfId="18605"/>
    <cellStyle name="Normal 5 2 4 2 3 3 6" xfId="18606"/>
    <cellStyle name="Normal 5 2 4 2 3 3 7" xfId="18607"/>
    <cellStyle name="Normal 5 2 4 2 3 3 8" xfId="18608"/>
    <cellStyle name="Normal 5 2 4 2 3 4" xfId="18609"/>
    <cellStyle name="Normal 5 2 4 2 3 4 2" xfId="18610"/>
    <cellStyle name="Normal 5 2 4 2 3 4 2 2" xfId="18611"/>
    <cellStyle name="Normal 5 2 4 2 3 4 2 2 2" xfId="18612"/>
    <cellStyle name="Normal 5 2 4 2 3 4 2 2 3" xfId="18613"/>
    <cellStyle name="Normal 5 2 4 2 3 4 2 3" xfId="18614"/>
    <cellStyle name="Normal 5 2 4 2 3 4 2 3 2" xfId="18615"/>
    <cellStyle name="Normal 5 2 4 2 3 4 2 3 3" xfId="18616"/>
    <cellStyle name="Normal 5 2 4 2 3 4 2 4" xfId="18617"/>
    <cellStyle name="Normal 5 2 4 2 3 4 2 5" xfId="18618"/>
    <cellStyle name="Normal 5 2 4 2 3 4 2 6" xfId="18619"/>
    <cellStyle name="Normal 5 2 4 2 3 4 2 7" xfId="18620"/>
    <cellStyle name="Normal 5 2 4 2 3 4 3" xfId="18621"/>
    <cellStyle name="Normal 5 2 4 2 3 4 3 2" xfId="18622"/>
    <cellStyle name="Normal 5 2 4 2 3 4 3 3" xfId="18623"/>
    <cellStyle name="Normal 5 2 4 2 3 4 4" xfId="18624"/>
    <cellStyle name="Normal 5 2 4 2 3 4 4 2" xfId="18625"/>
    <cellStyle name="Normal 5 2 4 2 3 4 4 3" xfId="18626"/>
    <cellStyle name="Normal 5 2 4 2 3 4 5" xfId="18627"/>
    <cellStyle name="Normal 5 2 4 2 3 4 6" xfId="18628"/>
    <cellStyle name="Normal 5 2 4 2 3 4 7" xfId="18629"/>
    <cellStyle name="Normal 5 2 4 2 3 4 8" xfId="18630"/>
    <cellStyle name="Normal 5 2 4 2 3 5" xfId="18631"/>
    <cellStyle name="Normal 5 2 4 2 3 5 2" xfId="18632"/>
    <cellStyle name="Normal 5 2 4 2 3 5 2 2" xfId="18633"/>
    <cellStyle name="Normal 5 2 4 2 3 5 2 3" xfId="18634"/>
    <cellStyle name="Normal 5 2 4 2 3 5 3" xfId="18635"/>
    <cellStyle name="Normal 5 2 4 2 3 5 3 2" xfId="18636"/>
    <cellStyle name="Normal 5 2 4 2 3 5 3 3" xfId="18637"/>
    <cellStyle name="Normal 5 2 4 2 3 5 4" xfId="18638"/>
    <cellStyle name="Normal 5 2 4 2 3 5 5" xfId="18639"/>
    <cellStyle name="Normal 5 2 4 2 3 5 6" xfId="18640"/>
    <cellStyle name="Normal 5 2 4 2 3 5 7" xfId="18641"/>
    <cellStyle name="Normal 5 2 4 2 3 6" xfId="18642"/>
    <cellStyle name="Normal 5 2 4 2 3 6 2" xfId="18643"/>
    <cellStyle name="Normal 5 2 4 2 3 6 3" xfId="18644"/>
    <cellStyle name="Normal 5 2 4 2 3 7" xfId="18645"/>
    <cellStyle name="Normal 5 2 4 2 3 7 2" xfId="18646"/>
    <cellStyle name="Normal 5 2 4 2 3 7 3" xfId="18647"/>
    <cellStyle name="Normal 5 2 4 2 3 8" xfId="18648"/>
    <cellStyle name="Normal 5 2 4 2 3 9" xfId="18649"/>
    <cellStyle name="Normal 5 2 4 2 4" xfId="18650"/>
    <cellStyle name="Normal 5 2 4 2 4 2" xfId="18651"/>
    <cellStyle name="Normal 5 2 4 2 4 2 2" xfId="18652"/>
    <cellStyle name="Normal 5 2 4 2 4 2 2 2" xfId="18653"/>
    <cellStyle name="Normal 5 2 4 2 4 2 2 2 2" xfId="18654"/>
    <cellStyle name="Normal 5 2 4 2 4 2 2 2 3" xfId="18655"/>
    <cellStyle name="Normal 5 2 4 2 4 2 2 3" xfId="18656"/>
    <cellStyle name="Normal 5 2 4 2 4 2 2 3 2" xfId="18657"/>
    <cellStyle name="Normal 5 2 4 2 4 2 2 3 3" xfId="18658"/>
    <cellStyle name="Normal 5 2 4 2 4 2 2 4" xfId="18659"/>
    <cellStyle name="Normal 5 2 4 2 4 2 2 5" xfId="18660"/>
    <cellStyle name="Normal 5 2 4 2 4 2 2 6" xfId="18661"/>
    <cellStyle name="Normal 5 2 4 2 4 2 2 7" xfId="18662"/>
    <cellStyle name="Normal 5 2 4 2 4 2 3" xfId="18663"/>
    <cellStyle name="Normal 5 2 4 2 4 2 3 2" xfId="18664"/>
    <cellStyle name="Normal 5 2 4 2 4 2 3 3" xfId="18665"/>
    <cellStyle name="Normal 5 2 4 2 4 2 4" xfId="18666"/>
    <cellStyle name="Normal 5 2 4 2 4 2 4 2" xfId="18667"/>
    <cellStyle name="Normal 5 2 4 2 4 2 4 3" xfId="18668"/>
    <cellStyle name="Normal 5 2 4 2 4 2 5" xfId="18669"/>
    <cellStyle name="Normal 5 2 4 2 4 2 6" xfId="18670"/>
    <cellStyle name="Normal 5 2 4 2 4 2 7" xfId="18671"/>
    <cellStyle name="Normal 5 2 4 2 4 2 8" xfId="18672"/>
    <cellStyle name="Normal 5 2 4 2 4 3" xfId="18673"/>
    <cellStyle name="Normal 5 2 4 2 4 3 2" xfId="18674"/>
    <cellStyle name="Normal 5 2 4 2 4 3 2 2" xfId="18675"/>
    <cellStyle name="Normal 5 2 4 2 4 3 2 3" xfId="18676"/>
    <cellStyle name="Normal 5 2 4 2 4 3 3" xfId="18677"/>
    <cellStyle name="Normal 5 2 4 2 4 3 3 2" xfId="18678"/>
    <cellStyle name="Normal 5 2 4 2 4 3 3 3" xfId="18679"/>
    <cellStyle name="Normal 5 2 4 2 4 3 4" xfId="18680"/>
    <cellStyle name="Normal 5 2 4 2 4 3 5" xfId="18681"/>
    <cellStyle name="Normal 5 2 4 2 4 3 6" xfId="18682"/>
    <cellStyle name="Normal 5 2 4 2 4 3 7" xfId="18683"/>
    <cellStyle name="Normal 5 2 4 2 4 4" xfId="18684"/>
    <cellStyle name="Normal 5 2 4 2 4 4 2" xfId="18685"/>
    <cellStyle name="Normal 5 2 4 2 4 4 3" xfId="18686"/>
    <cellStyle name="Normal 5 2 4 2 4 5" xfId="18687"/>
    <cellStyle name="Normal 5 2 4 2 4 5 2" xfId="18688"/>
    <cellStyle name="Normal 5 2 4 2 4 5 3" xfId="18689"/>
    <cellStyle name="Normal 5 2 4 2 4 6" xfId="18690"/>
    <cellStyle name="Normal 5 2 4 2 4 7" xfId="18691"/>
    <cellStyle name="Normal 5 2 4 2 4 8" xfId="18692"/>
    <cellStyle name="Normal 5 2 4 2 4 9" xfId="18693"/>
    <cellStyle name="Normal 5 2 4 2 5" xfId="18694"/>
    <cellStyle name="Normal 5 2 4 2 5 2" xfId="18695"/>
    <cellStyle name="Normal 5 2 4 2 5 2 2" xfId="18696"/>
    <cellStyle name="Normal 5 2 4 2 5 2 2 2" xfId="18697"/>
    <cellStyle name="Normal 5 2 4 2 5 2 2 3" xfId="18698"/>
    <cellStyle name="Normal 5 2 4 2 5 2 3" xfId="18699"/>
    <cellStyle name="Normal 5 2 4 2 5 2 3 2" xfId="18700"/>
    <cellStyle name="Normal 5 2 4 2 5 2 3 3" xfId="18701"/>
    <cellStyle name="Normal 5 2 4 2 5 2 4" xfId="18702"/>
    <cellStyle name="Normal 5 2 4 2 5 2 5" xfId="18703"/>
    <cellStyle name="Normal 5 2 4 2 5 2 6" xfId="18704"/>
    <cellStyle name="Normal 5 2 4 2 5 2 7" xfId="18705"/>
    <cellStyle name="Normal 5 2 4 2 5 3" xfId="18706"/>
    <cellStyle name="Normal 5 2 4 2 5 3 2" xfId="18707"/>
    <cellStyle name="Normal 5 2 4 2 5 3 3" xfId="18708"/>
    <cellStyle name="Normal 5 2 4 2 5 4" xfId="18709"/>
    <cellStyle name="Normal 5 2 4 2 5 4 2" xfId="18710"/>
    <cellStyle name="Normal 5 2 4 2 5 4 3" xfId="18711"/>
    <cellStyle name="Normal 5 2 4 2 5 5" xfId="18712"/>
    <cellStyle name="Normal 5 2 4 2 5 6" xfId="18713"/>
    <cellStyle name="Normal 5 2 4 2 5 7" xfId="18714"/>
    <cellStyle name="Normal 5 2 4 2 5 8" xfId="18715"/>
    <cellStyle name="Normal 5 2 4 2 6" xfId="18716"/>
    <cellStyle name="Normal 5 2 4 2 6 2" xfId="18717"/>
    <cellStyle name="Normal 5 2 4 2 6 2 2" xfId="18718"/>
    <cellStyle name="Normal 5 2 4 2 6 2 2 2" xfId="18719"/>
    <cellStyle name="Normal 5 2 4 2 6 2 2 3" xfId="18720"/>
    <cellStyle name="Normal 5 2 4 2 6 2 3" xfId="18721"/>
    <cellStyle name="Normal 5 2 4 2 6 2 3 2" xfId="18722"/>
    <cellStyle name="Normal 5 2 4 2 6 2 3 3" xfId="18723"/>
    <cellStyle name="Normal 5 2 4 2 6 2 4" xfId="18724"/>
    <cellStyle name="Normal 5 2 4 2 6 2 5" xfId="18725"/>
    <cellStyle name="Normal 5 2 4 2 6 2 6" xfId="18726"/>
    <cellStyle name="Normal 5 2 4 2 6 2 7" xfId="18727"/>
    <cellStyle name="Normal 5 2 4 2 6 3" xfId="18728"/>
    <cellStyle name="Normal 5 2 4 2 6 3 2" xfId="18729"/>
    <cellStyle name="Normal 5 2 4 2 6 3 3" xfId="18730"/>
    <cellStyle name="Normal 5 2 4 2 6 4" xfId="18731"/>
    <cellStyle name="Normal 5 2 4 2 6 4 2" xfId="18732"/>
    <cellStyle name="Normal 5 2 4 2 6 4 3" xfId="18733"/>
    <cellStyle name="Normal 5 2 4 2 6 5" xfId="18734"/>
    <cellStyle name="Normal 5 2 4 2 6 6" xfId="18735"/>
    <cellStyle name="Normal 5 2 4 2 6 7" xfId="18736"/>
    <cellStyle name="Normal 5 2 4 2 6 8" xfId="18737"/>
    <cellStyle name="Normal 5 2 4 2 7" xfId="18738"/>
    <cellStyle name="Normal 5 2 4 2 7 2" xfId="18739"/>
    <cellStyle name="Normal 5 2 4 2 7 2 2" xfId="18740"/>
    <cellStyle name="Normal 5 2 4 2 7 2 3" xfId="18741"/>
    <cellStyle name="Normal 5 2 4 2 7 3" xfId="18742"/>
    <cellStyle name="Normal 5 2 4 2 7 3 2" xfId="18743"/>
    <cellStyle name="Normal 5 2 4 2 7 3 3" xfId="18744"/>
    <cellStyle name="Normal 5 2 4 2 7 4" xfId="18745"/>
    <cellStyle name="Normal 5 2 4 2 7 5" xfId="18746"/>
    <cellStyle name="Normal 5 2 4 2 7 6" xfId="18747"/>
    <cellStyle name="Normal 5 2 4 2 7 7" xfId="18748"/>
    <cellStyle name="Normal 5 2 4 2 8" xfId="18749"/>
    <cellStyle name="Normal 5 2 4 2 8 2" xfId="18750"/>
    <cellStyle name="Normal 5 2 4 2 8 3" xfId="18751"/>
    <cellStyle name="Normal 5 2 4 2 9" xfId="18752"/>
    <cellStyle name="Normal 5 2 4 2 9 2" xfId="18753"/>
    <cellStyle name="Normal 5 2 4 2 9 3" xfId="18754"/>
    <cellStyle name="Normal 5 2 4 3" xfId="18755"/>
    <cellStyle name="Normal 5 2 4 3 10" xfId="18756"/>
    <cellStyle name="Normal 5 2 4 3 11" xfId="18757"/>
    <cellStyle name="Normal 5 2 4 3 12" xfId="18758"/>
    <cellStyle name="Normal 5 2 4 3 13" xfId="18759"/>
    <cellStyle name="Normal 5 2 4 3 2" xfId="18760"/>
    <cellStyle name="Normal 5 2 4 3 2 10" xfId="18761"/>
    <cellStyle name="Normal 5 2 4 3 2 11" xfId="18762"/>
    <cellStyle name="Normal 5 2 4 3 2 2" xfId="18763"/>
    <cellStyle name="Normal 5 2 4 3 2 2 2" xfId="18764"/>
    <cellStyle name="Normal 5 2 4 3 2 2 2 2" xfId="18765"/>
    <cellStyle name="Normal 5 2 4 3 2 2 2 2 2" xfId="18766"/>
    <cellStyle name="Normal 5 2 4 3 2 2 2 2 3" xfId="18767"/>
    <cellStyle name="Normal 5 2 4 3 2 2 2 3" xfId="18768"/>
    <cellStyle name="Normal 5 2 4 3 2 2 2 3 2" xfId="18769"/>
    <cellStyle name="Normal 5 2 4 3 2 2 2 3 3" xfId="18770"/>
    <cellStyle name="Normal 5 2 4 3 2 2 2 4" xfId="18771"/>
    <cellStyle name="Normal 5 2 4 3 2 2 2 5" xfId="18772"/>
    <cellStyle name="Normal 5 2 4 3 2 2 2 6" xfId="18773"/>
    <cellStyle name="Normal 5 2 4 3 2 2 2 7" xfId="18774"/>
    <cellStyle name="Normal 5 2 4 3 2 2 3" xfId="18775"/>
    <cellStyle name="Normal 5 2 4 3 2 2 3 2" xfId="18776"/>
    <cellStyle name="Normal 5 2 4 3 2 2 3 3" xfId="18777"/>
    <cellStyle name="Normal 5 2 4 3 2 2 4" xfId="18778"/>
    <cellStyle name="Normal 5 2 4 3 2 2 4 2" xfId="18779"/>
    <cellStyle name="Normal 5 2 4 3 2 2 4 3" xfId="18780"/>
    <cellStyle name="Normal 5 2 4 3 2 2 5" xfId="18781"/>
    <cellStyle name="Normal 5 2 4 3 2 2 6" xfId="18782"/>
    <cellStyle name="Normal 5 2 4 3 2 2 7" xfId="18783"/>
    <cellStyle name="Normal 5 2 4 3 2 2 8" xfId="18784"/>
    <cellStyle name="Normal 5 2 4 3 2 3" xfId="18785"/>
    <cellStyle name="Normal 5 2 4 3 2 3 2" xfId="18786"/>
    <cellStyle name="Normal 5 2 4 3 2 3 2 2" xfId="18787"/>
    <cellStyle name="Normal 5 2 4 3 2 3 2 3" xfId="18788"/>
    <cellStyle name="Normal 5 2 4 3 2 3 3" xfId="18789"/>
    <cellStyle name="Normal 5 2 4 3 2 3 3 2" xfId="18790"/>
    <cellStyle name="Normal 5 2 4 3 2 3 3 3" xfId="18791"/>
    <cellStyle name="Normal 5 2 4 3 2 3 4" xfId="18792"/>
    <cellStyle name="Normal 5 2 4 3 2 3 5" xfId="18793"/>
    <cellStyle name="Normal 5 2 4 3 2 3 6" xfId="18794"/>
    <cellStyle name="Normal 5 2 4 3 2 3 7" xfId="18795"/>
    <cellStyle name="Normal 5 2 4 3 2 4" xfId="18796"/>
    <cellStyle name="Normal 5 2 4 3 2 4 2" xfId="18797"/>
    <cellStyle name="Normal 5 2 4 3 2 4 3" xfId="18798"/>
    <cellStyle name="Normal 5 2 4 3 2 5" xfId="18799"/>
    <cellStyle name="Normal 5 2 4 3 2 5 2" xfId="18800"/>
    <cellStyle name="Normal 5 2 4 3 2 5 3" xfId="18801"/>
    <cellStyle name="Normal 5 2 4 3 2 6" xfId="18802"/>
    <cellStyle name="Normal 5 2 4 3 2 7" xfId="18803"/>
    <cellStyle name="Normal 5 2 4 3 2 8" xfId="18804"/>
    <cellStyle name="Normal 5 2 4 3 2 9" xfId="18805"/>
    <cellStyle name="Normal 5 2 4 3 3" xfId="18806"/>
    <cellStyle name="Normal 5 2 4 3 3 10" xfId="18807"/>
    <cellStyle name="Normal 5 2 4 3 3 11" xfId="18808"/>
    <cellStyle name="Normal 5 2 4 3 3 2" xfId="18809"/>
    <cellStyle name="Normal 5 2 4 3 3 2 2" xfId="18810"/>
    <cellStyle name="Normal 5 2 4 3 3 2 2 2" xfId="18811"/>
    <cellStyle name="Normal 5 2 4 3 3 2 2 3" xfId="18812"/>
    <cellStyle name="Normal 5 2 4 3 3 2 3" xfId="18813"/>
    <cellStyle name="Normal 5 2 4 3 3 2 3 2" xfId="18814"/>
    <cellStyle name="Normal 5 2 4 3 3 2 3 3" xfId="18815"/>
    <cellStyle name="Normal 5 2 4 3 3 2 4" xfId="18816"/>
    <cellStyle name="Normal 5 2 4 3 3 2 5" xfId="18817"/>
    <cellStyle name="Normal 5 2 4 3 3 2 6" xfId="18818"/>
    <cellStyle name="Normal 5 2 4 3 3 2 7" xfId="18819"/>
    <cellStyle name="Normal 5 2 4 3 3 3" xfId="18820"/>
    <cellStyle name="Normal 5 2 4 3 3 3 2" xfId="18821"/>
    <cellStyle name="Normal 5 2 4 3 3 3 3" xfId="18822"/>
    <cellStyle name="Normal 5 2 4 3 3 4" xfId="18823"/>
    <cellStyle name="Normal 5 2 4 3 3 4 2" xfId="18824"/>
    <cellStyle name="Normal 5 2 4 3 3 4 3" xfId="18825"/>
    <cellStyle name="Normal 5 2 4 3 3 5" xfId="18826"/>
    <cellStyle name="Normal 5 2 4 3 3 6" xfId="18827"/>
    <cellStyle name="Normal 5 2 4 3 3 7" xfId="18828"/>
    <cellStyle name="Normal 5 2 4 3 3 8" xfId="18829"/>
    <cellStyle name="Normal 5 2 4 3 3 9" xfId="18830"/>
    <cellStyle name="Normal 5 2 4 3 4" xfId="18831"/>
    <cellStyle name="Normal 5 2 4 3 4 2" xfId="18832"/>
    <cellStyle name="Normal 5 2 4 3 4 2 2" xfId="18833"/>
    <cellStyle name="Normal 5 2 4 3 4 2 2 2" xfId="18834"/>
    <cellStyle name="Normal 5 2 4 3 4 2 2 3" xfId="18835"/>
    <cellStyle name="Normal 5 2 4 3 4 2 3" xfId="18836"/>
    <cellStyle name="Normal 5 2 4 3 4 2 3 2" xfId="18837"/>
    <cellStyle name="Normal 5 2 4 3 4 2 3 3" xfId="18838"/>
    <cellStyle name="Normal 5 2 4 3 4 2 4" xfId="18839"/>
    <cellStyle name="Normal 5 2 4 3 4 2 5" xfId="18840"/>
    <cellStyle name="Normal 5 2 4 3 4 2 6" xfId="18841"/>
    <cellStyle name="Normal 5 2 4 3 4 2 7" xfId="18842"/>
    <cellStyle name="Normal 5 2 4 3 4 3" xfId="18843"/>
    <cellStyle name="Normal 5 2 4 3 4 3 2" xfId="18844"/>
    <cellStyle name="Normal 5 2 4 3 4 3 3" xfId="18845"/>
    <cellStyle name="Normal 5 2 4 3 4 4" xfId="18846"/>
    <cellStyle name="Normal 5 2 4 3 4 4 2" xfId="18847"/>
    <cellStyle name="Normal 5 2 4 3 4 4 3" xfId="18848"/>
    <cellStyle name="Normal 5 2 4 3 4 5" xfId="18849"/>
    <cellStyle name="Normal 5 2 4 3 4 6" xfId="18850"/>
    <cellStyle name="Normal 5 2 4 3 4 7" xfId="18851"/>
    <cellStyle name="Normal 5 2 4 3 4 8" xfId="18852"/>
    <cellStyle name="Normal 5 2 4 3 5" xfId="18853"/>
    <cellStyle name="Normal 5 2 4 3 5 2" xfId="18854"/>
    <cellStyle name="Normal 5 2 4 3 5 2 2" xfId="18855"/>
    <cellStyle name="Normal 5 2 4 3 5 2 3" xfId="18856"/>
    <cellStyle name="Normal 5 2 4 3 5 3" xfId="18857"/>
    <cellStyle name="Normal 5 2 4 3 5 3 2" xfId="18858"/>
    <cellStyle name="Normal 5 2 4 3 5 3 3" xfId="18859"/>
    <cellStyle name="Normal 5 2 4 3 5 4" xfId="18860"/>
    <cellStyle name="Normal 5 2 4 3 5 5" xfId="18861"/>
    <cellStyle name="Normal 5 2 4 3 5 6" xfId="18862"/>
    <cellStyle name="Normal 5 2 4 3 5 7" xfId="18863"/>
    <cellStyle name="Normal 5 2 4 3 6" xfId="18864"/>
    <cellStyle name="Normal 5 2 4 3 6 2" xfId="18865"/>
    <cellStyle name="Normal 5 2 4 3 6 3" xfId="18866"/>
    <cellStyle name="Normal 5 2 4 3 7" xfId="18867"/>
    <cellStyle name="Normal 5 2 4 3 7 2" xfId="18868"/>
    <cellStyle name="Normal 5 2 4 3 7 3" xfId="18869"/>
    <cellStyle name="Normal 5 2 4 3 8" xfId="18870"/>
    <cellStyle name="Normal 5 2 4 3 9" xfId="18871"/>
    <cellStyle name="Normal 5 2 4 4" xfId="18872"/>
    <cellStyle name="Normal 5 2 4 4 10" xfId="18873"/>
    <cellStyle name="Normal 5 2 4 4 11" xfId="18874"/>
    <cellStyle name="Normal 5 2 4 4 12" xfId="18875"/>
    <cellStyle name="Normal 5 2 4 4 13" xfId="18876"/>
    <cellStyle name="Normal 5 2 4 4 2" xfId="18877"/>
    <cellStyle name="Normal 5 2 4 4 2 10" xfId="18878"/>
    <cellStyle name="Normal 5 2 4 4 2 11" xfId="18879"/>
    <cellStyle name="Normal 5 2 4 4 2 2" xfId="18880"/>
    <cellStyle name="Normal 5 2 4 4 2 2 2" xfId="18881"/>
    <cellStyle name="Normal 5 2 4 4 2 2 2 2" xfId="18882"/>
    <cellStyle name="Normal 5 2 4 4 2 2 2 2 2" xfId="18883"/>
    <cellStyle name="Normal 5 2 4 4 2 2 2 2 3" xfId="18884"/>
    <cellStyle name="Normal 5 2 4 4 2 2 2 3" xfId="18885"/>
    <cellStyle name="Normal 5 2 4 4 2 2 2 3 2" xfId="18886"/>
    <cellStyle name="Normal 5 2 4 4 2 2 2 3 3" xfId="18887"/>
    <cellStyle name="Normal 5 2 4 4 2 2 2 4" xfId="18888"/>
    <cellStyle name="Normal 5 2 4 4 2 2 2 5" xfId="18889"/>
    <cellStyle name="Normal 5 2 4 4 2 2 2 6" xfId="18890"/>
    <cellStyle name="Normal 5 2 4 4 2 2 2 7" xfId="18891"/>
    <cellStyle name="Normal 5 2 4 4 2 2 3" xfId="18892"/>
    <cellStyle name="Normal 5 2 4 4 2 2 3 2" xfId="18893"/>
    <cellStyle name="Normal 5 2 4 4 2 2 3 3" xfId="18894"/>
    <cellStyle name="Normal 5 2 4 4 2 2 4" xfId="18895"/>
    <cellStyle name="Normal 5 2 4 4 2 2 4 2" xfId="18896"/>
    <cellStyle name="Normal 5 2 4 4 2 2 4 3" xfId="18897"/>
    <cellStyle name="Normal 5 2 4 4 2 2 5" xfId="18898"/>
    <cellStyle name="Normal 5 2 4 4 2 2 6" xfId="18899"/>
    <cellStyle name="Normal 5 2 4 4 2 2 7" xfId="18900"/>
    <cellStyle name="Normal 5 2 4 4 2 2 8" xfId="18901"/>
    <cellStyle name="Normal 5 2 4 4 2 3" xfId="18902"/>
    <cellStyle name="Normal 5 2 4 4 2 3 2" xfId="18903"/>
    <cellStyle name="Normal 5 2 4 4 2 3 2 2" xfId="18904"/>
    <cellStyle name="Normal 5 2 4 4 2 3 2 3" xfId="18905"/>
    <cellStyle name="Normal 5 2 4 4 2 3 3" xfId="18906"/>
    <cellStyle name="Normal 5 2 4 4 2 3 3 2" xfId="18907"/>
    <cellStyle name="Normal 5 2 4 4 2 3 3 3" xfId="18908"/>
    <cellStyle name="Normal 5 2 4 4 2 3 4" xfId="18909"/>
    <cellStyle name="Normal 5 2 4 4 2 3 5" xfId="18910"/>
    <cellStyle name="Normal 5 2 4 4 2 3 6" xfId="18911"/>
    <cellStyle name="Normal 5 2 4 4 2 3 7" xfId="18912"/>
    <cellStyle name="Normal 5 2 4 4 2 4" xfId="18913"/>
    <cellStyle name="Normal 5 2 4 4 2 4 2" xfId="18914"/>
    <cellStyle name="Normal 5 2 4 4 2 4 3" xfId="18915"/>
    <cellStyle name="Normal 5 2 4 4 2 5" xfId="18916"/>
    <cellStyle name="Normal 5 2 4 4 2 5 2" xfId="18917"/>
    <cellStyle name="Normal 5 2 4 4 2 5 3" xfId="18918"/>
    <cellStyle name="Normal 5 2 4 4 2 6" xfId="18919"/>
    <cellStyle name="Normal 5 2 4 4 2 7" xfId="18920"/>
    <cellStyle name="Normal 5 2 4 4 2 8" xfId="18921"/>
    <cellStyle name="Normal 5 2 4 4 2 9" xfId="18922"/>
    <cellStyle name="Normal 5 2 4 4 3" xfId="18923"/>
    <cellStyle name="Normal 5 2 4 4 3 10" xfId="18924"/>
    <cellStyle name="Normal 5 2 4 4 3 11" xfId="18925"/>
    <cellStyle name="Normal 5 2 4 4 3 2" xfId="18926"/>
    <cellStyle name="Normal 5 2 4 4 3 2 2" xfId="18927"/>
    <cellStyle name="Normal 5 2 4 4 3 2 2 2" xfId="18928"/>
    <cellStyle name="Normal 5 2 4 4 3 2 2 3" xfId="18929"/>
    <cellStyle name="Normal 5 2 4 4 3 2 3" xfId="18930"/>
    <cellStyle name="Normal 5 2 4 4 3 2 3 2" xfId="18931"/>
    <cellStyle name="Normal 5 2 4 4 3 2 3 3" xfId="18932"/>
    <cellStyle name="Normal 5 2 4 4 3 2 4" xfId="18933"/>
    <cellStyle name="Normal 5 2 4 4 3 2 5" xfId="18934"/>
    <cellStyle name="Normal 5 2 4 4 3 2 6" xfId="18935"/>
    <cellStyle name="Normal 5 2 4 4 3 2 7" xfId="18936"/>
    <cellStyle name="Normal 5 2 4 4 3 3" xfId="18937"/>
    <cellStyle name="Normal 5 2 4 4 3 3 2" xfId="18938"/>
    <cellStyle name="Normal 5 2 4 4 3 3 3" xfId="18939"/>
    <cellStyle name="Normal 5 2 4 4 3 4" xfId="18940"/>
    <cellStyle name="Normal 5 2 4 4 3 4 2" xfId="18941"/>
    <cellStyle name="Normal 5 2 4 4 3 4 3" xfId="18942"/>
    <cellStyle name="Normal 5 2 4 4 3 5" xfId="18943"/>
    <cellStyle name="Normal 5 2 4 4 3 6" xfId="18944"/>
    <cellStyle name="Normal 5 2 4 4 3 7" xfId="18945"/>
    <cellStyle name="Normal 5 2 4 4 3 8" xfId="18946"/>
    <cellStyle name="Normal 5 2 4 4 3 9" xfId="18947"/>
    <cellStyle name="Normal 5 2 4 4 4" xfId="18948"/>
    <cellStyle name="Normal 5 2 4 4 4 2" xfId="18949"/>
    <cellStyle name="Normal 5 2 4 4 4 2 2" xfId="18950"/>
    <cellStyle name="Normal 5 2 4 4 4 2 2 2" xfId="18951"/>
    <cellStyle name="Normal 5 2 4 4 4 2 2 3" xfId="18952"/>
    <cellStyle name="Normal 5 2 4 4 4 2 3" xfId="18953"/>
    <cellStyle name="Normal 5 2 4 4 4 2 3 2" xfId="18954"/>
    <cellStyle name="Normal 5 2 4 4 4 2 3 3" xfId="18955"/>
    <cellStyle name="Normal 5 2 4 4 4 2 4" xfId="18956"/>
    <cellStyle name="Normal 5 2 4 4 4 2 5" xfId="18957"/>
    <cellStyle name="Normal 5 2 4 4 4 2 6" xfId="18958"/>
    <cellStyle name="Normal 5 2 4 4 4 2 7" xfId="18959"/>
    <cellStyle name="Normal 5 2 4 4 4 3" xfId="18960"/>
    <cellStyle name="Normal 5 2 4 4 4 3 2" xfId="18961"/>
    <cellStyle name="Normal 5 2 4 4 4 3 3" xfId="18962"/>
    <cellStyle name="Normal 5 2 4 4 4 4" xfId="18963"/>
    <cellStyle name="Normal 5 2 4 4 4 4 2" xfId="18964"/>
    <cellStyle name="Normal 5 2 4 4 4 4 3" xfId="18965"/>
    <cellStyle name="Normal 5 2 4 4 4 5" xfId="18966"/>
    <cellStyle name="Normal 5 2 4 4 4 6" xfId="18967"/>
    <cellStyle name="Normal 5 2 4 4 4 7" xfId="18968"/>
    <cellStyle name="Normal 5 2 4 4 4 8" xfId="18969"/>
    <cellStyle name="Normal 5 2 4 4 5" xfId="18970"/>
    <cellStyle name="Normal 5 2 4 4 5 2" xfId="18971"/>
    <cellStyle name="Normal 5 2 4 4 5 2 2" xfId="18972"/>
    <cellStyle name="Normal 5 2 4 4 5 2 3" xfId="18973"/>
    <cellStyle name="Normal 5 2 4 4 5 3" xfId="18974"/>
    <cellStyle name="Normal 5 2 4 4 5 3 2" xfId="18975"/>
    <cellStyle name="Normal 5 2 4 4 5 3 3" xfId="18976"/>
    <cellStyle name="Normal 5 2 4 4 5 4" xfId="18977"/>
    <cellStyle name="Normal 5 2 4 4 5 5" xfId="18978"/>
    <cellStyle name="Normal 5 2 4 4 5 6" xfId="18979"/>
    <cellStyle name="Normal 5 2 4 4 5 7" xfId="18980"/>
    <cellStyle name="Normal 5 2 4 4 6" xfId="18981"/>
    <cellStyle name="Normal 5 2 4 4 6 2" xfId="18982"/>
    <cellStyle name="Normal 5 2 4 4 6 3" xfId="18983"/>
    <cellStyle name="Normal 5 2 4 4 7" xfId="18984"/>
    <cellStyle name="Normal 5 2 4 4 7 2" xfId="18985"/>
    <cellStyle name="Normal 5 2 4 4 7 3" xfId="18986"/>
    <cellStyle name="Normal 5 2 4 4 8" xfId="18987"/>
    <cellStyle name="Normal 5 2 4 4 9" xfId="18988"/>
    <cellStyle name="Normal 5 2 4 5" xfId="18989"/>
    <cellStyle name="Normal 5 2 4 5 10" xfId="18990"/>
    <cellStyle name="Normal 5 2 4 5 11" xfId="18991"/>
    <cellStyle name="Normal 5 2 4 5 12" xfId="18992"/>
    <cellStyle name="Normal 5 2 4 5 13" xfId="18993"/>
    <cellStyle name="Normal 5 2 4 5 2" xfId="18994"/>
    <cellStyle name="Normal 5 2 4 5 2 10" xfId="18995"/>
    <cellStyle name="Normal 5 2 4 5 2 11" xfId="18996"/>
    <cellStyle name="Normal 5 2 4 5 2 2" xfId="18997"/>
    <cellStyle name="Normal 5 2 4 5 2 2 2" xfId="18998"/>
    <cellStyle name="Normal 5 2 4 5 2 2 2 2" xfId="18999"/>
    <cellStyle name="Normal 5 2 4 5 2 2 2 2 2" xfId="19000"/>
    <cellStyle name="Normal 5 2 4 5 2 2 2 2 3" xfId="19001"/>
    <cellStyle name="Normal 5 2 4 5 2 2 2 3" xfId="19002"/>
    <cellStyle name="Normal 5 2 4 5 2 2 2 3 2" xfId="19003"/>
    <cellStyle name="Normal 5 2 4 5 2 2 2 3 3" xfId="19004"/>
    <cellStyle name="Normal 5 2 4 5 2 2 2 4" xfId="19005"/>
    <cellStyle name="Normal 5 2 4 5 2 2 2 5" xfId="19006"/>
    <cellStyle name="Normal 5 2 4 5 2 2 2 6" xfId="19007"/>
    <cellStyle name="Normal 5 2 4 5 2 2 2 7" xfId="19008"/>
    <cellStyle name="Normal 5 2 4 5 2 2 3" xfId="19009"/>
    <cellStyle name="Normal 5 2 4 5 2 2 3 2" xfId="19010"/>
    <cellStyle name="Normal 5 2 4 5 2 2 3 3" xfId="19011"/>
    <cellStyle name="Normal 5 2 4 5 2 2 4" xfId="19012"/>
    <cellStyle name="Normal 5 2 4 5 2 2 4 2" xfId="19013"/>
    <cellStyle name="Normal 5 2 4 5 2 2 4 3" xfId="19014"/>
    <cellStyle name="Normal 5 2 4 5 2 2 5" xfId="19015"/>
    <cellStyle name="Normal 5 2 4 5 2 2 6" xfId="19016"/>
    <cellStyle name="Normal 5 2 4 5 2 2 7" xfId="19017"/>
    <cellStyle name="Normal 5 2 4 5 2 2 8" xfId="19018"/>
    <cellStyle name="Normal 5 2 4 5 2 3" xfId="19019"/>
    <cellStyle name="Normal 5 2 4 5 2 3 2" xfId="19020"/>
    <cellStyle name="Normal 5 2 4 5 2 3 2 2" xfId="19021"/>
    <cellStyle name="Normal 5 2 4 5 2 3 2 3" xfId="19022"/>
    <cellStyle name="Normal 5 2 4 5 2 3 3" xfId="19023"/>
    <cellStyle name="Normal 5 2 4 5 2 3 3 2" xfId="19024"/>
    <cellStyle name="Normal 5 2 4 5 2 3 3 3" xfId="19025"/>
    <cellStyle name="Normal 5 2 4 5 2 3 4" xfId="19026"/>
    <cellStyle name="Normal 5 2 4 5 2 3 5" xfId="19027"/>
    <cellStyle name="Normal 5 2 4 5 2 3 6" xfId="19028"/>
    <cellStyle name="Normal 5 2 4 5 2 3 7" xfId="19029"/>
    <cellStyle name="Normal 5 2 4 5 2 4" xfId="19030"/>
    <cellStyle name="Normal 5 2 4 5 2 4 2" xfId="19031"/>
    <cellStyle name="Normal 5 2 4 5 2 4 3" xfId="19032"/>
    <cellStyle name="Normal 5 2 4 5 2 5" xfId="19033"/>
    <cellStyle name="Normal 5 2 4 5 2 5 2" xfId="19034"/>
    <cellStyle name="Normal 5 2 4 5 2 5 3" xfId="19035"/>
    <cellStyle name="Normal 5 2 4 5 2 6" xfId="19036"/>
    <cellStyle name="Normal 5 2 4 5 2 7" xfId="19037"/>
    <cellStyle name="Normal 5 2 4 5 2 8" xfId="19038"/>
    <cellStyle name="Normal 5 2 4 5 2 9" xfId="19039"/>
    <cellStyle name="Normal 5 2 4 5 3" xfId="19040"/>
    <cellStyle name="Normal 5 2 4 5 3 10" xfId="19041"/>
    <cellStyle name="Normal 5 2 4 5 3 11" xfId="19042"/>
    <cellStyle name="Normal 5 2 4 5 3 2" xfId="19043"/>
    <cellStyle name="Normal 5 2 4 5 3 2 2" xfId="19044"/>
    <cellStyle name="Normal 5 2 4 5 3 2 2 2" xfId="19045"/>
    <cellStyle name="Normal 5 2 4 5 3 2 2 3" xfId="19046"/>
    <cellStyle name="Normal 5 2 4 5 3 2 3" xfId="19047"/>
    <cellStyle name="Normal 5 2 4 5 3 2 3 2" xfId="19048"/>
    <cellStyle name="Normal 5 2 4 5 3 2 3 3" xfId="19049"/>
    <cellStyle name="Normal 5 2 4 5 3 2 4" xfId="19050"/>
    <cellStyle name="Normal 5 2 4 5 3 2 5" xfId="19051"/>
    <cellStyle name="Normal 5 2 4 5 3 2 6" xfId="19052"/>
    <cellStyle name="Normal 5 2 4 5 3 2 7" xfId="19053"/>
    <cellStyle name="Normal 5 2 4 5 3 3" xfId="19054"/>
    <cellStyle name="Normal 5 2 4 5 3 3 2" xfId="19055"/>
    <cellStyle name="Normal 5 2 4 5 3 3 3" xfId="19056"/>
    <cellStyle name="Normal 5 2 4 5 3 4" xfId="19057"/>
    <cellStyle name="Normal 5 2 4 5 3 4 2" xfId="19058"/>
    <cellStyle name="Normal 5 2 4 5 3 4 3" xfId="19059"/>
    <cellStyle name="Normal 5 2 4 5 3 5" xfId="19060"/>
    <cellStyle name="Normal 5 2 4 5 3 6" xfId="19061"/>
    <cellStyle name="Normal 5 2 4 5 3 7" xfId="19062"/>
    <cellStyle name="Normal 5 2 4 5 3 8" xfId="19063"/>
    <cellStyle name="Normal 5 2 4 5 3 9" xfId="19064"/>
    <cellStyle name="Normal 5 2 4 5 4" xfId="19065"/>
    <cellStyle name="Normal 5 2 4 5 4 2" xfId="19066"/>
    <cellStyle name="Normal 5 2 4 5 4 2 2" xfId="19067"/>
    <cellStyle name="Normal 5 2 4 5 4 2 2 2" xfId="19068"/>
    <cellStyle name="Normal 5 2 4 5 4 2 2 3" xfId="19069"/>
    <cellStyle name="Normal 5 2 4 5 4 2 3" xfId="19070"/>
    <cellStyle name="Normal 5 2 4 5 4 2 3 2" xfId="19071"/>
    <cellStyle name="Normal 5 2 4 5 4 2 3 3" xfId="19072"/>
    <cellStyle name="Normal 5 2 4 5 4 2 4" xfId="19073"/>
    <cellStyle name="Normal 5 2 4 5 4 2 5" xfId="19074"/>
    <cellStyle name="Normal 5 2 4 5 4 2 6" xfId="19075"/>
    <cellStyle name="Normal 5 2 4 5 4 2 7" xfId="19076"/>
    <cellStyle name="Normal 5 2 4 5 4 3" xfId="19077"/>
    <cellStyle name="Normal 5 2 4 5 4 3 2" xfId="19078"/>
    <cellStyle name="Normal 5 2 4 5 4 3 3" xfId="19079"/>
    <cellStyle name="Normal 5 2 4 5 4 4" xfId="19080"/>
    <cellStyle name="Normal 5 2 4 5 4 4 2" xfId="19081"/>
    <cellStyle name="Normal 5 2 4 5 4 4 3" xfId="19082"/>
    <cellStyle name="Normal 5 2 4 5 4 5" xfId="19083"/>
    <cellStyle name="Normal 5 2 4 5 4 6" xfId="19084"/>
    <cellStyle name="Normal 5 2 4 5 4 7" xfId="19085"/>
    <cellStyle name="Normal 5 2 4 5 4 8" xfId="19086"/>
    <cellStyle name="Normal 5 2 4 5 5" xfId="19087"/>
    <cellStyle name="Normal 5 2 4 5 5 2" xfId="19088"/>
    <cellStyle name="Normal 5 2 4 5 5 2 2" xfId="19089"/>
    <cellStyle name="Normal 5 2 4 5 5 2 3" xfId="19090"/>
    <cellStyle name="Normal 5 2 4 5 5 3" xfId="19091"/>
    <cellStyle name="Normal 5 2 4 5 5 3 2" xfId="19092"/>
    <cellStyle name="Normal 5 2 4 5 5 3 3" xfId="19093"/>
    <cellStyle name="Normal 5 2 4 5 5 4" xfId="19094"/>
    <cellStyle name="Normal 5 2 4 5 5 5" xfId="19095"/>
    <cellStyle name="Normal 5 2 4 5 5 6" xfId="19096"/>
    <cellStyle name="Normal 5 2 4 5 5 7" xfId="19097"/>
    <cellStyle name="Normal 5 2 4 5 6" xfId="19098"/>
    <cellStyle name="Normal 5 2 4 5 6 2" xfId="19099"/>
    <cellStyle name="Normal 5 2 4 5 6 3" xfId="19100"/>
    <cellStyle name="Normal 5 2 4 5 7" xfId="19101"/>
    <cellStyle name="Normal 5 2 4 5 7 2" xfId="19102"/>
    <cellStyle name="Normal 5 2 4 5 7 3" xfId="19103"/>
    <cellStyle name="Normal 5 2 4 5 8" xfId="19104"/>
    <cellStyle name="Normal 5 2 4 5 9" xfId="19105"/>
    <cellStyle name="Normal 5 2 4 6" xfId="19106"/>
    <cellStyle name="Normal 5 2 4 6 10" xfId="19107"/>
    <cellStyle name="Normal 5 2 4 6 11" xfId="19108"/>
    <cellStyle name="Normal 5 2 4 6 12" xfId="19109"/>
    <cellStyle name="Normal 5 2 4 6 13" xfId="19110"/>
    <cellStyle name="Normal 5 2 4 6 2" xfId="19111"/>
    <cellStyle name="Normal 5 2 4 6 2 10" xfId="19112"/>
    <cellStyle name="Normal 5 2 4 6 2 11" xfId="19113"/>
    <cellStyle name="Normal 5 2 4 6 2 2" xfId="19114"/>
    <cellStyle name="Normal 5 2 4 6 2 2 2" xfId="19115"/>
    <cellStyle name="Normal 5 2 4 6 2 2 2 2" xfId="19116"/>
    <cellStyle name="Normal 5 2 4 6 2 2 2 2 2" xfId="19117"/>
    <cellStyle name="Normal 5 2 4 6 2 2 2 2 3" xfId="19118"/>
    <cellStyle name="Normal 5 2 4 6 2 2 2 3" xfId="19119"/>
    <cellStyle name="Normal 5 2 4 6 2 2 2 3 2" xfId="19120"/>
    <cellStyle name="Normal 5 2 4 6 2 2 2 3 3" xfId="19121"/>
    <cellStyle name="Normal 5 2 4 6 2 2 2 4" xfId="19122"/>
    <cellStyle name="Normal 5 2 4 6 2 2 2 5" xfId="19123"/>
    <cellStyle name="Normal 5 2 4 6 2 2 2 6" xfId="19124"/>
    <cellStyle name="Normal 5 2 4 6 2 2 2 7" xfId="19125"/>
    <cellStyle name="Normal 5 2 4 6 2 2 3" xfId="19126"/>
    <cellStyle name="Normal 5 2 4 6 2 2 3 2" xfId="19127"/>
    <cellStyle name="Normal 5 2 4 6 2 2 3 3" xfId="19128"/>
    <cellStyle name="Normal 5 2 4 6 2 2 4" xfId="19129"/>
    <cellStyle name="Normal 5 2 4 6 2 2 4 2" xfId="19130"/>
    <cellStyle name="Normal 5 2 4 6 2 2 4 3" xfId="19131"/>
    <cellStyle name="Normal 5 2 4 6 2 2 5" xfId="19132"/>
    <cellStyle name="Normal 5 2 4 6 2 2 6" xfId="19133"/>
    <cellStyle name="Normal 5 2 4 6 2 2 7" xfId="19134"/>
    <cellStyle name="Normal 5 2 4 6 2 2 8" xfId="19135"/>
    <cellStyle name="Normal 5 2 4 6 2 3" xfId="19136"/>
    <cellStyle name="Normal 5 2 4 6 2 3 2" xfId="19137"/>
    <cellStyle name="Normal 5 2 4 6 2 3 2 2" xfId="19138"/>
    <cellStyle name="Normal 5 2 4 6 2 3 2 3" xfId="19139"/>
    <cellStyle name="Normal 5 2 4 6 2 3 3" xfId="19140"/>
    <cellStyle name="Normal 5 2 4 6 2 3 3 2" xfId="19141"/>
    <cellStyle name="Normal 5 2 4 6 2 3 3 3" xfId="19142"/>
    <cellStyle name="Normal 5 2 4 6 2 3 4" xfId="19143"/>
    <cellStyle name="Normal 5 2 4 6 2 3 5" xfId="19144"/>
    <cellStyle name="Normal 5 2 4 6 2 3 6" xfId="19145"/>
    <cellStyle name="Normal 5 2 4 6 2 3 7" xfId="19146"/>
    <cellStyle name="Normal 5 2 4 6 2 4" xfId="19147"/>
    <cellStyle name="Normal 5 2 4 6 2 4 2" xfId="19148"/>
    <cellStyle name="Normal 5 2 4 6 2 4 3" xfId="19149"/>
    <cellStyle name="Normal 5 2 4 6 2 5" xfId="19150"/>
    <cellStyle name="Normal 5 2 4 6 2 5 2" xfId="19151"/>
    <cellStyle name="Normal 5 2 4 6 2 5 3" xfId="19152"/>
    <cellStyle name="Normal 5 2 4 6 2 6" xfId="19153"/>
    <cellStyle name="Normal 5 2 4 6 2 7" xfId="19154"/>
    <cellStyle name="Normal 5 2 4 6 2 8" xfId="19155"/>
    <cellStyle name="Normal 5 2 4 6 2 9" xfId="19156"/>
    <cellStyle name="Normal 5 2 4 6 3" xfId="19157"/>
    <cellStyle name="Normal 5 2 4 6 3 10" xfId="19158"/>
    <cellStyle name="Normal 5 2 4 6 3 11" xfId="19159"/>
    <cellStyle name="Normal 5 2 4 6 3 2" xfId="19160"/>
    <cellStyle name="Normal 5 2 4 6 3 2 2" xfId="19161"/>
    <cellStyle name="Normal 5 2 4 6 3 2 2 2" xfId="19162"/>
    <cellStyle name="Normal 5 2 4 6 3 2 2 3" xfId="19163"/>
    <cellStyle name="Normal 5 2 4 6 3 2 3" xfId="19164"/>
    <cellStyle name="Normal 5 2 4 6 3 2 3 2" xfId="19165"/>
    <cellStyle name="Normal 5 2 4 6 3 2 3 3" xfId="19166"/>
    <cellStyle name="Normal 5 2 4 6 3 2 4" xfId="19167"/>
    <cellStyle name="Normal 5 2 4 6 3 2 5" xfId="19168"/>
    <cellStyle name="Normal 5 2 4 6 3 2 6" xfId="19169"/>
    <cellStyle name="Normal 5 2 4 6 3 2 7" xfId="19170"/>
    <cellStyle name="Normal 5 2 4 6 3 3" xfId="19171"/>
    <cellStyle name="Normal 5 2 4 6 3 3 2" xfId="19172"/>
    <cellStyle name="Normal 5 2 4 6 3 3 3" xfId="19173"/>
    <cellStyle name="Normal 5 2 4 6 3 4" xfId="19174"/>
    <cellStyle name="Normal 5 2 4 6 3 4 2" xfId="19175"/>
    <cellStyle name="Normal 5 2 4 6 3 4 3" xfId="19176"/>
    <cellStyle name="Normal 5 2 4 6 3 5" xfId="19177"/>
    <cellStyle name="Normal 5 2 4 6 3 6" xfId="19178"/>
    <cellStyle name="Normal 5 2 4 6 3 7" xfId="19179"/>
    <cellStyle name="Normal 5 2 4 6 3 8" xfId="19180"/>
    <cellStyle name="Normal 5 2 4 6 3 9" xfId="19181"/>
    <cellStyle name="Normal 5 2 4 6 4" xfId="19182"/>
    <cellStyle name="Normal 5 2 4 6 4 2" xfId="19183"/>
    <cellStyle name="Normal 5 2 4 6 4 2 2" xfId="19184"/>
    <cellStyle name="Normal 5 2 4 6 4 2 2 2" xfId="19185"/>
    <cellStyle name="Normal 5 2 4 6 4 2 2 3" xfId="19186"/>
    <cellStyle name="Normal 5 2 4 6 4 2 3" xfId="19187"/>
    <cellStyle name="Normal 5 2 4 6 4 2 3 2" xfId="19188"/>
    <cellStyle name="Normal 5 2 4 6 4 2 3 3" xfId="19189"/>
    <cellStyle name="Normal 5 2 4 6 4 2 4" xfId="19190"/>
    <cellStyle name="Normal 5 2 4 6 4 2 5" xfId="19191"/>
    <cellStyle name="Normal 5 2 4 6 4 2 6" xfId="19192"/>
    <cellStyle name="Normal 5 2 4 6 4 2 7" xfId="19193"/>
    <cellStyle name="Normal 5 2 4 6 4 3" xfId="19194"/>
    <cellStyle name="Normal 5 2 4 6 4 3 2" xfId="19195"/>
    <cellStyle name="Normal 5 2 4 6 4 3 3" xfId="19196"/>
    <cellStyle name="Normal 5 2 4 6 4 4" xfId="19197"/>
    <cellStyle name="Normal 5 2 4 6 4 4 2" xfId="19198"/>
    <cellStyle name="Normal 5 2 4 6 4 4 3" xfId="19199"/>
    <cellStyle name="Normal 5 2 4 6 4 5" xfId="19200"/>
    <cellStyle name="Normal 5 2 4 6 4 6" xfId="19201"/>
    <cellStyle name="Normal 5 2 4 6 4 7" xfId="19202"/>
    <cellStyle name="Normal 5 2 4 6 4 8" xfId="19203"/>
    <cellStyle name="Normal 5 2 4 6 5" xfId="19204"/>
    <cellStyle name="Normal 5 2 4 6 5 2" xfId="19205"/>
    <cellStyle name="Normal 5 2 4 6 5 2 2" xfId="19206"/>
    <cellStyle name="Normal 5 2 4 6 5 2 3" xfId="19207"/>
    <cellStyle name="Normal 5 2 4 6 5 3" xfId="19208"/>
    <cellStyle name="Normal 5 2 4 6 5 3 2" xfId="19209"/>
    <cellStyle name="Normal 5 2 4 6 5 3 3" xfId="19210"/>
    <cellStyle name="Normal 5 2 4 6 5 4" xfId="19211"/>
    <cellStyle name="Normal 5 2 4 6 5 5" xfId="19212"/>
    <cellStyle name="Normal 5 2 4 6 5 6" xfId="19213"/>
    <cellStyle name="Normal 5 2 4 6 5 7" xfId="19214"/>
    <cellStyle name="Normal 5 2 4 6 6" xfId="19215"/>
    <cellStyle name="Normal 5 2 4 6 6 2" xfId="19216"/>
    <cellStyle name="Normal 5 2 4 6 6 3" xfId="19217"/>
    <cellStyle name="Normal 5 2 4 6 7" xfId="19218"/>
    <cellStyle name="Normal 5 2 4 6 7 2" xfId="19219"/>
    <cellStyle name="Normal 5 2 4 6 7 3" xfId="19220"/>
    <cellStyle name="Normal 5 2 4 6 8" xfId="19221"/>
    <cellStyle name="Normal 5 2 4 6 9" xfId="19222"/>
    <cellStyle name="Normal 5 2 4 7" xfId="19223"/>
    <cellStyle name="Normal 5 2 4 7 10" xfId="19224"/>
    <cellStyle name="Normal 5 2 4 7 11" xfId="19225"/>
    <cellStyle name="Normal 5 2 4 7 2" xfId="19226"/>
    <cellStyle name="Normal 5 2 4 7 2 2" xfId="19227"/>
    <cellStyle name="Normal 5 2 4 7 2 2 2" xfId="19228"/>
    <cellStyle name="Normal 5 2 4 7 2 2 2 2" xfId="19229"/>
    <cellStyle name="Normal 5 2 4 7 2 2 2 3" xfId="19230"/>
    <cellStyle name="Normal 5 2 4 7 2 2 3" xfId="19231"/>
    <cellStyle name="Normal 5 2 4 7 2 2 3 2" xfId="19232"/>
    <cellStyle name="Normal 5 2 4 7 2 2 3 3" xfId="19233"/>
    <cellStyle name="Normal 5 2 4 7 2 2 4" xfId="19234"/>
    <cellStyle name="Normal 5 2 4 7 2 2 5" xfId="19235"/>
    <cellStyle name="Normal 5 2 4 7 2 2 6" xfId="19236"/>
    <cellStyle name="Normal 5 2 4 7 2 2 7" xfId="19237"/>
    <cellStyle name="Normal 5 2 4 7 2 3" xfId="19238"/>
    <cellStyle name="Normal 5 2 4 7 2 3 2" xfId="19239"/>
    <cellStyle name="Normal 5 2 4 7 2 3 3" xfId="19240"/>
    <cellStyle name="Normal 5 2 4 7 2 4" xfId="19241"/>
    <cellStyle name="Normal 5 2 4 7 2 4 2" xfId="19242"/>
    <cellStyle name="Normal 5 2 4 7 2 4 3" xfId="19243"/>
    <cellStyle name="Normal 5 2 4 7 2 5" xfId="19244"/>
    <cellStyle name="Normal 5 2 4 7 2 6" xfId="19245"/>
    <cellStyle name="Normal 5 2 4 7 2 7" xfId="19246"/>
    <cellStyle name="Normal 5 2 4 7 2 8" xfId="19247"/>
    <cellStyle name="Normal 5 2 4 7 3" xfId="19248"/>
    <cellStyle name="Normal 5 2 4 7 3 2" xfId="19249"/>
    <cellStyle name="Normal 5 2 4 7 3 2 2" xfId="19250"/>
    <cellStyle name="Normal 5 2 4 7 3 2 3" xfId="19251"/>
    <cellStyle name="Normal 5 2 4 7 3 3" xfId="19252"/>
    <cellStyle name="Normal 5 2 4 7 3 3 2" xfId="19253"/>
    <cellStyle name="Normal 5 2 4 7 3 3 3" xfId="19254"/>
    <cellStyle name="Normal 5 2 4 7 3 4" xfId="19255"/>
    <cellStyle name="Normal 5 2 4 7 3 5" xfId="19256"/>
    <cellStyle name="Normal 5 2 4 7 3 6" xfId="19257"/>
    <cellStyle name="Normal 5 2 4 7 3 7" xfId="19258"/>
    <cellStyle name="Normal 5 2 4 7 4" xfId="19259"/>
    <cellStyle name="Normal 5 2 4 7 4 2" xfId="19260"/>
    <cellStyle name="Normal 5 2 4 7 4 3" xfId="19261"/>
    <cellStyle name="Normal 5 2 4 7 5" xfId="19262"/>
    <cellStyle name="Normal 5 2 4 7 5 2" xfId="19263"/>
    <cellStyle name="Normal 5 2 4 7 5 3" xfId="19264"/>
    <cellStyle name="Normal 5 2 4 7 6" xfId="19265"/>
    <cellStyle name="Normal 5 2 4 7 7" xfId="19266"/>
    <cellStyle name="Normal 5 2 4 7 8" xfId="19267"/>
    <cellStyle name="Normal 5 2 4 7 9" xfId="19268"/>
    <cellStyle name="Normal 5 2 4 8" xfId="19269"/>
    <cellStyle name="Normal 5 2 4 8 10" xfId="19270"/>
    <cellStyle name="Normal 5 2 4 8 11" xfId="19271"/>
    <cellStyle name="Normal 5 2 4 8 2" xfId="19272"/>
    <cellStyle name="Normal 5 2 4 8 2 2" xfId="19273"/>
    <cellStyle name="Normal 5 2 4 8 2 2 2" xfId="19274"/>
    <cellStyle name="Normal 5 2 4 8 2 2 3" xfId="19275"/>
    <cellStyle name="Normal 5 2 4 8 2 3" xfId="19276"/>
    <cellStyle name="Normal 5 2 4 8 2 3 2" xfId="19277"/>
    <cellStyle name="Normal 5 2 4 8 2 3 3" xfId="19278"/>
    <cellStyle name="Normal 5 2 4 8 2 4" xfId="19279"/>
    <cellStyle name="Normal 5 2 4 8 2 5" xfId="19280"/>
    <cellStyle name="Normal 5 2 4 8 2 6" xfId="19281"/>
    <cellStyle name="Normal 5 2 4 8 2 7" xfId="19282"/>
    <cellStyle name="Normal 5 2 4 8 3" xfId="19283"/>
    <cellStyle name="Normal 5 2 4 8 3 2" xfId="19284"/>
    <cellStyle name="Normal 5 2 4 8 3 3" xfId="19285"/>
    <cellStyle name="Normal 5 2 4 8 4" xfId="19286"/>
    <cellStyle name="Normal 5 2 4 8 4 2" xfId="19287"/>
    <cellStyle name="Normal 5 2 4 8 4 3" xfId="19288"/>
    <cellStyle name="Normal 5 2 4 8 5" xfId="19289"/>
    <cellStyle name="Normal 5 2 4 8 6" xfId="19290"/>
    <cellStyle name="Normal 5 2 4 8 7" xfId="19291"/>
    <cellStyle name="Normal 5 2 4 8 8" xfId="19292"/>
    <cellStyle name="Normal 5 2 4 8 9" xfId="19293"/>
    <cellStyle name="Normal 5 2 4 9" xfId="19294"/>
    <cellStyle name="Normal 5 2 4 9 2" xfId="19295"/>
    <cellStyle name="Normal 5 2 4 9 2 2" xfId="19296"/>
    <cellStyle name="Normal 5 2 4 9 2 2 2" xfId="19297"/>
    <cellStyle name="Normal 5 2 4 9 2 2 3" xfId="19298"/>
    <cellStyle name="Normal 5 2 4 9 2 3" xfId="19299"/>
    <cellStyle name="Normal 5 2 4 9 2 3 2" xfId="19300"/>
    <cellStyle name="Normal 5 2 4 9 2 3 3" xfId="19301"/>
    <cellStyle name="Normal 5 2 4 9 2 4" xfId="19302"/>
    <cellStyle name="Normal 5 2 4 9 2 5" xfId="19303"/>
    <cellStyle name="Normal 5 2 4 9 2 6" xfId="19304"/>
    <cellStyle name="Normal 5 2 4 9 2 7" xfId="19305"/>
    <cellStyle name="Normal 5 2 4 9 3" xfId="19306"/>
    <cellStyle name="Normal 5 2 4 9 3 2" xfId="19307"/>
    <cellStyle name="Normal 5 2 4 9 3 3" xfId="19308"/>
    <cellStyle name="Normal 5 2 4 9 4" xfId="19309"/>
    <cellStyle name="Normal 5 2 4 9 4 2" xfId="19310"/>
    <cellStyle name="Normal 5 2 4 9 4 3" xfId="19311"/>
    <cellStyle name="Normal 5 2 4 9 5" xfId="19312"/>
    <cellStyle name="Normal 5 2 4 9 6" xfId="19313"/>
    <cellStyle name="Normal 5 2 4 9 7" xfId="19314"/>
    <cellStyle name="Normal 5 2 4 9 8" xfId="19315"/>
    <cellStyle name="Normal 5 2 5" xfId="19316"/>
    <cellStyle name="Normal 5 2 5 10" xfId="19317"/>
    <cellStyle name="Normal 5 2 5 10 2" xfId="19318"/>
    <cellStyle name="Normal 5 2 5 10 3" xfId="19319"/>
    <cellStyle name="Normal 5 2 5 11" xfId="19320"/>
    <cellStyle name="Normal 5 2 5 11 2" xfId="19321"/>
    <cellStyle name="Normal 5 2 5 11 3" xfId="19322"/>
    <cellStyle name="Normal 5 2 5 12" xfId="19323"/>
    <cellStyle name="Normal 5 2 5 13" xfId="19324"/>
    <cellStyle name="Normal 5 2 5 14" xfId="19325"/>
    <cellStyle name="Normal 5 2 5 15" xfId="19326"/>
    <cellStyle name="Normal 5 2 5 16" xfId="19327"/>
    <cellStyle name="Normal 5 2 5 17" xfId="19328"/>
    <cellStyle name="Normal 5 2 5 18" xfId="19329"/>
    <cellStyle name="Normal 5 2 5 2" xfId="19330"/>
    <cellStyle name="Normal 5 2 5 2 10" xfId="19331"/>
    <cellStyle name="Normal 5 2 5 2 11" xfId="19332"/>
    <cellStyle name="Normal 5 2 5 2 12" xfId="19333"/>
    <cellStyle name="Normal 5 2 5 2 13" xfId="19334"/>
    <cellStyle name="Normal 5 2 5 2 2" xfId="19335"/>
    <cellStyle name="Normal 5 2 5 2 2 10" xfId="19336"/>
    <cellStyle name="Normal 5 2 5 2 2 11" xfId="19337"/>
    <cellStyle name="Normal 5 2 5 2 2 2" xfId="19338"/>
    <cellStyle name="Normal 5 2 5 2 2 2 2" xfId="19339"/>
    <cellStyle name="Normal 5 2 5 2 2 2 2 2" xfId="19340"/>
    <cellStyle name="Normal 5 2 5 2 2 2 2 2 2" xfId="19341"/>
    <cellStyle name="Normal 5 2 5 2 2 2 2 2 3" xfId="19342"/>
    <cellStyle name="Normal 5 2 5 2 2 2 2 3" xfId="19343"/>
    <cellStyle name="Normal 5 2 5 2 2 2 2 3 2" xfId="19344"/>
    <cellStyle name="Normal 5 2 5 2 2 2 2 3 3" xfId="19345"/>
    <cellStyle name="Normal 5 2 5 2 2 2 2 4" xfId="19346"/>
    <cellStyle name="Normal 5 2 5 2 2 2 2 5" xfId="19347"/>
    <cellStyle name="Normal 5 2 5 2 2 2 2 6" xfId="19348"/>
    <cellStyle name="Normal 5 2 5 2 2 2 2 7" xfId="19349"/>
    <cellStyle name="Normal 5 2 5 2 2 2 3" xfId="19350"/>
    <cellStyle name="Normal 5 2 5 2 2 2 3 2" xfId="19351"/>
    <cellStyle name="Normal 5 2 5 2 2 2 3 3" xfId="19352"/>
    <cellStyle name="Normal 5 2 5 2 2 2 4" xfId="19353"/>
    <cellStyle name="Normal 5 2 5 2 2 2 4 2" xfId="19354"/>
    <cellStyle name="Normal 5 2 5 2 2 2 4 3" xfId="19355"/>
    <cellStyle name="Normal 5 2 5 2 2 2 5" xfId="19356"/>
    <cellStyle name="Normal 5 2 5 2 2 2 6" xfId="19357"/>
    <cellStyle name="Normal 5 2 5 2 2 2 7" xfId="19358"/>
    <cellStyle name="Normal 5 2 5 2 2 2 8" xfId="19359"/>
    <cellStyle name="Normal 5 2 5 2 2 3" xfId="19360"/>
    <cellStyle name="Normal 5 2 5 2 2 3 2" xfId="19361"/>
    <cellStyle name="Normal 5 2 5 2 2 3 2 2" xfId="19362"/>
    <cellStyle name="Normal 5 2 5 2 2 3 2 3" xfId="19363"/>
    <cellStyle name="Normal 5 2 5 2 2 3 3" xfId="19364"/>
    <cellStyle name="Normal 5 2 5 2 2 3 3 2" xfId="19365"/>
    <cellStyle name="Normal 5 2 5 2 2 3 3 3" xfId="19366"/>
    <cellStyle name="Normal 5 2 5 2 2 3 4" xfId="19367"/>
    <cellStyle name="Normal 5 2 5 2 2 3 5" xfId="19368"/>
    <cellStyle name="Normal 5 2 5 2 2 3 6" xfId="19369"/>
    <cellStyle name="Normal 5 2 5 2 2 3 7" xfId="19370"/>
    <cellStyle name="Normal 5 2 5 2 2 4" xfId="19371"/>
    <cellStyle name="Normal 5 2 5 2 2 4 2" xfId="19372"/>
    <cellStyle name="Normal 5 2 5 2 2 4 3" xfId="19373"/>
    <cellStyle name="Normal 5 2 5 2 2 5" xfId="19374"/>
    <cellStyle name="Normal 5 2 5 2 2 5 2" xfId="19375"/>
    <cellStyle name="Normal 5 2 5 2 2 5 3" xfId="19376"/>
    <cellStyle name="Normal 5 2 5 2 2 6" xfId="19377"/>
    <cellStyle name="Normal 5 2 5 2 2 7" xfId="19378"/>
    <cellStyle name="Normal 5 2 5 2 2 8" xfId="19379"/>
    <cellStyle name="Normal 5 2 5 2 2 9" xfId="19380"/>
    <cellStyle name="Normal 5 2 5 2 3" xfId="19381"/>
    <cellStyle name="Normal 5 2 5 2 3 10" xfId="19382"/>
    <cellStyle name="Normal 5 2 5 2 3 11" xfId="19383"/>
    <cellStyle name="Normal 5 2 5 2 3 2" xfId="19384"/>
    <cellStyle name="Normal 5 2 5 2 3 2 2" xfId="19385"/>
    <cellStyle name="Normal 5 2 5 2 3 2 2 2" xfId="19386"/>
    <cellStyle name="Normal 5 2 5 2 3 2 2 3" xfId="19387"/>
    <cellStyle name="Normal 5 2 5 2 3 2 3" xfId="19388"/>
    <cellStyle name="Normal 5 2 5 2 3 2 3 2" xfId="19389"/>
    <cellStyle name="Normal 5 2 5 2 3 2 3 3" xfId="19390"/>
    <cellStyle name="Normal 5 2 5 2 3 2 4" xfId="19391"/>
    <cellStyle name="Normal 5 2 5 2 3 2 5" xfId="19392"/>
    <cellStyle name="Normal 5 2 5 2 3 2 6" xfId="19393"/>
    <cellStyle name="Normal 5 2 5 2 3 2 7" xfId="19394"/>
    <cellStyle name="Normal 5 2 5 2 3 3" xfId="19395"/>
    <cellStyle name="Normal 5 2 5 2 3 3 2" xfId="19396"/>
    <cellStyle name="Normal 5 2 5 2 3 3 3" xfId="19397"/>
    <cellStyle name="Normal 5 2 5 2 3 4" xfId="19398"/>
    <cellStyle name="Normal 5 2 5 2 3 4 2" xfId="19399"/>
    <cellStyle name="Normal 5 2 5 2 3 4 3" xfId="19400"/>
    <cellStyle name="Normal 5 2 5 2 3 5" xfId="19401"/>
    <cellStyle name="Normal 5 2 5 2 3 6" xfId="19402"/>
    <cellStyle name="Normal 5 2 5 2 3 7" xfId="19403"/>
    <cellStyle name="Normal 5 2 5 2 3 8" xfId="19404"/>
    <cellStyle name="Normal 5 2 5 2 3 9" xfId="19405"/>
    <cellStyle name="Normal 5 2 5 2 4" xfId="19406"/>
    <cellStyle name="Normal 5 2 5 2 4 2" xfId="19407"/>
    <cellStyle name="Normal 5 2 5 2 4 2 2" xfId="19408"/>
    <cellStyle name="Normal 5 2 5 2 4 2 2 2" xfId="19409"/>
    <cellStyle name="Normal 5 2 5 2 4 2 2 3" xfId="19410"/>
    <cellStyle name="Normal 5 2 5 2 4 2 3" xfId="19411"/>
    <cellStyle name="Normal 5 2 5 2 4 2 3 2" xfId="19412"/>
    <cellStyle name="Normal 5 2 5 2 4 2 3 3" xfId="19413"/>
    <cellStyle name="Normal 5 2 5 2 4 2 4" xfId="19414"/>
    <cellStyle name="Normal 5 2 5 2 4 2 5" xfId="19415"/>
    <cellStyle name="Normal 5 2 5 2 4 2 6" xfId="19416"/>
    <cellStyle name="Normal 5 2 5 2 4 2 7" xfId="19417"/>
    <cellStyle name="Normal 5 2 5 2 4 3" xfId="19418"/>
    <cellStyle name="Normal 5 2 5 2 4 3 2" xfId="19419"/>
    <cellStyle name="Normal 5 2 5 2 4 3 3" xfId="19420"/>
    <cellStyle name="Normal 5 2 5 2 4 4" xfId="19421"/>
    <cellStyle name="Normal 5 2 5 2 4 4 2" xfId="19422"/>
    <cellStyle name="Normal 5 2 5 2 4 4 3" xfId="19423"/>
    <cellStyle name="Normal 5 2 5 2 4 5" xfId="19424"/>
    <cellStyle name="Normal 5 2 5 2 4 6" xfId="19425"/>
    <cellStyle name="Normal 5 2 5 2 4 7" xfId="19426"/>
    <cellStyle name="Normal 5 2 5 2 4 8" xfId="19427"/>
    <cellStyle name="Normal 5 2 5 2 5" xfId="19428"/>
    <cellStyle name="Normal 5 2 5 2 5 2" xfId="19429"/>
    <cellStyle name="Normal 5 2 5 2 5 2 2" xfId="19430"/>
    <cellStyle name="Normal 5 2 5 2 5 2 3" xfId="19431"/>
    <cellStyle name="Normal 5 2 5 2 5 3" xfId="19432"/>
    <cellStyle name="Normal 5 2 5 2 5 3 2" xfId="19433"/>
    <cellStyle name="Normal 5 2 5 2 5 3 3" xfId="19434"/>
    <cellStyle name="Normal 5 2 5 2 5 4" xfId="19435"/>
    <cellStyle name="Normal 5 2 5 2 5 5" xfId="19436"/>
    <cellStyle name="Normal 5 2 5 2 5 6" xfId="19437"/>
    <cellStyle name="Normal 5 2 5 2 5 7" xfId="19438"/>
    <cellStyle name="Normal 5 2 5 2 6" xfId="19439"/>
    <cellStyle name="Normal 5 2 5 2 6 2" xfId="19440"/>
    <cellStyle name="Normal 5 2 5 2 6 3" xfId="19441"/>
    <cellStyle name="Normal 5 2 5 2 7" xfId="19442"/>
    <cellStyle name="Normal 5 2 5 2 7 2" xfId="19443"/>
    <cellStyle name="Normal 5 2 5 2 7 3" xfId="19444"/>
    <cellStyle name="Normal 5 2 5 2 8" xfId="19445"/>
    <cellStyle name="Normal 5 2 5 2 9" xfId="19446"/>
    <cellStyle name="Normal 5 2 5 3" xfId="19447"/>
    <cellStyle name="Normal 5 2 5 3 10" xfId="19448"/>
    <cellStyle name="Normal 5 2 5 3 11" xfId="19449"/>
    <cellStyle name="Normal 5 2 5 3 12" xfId="19450"/>
    <cellStyle name="Normal 5 2 5 3 13" xfId="19451"/>
    <cellStyle name="Normal 5 2 5 3 2" xfId="19452"/>
    <cellStyle name="Normal 5 2 5 3 2 10" xfId="19453"/>
    <cellStyle name="Normal 5 2 5 3 2 11" xfId="19454"/>
    <cellStyle name="Normal 5 2 5 3 2 2" xfId="19455"/>
    <cellStyle name="Normal 5 2 5 3 2 2 2" xfId="19456"/>
    <cellStyle name="Normal 5 2 5 3 2 2 2 2" xfId="19457"/>
    <cellStyle name="Normal 5 2 5 3 2 2 2 2 2" xfId="19458"/>
    <cellStyle name="Normal 5 2 5 3 2 2 2 2 3" xfId="19459"/>
    <cellStyle name="Normal 5 2 5 3 2 2 2 3" xfId="19460"/>
    <cellStyle name="Normal 5 2 5 3 2 2 2 3 2" xfId="19461"/>
    <cellStyle name="Normal 5 2 5 3 2 2 2 3 3" xfId="19462"/>
    <cellStyle name="Normal 5 2 5 3 2 2 2 4" xfId="19463"/>
    <cellStyle name="Normal 5 2 5 3 2 2 2 5" xfId="19464"/>
    <cellStyle name="Normal 5 2 5 3 2 2 2 6" xfId="19465"/>
    <cellStyle name="Normal 5 2 5 3 2 2 2 7" xfId="19466"/>
    <cellStyle name="Normal 5 2 5 3 2 2 3" xfId="19467"/>
    <cellStyle name="Normal 5 2 5 3 2 2 3 2" xfId="19468"/>
    <cellStyle name="Normal 5 2 5 3 2 2 3 3" xfId="19469"/>
    <cellStyle name="Normal 5 2 5 3 2 2 4" xfId="19470"/>
    <cellStyle name="Normal 5 2 5 3 2 2 4 2" xfId="19471"/>
    <cellStyle name="Normal 5 2 5 3 2 2 4 3" xfId="19472"/>
    <cellStyle name="Normal 5 2 5 3 2 2 5" xfId="19473"/>
    <cellStyle name="Normal 5 2 5 3 2 2 6" xfId="19474"/>
    <cellStyle name="Normal 5 2 5 3 2 2 7" xfId="19475"/>
    <cellStyle name="Normal 5 2 5 3 2 2 8" xfId="19476"/>
    <cellStyle name="Normal 5 2 5 3 2 3" xfId="19477"/>
    <cellStyle name="Normal 5 2 5 3 2 3 2" xfId="19478"/>
    <cellStyle name="Normal 5 2 5 3 2 3 2 2" xfId="19479"/>
    <cellStyle name="Normal 5 2 5 3 2 3 2 3" xfId="19480"/>
    <cellStyle name="Normal 5 2 5 3 2 3 3" xfId="19481"/>
    <cellStyle name="Normal 5 2 5 3 2 3 3 2" xfId="19482"/>
    <cellStyle name="Normal 5 2 5 3 2 3 3 3" xfId="19483"/>
    <cellStyle name="Normal 5 2 5 3 2 3 4" xfId="19484"/>
    <cellStyle name="Normal 5 2 5 3 2 3 5" xfId="19485"/>
    <cellStyle name="Normal 5 2 5 3 2 3 6" xfId="19486"/>
    <cellStyle name="Normal 5 2 5 3 2 3 7" xfId="19487"/>
    <cellStyle name="Normal 5 2 5 3 2 4" xfId="19488"/>
    <cellStyle name="Normal 5 2 5 3 2 4 2" xfId="19489"/>
    <cellStyle name="Normal 5 2 5 3 2 4 3" xfId="19490"/>
    <cellStyle name="Normal 5 2 5 3 2 5" xfId="19491"/>
    <cellStyle name="Normal 5 2 5 3 2 5 2" xfId="19492"/>
    <cellStyle name="Normal 5 2 5 3 2 5 3" xfId="19493"/>
    <cellStyle name="Normal 5 2 5 3 2 6" xfId="19494"/>
    <cellStyle name="Normal 5 2 5 3 2 7" xfId="19495"/>
    <cellStyle name="Normal 5 2 5 3 2 8" xfId="19496"/>
    <cellStyle name="Normal 5 2 5 3 2 9" xfId="19497"/>
    <cellStyle name="Normal 5 2 5 3 3" xfId="19498"/>
    <cellStyle name="Normal 5 2 5 3 3 10" xfId="19499"/>
    <cellStyle name="Normal 5 2 5 3 3 11" xfId="19500"/>
    <cellStyle name="Normal 5 2 5 3 3 2" xfId="19501"/>
    <cellStyle name="Normal 5 2 5 3 3 2 2" xfId="19502"/>
    <cellStyle name="Normal 5 2 5 3 3 2 2 2" xfId="19503"/>
    <cellStyle name="Normal 5 2 5 3 3 2 2 3" xfId="19504"/>
    <cellStyle name="Normal 5 2 5 3 3 2 3" xfId="19505"/>
    <cellStyle name="Normal 5 2 5 3 3 2 3 2" xfId="19506"/>
    <cellStyle name="Normal 5 2 5 3 3 2 3 3" xfId="19507"/>
    <cellStyle name="Normal 5 2 5 3 3 2 4" xfId="19508"/>
    <cellStyle name="Normal 5 2 5 3 3 2 5" xfId="19509"/>
    <cellStyle name="Normal 5 2 5 3 3 2 6" xfId="19510"/>
    <cellStyle name="Normal 5 2 5 3 3 2 7" xfId="19511"/>
    <cellStyle name="Normal 5 2 5 3 3 3" xfId="19512"/>
    <cellStyle name="Normal 5 2 5 3 3 3 2" xfId="19513"/>
    <cellStyle name="Normal 5 2 5 3 3 3 3" xfId="19514"/>
    <cellStyle name="Normal 5 2 5 3 3 4" xfId="19515"/>
    <cellStyle name="Normal 5 2 5 3 3 4 2" xfId="19516"/>
    <cellStyle name="Normal 5 2 5 3 3 4 3" xfId="19517"/>
    <cellStyle name="Normal 5 2 5 3 3 5" xfId="19518"/>
    <cellStyle name="Normal 5 2 5 3 3 6" xfId="19519"/>
    <cellStyle name="Normal 5 2 5 3 3 7" xfId="19520"/>
    <cellStyle name="Normal 5 2 5 3 3 8" xfId="19521"/>
    <cellStyle name="Normal 5 2 5 3 3 9" xfId="19522"/>
    <cellStyle name="Normal 5 2 5 3 4" xfId="19523"/>
    <cellStyle name="Normal 5 2 5 3 4 2" xfId="19524"/>
    <cellStyle name="Normal 5 2 5 3 4 2 2" xfId="19525"/>
    <cellStyle name="Normal 5 2 5 3 4 2 2 2" xfId="19526"/>
    <cellStyle name="Normal 5 2 5 3 4 2 2 3" xfId="19527"/>
    <cellStyle name="Normal 5 2 5 3 4 2 3" xfId="19528"/>
    <cellStyle name="Normal 5 2 5 3 4 2 3 2" xfId="19529"/>
    <cellStyle name="Normal 5 2 5 3 4 2 3 3" xfId="19530"/>
    <cellStyle name="Normal 5 2 5 3 4 2 4" xfId="19531"/>
    <cellStyle name="Normal 5 2 5 3 4 2 5" xfId="19532"/>
    <cellStyle name="Normal 5 2 5 3 4 2 6" xfId="19533"/>
    <cellStyle name="Normal 5 2 5 3 4 2 7" xfId="19534"/>
    <cellStyle name="Normal 5 2 5 3 4 3" xfId="19535"/>
    <cellStyle name="Normal 5 2 5 3 4 3 2" xfId="19536"/>
    <cellStyle name="Normal 5 2 5 3 4 3 3" xfId="19537"/>
    <cellStyle name="Normal 5 2 5 3 4 4" xfId="19538"/>
    <cellStyle name="Normal 5 2 5 3 4 4 2" xfId="19539"/>
    <cellStyle name="Normal 5 2 5 3 4 4 3" xfId="19540"/>
    <cellStyle name="Normal 5 2 5 3 4 5" xfId="19541"/>
    <cellStyle name="Normal 5 2 5 3 4 6" xfId="19542"/>
    <cellStyle name="Normal 5 2 5 3 4 7" xfId="19543"/>
    <cellStyle name="Normal 5 2 5 3 4 8" xfId="19544"/>
    <cellStyle name="Normal 5 2 5 3 5" xfId="19545"/>
    <cellStyle name="Normal 5 2 5 3 5 2" xfId="19546"/>
    <cellStyle name="Normal 5 2 5 3 5 2 2" xfId="19547"/>
    <cellStyle name="Normal 5 2 5 3 5 2 3" xfId="19548"/>
    <cellStyle name="Normal 5 2 5 3 5 3" xfId="19549"/>
    <cellStyle name="Normal 5 2 5 3 5 3 2" xfId="19550"/>
    <cellStyle name="Normal 5 2 5 3 5 3 3" xfId="19551"/>
    <cellStyle name="Normal 5 2 5 3 5 4" xfId="19552"/>
    <cellStyle name="Normal 5 2 5 3 5 5" xfId="19553"/>
    <cellStyle name="Normal 5 2 5 3 5 6" xfId="19554"/>
    <cellStyle name="Normal 5 2 5 3 5 7" xfId="19555"/>
    <cellStyle name="Normal 5 2 5 3 6" xfId="19556"/>
    <cellStyle name="Normal 5 2 5 3 6 2" xfId="19557"/>
    <cellStyle name="Normal 5 2 5 3 6 3" xfId="19558"/>
    <cellStyle name="Normal 5 2 5 3 7" xfId="19559"/>
    <cellStyle name="Normal 5 2 5 3 7 2" xfId="19560"/>
    <cellStyle name="Normal 5 2 5 3 7 3" xfId="19561"/>
    <cellStyle name="Normal 5 2 5 3 8" xfId="19562"/>
    <cellStyle name="Normal 5 2 5 3 9" xfId="19563"/>
    <cellStyle name="Normal 5 2 5 4" xfId="19564"/>
    <cellStyle name="Normal 5 2 5 4 10" xfId="19565"/>
    <cellStyle name="Normal 5 2 5 4 11" xfId="19566"/>
    <cellStyle name="Normal 5 2 5 4 12" xfId="19567"/>
    <cellStyle name="Normal 5 2 5 4 13" xfId="19568"/>
    <cellStyle name="Normal 5 2 5 4 2" xfId="19569"/>
    <cellStyle name="Normal 5 2 5 4 2 10" xfId="19570"/>
    <cellStyle name="Normal 5 2 5 4 2 11" xfId="19571"/>
    <cellStyle name="Normal 5 2 5 4 2 2" xfId="19572"/>
    <cellStyle name="Normal 5 2 5 4 2 2 2" xfId="19573"/>
    <cellStyle name="Normal 5 2 5 4 2 2 2 2" xfId="19574"/>
    <cellStyle name="Normal 5 2 5 4 2 2 2 2 2" xfId="19575"/>
    <cellStyle name="Normal 5 2 5 4 2 2 2 2 3" xfId="19576"/>
    <cellStyle name="Normal 5 2 5 4 2 2 2 3" xfId="19577"/>
    <cellStyle name="Normal 5 2 5 4 2 2 2 3 2" xfId="19578"/>
    <cellStyle name="Normal 5 2 5 4 2 2 2 3 3" xfId="19579"/>
    <cellStyle name="Normal 5 2 5 4 2 2 2 4" xfId="19580"/>
    <cellStyle name="Normal 5 2 5 4 2 2 2 5" xfId="19581"/>
    <cellStyle name="Normal 5 2 5 4 2 2 2 6" xfId="19582"/>
    <cellStyle name="Normal 5 2 5 4 2 2 2 7" xfId="19583"/>
    <cellStyle name="Normal 5 2 5 4 2 2 3" xfId="19584"/>
    <cellStyle name="Normal 5 2 5 4 2 2 3 2" xfId="19585"/>
    <cellStyle name="Normal 5 2 5 4 2 2 3 3" xfId="19586"/>
    <cellStyle name="Normal 5 2 5 4 2 2 4" xfId="19587"/>
    <cellStyle name="Normal 5 2 5 4 2 2 4 2" xfId="19588"/>
    <cellStyle name="Normal 5 2 5 4 2 2 4 3" xfId="19589"/>
    <cellStyle name="Normal 5 2 5 4 2 2 5" xfId="19590"/>
    <cellStyle name="Normal 5 2 5 4 2 2 6" xfId="19591"/>
    <cellStyle name="Normal 5 2 5 4 2 2 7" xfId="19592"/>
    <cellStyle name="Normal 5 2 5 4 2 2 8" xfId="19593"/>
    <cellStyle name="Normal 5 2 5 4 2 3" xfId="19594"/>
    <cellStyle name="Normal 5 2 5 4 2 3 2" xfId="19595"/>
    <cellStyle name="Normal 5 2 5 4 2 3 2 2" xfId="19596"/>
    <cellStyle name="Normal 5 2 5 4 2 3 2 3" xfId="19597"/>
    <cellStyle name="Normal 5 2 5 4 2 3 3" xfId="19598"/>
    <cellStyle name="Normal 5 2 5 4 2 3 3 2" xfId="19599"/>
    <cellStyle name="Normal 5 2 5 4 2 3 3 3" xfId="19600"/>
    <cellStyle name="Normal 5 2 5 4 2 3 4" xfId="19601"/>
    <cellStyle name="Normal 5 2 5 4 2 3 5" xfId="19602"/>
    <cellStyle name="Normal 5 2 5 4 2 3 6" xfId="19603"/>
    <cellStyle name="Normal 5 2 5 4 2 3 7" xfId="19604"/>
    <cellStyle name="Normal 5 2 5 4 2 4" xfId="19605"/>
    <cellStyle name="Normal 5 2 5 4 2 4 2" xfId="19606"/>
    <cellStyle name="Normal 5 2 5 4 2 4 3" xfId="19607"/>
    <cellStyle name="Normal 5 2 5 4 2 5" xfId="19608"/>
    <cellStyle name="Normal 5 2 5 4 2 5 2" xfId="19609"/>
    <cellStyle name="Normal 5 2 5 4 2 5 3" xfId="19610"/>
    <cellStyle name="Normal 5 2 5 4 2 6" xfId="19611"/>
    <cellStyle name="Normal 5 2 5 4 2 7" xfId="19612"/>
    <cellStyle name="Normal 5 2 5 4 2 8" xfId="19613"/>
    <cellStyle name="Normal 5 2 5 4 2 9" xfId="19614"/>
    <cellStyle name="Normal 5 2 5 4 3" xfId="19615"/>
    <cellStyle name="Normal 5 2 5 4 3 10" xfId="19616"/>
    <cellStyle name="Normal 5 2 5 4 3 11" xfId="19617"/>
    <cellStyle name="Normal 5 2 5 4 3 2" xfId="19618"/>
    <cellStyle name="Normal 5 2 5 4 3 2 2" xfId="19619"/>
    <cellStyle name="Normal 5 2 5 4 3 2 2 2" xfId="19620"/>
    <cellStyle name="Normal 5 2 5 4 3 2 2 3" xfId="19621"/>
    <cellStyle name="Normal 5 2 5 4 3 2 3" xfId="19622"/>
    <cellStyle name="Normal 5 2 5 4 3 2 3 2" xfId="19623"/>
    <cellStyle name="Normal 5 2 5 4 3 2 3 3" xfId="19624"/>
    <cellStyle name="Normal 5 2 5 4 3 2 4" xfId="19625"/>
    <cellStyle name="Normal 5 2 5 4 3 2 5" xfId="19626"/>
    <cellStyle name="Normal 5 2 5 4 3 2 6" xfId="19627"/>
    <cellStyle name="Normal 5 2 5 4 3 2 7" xfId="19628"/>
    <cellStyle name="Normal 5 2 5 4 3 3" xfId="19629"/>
    <cellStyle name="Normal 5 2 5 4 3 3 2" xfId="19630"/>
    <cellStyle name="Normal 5 2 5 4 3 3 3" xfId="19631"/>
    <cellStyle name="Normal 5 2 5 4 3 4" xfId="19632"/>
    <cellStyle name="Normal 5 2 5 4 3 4 2" xfId="19633"/>
    <cellStyle name="Normal 5 2 5 4 3 4 3" xfId="19634"/>
    <cellStyle name="Normal 5 2 5 4 3 5" xfId="19635"/>
    <cellStyle name="Normal 5 2 5 4 3 6" xfId="19636"/>
    <cellStyle name="Normal 5 2 5 4 3 7" xfId="19637"/>
    <cellStyle name="Normal 5 2 5 4 3 8" xfId="19638"/>
    <cellStyle name="Normal 5 2 5 4 3 9" xfId="19639"/>
    <cellStyle name="Normal 5 2 5 4 4" xfId="19640"/>
    <cellStyle name="Normal 5 2 5 4 4 2" xfId="19641"/>
    <cellStyle name="Normal 5 2 5 4 4 2 2" xfId="19642"/>
    <cellStyle name="Normal 5 2 5 4 4 2 2 2" xfId="19643"/>
    <cellStyle name="Normal 5 2 5 4 4 2 2 3" xfId="19644"/>
    <cellStyle name="Normal 5 2 5 4 4 2 3" xfId="19645"/>
    <cellStyle name="Normal 5 2 5 4 4 2 3 2" xfId="19646"/>
    <cellStyle name="Normal 5 2 5 4 4 2 3 3" xfId="19647"/>
    <cellStyle name="Normal 5 2 5 4 4 2 4" xfId="19648"/>
    <cellStyle name="Normal 5 2 5 4 4 2 5" xfId="19649"/>
    <cellStyle name="Normal 5 2 5 4 4 2 6" xfId="19650"/>
    <cellStyle name="Normal 5 2 5 4 4 2 7" xfId="19651"/>
    <cellStyle name="Normal 5 2 5 4 4 3" xfId="19652"/>
    <cellStyle name="Normal 5 2 5 4 4 3 2" xfId="19653"/>
    <cellStyle name="Normal 5 2 5 4 4 3 3" xfId="19654"/>
    <cellStyle name="Normal 5 2 5 4 4 4" xfId="19655"/>
    <cellStyle name="Normal 5 2 5 4 4 4 2" xfId="19656"/>
    <cellStyle name="Normal 5 2 5 4 4 4 3" xfId="19657"/>
    <cellStyle name="Normal 5 2 5 4 4 5" xfId="19658"/>
    <cellStyle name="Normal 5 2 5 4 4 6" xfId="19659"/>
    <cellStyle name="Normal 5 2 5 4 4 7" xfId="19660"/>
    <cellStyle name="Normal 5 2 5 4 4 8" xfId="19661"/>
    <cellStyle name="Normal 5 2 5 4 5" xfId="19662"/>
    <cellStyle name="Normal 5 2 5 4 5 2" xfId="19663"/>
    <cellStyle name="Normal 5 2 5 4 5 2 2" xfId="19664"/>
    <cellStyle name="Normal 5 2 5 4 5 2 3" xfId="19665"/>
    <cellStyle name="Normal 5 2 5 4 5 3" xfId="19666"/>
    <cellStyle name="Normal 5 2 5 4 5 3 2" xfId="19667"/>
    <cellStyle name="Normal 5 2 5 4 5 3 3" xfId="19668"/>
    <cellStyle name="Normal 5 2 5 4 5 4" xfId="19669"/>
    <cellStyle name="Normal 5 2 5 4 5 5" xfId="19670"/>
    <cellStyle name="Normal 5 2 5 4 5 6" xfId="19671"/>
    <cellStyle name="Normal 5 2 5 4 5 7" xfId="19672"/>
    <cellStyle name="Normal 5 2 5 4 6" xfId="19673"/>
    <cellStyle name="Normal 5 2 5 4 6 2" xfId="19674"/>
    <cellStyle name="Normal 5 2 5 4 6 3" xfId="19675"/>
    <cellStyle name="Normal 5 2 5 4 7" xfId="19676"/>
    <cellStyle name="Normal 5 2 5 4 7 2" xfId="19677"/>
    <cellStyle name="Normal 5 2 5 4 7 3" xfId="19678"/>
    <cellStyle name="Normal 5 2 5 4 8" xfId="19679"/>
    <cellStyle name="Normal 5 2 5 4 9" xfId="19680"/>
    <cellStyle name="Normal 5 2 5 5" xfId="19681"/>
    <cellStyle name="Normal 5 2 5 5 10" xfId="19682"/>
    <cellStyle name="Normal 5 2 5 5 11" xfId="19683"/>
    <cellStyle name="Normal 5 2 5 5 12" xfId="19684"/>
    <cellStyle name="Normal 5 2 5 5 13" xfId="19685"/>
    <cellStyle name="Normal 5 2 5 5 2" xfId="19686"/>
    <cellStyle name="Normal 5 2 5 5 2 10" xfId="19687"/>
    <cellStyle name="Normal 5 2 5 5 2 11" xfId="19688"/>
    <cellStyle name="Normal 5 2 5 5 2 2" xfId="19689"/>
    <cellStyle name="Normal 5 2 5 5 2 2 2" xfId="19690"/>
    <cellStyle name="Normal 5 2 5 5 2 2 2 2" xfId="19691"/>
    <cellStyle name="Normal 5 2 5 5 2 2 2 2 2" xfId="19692"/>
    <cellStyle name="Normal 5 2 5 5 2 2 2 2 3" xfId="19693"/>
    <cellStyle name="Normal 5 2 5 5 2 2 2 3" xfId="19694"/>
    <cellStyle name="Normal 5 2 5 5 2 2 2 3 2" xfId="19695"/>
    <cellStyle name="Normal 5 2 5 5 2 2 2 3 3" xfId="19696"/>
    <cellStyle name="Normal 5 2 5 5 2 2 2 4" xfId="19697"/>
    <cellStyle name="Normal 5 2 5 5 2 2 2 5" xfId="19698"/>
    <cellStyle name="Normal 5 2 5 5 2 2 2 6" xfId="19699"/>
    <cellStyle name="Normal 5 2 5 5 2 2 2 7" xfId="19700"/>
    <cellStyle name="Normal 5 2 5 5 2 2 3" xfId="19701"/>
    <cellStyle name="Normal 5 2 5 5 2 2 3 2" xfId="19702"/>
    <cellStyle name="Normal 5 2 5 5 2 2 3 3" xfId="19703"/>
    <cellStyle name="Normal 5 2 5 5 2 2 4" xfId="19704"/>
    <cellStyle name="Normal 5 2 5 5 2 2 4 2" xfId="19705"/>
    <cellStyle name="Normal 5 2 5 5 2 2 4 3" xfId="19706"/>
    <cellStyle name="Normal 5 2 5 5 2 2 5" xfId="19707"/>
    <cellStyle name="Normal 5 2 5 5 2 2 6" xfId="19708"/>
    <cellStyle name="Normal 5 2 5 5 2 2 7" xfId="19709"/>
    <cellStyle name="Normal 5 2 5 5 2 2 8" xfId="19710"/>
    <cellStyle name="Normal 5 2 5 5 2 3" xfId="19711"/>
    <cellStyle name="Normal 5 2 5 5 2 3 2" xfId="19712"/>
    <cellStyle name="Normal 5 2 5 5 2 3 2 2" xfId="19713"/>
    <cellStyle name="Normal 5 2 5 5 2 3 2 3" xfId="19714"/>
    <cellStyle name="Normal 5 2 5 5 2 3 3" xfId="19715"/>
    <cellStyle name="Normal 5 2 5 5 2 3 3 2" xfId="19716"/>
    <cellStyle name="Normal 5 2 5 5 2 3 3 3" xfId="19717"/>
    <cellStyle name="Normal 5 2 5 5 2 3 4" xfId="19718"/>
    <cellStyle name="Normal 5 2 5 5 2 3 5" xfId="19719"/>
    <cellStyle name="Normal 5 2 5 5 2 3 6" xfId="19720"/>
    <cellStyle name="Normal 5 2 5 5 2 3 7" xfId="19721"/>
    <cellStyle name="Normal 5 2 5 5 2 4" xfId="19722"/>
    <cellStyle name="Normal 5 2 5 5 2 4 2" xfId="19723"/>
    <cellStyle name="Normal 5 2 5 5 2 4 3" xfId="19724"/>
    <cellStyle name="Normal 5 2 5 5 2 5" xfId="19725"/>
    <cellStyle name="Normal 5 2 5 5 2 5 2" xfId="19726"/>
    <cellStyle name="Normal 5 2 5 5 2 5 3" xfId="19727"/>
    <cellStyle name="Normal 5 2 5 5 2 6" xfId="19728"/>
    <cellStyle name="Normal 5 2 5 5 2 7" xfId="19729"/>
    <cellStyle name="Normal 5 2 5 5 2 8" xfId="19730"/>
    <cellStyle name="Normal 5 2 5 5 2 9" xfId="19731"/>
    <cellStyle name="Normal 5 2 5 5 3" xfId="19732"/>
    <cellStyle name="Normal 5 2 5 5 3 10" xfId="19733"/>
    <cellStyle name="Normal 5 2 5 5 3 11" xfId="19734"/>
    <cellStyle name="Normal 5 2 5 5 3 2" xfId="19735"/>
    <cellStyle name="Normal 5 2 5 5 3 2 2" xfId="19736"/>
    <cellStyle name="Normal 5 2 5 5 3 2 2 2" xfId="19737"/>
    <cellStyle name="Normal 5 2 5 5 3 2 2 3" xfId="19738"/>
    <cellStyle name="Normal 5 2 5 5 3 2 3" xfId="19739"/>
    <cellStyle name="Normal 5 2 5 5 3 2 3 2" xfId="19740"/>
    <cellStyle name="Normal 5 2 5 5 3 2 3 3" xfId="19741"/>
    <cellStyle name="Normal 5 2 5 5 3 2 4" xfId="19742"/>
    <cellStyle name="Normal 5 2 5 5 3 2 5" xfId="19743"/>
    <cellStyle name="Normal 5 2 5 5 3 2 6" xfId="19744"/>
    <cellStyle name="Normal 5 2 5 5 3 2 7" xfId="19745"/>
    <cellStyle name="Normal 5 2 5 5 3 3" xfId="19746"/>
    <cellStyle name="Normal 5 2 5 5 3 3 2" xfId="19747"/>
    <cellStyle name="Normal 5 2 5 5 3 3 3" xfId="19748"/>
    <cellStyle name="Normal 5 2 5 5 3 4" xfId="19749"/>
    <cellStyle name="Normal 5 2 5 5 3 4 2" xfId="19750"/>
    <cellStyle name="Normal 5 2 5 5 3 4 3" xfId="19751"/>
    <cellStyle name="Normal 5 2 5 5 3 5" xfId="19752"/>
    <cellStyle name="Normal 5 2 5 5 3 6" xfId="19753"/>
    <cellStyle name="Normal 5 2 5 5 3 7" xfId="19754"/>
    <cellStyle name="Normal 5 2 5 5 3 8" xfId="19755"/>
    <cellStyle name="Normal 5 2 5 5 3 9" xfId="19756"/>
    <cellStyle name="Normal 5 2 5 5 4" xfId="19757"/>
    <cellStyle name="Normal 5 2 5 5 4 2" xfId="19758"/>
    <cellStyle name="Normal 5 2 5 5 4 2 2" xfId="19759"/>
    <cellStyle name="Normal 5 2 5 5 4 2 2 2" xfId="19760"/>
    <cellStyle name="Normal 5 2 5 5 4 2 2 3" xfId="19761"/>
    <cellStyle name="Normal 5 2 5 5 4 2 3" xfId="19762"/>
    <cellStyle name="Normal 5 2 5 5 4 2 3 2" xfId="19763"/>
    <cellStyle name="Normal 5 2 5 5 4 2 3 3" xfId="19764"/>
    <cellStyle name="Normal 5 2 5 5 4 2 4" xfId="19765"/>
    <cellStyle name="Normal 5 2 5 5 4 2 5" xfId="19766"/>
    <cellStyle name="Normal 5 2 5 5 4 2 6" xfId="19767"/>
    <cellStyle name="Normal 5 2 5 5 4 2 7" xfId="19768"/>
    <cellStyle name="Normal 5 2 5 5 4 3" xfId="19769"/>
    <cellStyle name="Normal 5 2 5 5 4 3 2" xfId="19770"/>
    <cellStyle name="Normal 5 2 5 5 4 3 3" xfId="19771"/>
    <cellStyle name="Normal 5 2 5 5 4 4" xfId="19772"/>
    <cellStyle name="Normal 5 2 5 5 4 4 2" xfId="19773"/>
    <cellStyle name="Normal 5 2 5 5 4 4 3" xfId="19774"/>
    <cellStyle name="Normal 5 2 5 5 4 5" xfId="19775"/>
    <cellStyle name="Normal 5 2 5 5 4 6" xfId="19776"/>
    <cellStyle name="Normal 5 2 5 5 4 7" xfId="19777"/>
    <cellStyle name="Normal 5 2 5 5 4 8" xfId="19778"/>
    <cellStyle name="Normal 5 2 5 5 5" xfId="19779"/>
    <cellStyle name="Normal 5 2 5 5 5 2" xfId="19780"/>
    <cellStyle name="Normal 5 2 5 5 5 2 2" xfId="19781"/>
    <cellStyle name="Normal 5 2 5 5 5 2 3" xfId="19782"/>
    <cellStyle name="Normal 5 2 5 5 5 3" xfId="19783"/>
    <cellStyle name="Normal 5 2 5 5 5 3 2" xfId="19784"/>
    <cellStyle name="Normal 5 2 5 5 5 3 3" xfId="19785"/>
    <cellStyle name="Normal 5 2 5 5 5 4" xfId="19786"/>
    <cellStyle name="Normal 5 2 5 5 5 5" xfId="19787"/>
    <cellStyle name="Normal 5 2 5 5 5 6" xfId="19788"/>
    <cellStyle name="Normal 5 2 5 5 5 7" xfId="19789"/>
    <cellStyle name="Normal 5 2 5 5 6" xfId="19790"/>
    <cellStyle name="Normal 5 2 5 5 6 2" xfId="19791"/>
    <cellStyle name="Normal 5 2 5 5 6 3" xfId="19792"/>
    <cellStyle name="Normal 5 2 5 5 7" xfId="19793"/>
    <cellStyle name="Normal 5 2 5 5 7 2" xfId="19794"/>
    <cellStyle name="Normal 5 2 5 5 7 3" xfId="19795"/>
    <cellStyle name="Normal 5 2 5 5 8" xfId="19796"/>
    <cellStyle name="Normal 5 2 5 5 9" xfId="19797"/>
    <cellStyle name="Normal 5 2 5 6" xfId="19798"/>
    <cellStyle name="Normal 5 2 5 6 10" xfId="19799"/>
    <cellStyle name="Normal 5 2 5 6 11" xfId="19800"/>
    <cellStyle name="Normal 5 2 5 6 12" xfId="19801"/>
    <cellStyle name="Normal 5 2 5 6 13" xfId="19802"/>
    <cellStyle name="Normal 5 2 5 6 2" xfId="19803"/>
    <cellStyle name="Normal 5 2 5 6 2 10" xfId="19804"/>
    <cellStyle name="Normal 5 2 5 6 2 11" xfId="19805"/>
    <cellStyle name="Normal 5 2 5 6 2 2" xfId="19806"/>
    <cellStyle name="Normal 5 2 5 6 2 2 2" xfId="19807"/>
    <cellStyle name="Normal 5 2 5 6 2 2 2 2" xfId="19808"/>
    <cellStyle name="Normal 5 2 5 6 2 2 2 3" xfId="19809"/>
    <cellStyle name="Normal 5 2 5 6 2 2 3" xfId="19810"/>
    <cellStyle name="Normal 5 2 5 6 2 2 3 2" xfId="19811"/>
    <cellStyle name="Normal 5 2 5 6 2 2 3 3" xfId="19812"/>
    <cellStyle name="Normal 5 2 5 6 2 2 4" xfId="19813"/>
    <cellStyle name="Normal 5 2 5 6 2 2 5" xfId="19814"/>
    <cellStyle name="Normal 5 2 5 6 2 2 6" xfId="19815"/>
    <cellStyle name="Normal 5 2 5 6 2 2 7" xfId="19816"/>
    <cellStyle name="Normal 5 2 5 6 2 3" xfId="19817"/>
    <cellStyle name="Normal 5 2 5 6 2 3 2" xfId="19818"/>
    <cellStyle name="Normal 5 2 5 6 2 3 3" xfId="19819"/>
    <cellStyle name="Normal 5 2 5 6 2 4" xfId="19820"/>
    <cellStyle name="Normal 5 2 5 6 2 4 2" xfId="19821"/>
    <cellStyle name="Normal 5 2 5 6 2 4 3" xfId="19822"/>
    <cellStyle name="Normal 5 2 5 6 2 5" xfId="19823"/>
    <cellStyle name="Normal 5 2 5 6 2 6" xfId="19824"/>
    <cellStyle name="Normal 5 2 5 6 2 7" xfId="19825"/>
    <cellStyle name="Normal 5 2 5 6 2 8" xfId="19826"/>
    <cellStyle name="Normal 5 2 5 6 2 9" xfId="19827"/>
    <cellStyle name="Normal 5 2 5 6 3" xfId="19828"/>
    <cellStyle name="Normal 5 2 5 6 3 10" xfId="19829"/>
    <cellStyle name="Normal 5 2 5 6 3 11" xfId="19830"/>
    <cellStyle name="Normal 5 2 5 6 3 2" xfId="19831"/>
    <cellStyle name="Normal 5 2 5 6 3 2 2" xfId="19832"/>
    <cellStyle name="Normal 5 2 5 6 3 2 3" xfId="19833"/>
    <cellStyle name="Normal 5 2 5 6 3 3" xfId="19834"/>
    <cellStyle name="Normal 5 2 5 6 3 3 2" xfId="19835"/>
    <cellStyle name="Normal 5 2 5 6 3 3 3" xfId="19836"/>
    <cellStyle name="Normal 5 2 5 6 3 4" xfId="19837"/>
    <cellStyle name="Normal 5 2 5 6 3 5" xfId="19838"/>
    <cellStyle name="Normal 5 2 5 6 3 6" xfId="19839"/>
    <cellStyle name="Normal 5 2 5 6 3 7" xfId="19840"/>
    <cellStyle name="Normal 5 2 5 6 3 8" xfId="19841"/>
    <cellStyle name="Normal 5 2 5 6 3 9" xfId="19842"/>
    <cellStyle name="Normal 5 2 5 6 4" xfId="19843"/>
    <cellStyle name="Normal 5 2 5 6 4 2" xfId="19844"/>
    <cellStyle name="Normal 5 2 5 6 4 3" xfId="19845"/>
    <cellStyle name="Normal 5 2 5 6 5" xfId="19846"/>
    <cellStyle name="Normal 5 2 5 6 5 2" xfId="19847"/>
    <cellStyle name="Normal 5 2 5 6 5 3" xfId="19848"/>
    <cellStyle name="Normal 5 2 5 6 6" xfId="19849"/>
    <cellStyle name="Normal 5 2 5 6 7" xfId="19850"/>
    <cellStyle name="Normal 5 2 5 6 8" xfId="19851"/>
    <cellStyle name="Normal 5 2 5 6 9" xfId="19852"/>
    <cellStyle name="Normal 5 2 5 7" xfId="19853"/>
    <cellStyle name="Normal 5 2 5 7 10" xfId="19854"/>
    <cellStyle name="Normal 5 2 5 7 11" xfId="19855"/>
    <cellStyle name="Normal 5 2 5 7 2" xfId="19856"/>
    <cellStyle name="Normal 5 2 5 7 2 2" xfId="19857"/>
    <cellStyle name="Normal 5 2 5 7 2 2 2" xfId="19858"/>
    <cellStyle name="Normal 5 2 5 7 2 2 3" xfId="19859"/>
    <cellStyle name="Normal 5 2 5 7 2 3" xfId="19860"/>
    <cellStyle name="Normal 5 2 5 7 2 3 2" xfId="19861"/>
    <cellStyle name="Normal 5 2 5 7 2 3 3" xfId="19862"/>
    <cellStyle name="Normal 5 2 5 7 2 4" xfId="19863"/>
    <cellStyle name="Normal 5 2 5 7 2 5" xfId="19864"/>
    <cellStyle name="Normal 5 2 5 7 2 6" xfId="19865"/>
    <cellStyle name="Normal 5 2 5 7 2 7" xfId="19866"/>
    <cellStyle name="Normal 5 2 5 7 3" xfId="19867"/>
    <cellStyle name="Normal 5 2 5 7 3 2" xfId="19868"/>
    <cellStyle name="Normal 5 2 5 7 3 3" xfId="19869"/>
    <cellStyle name="Normal 5 2 5 7 4" xfId="19870"/>
    <cellStyle name="Normal 5 2 5 7 4 2" xfId="19871"/>
    <cellStyle name="Normal 5 2 5 7 4 3" xfId="19872"/>
    <cellStyle name="Normal 5 2 5 7 5" xfId="19873"/>
    <cellStyle name="Normal 5 2 5 7 6" xfId="19874"/>
    <cellStyle name="Normal 5 2 5 7 7" xfId="19875"/>
    <cellStyle name="Normal 5 2 5 7 8" xfId="19876"/>
    <cellStyle name="Normal 5 2 5 7 9" xfId="19877"/>
    <cellStyle name="Normal 5 2 5 8" xfId="19878"/>
    <cellStyle name="Normal 5 2 5 8 10" xfId="19879"/>
    <cellStyle name="Normal 5 2 5 8 11" xfId="19880"/>
    <cellStyle name="Normal 5 2 5 8 2" xfId="19881"/>
    <cellStyle name="Normal 5 2 5 8 2 2" xfId="19882"/>
    <cellStyle name="Normal 5 2 5 8 2 2 2" xfId="19883"/>
    <cellStyle name="Normal 5 2 5 8 2 2 3" xfId="19884"/>
    <cellStyle name="Normal 5 2 5 8 2 3" xfId="19885"/>
    <cellStyle name="Normal 5 2 5 8 2 3 2" xfId="19886"/>
    <cellStyle name="Normal 5 2 5 8 2 3 3" xfId="19887"/>
    <cellStyle name="Normal 5 2 5 8 2 4" xfId="19888"/>
    <cellStyle name="Normal 5 2 5 8 2 5" xfId="19889"/>
    <cellStyle name="Normal 5 2 5 8 2 6" xfId="19890"/>
    <cellStyle name="Normal 5 2 5 8 2 7" xfId="19891"/>
    <cellStyle name="Normal 5 2 5 8 3" xfId="19892"/>
    <cellStyle name="Normal 5 2 5 8 3 2" xfId="19893"/>
    <cellStyle name="Normal 5 2 5 8 3 3" xfId="19894"/>
    <cellStyle name="Normal 5 2 5 8 4" xfId="19895"/>
    <cellStyle name="Normal 5 2 5 8 4 2" xfId="19896"/>
    <cellStyle name="Normal 5 2 5 8 4 3" xfId="19897"/>
    <cellStyle name="Normal 5 2 5 8 5" xfId="19898"/>
    <cellStyle name="Normal 5 2 5 8 6" xfId="19899"/>
    <cellStyle name="Normal 5 2 5 8 7" xfId="19900"/>
    <cellStyle name="Normal 5 2 5 8 8" xfId="19901"/>
    <cellStyle name="Normal 5 2 5 8 9" xfId="19902"/>
    <cellStyle name="Normal 5 2 5 9" xfId="19903"/>
    <cellStyle name="Normal 5 2 5 9 2" xfId="19904"/>
    <cellStyle name="Normal 5 2 5 9 2 2" xfId="19905"/>
    <cellStyle name="Normal 5 2 5 9 2 3" xfId="19906"/>
    <cellStyle name="Normal 5 2 5 9 3" xfId="19907"/>
    <cellStyle name="Normal 5 2 5 9 3 2" xfId="19908"/>
    <cellStyle name="Normal 5 2 5 9 3 3" xfId="19909"/>
    <cellStyle name="Normal 5 2 5 9 4" xfId="19910"/>
    <cellStyle name="Normal 5 2 5 9 5" xfId="19911"/>
    <cellStyle name="Normal 5 2 5 9 6" xfId="19912"/>
    <cellStyle name="Normal 5 2 5 9 7" xfId="19913"/>
    <cellStyle name="Normal 5 2 6" xfId="19914"/>
    <cellStyle name="Normal 5 2 6 10" xfId="19915"/>
    <cellStyle name="Normal 5 2 6 10 2" xfId="19916"/>
    <cellStyle name="Normal 5 2 6 10 3" xfId="19917"/>
    <cellStyle name="Normal 5 2 6 11" xfId="19918"/>
    <cellStyle name="Normal 5 2 6 11 2" xfId="19919"/>
    <cellStyle name="Normal 5 2 6 11 3" xfId="19920"/>
    <cellStyle name="Normal 5 2 6 12" xfId="19921"/>
    <cellStyle name="Normal 5 2 6 13" xfId="19922"/>
    <cellStyle name="Normal 5 2 6 14" xfId="19923"/>
    <cellStyle name="Normal 5 2 6 15" xfId="19924"/>
    <cellStyle name="Normal 5 2 6 16" xfId="19925"/>
    <cellStyle name="Normal 5 2 6 17" xfId="19926"/>
    <cellStyle name="Normal 5 2 6 18" xfId="19927"/>
    <cellStyle name="Normal 5 2 6 2" xfId="19928"/>
    <cellStyle name="Normal 5 2 6 2 10" xfId="19929"/>
    <cellStyle name="Normal 5 2 6 2 11" xfId="19930"/>
    <cellStyle name="Normal 5 2 6 2 12" xfId="19931"/>
    <cellStyle name="Normal 5 2 6 2 13" xfId="19932"/>
    <cellStyle name="Normal 5 2 6 2 2" xfId="19933"/>
    <cellStyle name="Normal 5 2 6 2 2 10" xfId="19934"/>
    <cellStyle name="Normal 5 2 6 2 2 11" xfId="19935"/>
    <cellStyle name="Normal 5 2 6 2 2 2" xfId="19936"/>
    <cellStyle name="Normal 5 2 6 2 2 2 2" xfId="19937"/>
    <cellStyle name="Normal 5 2 6 2 2 2 2 2" xfId="19938"/>
    <cellStyle name="Normal 5 2 6 2 2 2 2 2 2" xfId="19939"/>
    <cellStyle name="Normal 5 2 6 2 2 2 2 2 3" xfId="19940"/>
    <cellStyle name="Normal 5 2 6 2 2 2 2 3" xfId="19941"/>
    <cellStyle name="Normal 5 2 6 2 2 2 2 3 2" xfId="19942"/>
    <cellStyle name="Normal 5 2 6 2 2 2 2 3 3" xfId="19943"/>
    <cellStyle name="Normal 5 2 6 2 2 2 2 4" xfId="19944"/>
    <cellStyle name="Normal 5 2 6 2 2 2 2 5" xfId="19945"/>
    <cellStyle name="Normal 5 2 6 2 2 2 2 6" xfId="19946"/>
    <cellStyle name="Normal 5 2 6 2 2 2 2 7" xfId="19947"/>
    <cellStyle name="Normal 5 2 6 2 2 2 3" xfId="19948"/>
    <cellStyle name="Normal 5 2 6 2 2 2 3 2" xfId="19949"/>
    <cellStyle name="Normal 5 2 6 2 2 2 3 3" xfId="19950"/>
    <cellStyle name="Normal 5 2 6 2 2 2 4" xfId="19951"/>
    <cellStyle name="Normal 5 2 6 2 2 2 4 2" xfId="19952"/>
    <cellStyle name="Normal 5 2 6 2 2 2 4 3" xfId="19953"/>
    <cellStyle name="Normal 5 2 6 2 2 2 5" xfId="19954"/>
    <cellStyle name="Normal 5 2 6 2 2 2 6" xfId="19955"/>
    <cellStyle name="Normal 5 2 6 2 2 2 7" xfId="19956"/>
    <cellStyle name="Normal 5 2 6 2 2 2 8" xfId="19957"/>
    <cellStyle name="Normal 5 2 6 2 2 3" xfId="19958"/>
    <cellStyle name="Normal 5 2 6 2 2 3 2" xfId="19959"/>
    <cellStyle name="Normal 5 2 6 2 2 3 2 2" xfId="19960"/>
    <cellStyle name="Normal 5 2 6 2 2 3 2 3" xfId="19961"/>
    <cellStyle name="Normal 5 2 6 2 2 3 3" xfId="19962"/>
    <cellStyle name="Normal 5 2 6 2 2 3 3 2" xfId="19963"/>
    <cellStyle name="Normal 5 2 6 2 2 3 3 3" xfId="19964"/>
    <cellStyle name="Normal 5 2 6 2 2 3 4" xfId="19965"/>
    <cellStyle name="Normal 5 2 6 2 2 3 5" xfId="19966"/>
    <cellStyle name="Normal 5 2 6 2 2 3 6" xfId="19967"/>
    <cellStyle name="Normal 5 2 6 2 2 3 7" xfId="19968"/>
    <cellStyle name="Normal 5 2 6 2 2 4" xfId="19969"/>
    <cellStyle name="Normal 5 2 6 2 2 4 2" xfId="19970"/>
    <cellStyle name="Normal 5 2 6 2 2 4 3" xfId="19971"/>
    <cellStyle name="Normal 5 2 6 2 2 5" xfId="19972"/>
    <cellStyle name="Normal 5 2 6 2 2 5 2" xfId="19973"/>
    <cellStyle name="Normal 5 2 6 2 2 5 3" xfId="19974"/>
    <cellStyle name="Normal 5 2 6 2 2 6" xfId="19975"/>
    <cellStyle name="Normal 5 2 6 2 2 7" xfId="19976"/>
    <cellStyle name="Normal 5 2 6 2 2 8" xfId="19977"/>
    <cellStyle name="Normal 5 2 6 2 2 9" xfId="19978"/>
    <cellStyle name="Normal 5 2 6 2 3" xfId="19979"/>
    <cellStyle name="Normal 5 2 6 2 3 10" xfId="19980"/>
    <cellStyle name="Normal 5 2 6 2 3 11" xfId="19981"/>
    <cellStyle name="Normal 5 2 6 2 3 2" xfId="19982"/>
    <cellStyle name="Normal 5 2 6 2 3 2 2" xfId="19983"/>
    <cellStyle name="Normal 5 2 6 2 3 2 2 2" xfId="19984"/>
    <cellStyle name="Normal 5 2 6 2 3 2 2 3" xfId="19985"/>
    <cellStyle name="Normal 5 2 6 2 3 2 3" xfId="19986"/>
    <cellStyle name="Normal 5 2 6 2 3 2 3 2" xfId="19987"/>
    <cellStyle name="Normal 5 2 6 2 3 2 3 3" xfId="19988"/>
    <cellStyle name="Normal 5 2 6 2 3 2 4" xfId="19989"/>
    <cellStyle name="Normal 5 2 6 2 3 2 5" xfId="19990"/>
    <cellStyle name="Normal 5 2 6 2 3 2 6" xfId="19991"/>
    <cellStyle name="Normal 5 2 6 2 3 2 7" xfId="19992"/>
    <cellStyle name="Normal 5 2 6 2 3 3" xfId="19993"/>
    <cellStyle name="Normal 5 2 6 2 3 3 2" xfId="19994"/>
    <cellStyle name="Normal 5 2 6 2 3 3 3" xfId="19995"/>
    <cellStyle name="Normal 5 2 6 2 3 4" xfId="19996"/>
    <cellStyle name="Normal 5 2 6 2 3 4 2" xfId="19997"/>
    <cellStyle name="Normal 5 2 6 2 3 4 3" xfId="19998"/>
    <cellStyle name="Normal 5 2 6 2 3 5" xfId="19999"/>
    <cellStyle name="Normal 5 2 6 2 3 6" xfId="20000"/>
    <cellStyle name="Normal 5 2 6 2 3 7" xfId="20001"/>
    <cellStyle name="Normal 5 2 6 2 3 8" xfId="20002"/>
    <cellStyle name="Normal 5 2 6 2 3 9" xfId="20003"/>
    <cellStyle name="Normal 5 2 6 2 4" xfId="20004"/>
    <cellStyle name="Normal 5 2 6 2 4 2" xfId="20005"/>
    <cellStyle name="Normal 5 2 6 2 4 2 2" xfId="20006"/>
    <cellStyle name="Normal 5 2 6 2 4 2 2 2" xfId="20007"/>
    <cellStyle name="Normal 5 2 6 2 4 2 2 3" xfId="20008"/>
    <cellStyle name="Normal 5 2 6 2 4 2 3" xfId="20009"/>
    <cellStyle name="Normal 5 2 6 2 4 2 3 2" xfId="20010"/>
    <cellStyle name="Normal 5 2 6 2 4 2 3 3" xfId="20011"/>
    <cellStyle name="Normal 5 2 6 2 4 2 4" xfId="20012"/>
    <cellStyle name="Normal 5 2 6 2 4 2 5" xfId="20013"/>
    <cellStyle name="Normal 5 2 6 2 4 2 6" xfId="20014"/>
    <cellStyle name="Normal 5 2 6 2 4 2 7" xfId="20015"/>
    <cellStyle name="Normal 5 2 6 2 4 3" xfId="20016"/>
    <cellStyle name="Normal 5 2 6 2 4 3 2" xfId="20017"/>
    <cellStyle name="Normal 5 2 6 2 4 3 3" xfId="20018"/>
    <cellStyle name="Normal 5 2 6 2 4 4" xfId="20019"/>
    <cellStyle name="Normal 5 2 6 2 4 4 2" xfId="20020"/>
    <cellStyle name="Normal 5 2 6 2 4 4 3" xfId="20021"/>
    <cellStyle name="Normal 5 2 6 2 4 5" xfId="20022"/>
    <cellStyle name="Normal 5 2 6 2 4 6" xfId="20023"/>
    <cellStyle name="Normal 5 2 6 2 4 7" xfId="20024"/>
    <cellStyle name="Normal 5 2 6 2 4 8" xfId="20025"/>
    <cellStyle name="Normal 5 2 6 2 5" xfId="20026"/>
    <cellStyle name="Normal 5 2 6 2 5 2" xfId="20027"/>
    <cellStyle name="Normal 5 2 6 2 5 2 2" xfId="20028"/>
    <cellStyle name="Normal 5 2 6 2 5 2 3" xfId="20029"/>
    <cellStyle name="Normal 5 2 6 2 5 3" xfId="20030"/>
    <cellStyle name="Normal 5 2 6 2 5 3 2" xfId="20031"/>
    <cellStyle name="Normal 5 2 6 2 5 3 3" xfId="20032"/>
    <cellStyle name="Normal 5 2 6 2 5 4" xfId="20033"/>
    <cellStyle name="Normal 5 2 6 2 5 5" xfId="20034"/>
    <cellStyle name="Normal 5 2 6 2 5 6" xfId="20035"/>
    <cellStyle name="Normal 5 2 6 2 5 7" xfId="20036"/>
    <cellStyle name="Normal 5 2 6 2 6" xfId="20037"/>
    <cellStyle name="Normal 5 2 6 2 6 2" xfId="20038"/>
    <cellStyle name="Normal 5 2 6 2 6 3" xfId="20039"/>
    <cellStyle name="Normal 5 2 6 2 7" xfId="20040"/>
    <cellStyle name="Normal 5 2 6 2 7 2" xfId="20041"/>
    <cellStyle name="Normal 5 2 6 2 7 3" xfId="20042"/>
    <cellStyle name="Normal 5 2 6 2 8" xfId="20043"/>
    <cellStyle name="Normal 5 2 6 2 9" xfId="20044"/>
    <cellStyle name="Normal 5 2 6 3" xfId="20045"/>
    <cellStyle name="Normal 5 2 6 3 10" xfId="20046"/>
    <cellStyle name="Normal 5 2 6 3 11" xfId="20047"/>
    <cellStyle name="Normal 5 2 6 3 12" xfId="20048"/>
    <cellStyle name="Normal 5 2 6 3 13" xfId="20049"/>
    <cellStyle name="Normal 5 2 6 3 2" xfId="20050"/>
    <cellStyle name="Normal 5 2 6 3 2 10" xfId="20051"/>
    <cellStyle name="Normal 5 2 6 3 2 11" xfId="20052"/>
    <cellStyle name="Normal 5 2 6 3 2 2" xfId="20053"/>
    <cellStyle name="Normal 5 2 6 3 2 2 2" xfId="20054"/>
    <cellStyle name="Normal 5 2 6 3 2 2 2 2" xfId="20055"/>
    <cellStyle name="Normal 5 2 6 3 2 2 2 2 2" xfId="20056"/>
    <cellStyle name="Normal 5 2 6 3 2 2 2 2 3" xfId="20057"/>
    <cellStyle name="Normal 5 2 6 3 2 2 2 3" xfId="20058"/>
    <cellStyle name="Normal 5 2 6 3 2 2 2 3 2" xfId="20059"/>
    <cellStyle name="Normal 5 2 6 3 2 2 2 3 3" xfId="20060"/>
    <cellStyle name="Normal 5 2 6 3 2 2 2 4" xfId="20061"/>
    <cellStyle name="Normal 5 2 6 3 2 2 2 5" xfId="20062"/>
    <cellStyle name="Normal 5 2 6 3 2 2 2 6" xfId="20063"/>
    <cellStyle name="Normal 5 2 6 3 2 2 2 7" xfId="20064"/>
    <cellStyle name="Normal 5 2 6 3 2 2 3" xfId="20065"/>
    <cellStyle name="Normal 5 2 6 3 2 2 3 2" xfId="20066"/>
    <cellStyle name="Normal 5 2 6 3 2 2 3 3" xfId="20067"/>
    <cellStyle name="Normal 5 2 6 3 2 2 4" xfId="20068"/>
    <cellStyle name="Normal 5 2 6 3 2 2 4 2" xfId="20069"/>
    <cellStyle name="Normal 5 2 6 3 2 2 4 3" xfId="20070"/>
    <cellStyle name="Normal 5 2 6 3 2 2 5" xfId="20071"/>
    <cellStyle name="Normal 5 2 6 3 2 2 6" xfId="20072"/>
    <cellStyle name="Normal 5 2 6 3 2 2 7" xfId="20073"/>
    <cellStyle name="Normal 5 2 6 3 2 2 8" xfId="20074"/>
    <cellStyle name="Normal 5 2 6 3 2 3" xfId="20075"/>
    <cellStyle name="Normal 5 2 6 3 2 3 2" xfId="20076"/>
    <cellStyle name="Normal 5 2 6 3 2 3 2 2" xfId="20077"/>
    <cellStyle name="Normal 5 2 6 3 2 3 2 3" xfId="20078"/>
    <cellStyle name="Normal 5 2 6 3 2 3 3" xfId="20079"/>
    <cellStyle name="Normal 5 2 6 3 2 3 3 2" xfId="20080"/>
    <cellStyle name="Normal 5 2 6 3 2 3 3 3" xfId="20081"/>
    <cellStyle name="Normal 5 2 6 3 2 3 4" xfId="20082"/>
    <cellStyle name="Normal 5 2 6 3 2 3 5" xfId="20083"/>
    <cellStyle name="Normal 5 2 6 3 2 3 6" xfId="20084"/>
    <cellStyle name="Normal 5 2 6 3 2 3 7" xfId="20085"/>
    <cellStyle name="Normal 5 2 6 3 2 4" xfId="20086"/>
    <cellStyle name="Normal 5 2 6 3 2 4 2" xfId="20087"/>
    <cellStyle name="Normal 5 2 6 3 2 4 3" xfId="20088"/>
    <cellStyle name="Normal 5 2 6 3 2 5" xfId="20089"/>
    <cellStyle name="Normal 5 2 6 3 2 5 2" xfId="20090"/>
    <cellStyle name="Normal 5 2 6 3 2 5 3" xfId="20091"/>
    <cellStyle name="Normal 5 2 6 3 2 6" xfId="20092"/>
    <cellStyle name="Normal 5 2 6 3 2 7" xfId="20093"/>
    <cellStyle name="Normal 5 2 6 3 2 8" xfId="20094"/>
    <cellStyle name="Normal 5 2 6 3 2 9" xfId="20095"/>
    <cellStyle name="Normal 5 2 6 3 3" xfId="20096"/>
    <cellStyle name="Normal 5 2 6 3 3 10" xfId="20097"/>
    <cellStyle name="Normal 5 2 6 3 3 11" xfId="20098"/>
    <cellStyle name="Normal 5 2 6 3 3 2" xfId="20099"/>
    <cellStyle name="Normal 5 2 6 3 3 2 2" xfId="20100"/>
    <cellStyle name="Normal 5 2 6 3 3 2 2 2" xfId="20101"/>
    <cellStyle name="Normal 5 2 6 3 3 2 2 3" xfId="20102"/>
    <cellStyle name="Normal 5 2 6 3 3 2 3" xfId="20103"/>
    <cellStyle name="Normal 5 2 6 3 3 2 3 2" xfId="20104"/>
    <cellStyle name="Normal 5 2 6 3 3 2 3 3" xfId="20105"/>
    <cellStyle name="Normal 5 2 6 3 3 2 4" xfId="20106"/>
    <cellStyle name="Normal 5 2 6 3 3 2 5" xfId="20107"/>
    <cellStyle name="Normal 5 2 6 3 3 2 6" xfId="20108"/>
    <cellStyle name="Normal 5 2 6 3 3 2 7" xfId="20109"/>
    <cellStyle name="Normal 5 2 6 3 3 3" xfId="20110"/>
    <cellStyle name="Normal 5 2 6 3 3 3 2" xfId="20111"/>
    <cellStyle name="Normal 5 2 6 3 3 3 3" xfId="20112"/>
    <cellStyle name="Normal 5 2 6 3 3 4" xfId="20113"/>
    <cellStyle name="Normal 5 2 6 3 3 4 2" xfId="20114"/>
    <cellStyle name="Normal 5 2 6 3 3 4 3" xfId="20115"/>
    <cellStyle name="Normal 5 2 6 3 3 5" xfId="20116"/>
    <cellStyle name="Normal 5 2 6 3 3 6" xfId="20117"/>
    <cellStyle name="Normal 5 2 6 3 3 7" xfId="20118"/>
    <cellStyle name="Normal 5 2 6 3 3 8" xfId="20119"/>
    <cellStyle name="Normal 5 2 6 3 3 9" xfId="20120"/>
    <cellStyle name="Normal 5 2 6 3 4" xfId="20121"/>
    <cellStyle name="Normal 5 2 6 3 4 2" xfId="20122"/>
    <cellStyle name="Normal 5 2 6 3 4 2 2" xfId="20123"/>
    <cellStyle name="Normal 5 2 6 3 4 2 2 2" xfId="20124"/>
    <cellStyle name="Normal 5 2 6 3 4 2 2 3" xfId="20125"/>
    <cellStyle name="Normal 5 2 6 3 4 2 3" xfId="20126"/>
    <cellStyle name="Normal 5 2 6 3 4 2 3 2" xfId="20127"/>
    <cellStyle name="Normal 5 2 6 3 4 2 3 3" xfId="20128"/>
    <cellStyle name="Normal 5 2 6 3 4 2 4" xfId="20129"/>
    <cellStyle name="Normal 5 2 6 3 4 2 5" xfId="20130"/>
    <cellStyle name="Normal 5 2 6 3 4 2 6" xfId="20131"/>
    <cellStyle name="Normal 5 2 6 3 4 2 7" xfId="20132"/>
    <cellStyle name="Normal 5 2 6 3 4 3" xfId="20133"/>
    <cellStyle name="Normal 5 2 6 3 4 3 2" xfId="20134"/>
    <cellStyle name="Normal 5 2 6 3 4 3 3" xfId="20135"/>
    <cellStyle name="Normal 5 2 6 3 4 4" xfId="20136"/>
    <cellStyle name="Normal 5 2 6 3 4 4 2" xfId="20137"/>
    <cellStyle name="Normal 5 2 6 3 4 4 3" xfId="20138"/>
    <cellStyle name="Normal 5 2 6 3 4 5" xfId="20139"/>
    <cellStyle name="Normal 5 2 6 3 4 6" xfId="20140"/>
    <cellStyle name="Normal 5 2 6 3 4 7" xfId="20141"/>
    <cellStyle name="Normal 5 2 6 3 4 8" xfId="20142"/>
    <cellStyle name="Normal 5 2 6 3 5" xfId="20143"/>
    <cellStyle name="Normal 5 2 6 3 5 2" xfId="20144"/>
    <cellStyle name="Normal 5 2 6 3 5 2 2" xfId="20145"/>
    <cellStyle name="Normal 5 2 6 3 5 2 3" xfId="20146"/>
    <cellStyle name="Normal 5 2 6 3 5 3" xfId="20147"/>
    <cellStyle name="Normal 5 2 6 3 5 3 2" xfId="20148"/>
    <cellStyle name="Normal 5 2 6 3 5 3 3" xfId="20149"/>
    <cellStyle name="Normal 5 2 6 3 5 4" xfId="20150"/>
    <cellStyle name="Normal 5 2 6 3 5 5" xfId="20151"/>
    <cellStyle name="Normal 5 2 6 3 5 6" xfId="20152"/>
    <cellStyle name="Normal 5 2 6 3 5 7" xfId="20153"/>
    <cellStyle name="Normal 5 2 6 3 6" xfId="20154"/>
    <cellStyle name="Normal 5 2 6 3 6 2" xfId="20155"/>
    <cellStyle name="Normal 5 2 6 3 6 3" xfId="20156"/>
    <cellStyle name="Normal 5 2 6 3 7" xfId="20157"/>
    <cellStyle name="Normal 5 2 6 3 7 2" xfId="20158"/>
    <cellStyle name="Normal 5 2 6 3 7 3" xfId="20159"/>
    <cellStyle name="Normal 5 2 6 3 8" xfId="20160"/>
    <cellStyle name="Normal 5 2 6 3 9" xfId="20161"/>
    <cellStyle name="Normal 5 2 6 4" xfId="20162"/>
    <cellStyle name="Normal 5 2 6 4 10" xfId="20163"/>
    <cellStyle name="Normal 5 2 6 4 11" xfId="20164"/>
    <cellStyle name="Normal 5 2 6 4 12" xfId="20165"/>
    <cellStyle name="Normal 5 2 6 4 13" xfId="20166"/>
    <cellStyle name="Normal 5 2 6 4 2" xfId="20167"/>
    <cellStyle name="Normal 5 2 6 4 2 10" xfId="20168"/>
    <cellStyle name="Normal 5 2 6 4 2 11" xfId="20169"/>
    <cellStyle name="Normal 5 2 6 4 2 2" xfId="20170"/>
    <cellStyle name="Normal 5 2 6 4 2 2 2" xfId="20171"/>
    <cellStyle name="Normal 5 2 6 4 2 2 2 2" xfId="20172"/>
    <cellStyle name="Normal 5 2 6 4 2 2 2 2 2" xfId="20173"/>
    <cellStyle name="Normal 5 2 6 4 2 2 2 2 3" xfId="20174"/>
    <cellStyle name="Normal 5 2 6 4 2 2 2 3" xfId="20175"/>
    <cellStyle name="Normal 5 2 6 4 2 2 2 3 2" xfId="20176"/>
    <cellStyle name="Normal 5 2 6 4 2 2 2 3 3" xfId="20177"/>
    <cellStyle name="Normal 5 2 6 4 2 2 2 4" xfId="20178"/>
    <cellStyle name="Normal 5 2 6 4 2 2 2 5" xfId="20179"/>
    <cellStyle name="Normal 5 2 6 4 2 2 2 6" xfId="20180"/>
    <cellStyle name="Normal 5 2 6 4 2 2 2 7" xfId="20181"/>
    <cellStyle name="Normal 5 2 6 4 2 2 3" xfId="20182"/>
    <cellStyle name="Normal 5 2 6 4 2 2 3 2" xfId="20183"/>
    <cellStyle name="Normal 5 2 6 4 2 2 3 3" xfId="20184"/>
    <cellStyle name="Normal 5 2 6 4 2 2 4" xfId="20185"/>
    <cellStyle name="Normal 5 2 6 4 2 2 4 2" xfId="20186"/>
    <cellStyle name="Normal 5 2 6 4 2 2 4 3" xfId="20187"/>
    <cellStyle name="Normal 5 2 6 4 2 2 5" xfId="20188"/>
    <cellStyle name="Normal 5 2 6 4 2 2 6" xfId="20189"/>
    <cellStyle name="Normal 5 2 6 4 2 2 7" xfId="20190"/>
    <cellStyle name="Normal 5 2 6 4 2 2 8" xfId="20191"/>
    <cellStyle name="Normal 5 2 6 4 2 3" xfId="20192"/>
    <cellStyle name="Normal 5 2 6 4 2 3 2" xfId="20193"/>
    <cellStyle name="Normal 5 2 6 4 2 3 2 2" xfId="20194"/>
    <cellStyle name="Normal 5 2 6 4 2 3 2 3" xfId="20195"/>
    <cellStyle name="Normal 5 2 6 4 2 3 3" xfId="20196"/>
    <cellStyle name="Normal 5 2 6 4 2 3 3 2" xfId="20197"/>
    <cellStyle name="Normal 5 2 6 4 2 3 3 3" xfId="20198"/>
    <cellStyle name="Normal 5 2 6 4 2 3 4" xfId="20199"/>
    <cellStyle name="Normal 5 2 6 4 2 3 5" xfId="20200"/>
    <cellStyle name="Normal 5 2 6 4 2 3 6" xfId="20201"/>
    <cellStyle name="Normal 5 2 6 4 2 3 7" xfId="20202"/>
    <cellStyle name="Normal 5 2 6 4 2 4" xfId="20203"/>
    <cellStyle name="Normal 5 2 6 4 2 4 2" xfId="20204"/>
    <cellStyle name="Normal 5 2 6 4 2 4 3" xfId="20205"/>
    <cellStyle name="Normal 5 2 6 4 2 5" xfId="20206"/>
    <cellStyle name="Normal 5 2 6 4 2 5 2" xfId="20207"/>
    <cellStyle name="Normal 5 2 6 4 2 5 3" xfId="20208"/>
    <cellStyle name="Normal 5 2 6 4 2 6" xfId="20209"/>
    <cellStyle name="Normal 5 2 6 4 2 7" xfId="20210"/>
    <cellStyle name="Normal 5 2 6 4 2 8" xfId="20211"/>
    <cellStyle name="Normal 5 2 6 4 2 9" xfId="20212"/>
    <cellStyle name="Normal 5 2 6 4 3" xfId="20213"/>
    <cellStyle name="Normal 5 2 6 4 3 10" xfId="20214"/>
    <cellStyle name="Normal 5 2 6 4 3 11" xfId="20215"/>
    <cellStyle name="Normal 5 2 6 4 3 2" xfId="20216"/>
    <cellStyle name="Normal 5 2 6 4 3 2 2" xfId="20217"/>
    <cellStyle name="Normal 5 2 6 4 3 2 2 2" xfId="20218"/>
    <cellStyle name="Normal 5 2 6 4 3 2 2 3" xfId="20219"/>
    <cellStyle name="Normal 5 2 6 4 3 2 3" xfId="20220"/>
    <cellStyle name="Normal 5 2 6 4 3 2 3 2" xfId="20221"/>
    <cellStyle name="Normal 5 2 6 4 3 2 3 3" xfId="20222"/>
    <cellStyle name="Normal 5 2 6 4 3 2 4" xfId="20223"/>
    <cellStyle name="Normal 5 2 6 4 3 2 5" xfId="20224"/>
    <cellStyle name="Normal 5 2 6 4 3 2 6" xfId="20225"/>
    <cellStyle name="Normal 5 2 6 4 3 2 7" xfId="20226"/>
    <cellStyle name="Normal 5 2 6 4 3 3" xfId="20227"/>
    <cellStyle name="Normal 5 2 6 4 3 3 2" xfId="20228"/>
    <cellStyle name="Normal 5 2 6 4 3 3 3" xfId="20229"/>
    <cellStyle name="Normal 5 2 6 4 3 4" xfId="20230"/>
    <cellStyle name="Normal 5 2 6 4 3 4 2" xfId="20231"/>
    <cellStyle name="Normal 5 2 6 4 3 4 3" xfId="20232"/>
    <cellStyle name="Normal 5 2 6 4 3 5" xfId="20233"/>
    <cellStyle name="Normal 5 2 6 4 3 6" xfId="20234"/>
    <cellStyle name="Normal 5 2 6 4 3 7" xfId="20235"/>
    <cellStyle name="Normal 5 2 6 4 3 8" xfId="20236"/>
    <cellStyle name="Normal 5 2 6 4 3 9" xfId="20237"/>
    <cellStyle name="Normal 5 2 6 4 4" xfId="20238"/>
    <cellStyle name="Normal 5 2 6 4 4 2" xfId="20239"/>
    <cellStyle name="Normal 5 2 6 4 4 2 2" xfId="20240"/>
    <cellStyle name="Normal 5 2 6 4 4 2 2 2" xfId="20241"/>
    <cellStyle name="Normal 5 2 6 4 4 2 2 3" xfId="20242"/>
    <cellStyle name="Normal 5 2 6 4 4 2 3" xfId="20243"/>
    <cellStyle name="Normal 5 2 6 4 4 2 3 2" xfId="20244"/>
    <cellStyle name="Normal 5 2 6 4 4 2 3 3" xfId="20245"/>
    <cellStyle name="Normal 5 2 6 4 4 2 4" xfId="20246"/>
    <cellStyle name="Normal 5 2 6 4 4 2 5" xfId="20247"/>
    <cellStyle name="Normal 5 2 6 4 4 2 6" xfId="20248"/>
    <cellStyle name="Normal 5 2 6 4 4 2 7" xfId="20249"/>
    <cellStyle name="Normal 5 2 6 4 4 3" xfId="20250"/>
    <cellStyle name="Normal 5 2 6 4 4 3 2" xfId="20251"/>
    <cellStyle name="Normal 5 2 6 4 4 3 3" xfId="20252"/>
    <cellStyle name="Normal 5 2 6 4 4 4" xfId="20253"/>
    <cellStyle name="Normal 5 2 6 4 4 4 2" xfId="20254"/>
    <cellStyle name="Normal 5 2 6 4 4 4 3" xfId="20255"/>
    <cellStyle name="Normal 5 2 6 4 4 5" xfId="20256"/>
    <cellStyle name="Normal 5 2 6 4 4 6" xfId="20257"/>
    <cellStyle name="Normal 5 2 6 4 4 7" xfId="20258"/>
    <cellStyle name="Normal 5 2 6 4 4 8" xfId="20259"/>
    <cellStyle name="Normal 5 2 6 4 5" xfId="20260"/>
    <cellStyle name="Normal 5 2 6 4 5 2" xfId="20261"/>
    <cellStyle name="Normal 5 2 6 4 5 2 2" xfId="20262"/>
    <cellStyle name="Normal 5 2 6 4 5 2 3" xfId="20263"/>
    <cellStyle name="Normal 5 2 6 4 5 3" xfId="20264"/>
    <cellStyle name="Normal 5 2 6 4 5 3 2" xfId="20265"/>
    <cellStyle name="Normal 5 2 6 4 5 3 3" xfId="20266"/>
    <cellStyle name="Normal 5 2 6 4 5 4" xfId="20267"/>
    <cellStyle name="Normal 5 2 6 4 5 5" xfId="20268"/>
    <cellStyle name="Normal 5 2 6 4 5 6" xfId="20269"/>
    <cellStyle name="Normal 5 2 6 4 5 7" xfId="20270"/>
    <cellStyle name="Normal 5 2 6 4 6" xfId="20271"/>
    <cellStyle name="Normal 5 2 6 4 6 2" xfId="20272"/>
    <cellStyle name="Normal 5 2 6 4 6 3" xfId="20273"/>
    <cellStyle name="Normal 5 2 6 4 7" xfId="20274"/>
    <cellStyle name="Normal 5 2 6 4 7 2" xfId="20275"/>
    <cellStyle name="Normal 5 2 6 4 7 3" xfId="20276"/>
    <cellStyle name="Normal 5 2 6 4 8" xfId="20277"/>
    <cellStyle name="Normal 5 2 6 4 9" xfId="20278"/>
    <cellStyle name="Normal 5 2 6 5" xfId="20279"/>
    <cellStyle name="Normal 5 2 6 5 10" xfId="20280"/>
    <cellStyle name="Normal 5 2 6 5 11" xfId="20281"/>
    <cellStyle name="Normal 5 2 6 5 12" xfId="20282"/>
    <cellStyle name="Normal 5 2 6 5 13" xfId="20283"/>
    <cellStyle name="Normal 5 2 6 5 2" xfId="20284"/>
    <cellStyle name="Normal 5 2 6 5 2 10" xfId="20285"/>
    <cellStyle name="Normal 5 2 6 5 2 11" xfId="20286"/>
    <cellStyle name="Normal 5 2 6 5 2 2" xfId="20287"/>
    <cellStyle name="Normal 5 2 6 5 2 2 2" xfId="20288"/>
    <cellStyle name="Normal 5 2 6 5 2 2 2 2" xfId="20289"/>
    <cellStyle name="Normal 5 2 6 5 2 2 2 2 2" xfId="20290"/>
    <cellStyle name="Normal 5 2 6 5 2 2 2 2 3" xfId="20291"/>
    <cellStyle name="Normal 5 2 6 5 2 2 2 3" xfId="20292"/>
    <cellStyle name="Normal 5 2 6 5 2 2 2 3 2" xfId="20293"/>
    <cellStyle name="Normal 5 2 6 5 2 2 2 3 3" xfId="20294"/>
    <cellStyle name="Normal 5 2 6 5 2 2 2 4" xfId="20295"/>
    <cellStyle name="Normal 5 2 6 5 2 2 2 5" xfId="20296"/>
    <cellStyle name="Normal 5 2 6 5 2 2 2 6" xfId="20297"/>
    <cellStyle name="Normal 5 2 6 5 2 2 2 7" xfId="20298"/>
    <cellStyle name="Normal 5 2 6 5 2 2 3" xfId="20299"/>
    <cellStyle name="Normal 5 2 6 5 2 2 3 2" xfId="20300"/>
    <cellStyle name="Normal 5 2 6 5 2 2 3 3" xfId="20301"/>
    <cellStyle name="Normal 5 2 6 5 2 2 4" xfId="20302"/>
    <cellStyle name="Normal 5 2 6 5 2 2 4 2" xfId="20303"/>
    <cellStyle name="Normal 5 2 6 5 2 2 4 3" xfId="20304"/>
    <cellStyle name="Normal 5 2 6 5 2 2 5" xfId="20305"/>
    <cellStyle name="Normal 5 2 6 5 2 2 6" xfId="20306"/>
    <cellStyle name="Normal 5 2 6 5 2 2 7" xfId="20307"/>
    <cellStyle name="Normal 5 2 6 5 2 2 8" xfId="20308"/>
    <cellStyle name="Normal 5 2 6 5 2 3" xfId="20309"/>
    <cellStyle name="Normal 5 2 6 5 2 3 2" xfId="20310"/>
    <cellStyle name="Normal 5 2 6 5 2 3 2 2" xfId="20311"/>
    <cellStyle name="Normal 5 2 6 5 2 3 2 3" xfId="20312"/>
    <cellStyle name="Normal 5 2 6 5 2 3 3" xfId="20313"/>
    <cellStyle name="Normal 5 2 6 5 2 3 3 2" xfId="20314"/>
    <cellStyle name="Normal 5 2 6 5 2 3 3 3" xfId="20315"/>
    <cellStyle name="Normal 5 2 6 5 2 3 4" xfId="20316"/>
    <cellStyle name="Normal 5 2 6 5 2 3 5" xfId="20317"/>
    <cellStyle name="Normal 5 2 6 5 2 3 6" xfId="20318"/>
    <cellStyle name="Normal 5 2 6 5 2 3 7" xfId="20319"/>
    <cellStyle name="Normal 5 2 6 5 2 4" xfId="20320"/>
    <cellStyle name="Normal 5 2 6 5 2 4 2" xfId="20321"/>
    <cellStyle name="Normal 5 2 6 5 2 4 3" xfId="20322"/>
    <cellStyle name="Normal 5 2 6 5 2 5" xfId="20323"/>
    <cellStyle name="Normal 5 2 6 5 2 5 2" xfId="20324"/>
    <cellStyle name="Normal 5 2 6 5 2 5 3" xfId="20325"/>
    <cellStyle name="Normal 5 2 6 5 2 6" xfId="20326"/>
    <cellStyle name="Normal 5 2 6 5 2 7" xfId="20327"/>
    <cellStyle name="Normal 5 2 6 5 2 8" xfId="20328"/>
    <cellStyle name="Normal 5 2 6 5 2 9" xfId="20329"/>
    <cellStyle name="Normal 5 2 6 5 3" xfId="20330"/>
    <cellStyle name="Normal 5 2 6 5 3 10" xfId="20331"/>
    <cellStyle name="Normal 5 2 6 5 3 11" xfId="20332"/>
    <cellStyle name="Normal 5 2 6 5 3 2" xfId="20333"/>
    <cellStyle name="Normal 5 2 6 5 3 2 2" xfId="20334"/>
    <cellStyle name="Normal 5 2 6 5 3 2 2 2" xfId="20335"/>
    <cellStyle name="Normal 5 2 6 5 3 2 2 3" xfId="20336"/>
    <cellStyle name="Normal 5 2 6 5 3 2 3" xfId="20337"/>
    <cellStyle name="Normal 5 2 6 5 3 2 3 2" xfId="20338"/>
    <cellStyle name="Normal 5 2 6 5 3 2 3 3" xfId="20339"/>
    <cellStyle name="Normal 5 2 6 5 3 2 4" xfId="20340"/>
    <cellStyle name="Normal 5 2 6 5 3 2 5" xfId="20341"/>
    <cellStyle name="Normal 5 2 6 5 3 2 6" xfId="20342"/>
    <cellStyle name="Normal 5 2 6 5 3 2 7" xfId="20343"/>
    <cellStyle name="Normal 5 2 6 5 3 3" xfId="20344"/>
    <cellStyle name="Normal 5 2 6 5 3 3 2" xfId="20345"/>
    <cellStyle name="Normal 5 2 6 5 3 3 3" xfId="20346"/>
    <cellStyle name="Normal 5 2 6 5 3 4" xfId="20347"/>
    <cellStyle name="Normal 5 2 6 5 3 4 2" xfId="20348"/>
    <cellStyle name="Normal 5 2 6 5 3 4 3" xfId="20349"/>
    <cellStyle name="Normal 5 2 6 5 3 5" xfId="20350"/>
    <cellStyle name="Normal 5 2 6 5 3 6" xfId="20351"/>
    <cellStyle name="Normal 5 2 6 5 3 7" xfId="20352"/>
    <cellStyle name="Normal 5 2 6 5 3 8" xfId="20353"/>
    <cellStyle name="Normal 5 2 6 5 3 9" xfId="20354"/>
    <cellStyle name="Normal 5 2 6 5 4" xfId="20355"/>
    <cellStyle name="Normal 5 2 6 5 4 2" xfId="20356"/>
    <cellStyle name="Normal 5 2 6 5 4 2 2" xfId="20357"/>
    <cellStyle name="Normal 5 2 6 5 4 2 2 2" xfId="20358"/>
    <cellStyle name="Normal 5 2 6 5 4 2 2 3" xfId="20359"/>
    <cellStyle name="Normal 5 2 6 5 4 2 3" xfId="20360"/>
    <cellStyle name="Normal 5 2 6 5 4 2 3 2" xfId="20361"/>
    <cellStyle name="Normal 5 2 6 5 4 2 3 3" xfId="20362"/>
    <cellStyle name="Normal 5 2 6 5 4 2 4" xfId="20363"/>
    <cellStyle name="Normal 5 2 6 5 4 2 5" xfId="20364"/>
    <cellStyle name="Normal 5 2 6 5 4 2 6" xfId="20365"/>
    <cellStyle name="Normal 5 2 6 5 4 2 7" xfId="20366"/>
    <cellStyle name="Normal 5 2 6 5 4 3" xfId="20367"/>
    <cellStyle name="Normal 5 2 6 5 4 3 2" xfId="20368"/>
    <cellStyle name="Normal 5 2 6 5 4 3 3" xfId="20369"/>
    <cellStyle name="Normal 5 2 6 5 4 4" xfId="20370"/>
    <cellStyle name="Normal 5 2 6 5 4 4 2" xfId="20371"/>
    <cellStyle name="Normal 5 2 6 5 4 4 3" xfId="20372"/>
    <cellStyle name="Normal 5 2 6 5 4 5" xfId="20373"/>
    <cellStyle name="Normal 5 2 6 5 4 6" xfId="20374"/>
    <cellStyle name="Normal 5 2 6 5 4 7" xfId="20375"/>
    <cellStyle name="Normal 5 2 6 5 4 8" xfId="20376"/>
    <cellStyle name="Normal 5 2 6 5 5" xfId="20377"/>
    <cellStyle name="Normal 5 2 6 5 5 2" xfId="20378"/>
    <cellStyle name="Normal 5 2 6 5 5 2 2" xfId="20379"/>
    <cellStyle name="Normal 5 2 6 5 5 2 3" xfId="20380"/>
    <cellStyle name="Normal 5 2 6 5 5 3" xfId="20381"/>
    <cellStyle name="Normal 5 2 6 5 5 3 2" xfId="20382"/>
    <cellStyle name="Normal 5 2 6 5 5 3 3" xfId="20383"/>
    <cellStyle name="Normal 5 2 6 5 5 4" xfId="20384"/>
    <cellStyle name="Normal 5 2 6 5 5 5" xfId="20385"/>
    <cellStyle name="Normal 5 2 6 5 5 6" xfId="20386"/>
    <cellStyle name="Normal 5 2 6 5 5 7" xfId="20387"/>
    <cellStyle name="Normal 5 2 6 5 6" xfId="20388"/>
    <cellStyle name="Normal 5 2 6 5 6 2" xfId="20389"/>
    <cellStyle name="Normal 5 2 6 5 6 3" xfId="20390"/>
    <cellStyle name="Normal 5 2 6 5 7" xfId="20391"/>
    <cellStyle name="Normal 5 2 6 5 7 2" xfId="20392"/>
    <cellStyle name="Normal 5 2 6 5 7 3" xfId="20393"/>
    <cellStyle name="Normal 5 2 6 5 8" xfId="20394"/>
    <cellStyle name="Normal 5 2 6 5 9" xfId="20395"/>
    <cellStyle name="Normal 5 2 6 6" xfId="20396"/>
    <cellStyle name="Normal 5 2 6 6 10" xfId="20397"/>
    <cellStyle name="Normal 5 2 6 6 11" xfId="20398"/>
    <cellStyle name="Normal 5 2 6 6 12" xfId="20399"/>
    <cellStyle name="Normal 5 2 6 6 13" xfId="20400"/>
    <cellStyle name="Normal 5 2 6 6 2" xfId="20401"/>
    <cellStyle name="Normal 5 2 6 6 2 10" xfId="20402"/>
    <cellStyle name="Normal 5 2 6 6 2 11" xfId="20403"/>
    <cellStyle name="Normal 5 2 6 6 2 2" xfId="20404"/>
    <cellStyle name="Normal 5 2 6 6 2 2 2" xfId="20405"/>
    <cellStyle name="Normal 5 2 6 6 2 2 2 2" xfId="20406"/>
    <cellStyle name="Normal 5 2 6 6 2 2 2 3" xfId="20407"/>
    <cellStyle name="Normal 5 2 6 6 2 2 3" xfId="20408"/>
    <cellStyle name="Normal 5 2 6 6 2 2 3 2" xfId="20409"/>
    <cellStyle name="Normal 5 2 6 6 2 2 3 3" xfId="20410"/>
    <cellStyle name="Normal 5 2 6 6 2 2 4" xfId="20411"/>
    <cellStyle name="Normal 5 2 6 6 2 2 5" xfId="20412"/>
    <cellStyle name="Normal 5 2 6 6 2 2 6" xfId="20413"/>
    <cellStyle name="Normal 5 2 6 6 2 2 7" xfId="20414"/>
    <cellStyle name="Normal 5 2 6 6 2 3" xfId="20415"/>
    <cellStyle name="Normal 5 2 6 6 2 3 2" xfId="20416"/>
    <cellStyle name="Normal 5 2 6 6 2 3 3" xfId="20417"/>
    <cellStyle name="Normal 5 2 6 6 2 4" xfId="20418"/>
    <cellStyle name="Normal 5 2 6 6 2 4 2" xfId="20419"/>
    <cellStyle name="Normal 5 2 6 6 2 4 3" xfId="20420"/>
    <cellStyle name="Normal 5 2 6 6 2 5" xfId="20421"/>
    <cellStyle name="Normal 5 2 6 6 2 6" xfId="20422"/>
    <cellStyle name="Normal 5 2 6 6 2 7" xfId="20423"/>
    <cellStyle name="Normal 5 2 6 6 2 8" xfId="20424"/>
    <cellStyle name="Normal 5 2 6 6 2 9" xfId="20425"/>
    <cellStyle name="Normal 5 2 6 6 3" xfId="20426"/>
    <cellStyle name="Normal 5 2 6 6 3 10" xfId="20427"/>
    <cellStyle name="Normal 5 2 6 6 3 11" xfId="20428"/>
    <cellStyle name="Normal 5 2 6 6 3 2" xfId="20429"/>
    <cellStyle name="Normal 5 2 6 6 3 2 2" xfId="20430"/>
    <cellStyle name="Normal 5 2 6 6 3 2 3" xfId="20431"/>
    <cellStyle name="Normal 5 2 6 6 3 3" xfId="20432"/>
    <cellStyle name="Normal 5 2 6 6 3 3 2" xfId="20433"/>
    <cellStyle name="Normal 5 2 6 6 3 3 3" xfId="20434"/>
    <cellStyle name="Normal 5 2 6 6 3 4" xfId="20435"/>
    <cellStyle name="Normal 5 2 6 6 3 5" xfId="20436"/>
    <cellStyle name="Normal 5 2 6 6 3 6" xfId="20437"/>
    <cellStyle name="Normal 5 2 6 6 3 7" xfId="20438"/>
    <cellStyle name="Normal 5 2 6 6 3 8" xfId="20439"/>
    <cellStyle name="Normal 5 2 6 6 3 9" xfId="20440"/>
    <cellStyle name="Normal 5 2 6 6 4" xfId="20441"/>
    <cellStyle name="Normal 5 2 6 6 4 2" xfId="20442"/>
    <cellStyle name="Normal 5 2 6 6 4 3" xfId="20443"/>
    <cellStyle name="Normal 5 2 6 6 5" xfId="20444"/>
    <cellStyle name="Normal 5 2 6 6 5 2" xfId="20445"/>
    <cellStyle name="Normal 5 2 6 6 5 3" xfId="20446"/>
    <cellStyle name="Normal 5 2 6 6 6" xfId="20447"/>
    <cellStyle name="Normal 5 2 6 6 7" xfId="20448"/>
    <cellStyle name="Normal 5 2 6 6 8" xfId="20449"/>
    <cellStyle name="Normal 5 2 6 6 9" xfId="20450"/>
    <cellStyle name="Normal 5 2 6 7" xfId="20451"/>
    <cellStyle name="Normal 5 2 6 7 10" xfId="20452"/>
    <cellStyle name="Normal 5 2 6 7 11" xfId="20453"/>
    <cellStyle name="Normal 5 2 6 7 2" xfId="20454"/>
    <cellStyle name="Normal 5 2 6 7 2 2" xfId="20455"/>
    <cellStyle name="Normal 5 2 6 7 2 2 2" xfId="20456"/>
    <cellStyle name="Normal 5 2 6 7 2 2 3" xfId="20457"/>
    <cellStyle name="Normal 5 2 6 7 2 3" xfId="20458"/>
    <cellStyle name="Normal 5 2 6 7 2 3 2" xfId="20459"/>
    <cellStyle name="Normal 5 2 6 7 2 3 3" xfId="20460"/>
    <cellStyle name="Normal 5 2 6 7 2 4" xfId="20461"/>
    <cellStyle name="Normal 5 2 6 7 2 5" xfId="20462"/>
    <cellStyle name="Normal 5 2 6 7 2 6" xfId="20463"/>
    <cellStyle name="Normal 5 2 6 7 2 7" xfId="20464"/>
    <cellStyle name="Normal 5 2 6 7 3" xfId="20465"/>
    <cellStyle name="Normal 5 2 6 7 3 2" xfId="20466"/>
    <cellStyle name="Normal 5 2 6 7 3 3" xfId="20467"/>
    <cellStyle name="Normal 5 2 6 7 4" xfId="20468"/>
    <cellStyle name="Normal 5 2 6 7 4 2" xfId="20469"/>
    <cellStyle name="Normal 5 2 6 7 4 3" xfId="20470"/>
    <cellStyle name="Normal 5 2 6 7 5" xfId="20471"/>
    <cellStyle name="Normal 5 2 6 7 6" xfId="20472"/>
    <cellStyle name="Normal 5 2 6 7 7" xfId="20473"/>
    <cellStyle name="Normal 5 2 6 7 8" xfId="20474"/>
    <cellStyle name="Normal 5 2 6 7 9" xfId="20475"/>
    <cellStyle name="Normal 5 2 6 8" xfId="20476"/>
    <cellStyle name="Normal 5 2 6 8 10" xfId="20477"/>
    <cellStyle name="Normal 5 2 6 8 11" xfId="20478"/>
    <cellStyle name="Normal 5 2 6 8 2" xfId="20479"/>
    <cellStyle name="Normal 5 2 6 8 2 2" xfId="20480"/>
    <cellStyle name="Normal 5 2 6 8 2 2 2" xfId="20481"/>
    <cellStyle name="Normal 5 2 6 8 2 2 3" xfId="20482"/>
    <cellStyle name="Normal 5 2 6 8 2 3" xfId="20483"/>
    <cellStyle name="Normal 5 2 6 8 2 3 2" xfId="20484"/>
    <cellStyle name="Normal 5 2 6 8 2 3 3" xfId="20485"/>
    <cellStyle name="Normal 5 2 6 8 2 4" xfId="20486"/>
    <cellStyle name="Normal 5 2 6 8 2 5" xfId="20487"/>
    <cellStyle name="Normal 5 2 6 8 2 6" xfId="20488"/>
    <cellStyle name="Normal 5 2 6 8 2 7" xfId="20489"/>
    <cellStyle name="Normal 5 2 6 8 3" xfId="20490"/>
    <cellStyle name="Normal 5 2 6 8 3 2" xfId="20491"/>
    <cellStyle name="Normal 5 2 6 8 3 3" xfId="20492"/>
    <cellStyle name="Normal 5 2 6 8 4" xfId="20493"/>
    <cellStyle name="Normal 5 2 6 8 4 2" xfId="20494"/>
    <cellStyle name="Normal 5 2 6 8 4 3" xfId="20495"/>
    <cellStyle name="Normal 5 2 6 8 5" xfId="20496"/>
    <cellStyle name="Normal 5 2 6 8 6" xfId="20497"/>
    <cellStyle name="Normal 5 2 6 8 7" xfId="20498"/>
    <cellStyle name="Normal 5 2 6 8 8" xfId="20499"/>
    <cellStyle name="Normal 5 2 6 8 9" xfId="20500"/>
    <cellStyle name="Normal 5 2 6 9" xfId="20501"/>
    <cellStyle name="Normal 5 2 6 9 2" xfId="20502"/>
    <cellStyle name="Normal 5 2 6 9 2 2" xfId="20503"/>
    <cellStyle name="Normal 5 2 6 9 2 3" xfId="20504"/>
    <cellStyle name="Normal 5 2 6 9 3" xfId="20505"/>
    <cellStyle name="Normal 5 2 6 9 3 2" xfId="20506"/>
    <cellStyle name="Normal 5 2 6 9 3 3" xfId="20507"/>
    <cellStyle name="Normal 5 2 6 9 4" xfId="20508"/>
    <cellStyle name="Normal 5 2 6 9 5" xfId="20509"/>
    <cellStyle name="Normal 5 2 6 9 6" xfId="20510"/>
    <cellStyle name="Normal 5 2 6 9 7" xfId="20511"/>
    <cellStyle name="Normal 5 2 7" xfId="20512"/>
    <cellStyle name="Normal 5 2 7 10" xfId="20513"/>
    <cellStyle name="Normal 5 2 7 10 2" xfId="20514"/>
    <cellStyle name="Normal 5 2 7 10 3" xfId="20515"/>
    <cellStyle name="Normal 5 2 7 11" xfId="20516"/>
    <cellStyle name="Normal 5 2 7 12" xfId="20517"/>
    <cellStyle name="Normal 5 2 7 13" xfId="20518"/>
    <cellStyle name="Normal 5 2 7 14" xfId="20519"/>
    <cellStyle name="Normal 5 2 7 15" xfId="20520"/>
    <cellStyle name="Normal 5 2 7 16" xfId="20521"/>
    <cellStyle name="Normal 5 2 7 17" xfId="20522"/>
    <cellStyle name="Normal 5 2 7 18" xfId="20523"/>
    <cellStyle name="Normal 5 2 7 2" xfId="20524"/>
    <cellStyle name="Normal 5 2 7 2 10" xfId="20525"/>
    <cellStyle name="Normal 5 2 7 2 11" xfId="20526"/>
    <cellStyle name="Normal 5 2 7 2 12" xfId="20527"/>
    <cellStyle name="Normal 5 2 7 2 13" xfId="20528"/>
    <cellStyle name="Normal 5 2 7 2 2" xfId="20529"/>
    <cellStyle name="Normal 5 2 7 2 2 10" xfId="20530"/>
    <cellStyle name="Normal 5 2 7 2 2 11" xfId="20531"/>
    <cellStyle name="Normal 5 2 7 2 2 2" xfId="20532"/>
    <cellStyle name="Normal 5 2 7 2 2 2 2" xfId="20533"/>
    <cellStyle name="Normal 5 2 7 2 2 2 2 2" xfId="20534"/>
    <cellStyle name="Normal 5 2 7 2 2 2 2 2 2" xfId="20535"/>
    <cellStyle name="Normal 5 2 7 2 2 2 2 2 3" xfId="20536"/>
    <cellStyle name="Normal 5 2 7 2 2 2 2 3" xfId="20537"/>
    <cellStyle name="Normal 5 2 7 2 2 2 2 3 2" xfId="20538"/>
    <cellStyle name="Normal 5 2 7 2 2 2 2 3 3" xfId="20539"/>
    <cellStyle name="Normal 5 2 7 2 2 2 2 4" xfId="20540"/>
    <cellStyle name="Normal 5 2 7 2 2 2 2 5" xfId="20541"/>
    <cellStyle name="Normal 5 2 7 2 2 2 2 6" xfId="20542"/>
    <cellStyle name="Normal 5 2 7 2 2 2 2 7" xfId="20543"/>
    <cellStyle name="Normal 5 2 7 2 2 2 3" xfId="20544"/>
    <cellStyle name="Normal 5 2 7 2 2 2 3 2" xfId="20545"/>
    <cellStyle name="Normal 5 2 7 2 2 2 3 3" xfId="20546"/>
    <cellStyle name="Normal 5 2 7 2 2 2 4" xfId="20547"/>
    <cellStyle name="Normal 5 2 7 2 2 2 4 2" xfId="20548"/>
    <cellStyle name="Normal 5 2 7 2 2 2 4 3" xfId="20549"/>
    <cellStyle name="Normal 5 2 7 2 2 2 5" xfId="20550"/>
    <cellStyle name="Normal 5 2 7 2 2 2 6" xfId="20551"/>
    <cellStyle name="Normal 5 2 7 2 2 2 7" xfId="20552"/>
    <cellStyle name="Normal 5 2 7 2 2 2 8" xfId="20553"/>
    <cellStyle name="Normal 5 2 7 2 2 3" xfId="20554"/>
    <cellStyle name="Normal 5 2 7 2 2 3 2" xfId="20555"/>
    <cellStyle name="Normal 5 2 7 2 2 3 2 2" xfId="20556"/>
    <cellStyle name="Normal 5 2 7 2 2 3 2 3" xfId="20557"/>
    <cellStyle name="Normal 5 2 7 2 2 3 3" xfId="20558"/>
    <cellStyle name="Normal 5 2 7 2 2 3 3 2" xfId="20559"/>
    <cellStyle name="Normal 5 2 7 2 2 3 3 3" xfId="20560"/>
    <cellStyle name="Normal 5 2 7 2 2 3 4" xfId="20561"/>
    <cellStyle name="Normal 5 2 7 2 2 3 5" xfId="20562"/>
    <cellStyle name="Normal 5 2 7 2 2 3 6" xfId="20563"/>
    <cellStyle name="Normal 5 2 7 2 2 3 7" xfId="20564"/>
    <cellStyle name="Normal 5 2 7 2 2 4" xfId="20565"/>
    <cellStyle name="Normal 5 2 7 2 2 4 2" xfId="20566"/>
    <cellStyle name="Normal 5 2 7 2 2 4 3" xfId="20567"/>
    <cellStyle name="Normal 5 2 7 2 2 5" xfId="20568"/>
    <cellStyle name="Normal 5 2 7 2 2 5 2" xfId="20569"/>
    <cellStyle name="Normal 5 2 7 2 2 5 3" xfId="20570"/>
    <cellStyle name="Normal 5 2 7 2 2 6" xfId="20571"/>
    <cellStyle name="Normal 5 2 7 2 2 7" xfId="20572"/>
    <cellStyle name="Normal 5 2 7 2 2 8" xfId="20573"/>
    <cellStyle name="Normal 5 2 7 2 2 9" xfId="20574"/>
    <cellStyle name="Normal 5 2 7 2 3" xfId="20575"/>
    <cellStyle name="Normal 5 2 7 2 3 10" xfId="20576"/>
    <cellStyle name="Normal 5 2 7 2 3 11" xfId="20577"/>
    <cellStyle name="Normal 5 2 7 2 3 2" xfId="20578"/>
    <cellStyle name="Normal 5 2 7 2 3 2 2" xfId="20579"/>
    <cellStyle name="Normal 5 2 7 2 3 2 2 2" xfId="20580"/>
    <cellStyle name="Normal 5 2 7 2 3 2 2 3" xfId="20581"/>
    <cellStyle name="Normal 5 2 7 2 3 2 3" xfId="20582"/>
    <cellStyle name="Normal 5 2 7 2 3 2 3 2" xfId="20583"/>
    <cellStyle name="Normal 5 2 7 2 3 2 3 3" xfId="20584"/>
    <cellStyle name="Normal 5 2 7 2 3 2 4" xfId="20585"/>
    <cellStyle name="Normal 5 2 7 2 3 2 5" xfId="20586"/>
    <cellStyle name="Normal 5 2 7 2 3 2 6" xfId="20587"/>
    <cellStyle name="Normal 5 2 7 2 3 2 7" xfId="20588"/>
    <cellStyle name="Normal 5 2 7 2 3 3" xfId="20589"/>
    <cellStyle name="Normal 5 2 7 2 3 3 2" xfId="20590"/>
    <cellStyle name="Normal 5 2 7 2 3 3 3" xfId="20591"/>
    <cellStyle name="Normal 5 2 7 2 3 4" xfId="20592"/>
    <cellStyle name="Normal 5 2 7 2 3 4 2" xfId="20593"/>
    <cellStyle name="Normal 5 2 7 2 3 4 3" xfId="20594"/>
    <cellStyle name="Normal 5 2 7 2 3 5" xfId="20595"/>
    <cellStyle name="Normal 5 2 7 2 3 6" xfId="20596"/>
    <cellStyle name="Normal 5 2 7 2 3 7" xfId="20597"/>
    <cellStyle name="Normal 5 2 7 2 3 8" xfId="20598"/>
    <cellStyle name="Normal 5 2 7 2 3 9" xfId="20599"/>
    <cellStyle name="Normal 5 2 7 2 4" xfId="20600"/>
    <cellStyle name="Normal 5 2 7 2 4 2" xfId="20601"/>
    <cellStyle name="Normal 5 2 7 2 4 2 2" xfId="20602"/>
    <cellStyle name="Normal 5 2 7 2 4 2 2 2" xfId="20603"/>
    <cellStyle name="Normal 5 2 7 2 4 2 2 3" xfId="20604"/>
    <cellStyle name="Normal 5 2 7 2 4 2 3" xfId="20605"/>
    <cellStyle name="Normal 5 2 7 2 4 2 3 2" xfId="20606"/>
    <cellStyle name="Normal 5 2 7 2 4 2 3 3" xfId="20607"/>
    <cellStyle name="Normal 5 2 7 2 4 2 4" xfId="20608"/>
    <cellStyle name="Normal 5 2 7 2 4 2 5" xfId="20609"/>
    <cellStyle name="Normal 5 2 7 2 4 2 6" xfId="20610"/>
    <cellStyle name="Normal 5 2 7 2 4 2 7" xfId="20611"/>
    <cellStyle name="Normal 5 2 7 2 4 3" xfId="20612"/>
    <cellStyle name="Normal 5 2 7 2 4 3 2" xfId="20613"/>
    <cellStyle name="Normal 5 2 7 2 4 3 3" xfId="20614"/>
    <cellStyle name="Normal 5 2 7 2 4 4" xfId="20615"/>
    <cellStyle name="Normal 5 2 7 2 4 4 2" xfId="20616"/>
    <cellStyle name="Normal 5 2 7 2 4 4 3" xfId="20617"/>
    <cellStyle name="Normal 5 2 7 2 4 5" xfId="20618"/>
    <cellStyle name="Normal 5 2 7 2 4 6" xfId="20619"/>
    <cellStyle name="Normal 5 2 7 2 4 7" xfId="20620"/>
    <cellStyle name="Normal 5 2 7 2 4 8" xfId="20621"/>
    <cellStyle name="Normal 5 2 7 2 5" xfId="20622"/>
    <cellStyle name="Normal 5 2 7 2 5 2" xfId="20623"/>
    <cellStyle name="Normal 5 2 7 2 5 2 2" xfId="20624"/>
    <cellStyle name="Normal 5 2 7 2 5 2 3" xfId="20625"/>
    <cellStyle name="Normal 5 2 7 2 5 3" xfId="20626"/>
    <cellStyle name="Normal 5 2 7 2 5 3 2" xfId="20627"/>
    <cellStyle name="Normal 5 2 7 2 5 3 3" xfId="20628"/>
    <cellStyle name="Normal 5 2 7 2 5 4" xfId="20629"/>
    <cellStyle name="Normal 5 2 7 2 5 5" xfId="20630"/>
    <cellStyle name="Normal 5 2 7 2 5 6" xfId="20631"/>
    <cellStyle name="Normal 5 2 7 2 5 7" xfId="20632"/>
    <cellStyle name="Normal 5 2 7 2 6" xfId="20633"/>
    <cellStyle name="Normal 5 2 7 2 6 2" xfId="20634"/>
    <cellStyle name="Normal 5 2 7 2 6 3" xfId="20635"/>
    <cellStyle name="Normal 5 2 7 2 7" xfId="20636"/>
    <cellStyle name="Normal 5 2 7 2 7 2" xfId="20637"/>
    <cellStyle name="Normal 5 2 7 2 7 3" xfId="20638"/>
    <cellStyle name="Normal 5 2 7 2 8" xfId="20639"/>
    <cellStyle name="Normal 5 2 7 2 9" xfId="20640"/>
    <cellStyle name="Normal 5 2 7 3" xfId="20641"/>
    <cellStyle name="Normal 5 2 7 3 10" xfId="20642"/>
    <cellStyle name="Normal 5 2 7 3 11" xfId="20643"/>
    <cellStyle name="Normal 5 2 7 3 12" xfId="20644"/>
    <cellStyle name="Normal 5 2 7 3 13" xfId="20645"/>
    <cellStyle name="Normal 5 2 7 3 2" xfId="20646"/>
    <cellStyle name="Normal 5 2 7 3 2 10" xfId="20647"/>
    <cellStyle name="Normal 5 2 7 3 2 11" xfId="20648"/>
    <cellStyle name="Normal 5 2 7 3 2 2" xfId="20649"/>
    <cellStyle name="Normal 5 2 7 3 2 2 2" xfId="20650"/>
    <cellStyle name="Normal 5 2 7 3 2 2 2 2" xfId="20651"/>
    <cellStyle name="Normal 5 2 7 3 2 2 2 2 2" xfId="20652"/>
    <cellStyle name="Normal 5 2 7 3 2 2 2 2 3" xfId="20653"/>
    <cellStyle name="Normal 5 2 7 3 2 2 2 3" xfId="20654"/>
    <cellStyle name="Normal 5 2 7 3 2 2 2 3 2" xfId="20655"/>
    <cellStyle name="Normal 5 2 7 3 2 2 2 3 3" xfId="20656"/>
    <cellStyle name="Normal 5 2 7 3 2 2 2 4" xfId="20657"/>
    <cellStyle name="Normal 5 2 7 3 2 2 2 5" xfId="20658"/>
    <cellStyle name="Normal 5 2 7 3 2 2 2 6" xfId="20659"/>
    <cellStyle name="Normal 5 2 7 3 2 2 2 7" xfId="20660"/>
    <cellStyle name="Normal 5 2 7 3 2 2 3" xfId="20661"/>
    <cellStyle name="Normal 5 2 7 3 2 2 3 2" xfId="20662"/>
    <cellStyle name="Normal 5 2 7 3 2 2 3 3" xfId="20663"/>
    <cellStyle name="Normal 5 2 7 3 2 2 4" xfId="20664"/>
    <cellStyle name="Normal 5 2 7 3 2 2 4 2" xfId="20665"/>
    <cellStyle name="Normal 5 2 7 3 2 2 4 3" xfId="20666"/>
    <cellStyle name="Normal 5 2 7 3 2 2 5" xfId="20667"/>
    <cellStyle name="Normal 5 2 7 3 2 2 6" xfId="20668"/>
    <cellStyle name="Normal 5 2 7 3 2 2 7" xfId="20669"/>
    <cellStyle name="Normal 5 2 7 3 2 2 8" xfId="20670"/>
    <cellStyle name="Normal 5 2 7 3 2 3" xfId="20671"/>
    <cellStyle name="Normal 5 2 7 3 2 3 2" xfId="20672"/>
    <cellStyle name="Normal 5 2 7 3 2 3 2 2" xfId="20673"/>
    <cellStyle name="Normal 5 2 7 3 2 3 2 3" xfId="20674"/>
    <cellStyle name="Normal 5 2 7 3 2 3 3" xfId="20675"/>
    <cellStyle name="Normal 5 2 7 3 2 3 3 2" xfId="20676"/>
    <cellStyle name="Normal 5 2 7 3 2 3 3 3" xfId="20677"/>
    <cellStyle name="Normal 5 2 7 3 2 3 4" xfId="20678"/>
    <cellStyle name="Normal 5 2 7 3 2 3 5" xfId="20679"/>
    <cellStyle name="Normal 5 2 7 3 2 3 6" xfId="20680"/>
    <cellStyle name="Normal 5 2 7 3 2 3 7" xfId="20681"/>
    <cellStyle name="Normal 5 2 7 3 2 4" xfId="20682"/>
    <cellStyle name="Normal 5 2 7 3 2 4 2" xfId="20683"/>
    <cellStyle name="Normal 5 2 7 3 2 4 3" xfId="20684"/>
    <cellStyle name="Normal 5 2 7 3 2 5" xfId="20685"/>
    <cellStyle name="Normal 5 2 7 3 2 5 2" xfId="20686"/>
    <cellStyle name="Normal 5 2 7 3 2 5 3" xfId="20687"/>
    <cellStyle name="Normal 5 2 7 3 2 6" xfId="20688"/>
    <cellStyle name="Normal 5 2 7 3 2 7" xfId="20689"/>
    <cellStyle name="Normal 5 2 7 3 2 8" xfId="20690"/>
    <cellStyle name="Normal 5 2 7 3 2 9" xfId="20691"/>
    <cellStyle name="Normal 5 2 7 3 3" xfId="20692"/>
    <cellStyle name="Normal 5 2 7 3 3 10" xfId="20693"/>
    <cellStyle name="Normal 5 2 7 3 3 11" xfId="20694"/>
    <cellStyle name="Normal 5 2 7 3 3 2" xfId="20695"/>
    <cellStyle name="Normal 5 2 7 3 3 2 2" xfId="20696"/>
    <cellStyle name="Normal 5 2 7 3 3 2 2 2" xfId="20697"/>
    <cellStyle name="Normal 5 2 7 3 3 2 2 3" xfId="20698"/>
    <cellStyle name="Normal 5 2 7 3 3 2 3" xfId="20699"/>
    <cellStyle name="Normal 5 2 7 3 3 2 3 2" xfId="20700"/>
    <cellStyle name="Normal 5 2 7 3 3 2 3 3" xfId="20701"/>
    <cellStyle name="Normal 5 2 7 3 3 2 4" xfId="20702"/>
    <cellStyle name="Normal 5 2 7 3 3 2 5" xfId="20703"/>
    <cellStyle name="Normal 5 2 7 3 3 2 6" xfId="20704"/>
    <cellStyle name="Normal 5 2 7 3 3 2 7" xfId="20705"/>
    <cellStyle name="Normal 5 2 7 3 3 3" xfId="20706"/>
    <cellStyle name="Normal 5 2 7 3 3 3 2" xfId="20707"/>
    <cellStyle name="Normal 5 2 7 3 3 3 3" xfId="20708"/>
    <cellStyle name="Normal 5 2 7 3 3 4" xfId="20709"/>
    <cellStyle name="Normal 5 2 7 3 3 4 2" xfId="20710"/>
    <cellStyle name="Normal 5 2 7 3 3 4 3" xfId="20711"/>
    <cellStyle name="Normal 5 2 7 3 3 5" xfId="20712"/>
    <cellStyle name="Normal 5 2 7 3 3 6" xfId="20713"/>
    <cellStyle name="Normal 5 2 7 3 3 7" xfId="20714"/>
    <cellStyle name="Normal 5 2 7 3 3 8" xfId="20715"/>
    <cellStyle name="Normal 5 2 7 3 3 9" xfId="20716"/>
    <cellStyle name="Normal 5 2 7 3 4" xfId="20717"/>
    <cellStyle name="Normal 5 2 7 3 4 2" xfId="20718"/>
    <cellStyle name="Normal 5 2 7 3 4 2 2" xfId="20719"/>
    <cellStyle name="Normal 5 2 7 3 4 2 2 2" xfId="20720"/>
    <cellStyle name="Normal 5 2 7 3 4 2 2 3" xfId="20721"/>
    <cellStyle name="Normal 5 2 7 3 4 2 3" xfId="20722"/>
    <cellStyle name="Normal 5 2 7 3 4 2 3 2" xfId="20723"/>
    <cellStyle name="Normal 5 2 7 3 4 2 3 3" xfId="20724"/>
    <cellStyle name="Normal 5 2 7 3 4 2 4" xfId="20725"/>
    <cellStyle name="Normal 5 2 7 3 4 2 5" xfId="20726"/>
    <cellStyle name="Normal 5 2 7 3 4 2 6" xfId="20727"/>
    <cellStyle name="Normal 5 2 7 3 4 2 7" xfId="20728"/>
    <cellStyle name="Normal 5 2 7 3 4 3" xfId="20729"/>
    <cellStyle name="Normal 5 2 7 3 4 3 2" xfId="20730"/>
    <cellStyle name="Normal 5 2 7 3 4 3 3" xfId="20731"/>
    <cellStyle name="Normal 5 2 7 3 4 4" xfId="20732"/>
    <cellStyle name="Normal 5 2 7 3 4 4 2" xfId="20733"/>
    <cellStyle name="Normal 5 2 7 3 4 4 3" xfId="20734"/>
    <cellStyle name="Normal 5 2 7 3 4 5" xfId="20735"/>
    <cellStyle name="Normal 5 2 7 3 4 6" xfId="20736"/>
    <cellStyle name="Normal 5 2 7 3 4 7" xfId="20737"/>
    <cellStyle name="Normal 5 2 7 3 4 8" xfId="20738"/>
    <cellStyle name="Normal 5 2 7 3 5" xfId="20739"/>
    <cellStyle name="Normal 5 2 7 3 5 2" xfId="20740"/>
    <cellStyle name="Normal 5 2 7 3 5 2 2" xfId="20741"/>
    <cellStyle name="Normal 5 2 7 3 5 2 3" xfId="20742"/>
    <cellStyle name="Normal 5 2 7 3 5 3" xfId="20743"/>
    <cellStyle name="Normal 5 2 7 3 5 3 2" xfId="20744"/>
    <cellStyle name="Normal 5 2 7 3 5 3 3" xfId="20745"/>
    <cellStyle name="Normal 5 2 7 3 5 4" xfId="20746"/>
    <cellStyle name="Normal 5 2 7 3 5 5" xfId="20747"/>
    <cellStyle name="Normal 5 2 7 3 5 6" xfId="20748"/>
    <cellStyle name="Normal 5 2 7 3 5 7" xfId="20749"/>
    <cellStyle name="Normal 5 2 7 3 6" xfId="20750"/>
    <cellStyle name="Normal 5 2 7 3 6 2" xfId="20751"/>
    <cellStyle name="Normal 5 2 7 3 6 3" xfId="20752"/>
    <cellStyle name="Normal 5 2 7 3 7" xfId="20753"/>
    <cellStyle name="Normal 5 2 7 3 7 2" xfId="20754"/>
    <cellStyle name="Normal 5 2 7 3 7 3" xfId="20755"/>
    <cellStyle name="Normal 5 2 7 3 8" xfId="20756"/>
    <cellStyle name="Normal 5 2 7 3 9" xfId="20757"/>
    <cellStyle name="Normal 5 2 7 4" xfId="20758"/>
    <cellStyle name="Normal 5 2 7 4 10" xfId="20759"/>
    <cellStyle name="Normal 5 2 7 4 11" xfId="20760"/>
    <cellStyle name="Normal 5 2 7 4 12" xfId="20761"/>
    <cellStyle name="Normal 5 2 7 4 13" xfId="20762"/>
    <cellStyle name="Normal 5 2 7 4 2" xfId="20763"/>
    <cellStyle name="Normal 5 2 7 4 2 10" xfId="20764"/>
    <cellStyle name="Normal 5 2 7 4 2 11" xfId="20765"/>
    <cellStyle name="Normal 5 2 7 4 2 2" xfId="20766"/>
    <cellStyle name="Normal 5 2 7 4 2 2 2" xfId="20767"/>
    <cellStyle name="Normal 5 2 7 4 2 2 2 2" xfId="20768"/>
    <cellStyle name="Normal 5 2 7 4 2 2 2 3" xfId="20769"/>
    <cellStyle name="Normal 5 2 7 4 2 2 3" xfId="20770"/>
    <cellStyle name="Normal 5 2 7 4 2 2 3 2" xfId="20771"/>
    <cellStyle name="Normal 5 2 7 4 2 2 3 3" xfId="20772"/>
    <cellStyle name="Normal 5 2 7 4 2 2 4" xfId="20773"/>
    <cellStyle name="Normal 5 2 7 4 2 2 5" xfId="20774"/>
    <cellStyle name="Normal 5 2 7 4 2 2 6" xfId="20775"/>
    <cellStyle name="Normal 5 2 7 4 2 2 7" xfId="20776"/>
    <cellStyle name="Normal 5 2 7 4 2 3" xfId="20777"/>
    <cellStyle name="Normal 5 2 7 4 2 3 2" xfId="20778"/>
    <cellStyle name="Normal 5 2 7 4 2 3 3" xfId="20779"/>
    <cellStyle name="Normal 5 2 7 4 2 4" xfId="20780"/>
    <cellStyle name="Normal 5 2 7 4 2 4 2" xfId="20781"/>
    <cellStyle name="Normal 5 2 7 4 2 4 3" xfId="20782"/>
    <cellStyle name="Normal 5 2 7 4 2 5" xfId="20783"/>
    <cellStyle name="Normal 5 2 7 4 2 6" xfId="20784"/>
    <cellStyle name="Normal 5 2 7 4 2 7" xfId="20785"/>
    <cellStyle name="Normal 5 2 7 4 2 8" xfId="20786"/>
    <cellStyle name="Normal 5 2 7 4 2 9" xfId="20787"/>
    <cellStyle name="Normal 5 2 7 4 3" xfId="20788"/>
    <cellStyle name="Normal 5 2 7 4 3 10" xfId="20789"/>
    <cellStyle name="Normal 5 2 7 4 3 11" xfId="20790"/>
    <cellStyle name="Normal 5 2 7 4 3 2" xfId="20791"/>
    <cellStyle name="Normal 5 2 7 4 3 2 2" xfId="20792"/>
    <cellStyle name="Normal 5 2 7 4 3 2 3" xfId="20793"/>
    <cellStyle name="Normal 5 2 7 4 3 3" xfId="20794"/>
    <cellStyle name="Normal 5 2 7 4 3 3 2" xfId="20795"/>
    <cellStyle name="Normal 5 2 7 4 3 3 3" xfId="20796"/>
    <cellStyle name="Normal 5 2 7 4 3 4" xfId="20797"/>
    <cellStyle name="Normal 5 2 7 4 3 5" xfId="20798"/>
    <cellStyle name="Normal 5 2 7 4 3 6" xfId="20799"/>
    <cellStyle name="Normal 5 2 7 4 3 7" xfId="20800"/>
    <cellStyle name="Normal 5 2 7 4 3 8" xfId="20801"/>
    <cellStyle name="Normal 5 2 7 4 3 9" xfId="20802"/>
    <cellStyle name="Normal 5 2 7 4 4" xfId="20803"/>
    <cellStyle name="Normal 5 2 7 4 4 2" xfId="20804"/>
    <cellStyle name="Normal 5 2 7 4 4 3" xfId="20805"/>
    <cellStyle name="Normal 5 2 7 4 5" xfId="20806"/>
    <cellStyle name="Normal 5 2 7 4 5 2" xfId="20807"/>
    <cellStyle name="Normal 5 2 7 4 5 3" xfId="20808"/>
    <cellStyle name="Normal 5 2 7 4 6" xfId="20809"/>
    <cellStyle name="Normal 5 2 7 4 7" xfId="20810"/>
    <cellStyle name="Normal 5 2 7 4 8" xfId="20811"/>
    <cellStyle name="Normal 5 2 7 4 9" xfId="20812"/>
    <cellStyle name="Normal 5 2 7 5" xfId="20813"/>
    <cellStyle name="Normal 5 2 7 5 10" xfId="20814"/>
    <cellStyle name="Normal 5 2 7 5 11" xfId="20815"/>
    <cellStyle name="Normal 5 2 7 5 12" xfId="20816"/>
    <cellStyle name="Normal 5 2 7 5 13" xfId="20817"/>
    <cellStyle name="Normal 5 2 7 5 2" xfId="20818"/>
    <cellStyle name="Normal 5 2 7 5 2 10" xfId="20819"/>
    <cellStyle name="Normal 5 2 7 5 2 11" xfId="20820"/>
    <cellStyle name="Normal 5 2 7 5 2 2" xfId="20821"/>
    <cellStyle name="Normal 5 2 7 5 2 2 2" xfId="20822"/>
    <cellStyle name="Normal 5 2 7 5 2 2 3" xfId="20823"/>
    <cellStyle name="Normal 5 2 7 5 2 3" xfId="20824"/>
    <cellStyle name="Normal 5 2 7 5 2 3 2" xfId="20825"/>
    <cellStyle name="Normal 5 2 7 5 2 3 3" xfId="20826"/>
    <cellStyle name="Normal 5 2 7 5 2 4" xfId="20827"/>
    <cellStyle name="Normal 5 2 7 5 2 5" xfId="20828"/>
    <cellStyle name="Normal 5 2 7 5 2 6" xfId="20829"/>
    <cellStyle name="Normal 5 2 7 5 2 7" xfId="20830"/>
    <cellStyle name="Normal 5 2 7 5 2 8" xfId="20831"/>
    <cellStyle name="Normal 5 2 7 5 2 9" xfId="20832"/>
    <cellStyle name="Normal 5 2 7 5 3" xfId="20833"/>
    <cellStyle name="Normal 5 2 7 5 3 10" xfId="20834"/>
    <cellStyle name="Normal 5 2 7 5 3 11" xfId="20835"/>
    <cellStyle name="Normal 5 2 7 5 3 2" xfId="20836"/>
    <cellStyle name="Normal 5 2 7 5 3 3" xfId="20837"/>
    <cellStyle name="Normal 5 2 7 5 3 4" xfId="20838"/>
    <cellStyle name="Normal 5 2 7 5 3 5" xfId="20839"/>
    <cellStyle name="Normal 5 2 7 5 3 6" xfId="20840"/>
    <cellStyle name="Normal 5 2 7 5 3 7" xfId="20841"/>
    <cellStyle name="Normal 5 2 7 5 3 8" xfId="20842"/>
    <cellStyle name="Normal 5 2 7 5 3 9" xfId="20843"/>
    <cellStyle name="Normal 5 2 7 5 4" xfId="20844"/>
    <cellStyle name="Normal 5 2 7 5 4 2" xfId="20845"/>
    <cellStyle name="Normal 5 2 7 5 4 3" xfId="20846"/>
    <cellStyle name="Normal 5 2 7 5 5" xfId="20847"/>
    <cellStyle name="Normal 5 2 7 5 5 2" xfId="20848"/>
    <cellStyle name="Normal 5 2 7 5 5 3" xfId="20849"/>
    <cellStyle name="Normal 5 2 7 5 6" xfId="20850"/>
    <cellStyle name="Normal 5 2 7 5 7" xfId="20851"/>
    <cellStyle name="Normal 5 2 7 5 8" xfId="20852"/>
    <cellStyle name="Normal 5 2 7 5 9" xfId="20853"/>
    <cellStyle name="Normal 5 2 7 6" xfId="20854"/>
    <cellStyle name="Normal 5 2 7 6 10" xfId="20855"/>
    <cellStyle name="Normal 5 2 7 6 11" xfId="20856"/>
    <cellStyle name="Normal 5 2 7 6 12" xfId="20857"/>
    <cellStyle name="Normal 5 2 7 6 13" xfId="20858"/>
    <cellStyle name="Normal 5 2 7 6 2" xfId="20859"/>
    <cellStyle name="Normal 5 2 7 6 2 10" xfId="20860"/>
    <cellStyle name="Normal 5 2 7 6 2 11" xfId="20861"/>
    <cellStyle name="Normal 5 2 7 6 2 2" xfId="20862"/>
    <cellStyle name="Normal 5 2 7 6 2 2 2" xfId="20863"/>
    <cellStyle name="Normal 5 2 7 6 2 2 3" xfId="20864"/>
    <cellStyle name="Normal 5 2 7 6 2 3" xfId="20865"/>
    <cellStyle name="Normal 5 2 7 6 2 3 2" xfId="20866"/>
    <cellStyle name="Normal 5 2 7 6 2 3 3" xfId="20867"/>
    <cellStyle name="Normal 5 2 7 6 2 4" xfId="20868"/>
    <cellStyle name="Normal 5 2 7 6 2 5" xfId="20869"/>
    <cellStyle name="Normal 5 2 7 6 2 6" xfId="20870"/>
    <cellStyle name="Normal 5 2 7 6 2 7" xfId="20871"/>
    <cellStyle name="Normal 5 2 7 6 2 8" xfId="20872"/>
    <cellStyle name="Normal 5 2 7 6 2 9" xfId="20873"/>
    <cellStyle name="Normal 5 2 7 6 3" xfId="20874"/>
    <cellStyle name="Normal 5 2 7 6 3 10" xfId="20875"/>
    <cellStyle name="Normal 5 2 7 6 3 11" xfId="20876"/>
    <cellStyle name="Normal 5 2 7 6 3 2" xfId="20877"/>
    <cellStyle name="Normal 5 2 7 6 3 3" xfId="20878"/>
    <cellStyle name="Normal 5 2 7 6 3 4" xfId="20879"/>
    <cellStyle name="Normal 5 2 7 6 3 5" xfId="20880"/>
    <cellStyle name="Normal 5 2 7 6 3 6" xfId="20881"/>
    <cellStyle name="Normal 5 2 7 6 3 7" xfId="20882"/>
    <cellStyle name="Normal 5 2 7 6 3 8" xfId="20883"/>
    <cellStyle name="Normal 5 2 7 6 3 9" xfId="20884"/>
    <cellStyle name="Normal 5 2 7 6 4" xfId="20885"/>
    <cellStyle name="Normal 5 2 7 6 4 2" xfId="20886"/>
    <cellStyle name="Normal 5 2 7 6 4 3" xfId="20887"/>
    <cellStyle name="Normal 5 2 7 6 5" xfId="20888"/>
    <cellStyle name="Normal 5 2 7 6 5 2" xfId="20889"/>
    <cellStyle name="Normal 5 2 7 6 5 3" xfId="20890"/>
    <cellStyle name="Normal 5 2 7 6 6" xfId="20891"/>
    <cellStyle name="Normal 5 2 7 6 7" xfId="20892"/>
    <cellStyle name="Normal 5 2 7 6 8" xfId="20893"/>
    <cellStyle name="Normal 5 2 7 6 9" xfId="20894"/>
    <cellStyle name="Normal 5 2 7 7" xfId="20895"/>
    <cellStyle name="Normal 5 2 7 7 10" xfId="20896"/>
    <cellStyle name="Normal 5 2 7 7 11" xfId="20897"/>
    <cellStyle name="Normal 5 2 7 7 2" xfId="20898"/>
    <cellStyle name="Normal 5 2 7 7 2 2" xfId="20899"/>
    <cellStyle name="Normal 5 2 7 7 2 3" xfId="20900"/>
    <cellStyle name="Normal 5 2 7 7 3" xfId="20901"/>
    <cellStyle name="Normal 5 2 7 7 3 2" xfId="20902"/>
    <cellStyle name="Normal 5 2 7 7 3 3" xfId="20903"/>
    <cellStyle name="Normal 5 2 7 7 4" xfId="20904"/>
    <cellStyle name="Normal 5 2 7 7 5" xfId="20905"/>
    <cellStyle name="Normal 5 2 7 7 6" xfId="20906"/>
    <cellStyle name="Normal 5 2 7 7 7" xfId="20907"/>
    <cellStyle name="Normal 5 2 7 7 8" xfId="20908"/>
    <cellStyle name="Normal 5 2 7 7 9" xfId="20909"/>
    <cellStyle name="Normal 5 2 7 8" xfId="20910"/>
    <cellStyle name="Normal 5 2 7 8 10" xfId="20911"/>
    <cellStyle name="Normal 5 2 7 8 11" xfId="20912"/>
    <cellStyle name="Normal 5 2 7 8 2" xfId="20913"/>
    <cellStyle name="Normal 5 2 7 8 3" xfId="20914"/>
    <cellStyle name="Normal 5 2 7 8 4" xfId="20915"/>
    <cellStyle name="Normal 5 2 7 8 5" xfId="20916"/>
    <cellStyle name="Normal 5 2 7 8 6" xfId="20917"/>
    <cellStyle name="Normal 5 2 7 8 7" xfId="20918"/>
    <cellStyle name="Normal 5 2 7 8 8" xfId="20919"/>
    <cellStyle name="Normal 5 2 7 8 9" xfId="20920"/>
    <cellStyle name="Normal 5 2 7 9" xfId="20921"/>
    <cellStyle name="Normal 5 2 7 9 2" xfId="20922"/>
    <cellStyle name="Normal 5 2 7 9 3" xfId="20923"/>
    <cellStyle name="Normal 5 2 8" xfId="20924"/>
    <cellStyle name="Normal 5 2 8 10" xfId="20925"/>
    <cellStyle name="Normal 5 2 8 10 2" xfId="20926"/>
    <cellStyle name="Normal 5 2 8 10 3" xfId="20927"/>
    <cellStyle name="Normal 5 2 8 11" xfId="20928"/>
    <cellStyle name="Normal 5 2 8 12" xfId="20929"/>
    <cellStyle name="Normal 5 2 8 13" xfId="20930"/>
    <cellStyle name="Normal 5 2 8 14" xfId="20931"/>
    <cellStyle name="Normal 5 2 8 15" xfId="20932"/>
    <cellStyle name="Normal 5 2 8 16" xfId="20933"/>
    <cellStyle name="Normal 5 2 8 17" xfId="20934"/>
    <cellStyle name="Normal 5 2 8 18" xfId="20935"/>
    <cellStyle name="Normal 5 2 8 2" xfId="20936"/>
    <cellStyle name="Normal 5 2 8 2 10" xfId="20937"/>
    <cellStyle name="Normal 5 2 8 2 11" xfId="20938"/>
    <cellStyle name="Normal 5 2 8 2 12" xfId="20939"/>
    <cellStyle name="Normal 5 2 8 2 13" xfId="20940"/>
    <cellStyle name="Normal 5 2 8 2 2" xfId="20941"/>
    <cellStyle name="Normal 5 2 8 2 2 10" xfId="20942"/>
    <cellStyle name="Normal 5 2 8 2 2 11" xfId="20943"/>
    <cellStyle name="Normal 5 2 8 2 2 2" xfId="20944"/>
    <cellStyle name="Normal 5 2 8 2 2 2 2" xfId="20945"/>
    <cellStyle name="Normal 5 2 8 2 2 2 2 2" xfId="20946"/>
    <cellStyle name="Normal 5 2 8 2 2 2 2 3" xfId="20947"/>
    <cellStyle name="Normal 5 2 8 2 2 2 3" xfId="20948"/>
    <cellStyle name="Normal 5 2 8 2 2 2 3 2" xfId="20949"/>
    <cellStyle name="Normal 5 2 8 2 2 2 3 3" xfId="20950"/>
    <cellStyle name="Normal 5 2 8 2 2 2 4" xfId="20951"/>
    <cellStyle name="Normal 5 2 8 2 2 2 5" xfId="20952"/>
    <cellStyle name="Normal 5 2 8 2 2 2 6" xfId="20953"/>
    <cellStyle name="Normal 5 2 8 2 2 2 7" xfId="20954"/>
    <cellStyle name="Normal 5 2 8 2 2 3" xfId="20955"/>
    <cellStyle name="Normal 5 2 8 2 2 3 2" xfId="20956"/>
    <cellStyle name="Normal 5 2 8 2 2 3 3" xfId="20957"/>
    <cellStyle name="Normal 5 2 8 2 2 4" xfId="20958"/>
    <cellStyle name="Normal 5 2 8 2 2 4 2" xfId="20959"/>
    <cellStyle name="Normal 5 2 8 2 2 4 3" xfId="20960"/>
    <cellStyle name="Normal 5 2 8 2 2 5" xfId="20961"/>
    <cellStyle name="Normal 5 2 8 2 2 6" xfId="20962"/>
    <cellStyle name="Normal 5 2 8 2 2 7" xfId="20963"/>
    <cellStyle name="Normal 5 2 8 2 2 8" xfId="20964"/>
    <cellStyle name="Normal 5 2 8 2 2 9" xfId="20965"/>
    <cellStyle name="Normal 5 2 8 2 3" xfId="20966"/>
    <cellStyle name="Normal 5 2 8 2 3 10" xfId="20967"/>
    <cellStyle name="Normal 5 2 8 2 3 11" xfId="20968"/>
    <cellStyle name="Normal 5 2 8 2 3 2" xfId="20969"/>
    <cellStyle name="Normal 5 2 8 2 3 2 2" xfId="20970"/>
    <cellStyle name="Normal 5 2 8 2 3 2 3" xfId="20971"/>
    <cellStyle name="Normal 5 2 8 2 3 3" xfId="20972"/>
    <cellStyle name="Normal 5 2 8 2 3 3 2" xfId="20973"/>
    <cellStyle name="Normal 5 2 8 2 3 3 3" xfId="20974"/>
    <cellStyle name="Normal 5 2 8 2 3 4" xfId="20975"/>
    <cellStyle name="Normal 5 2 8 2 3 5" xfId="20976"/>
    <cellStyle name="Normal 5 2 8 2 3 6" xfId="20977"/>
    <cellStyle name="Normal 5 2 8 2 3 7" xfId="20978"/>
    <cellStyle name="Normal 5 2 8 2 3 8" xfId="20979"/>
    <cellStyle name="Normal 5 2 8 2 3 9" xfId="20980"/>
    <cellStyle name="Normal 5 2 8 2 4" xfId="20981"/>
    <cellStyle name="Normal 5 2 8 2 4 2" xfId="20982"/>
    <cellStyle name="Normal 5 2 8 2 4 3" xfId="20983"/>
    <cellStyle name="Normal 5 2 8 2 5" xfId="20984"/>
    <cellStyle name="Normal 5 2 8 2 5 2" xfId="20985"/>
    <cellStyle name="Normal 5 2 8 2 5 3" xfId="20986"/>
    <cellStyle name="Normal 5 2 8 2 6" xfId="20987"/>
    <cellStyle name="Normal 5 2 8 2 7" xfId="20988"/>
    <cellStyle name="Normal 5 2 8 2 8" xfId="20989"/>
    <cellStyle name="Normal 5 2 8 2 9" xfId="20990"/>
    <cellStyle name="Normal 5 2 8 3" xfId="20991"/>
    <cellStyle name="Normal 5 2 8 3 10" xfId="20992"/>
    <cellStyle name="Normal 5 2 8 3 11" xfId="20993"/>
    <cellStyle name="Normal 5 2 8 3 12" xfId="20994"/>
    <cellStyle name="Normal 5 2 8 3 13" xfId="20995"/>
    <cellStyle name="Normal 5 2 8 3 2" xfId="20996"/>
    <cellStyle name="Normal 5 2 8 3 2 10" xfId="20997"/>
    <cellStyle name="Normal 5 2 8 3 2 11" xfId="20998"/>
    <cellStyle name="Normal 5 2 8 3 2 2" xfId="20999"/>
    <cellStyle name="Normal 5 2 8 3 2 2 2" xfId="21000"/>
    <cellStyle name="Normal 5 2 8 3 2 2 3" xfId="21001"/>
    <cellStyle name="Normal 5 2 8 3 2 3" xfId="21002"/>
    <cellStyle name="Normal 5 2 8 3 2 3 2" xfId="21003"/>
    <cellStyle name="Normal 5 2 8 3 2 3 3" xfId="21004"/>
    <cellStyle name="Normal 5 2 8 3 2 4" xfId="21005"/>
    <cellStyle name="Normal 5 2 8 3 2 5" xfId="21006"/>
    <cellStyle name="Normal 5 2 8 3 2 6" xfId="21007"/>
    <cellStyle name="Normal 5 2 8 3 2 7" xfId="21008"/>
    <cellStyle name="Normal 5 2 8 3 2 8" xfId="21009"/>
    <cellStyle name="Normal 5 2 8 3 2 9" xfId="21010"/>
    <cellStyle name="Normal 5 2 8 3 3" xfId="21011"/>
    <cellStyle name="Normal 5 2 8 3 3 10" xfId="21012"/>
    <cellStyle name="Normal 5 2 8 3 3 11" xfId="21013"/>
    <cellStyle name="Normal 5 2 8 3 3 2" xfId="21014"/>
    <cellStyle name="Normal 5 2 8 3 3 3" xfId="21015"/>
    <cellStyle name="Normal 5 2 8 3 3 4" xfId="21016"/>
    <cellStyle name="Normal 5 2 8 3 3 5" xfId="21017"/>
    <cellStyle name="Normal 5 2 8 3 3 6" xfId="21018"/>
    <cellStyle name="Normal 5 2 8 3 3 7" xfId="21019"/>
    <cellStyle name="Normal 5 2 8 3 3 8" xfId="21020"/>
    <cellStyle name="Normal 5 2 8 3 3 9" xfId="21021"/>
    <cellStyle name="Normal 5 2 8 3 4" xfId="21022"/>
    <cellStyle name="Normal 5 2 8 3 4 2" xfId="21023"/>
    <cellStyle name="Normal 5 2 8 3 4 3" xfId="21024"/>
    <cellStyle name="Normal 5 2 8 3 5" xfId="21025"/>
    <cellStyle name="Normal 5 2 8 3 5 2" xfId="21026"/>
    <cellStyle name="Normal 5 2 8 3 5 3" xfId="21027"/>
    <cellStyle name="Normal 5 2 8 3 6" xfId="21028"/>
    <cellStyle name="Normal 5 2 8 3 7" xfId="21029"/>
    <cellStyle name="Normal 5 2 8 3 8" xfId="21030"/>
    <cellStyle name="Normal 5 2 8 3 9" xfId="21031"/>
    <cellStyle name="Normal 5 2 8 4" xfId="21032"/>
    <cellStyle name="Normal 5 2 8 4 10" xfId="21033"/>
    <cellStyle name="Normal 5 2 8 4 11" xfId="21034"/>
    <cellStyle name="Normal 5 2 8 4 12" xfId="21035"/>
    <cellStyle name="Normal 5 2 8 4 13" xfId="21036"/>
    <cellStyle name="Normal 5 2 8 4 2" xfId="21037"/>
    <cellStyle name="Normal 5 2 8 4 2 10" xfId="21038"/>
    <cellStyle name="Normal 5 2 8 4 2 11" xfId="21039"/>
    <cellStyle name="Normal 5 2 8 4 2 2" xfId="21040"/>
    <cellStyle name="Normal 5 2 8 4 2 2 2" xfId="21041"/>
    <cellStyle name="Normal 5 2 8 4 2 2 3" xfId="21042"/>
    <cellStyle name="Normal 5 2 8 4 2 3" xfId="21043"/>
    <cellStyle name="Normal 5 2 8 4 2 3 2" xfId="21044"/>
    <cellStyle name="Normal 5 2 8 4 2 3 3" xfId="21045"/>
    <cellStyle name="Normal 5 2 8 4 2 4" xfId="21046"/>
    <cellStyle name="Normal 5 2 8 4 2 5" xfId="21047"/>
    <cellStyle name="Normal 5 2 8 4 2 6" xfId="21048"/>
    <cellStyle name="Normal 5 2 8 4 2 7" xfId="21049"/>
    <cellStyle name="Normal 5 2 8 4 2 8" xfId="21050"/>
    <cellStyle name="Normal 5 2 8 4 2 9" xfId="21051"/>
    <cellStyle name="Normal 5 2 8 4 3" xfId="21052"/>
    <cellStyle name="Normal 5 2 8 4 3 10" xfId="21053"/>
    <cellStyle name="Normal 5 2 8 4 3 11" xfId="21054"/>
    <cellStyle name="Normal 5 2 8 4 3 2" xfId="21055"/>
    <cellStyle name="Normal 5 2 8 4 3 3" xfId="21056"/>
    <cellStyle name="Normal 5 2 8 4 3 4" xfId="21057"/>
    <cellStyle name="Normal 5 2 8 4 3 5" xfId="21058"/>
    <cellStyle name="Normal 5 2 8 4 3 6" xfId="21059"/>
    <cellStyle name="Normal 5 2 8 4 3 7" xfId="21060"/>
    <cellStyle name="Normal 5 2 8 4 3 8" xfId="21061"/>
    <cellStyle name="Normal 5 2 8 4 3 9" xfId="21062"/>
    <cellStyle name="Normal 5 2 8 4 4" xfId="21063"/>
    <cellStyle name="Normal 5 2 8 4 4 2" xfId="21064"/>
    <cellStyle name="Normal 5 2 8 4 4 3" xfId="21065"/>
    <cellStyle name="Normal 5 2 8 4 5" xfId="21066"/>
    <cellStyle name="Normal 5 2 8 4 5 2" xfId="21067"/>
    <cellStyle name="Normal 5 2 8 4 5 3" xfId="21068"/>
    <cellStyle name="Normal 5 2 8 4 6" xfId="21069"/>
    <cellStyle name="Normal 5 2 8 4 7" xfId="21070"/>
    <cellStyle name="Normal 5 2 8 4 8" xfId="21071"/>
    <cellStyle name="Normal 5 2 8 4 9" xfId="21072"/>
    <cellStyle name="Normal 5 2 8 5" xfId="21073"/>
    <cellStyle name="Normal 5 2 8 5 10" xfId="21074"/>
    <cellStyle name="Normal 5 2 8 5 11" xfId="21075"/>
    <cellStyle name="Normal 5 2 8 5 12" xfId="21076"/>
    <cellStyle name="Normal 5 2 8 5 13" xfId="21077"/>
    <cellStyle name="Normal 5 2 8 5 2" xfId="21078"/>
    <cellStyle name="Normal 5 2 8 5 2 10" xfId="21079"/>
    <cellStyle name="Normal 5 2 8 5 2 11" xfId="21080"/>
    <cellStyle name="Normal 5 2 8 5 2 2" xfId="21081"/>
    <cellStyle name="Normal 5 2 8 5 2 3" xfId="21082"/>
    <cellStyle name="Normal 5 2 8 5 2 4" xfId="21083"/>
    <cellStyle name="Normal 5 2 8 5 2 5" xfId="21084"/>
    <cellStyle name="Normal 5 2 8 5 2 6" xfId="21085"/>
    <cellStyle name="Normal 5 2 8 5 2 7" xfId="21086"/>
    <cellStyle name="Normal 5 2 8 5 2 8" xfId="21087"/>
    <cellStyle name="Normal 5 2 8 5 2 9" xfId="21088"/>
    <cellStyle name="Normal 5 2 8 5 3" xfId="21089"/>
    <cellStyle name="Normal 5 2 8 5 3 10" xfId="21090"/>
    <cellStyle name="Normal 5 2 8 5 3 11" xfId="21091"/>
    <cellStyle name="Normal 5 2 8 5 3 2" xfId="21092"/>
    <cellStyle name="Normal 5 2 8 5 3 3" xfId="21093"/>
    <cellStyle name="Normal 5 2 8 5 3 4" xfId="21094"/>
    <cellStyle name="Normal 5 2 8 5 3 5" xfId="21095"/>
    <cellStyle name="Normal 5 2 8 5 3 6" xfId="21096"/>
    <cellStyle name="Normal 5 2 8 5 3 7" xfId="21097"/>
    <cellStyle name="Normal 5 2 8 5 3 8" xfId="21098"/>
    <cellStyle name="Normal 5 2 8 5 3 9" xfId="21099"/>
    <cellStyle name="Normal 5 2 8 5 4" xfId="21100"/>
    <cellStyle name="Normal 5 2 8 5 4 2" xfId="21101"/>
    <cellStyle name="Normal 5 2 8 5 4 3" xfId="21102"/>
    <cellStyle name="Normal 5 2 8 5 5" xfId="21103"/>
    <cellStyle name="Normal 5 2 8 5 5 2" xfId="21104"/>
    <cellStyle name="Normal 5 2 8 5 5 3" xfId="21105"/>
    <cellStyle name="Normal 5 2 8 5 6" xfId="21106"/>
    <cellStyle name="Normal 5 2 8 5 7" xfId="21107"/>
    <cellStyle name="Normal 5 2 8 5 8" xfId="21108"/>
    <cellStyle name="Normal 5 2 8 5 9" xfId="21109"/>
    <cellStyle name="Normal 5 2 8 6" xfId="21110"/>
    <cellStyle name="Normal 5 2 8 6 10" xfId="21111"/>
    <cellStyle name="Normal 5 2 8 6 11" xfId="21112"/>
    <cellStyle name="Normal 5 2 8 6 12" xfId="21113"/>
    <cellStyle name="Normal 5 2 8 6 13" xfId="21114"/>
    <cellStyle name="Normal 5 2 8 6 2" xfId="21115"/>
    <cellStyle name="Normal 5 2 8 6 2 10" xfId="21116"/>
    <cellStyle name="Normal 5 2 8 6 2 11" xfId="21117"/>
    <cellStyle name="Normal 5 2 8 6 2 2" xfId="21118"/>
    <cellStyle name="Normal 5 2 8 6 2 3" xfId="21119"/>
    <cellStyle name="Normal 5 2 8 6 2 4" xfId="21120"/>
    <cellStyle name="Normal 5 2 8 6 2 5" xfId="21121"/>
    <cellStyle name="Normal 5 2 8 6 2 6" xfId="21122"/>
    <cellStyle name="Normal 5 2 8 6 2 7" xfId="21123"/>
    <cellStyle name="Normal 5 2 8 6 2 8" xfId="21124"/>
    <cellStyle name="Normal 5 2 8 6 2 9" xfId="21125"/>
    <cellStyle name="Normal 5 2 8 6 3" xfId="21126"/>
    <cellStyle name="Normal 5 2 8 6 3 10" xfId="21127"/>
    <cellStyle name="Normal 5 2 8 6 3 11" xfId="21128"/>
    <cellStyle name="Normal 5 2 8 6 3 2" xfId="21129"/>
    <cellStyle name="Normal 5 2 8 6 3 3" xfId="21130"/>
    <cellStyle name="Normal 5 2 8 6 3 4" xfId="21131"/>
    <cellStyle name="Normal 5 2 8 6 3 5" xfId="21132"/>
    <cellStyle name="Normal 5 2 8 6 3 6" xfId="21133"/>
    <cellStyle name="Normal 5 2 8 6 3 7" xfId="21134"/>
    <cellStyle name="Normal 5 2 8 6 3 8" xfId="21135"/>
    <cellStyle name="Normal 5 2 8 6 3 9" xfId="21136"/>
    <cellStyle name="Normal 5 2 8 6 4" xfId="21137"/>
    <cellStyle name="Normal 5 2 8 6 4 2" xfId="21138"/>
    <cellStyle name="Normal 5 2 8 6 4 3" xfId="21139"/>
    <cellStyle name="Normal 5 2 8 6 5" xfId="21140"/>
    <cellStyle name="Normal 5 2 8 6 5 2" xfId="21141"/>
    <cellStyle name="Normal 5 2 8 6 5 3" xfId="21142"/>
    <cellStyle name="Normal 5 2 8 6 6" xfId="21143"/>
    <cellStyle name="Normal 5 2 8 6 7" xfId="21144"/>
    <cellStyle name="Normal 5 2 8 6 8" xfId="21145"/>
    <cellStyle name="Normal 5 2 8 6 9" xfId="21146"/>
    <cellStyle name="Normal 5 2 8 7" xfId="21147"/>
    <cellStyle name="Normal 5 2 8 7 10" xfId="21148"/>
    <cellStyle name="Normal 5 2 8 7 11" xfId="21149"/>
    <cellStyle name="Normal 5 2 8 7 2" xfId="21150"/>
    <cellStyle name="Normal 5 2 8 7 3" xfId="21151"/>
    <cellStyle name="Normal 5 2 8 7 4" xfId="21152"/>
    <cellStyle name="Normal 5 2 8 7 5" xfId="21153"/>
    <cellStyle name="Normal 5 2 8 7 6" xfId="21154"/>
    <cellStyle name="Normal 5 2 8 7 7" xfId="21155"/>
    <cellStyle name="Normal 5 2 8 7 8" xfId="21156"/>
    <cellStyle name="Normal 5 2 8 7 9" xfId="21157"/>
    <cellStyle name="Normal 5 2 8 8" xfId="21158"/>
    <cellStyle name="Normal 5 2 8 8 10" xfId="21159"/>
    <cellStyle name="Normal 5 2 8 8 11" xfId="21160"/>
    <cellStyle name="Normal 5 2 8 8 2" xfId="21161"/>
    <cellStyle name="Normal 5 2 8 8 3" xfId="21162"/>
    <cellStyle name="Normal 5 2 8 8 4" xfId="21163"/>
    <cellStyle name="Normal 5 2 8 8 5" xfId="21164"/>
    <cellStyle name="Normal 5 2 8 8 6" xfId="21165"/>
    <cellStyle name="Normal 5 2 8 8 7" xfId="21166"/>
    <cellStyle name="Normal 5 2 8 8 8" xfId="21167"/>
    <cellStyle name="Normal 5 2 8 8 9" xfId="21168"/>
    <cellStyle name="Normal 5 2 8 9" xfId="21169"/>
    <cellStyle name="Normal 5 2 8 9 2" xfId="21170"/>
    <cellStyle name="Normal 5 2 8 9 3" xfId="21171"/>
    <cellStyle name="Normal 5 2 9" xfId="21172"/>
    <cellStyle name="Normal 5 2 9 10" xfId="21173"/>
    <cellStyle name="Normal 5 2 9 10 2" xfId="21174"/>
    <cellStyle name="Normal 5 2 9 10 3" xfId="21175"/>
    <cellStyle name="Normal 5 2 9 11" xfId="21176"/>
    <cellStyle name="Normal 5 2 9 12" xfId="21177"/>
    <cellStyle name="Normal 5 2 9 13" xfId="21178"/>
    <cellStyle name="Normal 5 2 9 14" xfId="21179"/>
    <cellStyle name="Normal 5 2 9 15" xfId="21180"/>
    <cellStyle name="Normal 5 2 9 16" xfId="21181"/>
    <cellStyle name="Normal 5 2 9 17" xfId="21182"/>
    <cellStyle name="Normal 5 2 9 18" xfId="21183"/>
    <cellStyle name="Normal 5 2 9 2" xfId="21184"/>
    <cellStyle name="Normal 5 2 9 2 10" xfId="21185"/>
    <cellStyle name="Normal 5 2 9 2 11" xfId="21186"/>
    <cellStyle name="Normal 5 2 9 2 12" xfId="21187"/>
    <cellStyle name="Normal 5 2 9 2 13" xfId="21188"/>
    <cellStyle name="Normal 5 2 9 2 2" xfId="21189"/>
    <cellStyle name="Normal 5 2 9 2 2 10" xfId="21190"/>
    <cellStyle name="Normal 5 2 9 2 2 11" xfId="21191"/>
    <cellStyle name="Normal 5 2 9 2 2 2" xfId="21192"/>
    <cellStyle name="Normal 5 2 9 2 2 2 2" xfId="21193"/>
    <cellStyle name="Normal 5 2 9 2 2 2 2 2" xfId="21194"/>
    <cellStyle name="Normal 5 2 9 2 2 2 2 3" xfId="21195"/>
    <cellStyle name="Normal 5 2 9 2 2 2 3" xfId="21196"/>
    <cellStyle name="Normal 5 2 9 2 2 2 3 2" xfId="21197"/>
    <cellStyle name="Normal 5 2 9 2 2 2 3 3" xfId="21198"/>
    <cellStyle name="Normal 5 2 9 2 2 2 4" xfId="21199"/>
    <cellStyle name="Normal 5 2 9 2 2 2 5" xfId="21200"/>
    <cellStyle name="Normal 5 2 9 2 2 2 6" xfId="21201"/>
    <cellStyle name="Normal 5 2 9 2 2 2 7" xfId="21202"/>
    <cellStyle name="Normal 5 2 9 2 2 3" xfId="21203"/>
    <cellStyle name="Normal 5 2 9 2 2 3 2" xfId="21204"/>
    <cellStyle name="Normal 5 2 9 2 2 3 3" xfId="21205"/>
    <cellStyle name="Normal 5 2 9 2 2 4" xfId="21206"/>
    <cellStyle name="Normal 5 2 9 2 2 4 2" xfId="21207"/>
    <cellStyle name="Normal 5 2 9 2 2 4 3" xfId="21208"/>
    <cellStyle name="Normal 5 2 9 2 2 5" xfId="21209"/>
    <cellStyle name="Normal 5 2 9 2 2 6" xfId="21210"/>
    <cellStyle name="Normal 5 2 9 2 2 7" xfId="21211"/>
    <cellStyle name="Normal 5 2 9 2 2 8" xfId="21212"/>
    <cellStyle name="Normal 5 2 9 2 2 9" xfId="21213"/>
    <cellStyle name="Normal 5 2 9 2 3" xfId="21214"/>
    <cellStyle name="Normal 5 2 9 2 3 10" xfId="21215"/>
    <cellStyle name="Normal 5 2 9 2 3 11" xfId="21216"/>
    <cellStyle name="Normal 5 2 9 2 3 2" xfId="21217"/>
    <cellStyle name="Normal 5 2 9 2 3 2 2" xfId="21218"/>
    <cellStyle name="Normal 5 2 9 2 3 2 3" xfId="21219"/>
    <cellStyle name="Normal 5 2 9 2 3 3" xfId="21220"/>
    <cellStyle name="Normal 5 2 9 2 3 3 2" xfId="21221"/>
    <cellStyle name="Normal 5 2 9 2 3 3 3" xfId="21222"/>
    <cellStyle name="Normal 5 2 9 2 3 4" xfId="21223"/>
    <cellStyle name="Normal 5 2 9 2 3 5" xfId="21224"/>
    <cellStyle name="Normal 5 2 9 2 3 6" xfId="21225"/>
    <cellStyle name="Normal 5 2 9 2 3 7" xfId="21226"/>
    <cellStyle name="Normal 5 2 9 2 3 8" xfId="21227"/>
    <cellStyle name="Normal 5 2 9 2 3 9" xfId="21228"/>
    <cellStyle name="Normal 5 2 9 2 4" xfId="21229"/>
    <cellStyle name="Normal 5 2 9 2 4 2" xfId="21230"/>
    <cellStyle name="Normal 5 2 9 2 4 3" xfId="21231"/>
    <cellStyle name="Normal 5 2 9 2 5" xfId="21232"/>
    <cellStyle name="Normal 5 2 9 2 5 2" xfId="21233"/>
    <cellStyle name="Normal 5 2 9 2 5 3" xfId="21234"/>
    <cellStyle name="Normal 5 2 9 2 6" xfId="21235"/>
    <cellStyle name="Normal 5 2 9 2 7" xfId="21236"/>
    <cellStyle name="Normal 5 2 9 2 8" xfId="21237"/>
    <cellStyle name="Normal 5 2 9 2 9" xfId="21238"/>
    <cellStyle name="Normal 5 2 9 3" xfId="21239"/>
    <cellStyle name="Normal 5 2 9 3 10" xfId="21240"/>
    <cellStyle name="Normal 5 2 9 3 11" xfId="21241"/>
    <cellStyle name="Normal 5 2 9 3 12" xfId="21242"/>
    <cellStyle name="Normal 5 2 9 3 13" xfId="21243"/>
    <cellStyle name="Normal 5 2 9 3 2" xfId="21244"/>
    <cellStyle name="Normal 5 2 9 3 2 10" xfId="21245"/>
    <cellStyle name="Normal 5 2 9 3 2 11" xfId="21246"/>
    <cellStyle name="Normal 5 2 9 3 2 2" xfId="21247"/>
    <cellStyle name="Normal 5 2 9 3 2 2 2" xfId="21248"/>
    <cellStyle name="Normal 5 2 9 3 2 2 3" xfId="21249"/>
    <cellStyle name="Normal 5 2 9 3 2 3" xfId="21250"/>
    <cellStyle name="Normal 5 2 9 3 2 3 2" xfId="21251"/>
    <cellStyle name="Normal 5 2 9 3 2 3 3" xfId="21252"/>
    <cellStyle name="Normal 5 2 9 3 2 4" xfId="21253"/>
    <cellStyle name="Normal 5 2 9 3 2 5" xfId="21254"/>
    <cellStyle name="Normal 5 2 9 3 2 6" xfId="21255"/>
    <cellStyle name="Normal 5 2 9 3 2 7" xfId="21256"/>
    <cellStyle name="Normal 5 2 9 3 2 8" xfId="21257"/>
    <cellStyle name="Normal 5 2 9 3 2 9" xfId="21258"/>
    <cellStyle name="Normal 5 2 9 3 3" xfId="21259"/>
    <cellStyle name="Normal 5 2 9 3 3 10" xfId="21260"/>
    <cellStyle name="Normal 5 2 9 3 3 11" xfId="21261"/>
    <cellStyle name="Normal 5 2 9 3 3 2" xfId="21262"/>
    <cellStyle name="Normal 5 2 9 3 3 3" xfId="21263"/>
    <cellStyle name="Normal 5 2 9 3 3 4" xfId="21264"/>
    <cellStyle name="Normal 5 2 9 3 3 5" xfId="21265"/>
    <cellStyle name="Normal 5 2 9 3 3 6" xfId="21266"/>
    <cellStyle name="Normal 5 2 9 3 3 7" xfId="21267"/>
    <cellStyle name="Normal 5 2 9 3 3 8" xfId="21268"/>
    <cellStyle name="Normal 5 2 9 3 3 9" xfId="21269"/>
    <cellStyle name="Normal 5 2 9 3 4" xfId="21270"/>
    <cellStyle name="Normal 5 2 9 3 4 2" xfId="21271"/>
    <cellStyle name="Normal 5 2 9 3 4 3" xfId="21272"/>
    <cellStyle name="Normal 5 2 9 3 5" xfId="21273"/>
    <cellStyle name="Normal 5 2 9 3 5 2" xfId="21274"/>
    <cellStyle name="Normal 5 2 9 3 5 3" xfId="21275"/>
    <cellStyle name="Normal 5 2 9 3 6" xfId="21276"/>
    <cellStyle name="Normal 5 2 9 3 7" xfId="21277"/>
    <cellStyle name="Normal 5 2 9 3 8" xfId="21278"/>
    <cellStyle name="Normal 5 2 9 3 9" xfId="21279"/>
    <cellStyle name="Normal 5 2 9 4" xfId="21280"/>
    <cellStyle name="Normal 5 2 9 4 10" xfId="21281"/>
    <cellStyle name="Normal 5 2 9 4 11" xfId="21282"/>
    <cellStyle name="Normal 5 2 9 4 12" xfId="21283"/>
    <cellStyle name="Normal 5 2 9 4 13" xfId="21284"/>
    <cellStyle name="Normal 5 2 9 4 2" xfId="21285"/>
    <cellStyle name="Normal 5 2 9 4 2 10" xfId="21286"/>
    <cellStyle name="Normal 5 2 9 4 2 11" xfId="21287"/>
    <cellStyle name="Normal 5 2 9 4 2 2" xfId="21288"/>
    <cellStyle name="Normal 5 2 9 4 2 2 2" xfId="21289"/>
    <cellStyle name="Normal 5 2 9 4 2 2 3" xfId="21290"/>
    <cellStyle name="Normal 5 2 9 4 2 3" xfId="21291"/>
    <cellStyle name="Normal 5 2 9 4 2 3 2" xfId="21292"/>
    <cellStyle name="Normal 5 2 9 4 2 3 3" xfId="21293"/>
    <cellStyle name="Normal 5 2 9 4 2 4" xfId="21294"/>
    <cellStyle name="Normal 5 2 9 4 2 5" xfId="21295"/>
    <cellStyle name="Normal 5 2 9 4 2 6" xfId="21296"/>
    <cellStyle name="Normal 5 2 9 4 2 7" xfId="21297"/>
    <cellStyle name="Normal 5 2 9 4 2 8" xfId="21298"/>
    <cellStyle name="Normal 5 2 9 4 2 9" xfId="21299"/>
    <cellStyle name="Normal 5 2 9 4 3" xfId="21300"/>
    <cellStyle name="Normal 5 2 9 4 3 10" xfId="21301"/>
    <cellStyle name="Normal 5 2 9 4 3 11" xfId="21302"/>
    <cellStyle name="Normal 5 2 9 4 3 2" xfId="21303"/>
    <cellStyle name="Normal 5 2 9 4 3 3" xfId="21304"/>
    <cellStyle name="Normal 5 2 9 4 3 4" xfId="21305"/>
    <cellStyle name="Normal 5 2 9 4 3 5" xfId="21306"/>
    <cellStyle name="Normal 5 2 9 4 3 6" xfId="21307"/>
    <cellStyle name="Normal 5 2 9 4 3 7" xfId="21308"/>
    <cellStyle name="Normal 5 2 9 4 3 8" xfId="21309"/>
    <cellStyle name="Normal 5 2 9 4 3 9" xfId="21310"/>
    <cellStyle name="Normal 5 2 9 4 4" xfId="21311"/>
    <cellStyle name="Normal 5 2 9 4 4 2" xfId="21312"/>
    <cellStyle name="Normal 5 2 9 4 4 3" xfId="21313"/>
    <cellStyle name="Normal 5 2 9 4 5" xfId="21314"/>
    <cellStyle name="Normal 5 2 9 4 5 2" xfId="21315"/>
    <cellStyle name="Normal 5 2 9 4 5 3" xfId="21316"/>
    <cellStyle name="Normal 5 2 9 4 6" xfId="21317"/>
    <cellStyle name="Normal 5 2 9 4 7" xfId="21318"/>
    <cellStyle name="Normal 5 2 9 4 8" xfId="21319"/>
    <cellStyle name="Normal 5 2 9 4 9" xfId="21320"/>
    <cellStyle name="Normal 5 2 9 5" xfId="21321"/>
    <cellStyle name="Normal 5 2 9 5 10" xfId="21322"/>
    <cellStyle name="Normal 5 2 9 5 11" xfId="21323"/>
    <cellStyle name="Normal 5 2 9 5 12" xfId="21324"/>
    <cellStyle name="Normal 5 2 9 5 13" xfId="21325"/>
    <cellStyle name="Normal 5 2 9 5 2" xfId="21326"/>
    <cellStyle name="Normal 5 2 9 5 2 10" xfId="21327"/>
    <cellStyle name="Normal 5 2 9 5 2 11" xfId="21328"/>
    <cellStyle name="Normal 5 2 9 5 2 2" xfId="21329"/>
    <cellStyle name="Normal 5 2 9 5 2 3" xfId="21330"/>
    <cellStyle name="Normal 5 2 9 5 2 4" xfId="21331"/>
    <cellStyle name="Normal 5 2 9 5 2 5" xfId="21332"/>
    <cellStyle name="Normal 5 2 9 5 2 6" xfId="21333"/>
    <cellStyle name="Normal 5 2 9 5 2 7" xfId="21334"/>
    <cellStyle name="Normal 5 2 9 5 2 8" xfId="21335"/>
    <cellStyle name="Normal 5 2 9 5 2 9" xfId="21336"/>
    <cellStyle name="Normal 5 2 9 5 3" xfId="21337"/>
    <cellStyle name="Normal 5 2 9 5 3 10" xfId="21338"/>
    <cellStyle name="Normal 5 2 9 5 3 11" xfId="21339"/>
    <cellStyle name="Normal 5 2 9 5 3 2" xfId="21340"/>
    <cellStyle name="Normal 5 2 9 5 3 3" xfId="21341"/>
    <cellStyle name="Normal 5 2 9 5 3 4" xfId="21342"/>
    <cellStyle name="Normal 5 2 9 5 3 5" xfId="21343"/>
    <cellStyle name="Normal 5 2 9 5 3 6" xfId="21344"/>
    <cellStyle name="Normal 5 2 9 5 3 7" xfId="21345"/>
    <cellStyle name="Normal 5 2 9 5 3 8" xfId="21346"/>
    <cellStyle name="Normal 5 2 9 5 3 9" xfId="21347"/>
    <cellStyle name="Normal 5 2 9 5 4" xfId="21348"/>
    <cellStyle name="Normal 5 2 9 5 4 2" xfId="21349"/>
    <cellStyle name="Normal 5 2 9 5 4 3" xfId="21350"/>
    <cellStyle name="Normal 5 2 9 5 5" xfId="21351"/>
    <cellStyle name="Normal 5 2 9 5 5 2" xfId="21352"/>
    <cellStyle name="Normal 5 2 9 5 5 3" xfId="21353"/>
    <cellStyle name="Normal 5 2 9 5 6" xfId="21354"/>
    <cellStyle name="Normal 5 2 9 5 7" xfId="21355"/>
    <cellStyle name="Normal 5 2 9 5 8" xfId="21356"/>
    <cellStyle name="Normal 5 2 9 5 9" xfId="21357"/>
    <cellStyle name="Normal 5 2 9 6" xfId="21358"/>
    <cellStyle name="Normal 5 2 9 6 10" xfId="21359"/>
    <cellStyle name="Normal 5 2 9 6 11" xfId="21360"/>
    <cellStyle name="Normal 5 2 9 6 12" xfId="21361"/>
    <cellStyle name="Normal 5 2 9 6 13" xfId="21362"/>
    <cellStyle name="Normal 5 2 9 6 2" xfId="21363"/>
    <cellStyle name="Normal 5 2 9 6 2 10" xfId="21364"/>
    <cellStyle name="Normal 5 2 9 6 2 11" xfId="21365"/>
    <cellStyle name="Normal 5 2 9 6 2 2" xfId="21366"/>
    <cellStyle name="Normal 5 2 9 6 2 3" xfId="21367"/>
    <cellStyle name="Normal 5 2 9 6 2 4" xfId="21368"/>
    <cellStyle name="Normal 5 2 9 6 2 5" xfId="21369"/>
    <cellStyle name="Normal 5 2 9 6 2 6" xfId="21370"/>
    <cellStyle name="Normal 5 2 9 6 2 7" xfId="21371"/>
    <cellStyle name="Normal 5 2 9 6 2 8" xfId="21372"/>
    <cellStyle name="Normal 5 2 9 6 2 9" xfId="21373"/>
    <cellStyle name="Normal 5 2 9 6 3" xfId="21374"/>
    <cellStyle name="Normal 5 2 9 6 3 10" xfId="21375"/>
    <cellStyle name="Normal 5 2 9 6 3 11" xfId="21376"/>
    <cellStyle name="Normal 5 2 9 6 3 2" xfId="21377"/>
    <cellStyle name="Normal 5 2 9 6 3 3" xfId="21378"/>
    <cellStyle name="Normal 5 2 9 6 3 4" xfId="21379"/>
    <cellStyle name="Normal 5 2 9 6 3 5" xfId="21380"/>
    <cellStyle name="Normal 5 2 9 6 3 6" xfId="21381"/>
    <cellStyle name="Normal 5 2 9 6 3 7" xfId="21382"/>
    <cellStyle name="Normal 5 2 9 6 3 8" xfId="21383"/>
    <cellStyle name="Normal 5 2 9 6 3 9" xfId="21384"/>
    <cellStyle name="Normal 5 2 9 6 4" xfId="21385"/>
    <cellStyle name="Normal 5 2 9 6 4 2" xfId="21386"/>
    <cellStyle name="Normal 5 2 9 6 4 3" xfId="21387"/>
    <cellStyle name="Normal 5 2 9 6 5" xfId="21388"/>
    <cellStyle name="Normal 5 2 9 6 5 2" xfId="21389"/>
    <cellStyle name="Normal 5 2 9 6 5 3" xfId="21390"/>
    <cellStyle name="Normal 5 2 9 6 6" xfId="21391"/>
    <cellStyle name="Normal 5 2 9 6 7" xfId="21392"/>
    <cellStyle name="Normal 5 2 9 6 8" xfId="21393"/>
    <cellStyle name="Normal 5 2 9 6 9" xfId="21394"/>
    <cellStyle name="Normal 5 2 9 7" xfId="21395"/>
    <cellStyle name="Normal 5 2 9 7 10" xfId="21396"/>
    <cellStyle name="Normal 5 2 9 7 11" xfId="21397"/>
    <cellStyle name="Normal 5 2 9 7 2" xfId="21398"/>
    <cellStyle name="Normal 5 2 9 7 3" xfId="21399"/>
    <cellStyle name="Normal 5 2 9 7 4" xfId="21400"/>
    <cellStyle name="Normal 5 2 9 7 5" xfId="21401"/>
    <cellStyle name="Normal 5 2 9 7 6" xfId="21402"/>
    <cellStyle name="Normal 5 2 9 7 7" xfId="21403"/>
    <cellStyle name="Normal 5 2 9 7 8" xfId="21404"/>
    <cellStyle name="Normal 5 2 9 7 9" xfId="21405"/>
    <cellStyle name="Normal 5 2 9 8" xfId="21406"/>
    <cellStyle name="Normal 5 2 9 8 10" xfId="21407"/>
    <cellStyle name="Normal 5 2 9 8 11" xfId="21408"/>
    <cellStyle name="Normal 5 2 9 8 2" xfId="21409"/>
    <cellStyle name="Normal 5 2 9 8 3" xfId="21410"/>
    <cellStyle name="Normal 5 2 9 8 4" xfId="21411"/>
    <cellStyle name="Normal 5 2 9 8 5" xfId="21412"/>
    <cellStyle name="Normal 5 2 9 8 6" xfId="21413"/>
    <cellStyle name="Normal 5 2 9 8 7" xfId="21414"/>
    <cellStyle name="Normal 5 2 9 8 8" xfId="21415"/>
    <cellStyle name="Normal 5 2 9 8 9" xfId="21416"/>
    <cellStyle name="Normal 5 2 9 9" xfId="21417"/>
    <cellStyle name="Normal 5 2 9 9 2" xfId="21418"/>
    <cellStyle name="Normal 5 2 9 9 3" xfId="21419"/>
    <cellStyle name="Normal 5 2_2bhk_19122016" xfId="21420"/>
    <cellStyle name="Normal 5 2_temp-mtc" xfId="21421"/>
    <cellStyle name="Normal 5 20" xfId="21422"/>
    <cellStyle name="Normal 5 21" xfId="21423"/>
    <cellStyle name="Normal 5 22" xfId="21424"/>
    <cellStyle name="Normal 5 23" xfId="21425"/>
    <cellStyle name="Normal 5 24" xfId="21426"/>
    <cellStyle name="Normal 5 25" xfId="21427"/>
    <cellStyle name="Normal 5 26" xfId="21428"/>
    <cellStyle name="Normal 5 27" xfId="21429"/>
    <cellStyle name="Normal 5 28" xfId="21430"/>
    <cellStyle name="Normal 5 3" xfId="21431"/>
    <cellStyle name="Normal 5 3 10" xfId="21432"/>
    <cellStyle name="Normal 5 3 11" xfId="21433"/>
    <cellStyle name="Normal 5 3 12" xfId="21434"/>
    <cellStyle name="Normal 5 3 13" xfId="21435"/>
    <cellStyle name="Normal 5 3 14" xfId="21436"/>
    <cellStyle name="Normal 5 3 15" xfId="21437"/>
    <cellStyle name="Normal 5 3 16" xfId="21438"/>
    <cellStyle name="Normal 5 3 17" xfId="21439"/>
    <cellStyle name="Normal 5 3 18" xfId="21440"/>
    <cellStyle name="Normal 5 3 2" xfId="21441"/>
    <cellStyle name="Normal 5 3 2 2" xfId="21442"/>
    <cellStyle name="Normal 5 3 2 3" xfId="21443"/>
    <cellStyle name="Normal 5 3 3" xfId="21444"/>
    <cellStyle name="Normal 5 3 3 2" xfId="21445"/>
    <cellStyle name="Normal 5 3 3 3" xfId="21446"/>
    <cellStyle name="Normal 5 3 4" xfId="21447"/>
    <cellStyle name="Normal 5 3 4 2" xfId="21448"/>
    <cellStyle name="Normal 5 3 4 3" xfId="21449"/>
    <cellStyle name="Normal 5 3 5" xfId="21450"/>
    <cellStyle name="Normal 5 3 5 2" xfId="21451"/>
    <cellStyle name="Normal 5 3 5 3" xfId="21452"/>
    <cellStyle name="Normal 5 3 6" xfId="21453"/>
    <cellStyle name="Normal 5 3 6 2" xfId="21454"/>
    <cellStyle name="Normal 5 3 6 3" xfId="21455"/>
    <cellStyle name="Normal 5 3 7" xfId="21456"/>
    <cellStyle name="Normal 5 3 7 2" xfId="21457"/>
    <cellStyle name="Normal 5 3 8" xfId="21458"/>
    <cellStyle name="Normal 5 3 8 2" xfId="21459"/>
    <cellStyle name="Normal 5 3 9" xfId="21460"/>
    <cellStyle name="Normal 5 4" xfId="21461"/>
    <cellStyle name="Normal 5 4 10" xfId="21462"/>
    <cellStyle name="Normal 5 4 11" xfId="21463"/>
    <cellStyle name="Normal 5 4 12" xfId="21464"/>
    <cellStyle name="Normal 5 4 13" xfId="21465"/>
    <cellStyle name="Normal 5 4 14" xfId="21466"/>
    <cellStyle name="Normal 5 4 15" xfId="21467"/>
    <cellStyle name="Normal 5 4 16" xfId="21468"/>
    <cellStyle name="Normal 5 4 17" xfId="21469"/>
    <cellStyle name="Normal 5 4 18" xfId="21470"/>
    <cellStyle name="Normal 5 4 2" xfId="21471"/>
    <cellStyle name="Normal 5 4 2 2" xfId="21472"/>
    <cellStyle name="Normal 5 4 2 2 2" xfId="21473"/>
    <cellStyle name="Normal 5 4 2 3" xfId="21474"/>
    <cellStyle name="Normal 5 4 2 4" xfId="21475"/>
    <cellStyle name="Normal 5 4 2 5" xfId="21476"/>
    <cellStyle name="Normal 5 4 3" xfId="21477"/>
    <cellStyle name="Normal 5 4 3 2" xfId="21478"/>
    <cellStyle name="Normal 5 4 3 3" xfId="21479"/>
    <cellStyle name="Normal 5 4 4" xfId="21480"/>
    <cellStyle name="Normal 5 4 4 2" xfId="21481"/>
    <cellStyle name="Normal 5 4 4 3" xfId="21482"/>
    <cellStyle name="Normal 5 4 5" xfId="21483"/>
    <cellStyle name="Normal 5 4 5 2" xfId="21484"/>
    <cellStyle name="Normal 5 4 5 3" xfId="21485"/>
    <cellStyle name="Normal 5 4 6" xfId="21486"/>
    <cellStyle name="Normal 5 4 6 2" xfId="21487"/>
    <cellStyle name="Normal 5 4 6 3" xfId="21488"/>
    <cellStyle name="Normal 5 4 7" xfId="21489"/>
    <cellStyle name="Normal 5 4 7 2" xfId="21490"/>
    <cellStyle name="Normal 5 4 8" xfId="21491"/>
    <cellStyle name="Normal 5 4 8 2" xfId="21492"/>
    <cellStyle name="Normal 5 4 9" xfId="21493"/>
    <cellStyle name="Normal 5 5" xfId="21494"/>
    <cellStyle name="Normal 5 5 10" xfId="21495"/>
    <cellStyle name="Normal 5 5 10 2" xfId="21496"/>
    <cellStyle name="Normal 5 5 11" xfId="21497"/>
    <cellStyle name="Normal 5 5 11 2" xfId="21498"/>
    <cellStyle name="Normal 5 5 11 3" xfId="21499"/>
    <cellStyle name="Normal 5 5 12" xfId="21500"/>
    <cellStyle name="Normal 5 5 12 2" xfId="21501"/>
    <cellStyle name="Normal 5 5 12 3" xfId="21502"/>
    <cellStyle name="Normal 5 5 13" xfId="21503"/>
    <cellStyle name="Normal 5 5 14" xfId="21504"/>
    <cellStyle name="Normal 5 5 15" xfId="21505"/>
    <cellStyle name="Normal 5 5 16" xfId="21506"/>
    <cellStyle name="Normal 5 5 17" xfId="21507"/>
    <cellStyle name="Normal 5 5 18" xfId="21508"/>
    <cellStyle name="Normal 5 5 2" xfId="21509"/>
    <cellStyle name="Normal 5 5 2 10" xfId="21510"/>
    <cellStyle name="Normal 5 5 2 11" xfId="21511"/>
    <cellStyle name="Normal 5 5 2 12" xfId="21512"/>
    <cellStyle name="Normal 5 5 2 2" xfId="21513"/>
    <cellStyle name="Normal 5 5 2 2 2" xfId="21514"/>
    <cellStyle name="Normal 5 5 2 2 2 2" xfId="21515"/>
    <cellStyle name="Normal 5 5 2 2 2 2 2" xfId="21516"/>
    <cellStyle name="Normal 5 5 2 2 2 2 2 2" xfId="21517"/>
    <cellStyle name="Normal 5 5 2 2 2 2 2 3" xfId="21518"/>
    <cellStyle name="Normal 5 5 2 2 2 2 3" xfId="21519"/>
    <cellStyle name="Normal 5 5 2 2 2 2 3 2" xfId="21520"/>
    <cellStyle name="Normal 5 5 2 2 2 2 3 3" xfId="21521"/>
    <cellStyle name="Normal 5 5 2 2 2 2 4" xfId="21522"/>
    <cellStyle name="Normal 5 5 2 2 2 2 5" xfId="21523"/>
    <cellStyle name="Normal 5 5 2 2 2 2 6" xfId="21524"/>
    <cellStyle name="Normal 5 5 2 2 2 2 7" xfId="21525"/>
    <cellStyle name="Normal 5 5 2 2 2 3" xfId="21526"/>
    <cellStyle name="Normal 5 5 2 2 2 3 2" xfId="21527"/>
    <cellStyle name="Normal 5 5 2 2 2 3 3" xfId="21528"/>
    <cellStyle name="Normal 5 5 2 2 2 4" xfId="21529"/>
    <cellStyle name="Normal 5 5 2 2 2 4 2" xfId="21530"/>
    <cellStyle name="Normal 5 5 2 2 2 4 3" xfId="21531"/>
    <cellStyle name="Normal 5 5 2 2 2 5" xfId="21532"/>
    <cellStyle name="Normal 5 5 2 2 2 6" xfId="21533"/>
    <cellStyle name="Normal 5 5 2 2 2 7" xfId="21534"/>
    <cellStyle name="Normal 5 5 2 2 2 8" xfId="21535"/>
    <cellStyle name="Normal 5 5 2 2 3" xfId="21536"/>
    <cellStyle name="Normal 5 5 2 2 3 2" xfId="21537"/>
    <cellStyle name="Normal 5 5 2 2 3 2 2" xfId="21538"/>
    <cellStyle name="Normal 5 5 2 2 3 2 3" xfId="21539"/>
    <cellStyle name="Normal 5 5 2 2 3 3" xfId="21540"/>
    <cellStyle name="Normal 5 5 2 2 3 3 2" xfId="21541"/>
    <cellStyle name="Normal 5 5 2 2 3 3 3" xfId="21542"/>
    <cellStyle name="Normal 5 5 2 2 3 4" xfId="21543"/>
    <cellStyle name="Normal 5 5 2 2 3 5" xfId="21544"/>
    <cellStyle name="Normal 5 5 2 2 3 6" xfId="21545"/>
    <cellStyle name="Normal 5 5 2 2 3 7" xfId="21546"/>
    <cellStyle name="Normal 5 5 2 2 4" xfId="21547"/>
    <cellStyle name="Normal 5 5 2 2 4 2" xfId="21548"/>
    <cellStyle name="Normal 5 5 2 2 4 3" xfId="21549"/>
    <cellStyle name="Normal 5 5 2 2 5" xfId="21550"/>
    <cellStyle name="Normal 5 5 2 2 5 2" xfId="21551"/>
    <cellStyle name="Normal 5 5 2 2 5 3" xfId="21552"/>
    <cellStyle name="Normal 5 5 2 2 6" xfId="21553"/>
    <cellStyle name="Normal 5 5 2 2 7" xfId="21554"/>
    <cellStyle name="Normal 5 5 2 2 8" xfId="21555"/>
    <cellStyle name="Normal 5 5 2 2 9" xfId="21556"/>
    <cellStyle name="Normal 5 5 2 3" xfId="21557"/>
    <cellStyle name="Normal 5 5 2 3 2" xfId="21558"/>
    <cellStyle name="Normal 5 5 2 3 2 2" xfId="21559"/>
    <cellStyle name="Normal 5 5 2 3 2 2 2" xfId="21560"/>
    <cellStyle name="Normal 5 5 2 3 2 2 3" xfId="21561"/>
    <cellStyle name="Normal 5 5 2 3 2 3" xfId="21562"/>
    <cellStyle name="Normal 5 5 2 3 2 3 2" xfId="21563"/>
    <cellStyle name="Normal 5 5 2 3 2 3 3" xfId="21564"/>
    <cellStyle name="Normal 5 5 2 3 2 4" xfId="21565"/>
    <cellStyle name="Normal 5 5 2 3 2 5" xfId="21566"/>
    <cellStyle name="Normal 5 5 2 3 2 6" xfId="21567"/>
    <cellStyle name="Normal 5 5 2 3 2 7" xfId="21568"/>
    <cellStyle name="Normal 5 5 2 3 3" xfId="21569"/>
    <cellStyle name="Normal 5 5 2 3 3 2" xfId="21570"/>
    <cellStyle name="Normal 5 5 2 3 3 3" xfId="21571"/>
    <cellStyle name="Normal 5 5 2 3 4" xfId="21572"/>
    <cellStyle name="Normal 5 5 2 3 4 2" xfId="21573"/>
    <cellStyle name="Normal 5 5 2 3 4 3" xfId="21574"/>
    <cellStyle name="Normal 5 5 2 3 5" xfId="21575"/>
    <cellStyle name="Normal 5 5 2 3 6" xfId="21576"/>
    <cellStyle name="Normal 5 5 2 3 7" xfId="21577"/>
    <cellStyle name="Normal 5 5 2 3 8" xfId="21578"/>
    <cellStyle name="Normal 5 5 2 4" xfId="21579"/>
    <cellStyle name="Normal 5 5 2 4 2" xfId="21580"/>
    <cellStyle name="Normal 5 5 2 4 2 2" xfId="21581"/>
    <cellStyle name="Normal 5 5 2 4 2 2 2" xfId="21582"/>
    <cellStyle name="Normal 5 5 2 4 2 2 3" xfId="21583"/>
    <cellStyle name="Normal 5 5 2 4 2 3" xfId="21584"/>
    <cellStyle name="Normal 5 5 2 4 2 3 2" xfId="21585"/>
    <cellStyle name="Normal 5 5 2 4 2 3 3" xfId="21586"/>
    <cellStyle name="Normal 5 5 2 4 2 4" xfId="21587"/>
    <cellStyle name="Normal 5 5 2 4 2 5" xfId="21588"/>
    <cellStyle name="Normal 5 5 2 4 2 6" xfId="21589"/>
    <cellStyle name="Normal 5 5 2 4 2 7" xfId="21590"/>
    <cellStyle name="Normal 5 5 2 4 3" xfId="21591"/>
    <cellStyle name="Normal 5 5 2 4 3 2" xfId="21592"/>
    <cellStyle name="Normal 5 5 2 4 3 3" xfId="21593"/>
    <cellStyle name="Normal 5 5 2 4 4" xfId="21594"/>
    <cellStyle name="Normal 5 5 2 4 4 2" xfId="21595"/>
    <cellStyle name="Normal 5 5 2 4 4 3" xfId="21596"/>
    <cellStyle name="Normal 5 5 2 4 5" xfId="21597"/>
    <cellStyle name="Normal 5 5 2 4 6" xfId="21598"/>
    <cellStyle name="Normal 5 5 2 4 7" xfId="21599"/>
    <cellStyle name="Normal 5 5 2 4 8" xfId="21600"/>
    <cellStyle name="Normal 5 5 2 5" xfId="21601"/>
    <cellStyle name="Normal 5 5 2 5 2" xfId="21602"/>
    <cellStyle name="Normal 5 5 2 5 2 2" xfId="21603"/>
    <cellStyle name="Normal 5 5 2 5 2 3" xfId="21604"/>
    <cellStyle name="Normal 5 5 2 5 3" xfId="21605"/>
    <cellStyle name="Normal 5 5 2 5 3 2" xfId="21606"/>
    <cellStyle name="Normal 5 5 2 5 3 3" xfId="21607"/>
    <cellStyle name="Normal 5 5 2 5 4" xfId="21608"/>
    <cellStyle name="Normal 5 5 2 5 5" xfId="21609"/>
    <cellStyle name="Normal 5 5 2 5 6" xfId="21610"/>
    <cellStyle name="Normal 5 5 2 5 7" xfId="21611"/>
    <cellStyle name="Normal 5 5 2 6" xfId="21612"/>
    <cellStyle name="Normal 5 5 2 6 2" xfId="21613"/>
    <cellStyle name="Normal 5 5 2 7" xfId="21614"/>
    <cellStyle name="Normal 5 5 2 7 2" xfId="21615"/>
    <cellStyle name="Normal 5 5 2 7 3" xfId="21616"/>
    <cellStyle name="Normal 5 5 2 8" xfId="21617"/>
    <cellStyle name="Normal 5 5 2 8 2" xfId="21618"/>
    <cellStyle name="Normal 5 5 2 8 3" xfId="21619"/>
    <cellStyle name="Normal 5 5 2 9" xfId="21620"/>
    <cellStyle name="Normal 5 5 3" xfId="21621"/>
    <cellStyle name="Normal 5 5 3 10" xfId="21622"/>
    <cellStyle name="Normal 5 5 3 11" xfId="21623"/>
    <cellStyle name="Normal 5 5 3 12" xfId="21624"/>
    <cellStyle name="Normal 5 5 3 2" xfId="21625"/>
    <cellStyle name="Normal 5 5 3 2 2" xfId="21626"/>
    <cellStyle name="Normal 5 5 3 2 2 2" xfId="21627"/>
    <cellStyle name="Normal 5 5 3 2 2 2 2" xfId="21628"/>
    <cellStyle name="Normal 5 5 3 2 2 2 2 2" xfId="21629"/>
    <cellStyle name="Normal 5 5 3 2 2 2 2 3" xfId="21630"/>
    <cellStyle name="Normal 5 5 3 2 2 2 3" xfId="21631"/>
    <cellStyle name="Normal 5 5 3 2 2 2 3 2" xfId="21632"/>
    <cellStyle name="Normal 5 5 3 2 2 2 3 3" xfId="21633"/>
    <cellStyle name="Normal 5 5 3 2 2 2 4" xfId="21634"/>
    <cellStyle name="Normal 5 5 3 2 2 2 5" xfId="21635"/>
    <cellStyle name="Normal 5 5 3 2 2 2 6" xfId="21636"/>
    <cellStyle name="Normal 5 5 3 2 2 2 7" xfId="21637"/>
    <cellStyle name="Normal 5 5 3 2 2 3" xfId="21638"/>
    <cellStyle name="Normal 5 5 3 2 2 3 2" xfId="21639"/>
    <cellStyle name="Normal 5 5 3 2 2 3 3" xfId="21640"/>
    <cellStyle name="Normal 5 5 3 2 2 4" xfId="21641"/>
    <cellStyle name="Normal 5 5 3 2 2 4 2" xfId="21642"/>
    <cellStyle name="Normal 5 5 3 2 2 4 3" xfId="21643"/>
    <cellStyle name="Normal 5 5 3 2 2 5" xfId="21644"/>
    <cellStyle name="Normal 5 5 3 2 2 6" xfId="21645"/>
    <cellStyle name="Normal 5 5 3 2 2 7" xfId="21646"/>
    <cellStyle name="Normal 5 5 3 2 2 8" xfId="21647"/>
    <cellStyle name="Normal 5 5 3 2 3" xfId="21648"/>
    <cellStyle name="Normal 5 5 3 2 3 2" xfId="21649"/>
    <cellStyle name="Normal 5 5 3 2 3 2 2" xfId="21650"/>
    <cellStyle name="Normal 5 5 3 2 3 2 3" xfId="21651"/>
    <cellStyle name="Normal 5 5 3 2 3 3" xfId="21652"/>
    <cellStyle name="Normal 5 5 3 2 3 3 2" xfId="21653"/>
    <cellStyle name="Normal 5 5 3 2 3 3 3" xfId="21654"/>
    <cellStyle name="Normal 5 5 3 2 3 4" xfId="21655"/>
    <cellStyle name="Normal 5 5 3 2 3 5" xfId="21656"/>
    <cellStyle name="Normal 5 5 3 2 3 6" xfId="21657"/>
    <cellStyle name="Normal 5 5 3 2 3 7" xfId="21658"/>
    <cellStyle name="Normal 5 5 3 2 4" xfId="21659"/>
    <cellStyle name="Normal 5 5 3 2 4 2" xfId="21660"/>
    <cellStyle name="Normal 5 5 3 2 4 3" xfId="21661"/>
    <cellStyle name="Normal 5 5 3 2 5" xfId="21662"/>
    <cellStyle name="Normal 5 5 3 2 5 2" xfId="21663"/>
    <cellStyle name="Normal 5 5 3 2 5 3" xfId="21664"/>
    <cellStyle name="Normal 5 5 3 2 6" xfId="21665"/>
    <cellStyle name="Normal 5 5 3 2 7" xfId="21666"/>
    <cellStyle name="Normal 5 5 3 2 8" xfId="21667"/>
    <cellStyle name="Normal 5 5 3 2 9" xfId="21668"/>
    <cellStyle name="Normal 5 5 3 3" xfId="21669"/>
    <cellStyle name="Normal 5 5 3 3 2" xfId="21670"/>
    <cellStyle name="Normal 5 5 3 3 2 2" xfId="21671"/>
    <cellStyle name="Normal 5 5 3 3 2 2 2" xfId="21672"/>
    <cellStyle name="Normal 5 5 3 3 2 2 3" xfId="21673"/>
    <cellStyle name="Normal 5 5 3 3 2 3" xfId="21674"/>
    <cellStyle name="Normal 5 5 3 3 2 3 2" xfId="21675"/>
    <cellStyle name="Normal 5 5 3 3 2 3 3" xfId="21676"/>
    <cellStyle name="Normal 5 5 3 3 2 4" xfId="21677"/>
    <cellStyle name="Normal 5 5 3 3 2 5" xfId="21678"/>
    <cellStyle name="Normal 5 5 3 3 2 6" xfId="21679"/>
    <cellStyle name="Normal 5 5 3 3 2 7" xfId="21680"/>
    <cellStyle name="Normal 5 5 3 3 3" xfId="21681"/>
    <cellStyle name="Normal 5 5 3 3 3 2" xfId="21682"/>
    <cellStyle name="Normal 5 5 3 3 3 3" xfId="21683"/>
    <cellStyle name="Normal 5 5 3 3 4" xfId="21684"/>
    <cellStyle name="Normal 5 5 3 3 4 2" xfId="21685"/>
    <cellStyle name="Normal 5 5 3 3 4 3" xfId="21686"/>
    <cellStyle name="Normal 5 5 3 3 5" xfId="21687"/>
    <cellStyle name="Normal 5 5 3 3 6" xfId="21688"/>
    <cellStyle name="Normal 5 5 3 3 7" xfId="21689"/>
    <cellStyle name="Normal 5 5 3 3 8" xfId="21690"/>
    <cellStyle name="Normal 5 5 3 4" xfId="21691"/>
    <cellStyle name="Normal 5 5 3 4 2" xfId="21692"/>
    <cellStyle name="Normal 5 5 3 4 2 2" xfId="21693"/>
    <cellStyle name="Normal 5 5 3 4 2 2 2" xfId="21694"/>
    <cellStyle name="Normal 5 5 3 4 2 2 3" xfId="21695"/>
    <cellStyle name="Normal 5 5 3 4 2 3" xfId="21696"/>
    <cellStyle name="Normal 5 5 3 4 2 3 2" xfId="21697"/>
    <cellStyle name="Normal 5 5 3 4 2 3 3" xfId="21698"/>
    <cellStyle name="Normal 5 5 3 4 2 4" xfId="21699"/>
    <cellStyle name="Normal 5 5 3 4 2 5" xfId="21700"/>
    <cellStyle name="Normal 5 5 3 4 2 6" xfId="21701"/>
    <cellStyle name="Normal 5 5 3 4 2 7" xfId="21702"/>
    <cellStyle name="Normal 5 5 3 4 3" xfId="21703"/>
    <cellStyle name="Normal 5 5 3 4 3 2" xfId="21704"/>
    <cellStyle name="Normal 5 5 3 4 3 3" xfId="21705"/>
    <cellStyle name="Normal 5 5 3 4 4" xfId="21706"/>
    <cellStyle name="Normal 5 5 3 4 4 2" xfId="21707"/>
    <cellStyle name="Normal 5 5 3 4 4 3" xfId="21708"/>
    <cellStyle name="Normal 5 5 3 4 5" xfId="21709"/>
    <cellStyle name="Normal 5 5 3 4 6" xfId="21710"/>
    <cellStyle name="Normal 5 5 3 4 7" xfId="21711"/>
    <cellStyle name="Normal 5 5 3 4 8" xfId="21712"/>
    <cellStyle name="Normal 5 5 3 5" xfId="21713"/>
    <cellStyle name="Normal 5 5 3 5 2" xfId="21714"/>
    <cellStyle name="Normal 5 5 3 5 2 2" xfId="21715"/>
    <cellStyle name="Normal 5 5 3 5 2 3" xfId="21716"/>
    <cellStyle name="Normal 5 5 3 5 3" xfId="21717"/>
    <cellStyle name="Normal 5 5 3 5 3 2" xfId="21718"/>
    <cellStyle name="Normal 5 5 3 5 3 3" xfId="21719"/>
    <cellStyle name="Normal 5 5 3 5 4" xfId="21720"/>
    <cellStyle name="Normal 5 5 3 5 5" xfId="21721"/>
    <cellStyle name="Normal 5 5 3 5 6" xfId="21722"/>
    <cellStyle name="Normal 5 5 3 5 7" xfId="21723"/>
    <cellStyle name="Normal 5 5 3 6" xfId="21724"/>
    <cellStyle name="Normal 5 5 3 6 2" xfId="21725"/>
    <cellStyle name="Normal 5 5 3 7" xfId="21726"/>
    <cellStyle name="Normal 5 5 3 7 2" xfId="21727"/>
    <cellStyle name="Normal 5 5 3 7 3" xfId="21728"/>
    <cellStyle name="Normal 5 5 3 8" xfId="21729"/>
    <cellStyle name="Normal 5 5 3 8 2" xfId="21730"/>
    <cellStyle name="Normal 5 5 3 8 3" xfId="21731"/>
    <cellStyle name="Normal 5 5 3 9" xfId="21732"/>
    <cellStyle name="Normal 5 5 4" xfId="21733"/>
    <cellStyle name="Normal 5 5 4 10" xfId="21734"/>
    <cellStyle name="Normal 5 5 4 11" xfId="21735"/>
    <cellStyle name="Normal 5 5 4 12" xfId="21736"/>
    <cellStyle name="Normal 5 5 4 2" xfId="21737"/>
    <cellStyle name="Normal 5 5 4 2 2" xfId="21738"/>
    <cellStyle name="Normal 5 5 4 2 2 2" xfId="21739"/>
    <cellStyle name="Normal 5 5 4 2 2 2 2" xfId="21740"/>
    <cellStyle name="Normal 5 5 4 2 2 2 2 2" xfId="21741"/>
    <cellStyle name="Normal 5 5 4 2 2 2 2 3" xfId="21742"/>
    <cellStyle name="Normal 5 5 4 2 2 2 3" xfId="21743"/>
    <cellStyle name="Normal 5 5 4 2 2 2 3 2" xfId="21744"/>
    <cellStyle name="Normal 5 5 4 2 2 2 3 3" xfId="21745"/>
    <cellStyle name="Normal 5 5 4 2 2 2 4" xfId="21746"/>
    <cellStyle name="Normal 5 5 4 2 2 2 5" xfId="21747"/>
    <cellStyle name="Normal 5 5 4 2 2 2 6" xfId="21748"/>
    <cellStyle name="Normal 5 5 4 2 2 2 7" xfId="21749"/>
    <cellStyle name="Normal 5 5 4 2 2 3" xfId="21750"/>
    <cellStyle name="Normal 5 5 4 2 2 3 2" xfId="21751"/>
    <cellStyle name="Normal 5 5 4 2 2 3 3" xfId="21752"/>
    <cellStyle name="Normal 5 5 4 2 2 4" xfId="21753"/>
    <cellStyle name="Normal 5 5 4 2 2 4 2" xfId="21754"/>
    <cellStyle name="Normal 5 5 4 2 2 4 3" xfId="21755"/>
    <cellStyle name="Normal 5 5 4 2 2 5" xfId="21756"/>
    <cellStyle name="Normal 5 5 4 2 2 6" xfId="21757"/>
    <cellStyle name="Normal 5 5 4 2 2 7" xfId="21758"/>
    <cellStyle name="Normal 5 5 4 2 2 8" xfId="21759"/>
    <cellStyle name="Normal 5 5 4 2 3" xfId="21760"/>
    <cellStyle name="Normal 5 5 4 2 3 2" xfId="21761"/>
    <cellStyle name="Normal 5 5 4 2 3 2 2" xfId="21762"/>
    <cellStyle name="Normal 5 5 4 2 3 2 3" xfId="21763"/>
    <cellStyle name="Normal 5 5 4 2 3 3" xfId="21764"/>
    <cellStyle name="Normal 5 5 4 2 3 3 2" xfId="21765"/>
    <cellStyle name="Normal 5 5 4 2 3 3 3" xfId="21766"/>
    <cellStyle name="Normal 5 5 4 2 3 4" xfId="21767"/>
    <cellStyle name="Normal 5 5 4 2 3 5" xfId="21768"/>
    <cellStyle name="Normal 5 5 4 2 3 6" xfId="21769"/>
    <cellStyle name="Normal 5 5 4 2 3 7" xfId="21770"/>
    <cellStyle name="Normal 5 5 4 2 4" xfId="21771"/>
    <cellStyle name="Normal 5 5 4 2 4 2" xfId="21772"/>
    <cellStyle name="Normal 5 5 4 2 4 3" xfId="21773"/>
    <cellStyle name="Normal 5 5 4 2 5" xfId="21774"/>
    <cellStyle name="Normal 5 5 4 2 5 2" xfId="21775"/>
    <cellStyle name="Normal 5 5 4 2 5 3" xfId="21776"/>
    <cellStyle name="Normal 5 5 4 2 6" xfId="21777"/>
    <cellStyle name="Normal 5 5 4 2 7" xfId="21778"/>
    <cellStyle name="Normal 5 5 4 2 8" xfId="21779"/>
    <cellStyle name="Normal 5 5 4 2 9" xfId="21780"/>
    <cellStyle name="Normal 5 5 4 3" xfId="21781"/>
    <cellStyle name="Normal 5 5 4 3 2" xfId="21782"/>
    <cellStyle name="Normal 5 5 4 3 2 2" xfId="21783"/>
    <cellStyle name="Normal 5 5 4 3 2 2 2" xfId="21784"/>
    <cellStyle name="Normal 5 5 4 3 2 2 3" xfId="21785"/>
    <cellStyle name="Normal 5 5 4 3 2 3" xfId="21786"/>
    <cellStyle name="Normal 5 5 4 3 2 3 2" xfId="21787"/>
    <cellStyle name="Normal 5 5 4 3 2 3 3" xfId="21788"/>
    <cellStyle name="Normal 5 5 4 3 2 4" xfId="21789"/>
    <cellStyle name="Normal 5 5 4 3 2 5" xfId="21790"/>
    <cellStyle name="Normal 5 5 4 3 2 6" xfId="21791"/>
    <cellStyle name="Normal 5 5 4 3 2 7" xfId="21792"/>
    <cellStyle name="Normal 5 5 4 3 3" xfId="21793"/>
    <cellStyle name="Normal 5 5 4 3 3 2" xfId="21794"/>
    <cellStyle name="Normal 5 5 4 3 3 3" xfId="21795"/>
    <cellStyle name="Normal 5 5 4 3 4" xfId="21796"/>
    <cellStyle name="Normal 5 5 4 3 4 2" xfId="21797"/>
    <cellStyle name="Normal 5 5 4 3 4 3" xfId="21798"/>
    <cellStyle name="Normal 5 5 4 3 5" xfId="21799"/>
    <cellStyle name="Normal 5 5 4 3 6" xfId="21800"/>
    <cellStyle name="Normal 5 5 4 3 7" xfId="21801"/>
    <cellStyle name="Normal 5 5 4 3 8" xfId="21802"/>
    <cellStyle name="Normal 5 5 4 4" xfId="21803"/>
    <cellStyle name="Normal 5 5 4 4 2" xfId="21804"/>
    <cellStyle name="Normal 5 5 4 4 2 2" xfId="21805"/>
    <cellStyle name="Normal 5 5 4 4 2 2 2" xfId="21806"/>
    <cellStyle name="Normal 5 5 4 4 2 2 3" xfId="21807"/>
    <cellStyle name="Normal 5 5 4 4 2 3" xfId="21808"/>
    <cellStyle name="Normal 5 5 4 4 2 3 2" xfId="21809"/>
    <cellStyle name="Normal 5 5 4 4 2 3 3" xfId="21810"/>
    <cellStyle name="Normal 5 5 4 4 2 4" xfId="21811"/>
    <cellStyle name="Normal 5 5 4 4 2 5" xfId="21812"/>
    <cellStyle name="Normal 5 5 4 4 2 6" xfId="21813"/>
    <cellStyle name="Normal 5 5 4 4 2 7" xfId="21814"/>
    <cellStyle name="Normal 5 5 4 4 3" xfId="21815"/>
    <cellStyle name="Normal 5 5 4 4 3 2" xfId="21816"/>
    <cellStyle name="Normal 5 5 4 4 3 3" xfId="21817"/>
    <cellStyle name="Normal 5 5 4 4 4" xfId="21818"/>
    <cellStyle name="Normal 5 5 4 4 4 2" xfId="21819"/>
    <cellStyle name="Normal 5 5 4 4 4 3" xfId="21820"/>
    <cellStyle name="Normal 5 5 4 4 5" xfId="21821"/>
    <cellStyle name="Normal 5 5 4 4 6" xfId="21822"/>
    <cellStyle name="Normal 5 5 4 4 7" xfId="21823"/>
    <cellStyle name="Normal 5 5 4 4 8" xfId="21824"/>
    <cellStyle name="Normal 5 5 4 5" xfId="21825"/>
    <cellStyle name="Normal 5 5 4 5 2" xfId="21826"/>
    <cellStyle name="Normal 5 5 4 5 2 2" xfId="21827"/>
    <cellStyle name="Normal 5 5 4 5 2 3" xfId="21828"/>
    <cellStyle name="Normal 5 5 4 5 3" xfId="21829"/>
    <cellStyle name="Normal 5 5 4 5 3 2" xfId="21830"/>
    <cellStyle name="Normal 5 5 4 5 3 3" xfId="21831"/>
    <cellStyle name="Normal 5 5 4 5 4" xfId="21832"/>
    <cellStyle name="Normal 5 5 4 5 5" xfId="21833"/>
    <cellStyle name="Normal 5 5 4 5 6" xfId="21834"/>
    <cellStyle name="Normal 5 5 4 5 7" xfId="21835"/>
    <cellStyle name="Normal 5 5 4 6" xfId="21836"/>
    <cellStyle name="Normal 5 5 4 6 2" xfId="21837"/>
    <cellStyle name="Normal 5 5 4 7" xfId="21838"/>
    <cellStyle name="Normal 5 5 4 7 2" xfId="21839"/>
    <cellStyle name="Normal 5 5 4 7 3" xfId="21840"/>
    <cellStyle name="Normal 5 5 4 8" xfId="21841"/>
    <cellStyle name="Normal 5 5 4 8 2" xfId="21842"/>
    <cellStyle name="Normal 5 5 4 8 3" xfId="21843"/>
    <cellStyle name="Normal 5 5 4 9" xfId="21844"/>
    <cellStyle name="Normal 5 5 5" xfId="21845"/>
    <cellStyle name="Normal 5 5 5 10" xfId="21846"/>
    <cellStyle name="Normal 5 5 5 11" xfId="21847"/>
    <cellStyle name="Normal 5 5 5 12" xfId="21848"/>
    <cellStyle name="Normal 5 5 5 2" xfId="21849"/>
    <cellStyle name="Normal 5 5 5 2 2" xfId="21850"/>
    <cellStyle name="Normal 5 5 5 2 2 2" xfId="21851"/>
    <cellStyle name="Normal 5 5 5 2 2 2 2" xfId="21852"/>
    <cellStyle name="Normal 5 5 5 2 2 2 2 2" xfId="21853"/>
    <cellStyle name="Normal 5 5 5 2 2 2 2 3" xfId="21854"/>
    <cellStyle name="Normal 5 5 5 2 2 2 3" xfId="21855"/>
    <cellStyle name="Normal 5 5 5 2 2 2 3 2" xfId="21856"/>
    <cellStyle name="Normal 5 5 5 2 2 2 3 3" xfId="21857"/>
    <cellStyle name="Normal 5 5 5 2 2 2 4" xfId="21858"/>
    <cellStyle name="Normal 5 5 5 2 2 2 5" xfId="21859"/>
    <cellStyle name="Normal 5 5 5 2 2 2 6" xfId="21860"/>
    <cellStyle name="Normal 5 5 5 2 2 2 7" xfId="21861"/>
    <cellStyle name="Normal 5 5 5 2 2 3" xfId="21862"/>
    <cellStyle name="Normal 5 5 5 2 2 3 2" xfId="21863"/>
    <cellStyle name="Normal 5 5 5 2 2 3 3" xfId="21864"/>
    <cellStyle name="Normal 5 5 5 2 2 4" xfId="21865"/>
    <cellStyle name="Normal 5 5 5 2 2 4 2" xfId="21866"/>
    <cellStyle name="Normal 5 5 5 2 2 4 3" xfId="21867"/>
    <cellStyle name="Normal 5 5 5 2 2 5" xfId="21868"/>
    <cellStyle name="Normal 5 5 5 2 2 6" xfId="21869"/>
    <cellStyle name="Normal 5 5 5 2 2 7" xfId="21870"/>
    <cellStyle name="Normal 5 5 5 2 2 8" xfId="21871"/>
    <cellStyle name="Normal 5 5 5 2 3" xfId="21872"/>
    <cellStyle name="Normal 5 5 5 2 3 2" xfId="21873"/>
    <cellStyle name="Normal 5 5 5 2 3 2 2" xfId="21874"/>
    <cellStyle name="Normal 5 5 5 2 3 2 3" xfId="21875"/>
    <cellStyle name="Normal 5 5 5 2 3 3" xfId="21876"/>
    <cellStyle name="Normal 5 5 5 2 3 3 2" xfId="21877"/>
    <cellStyle name="Normal 5 5 5 2 3 3 3" xfId="21878"/>
    <cellStyle name="Normal 5 5 5 2 3 4" xfId="21879"/>
    <cellStyle name="Normal 5 5 5 2 3 5" xfId="21880"/>
    <cellStyle name="Normal 5 5 5 2 3 6" xfId="21881"/>
    <cellStyle name="Normal 5 5 5 2 3 7" xfId="21882"/>
    <cellStyle name="Normal 5 5 5 2 4" xfId="21883"/>
    <cellStyle name="Normal 5 5 5 2 4 2" xfId="21884"/>
    <cellStyle name="Normal 5 5 5 2 4 3" xfId="21885"/>
    <cellStyle name="Normal 5 5 5 2 5" xfId="21886"/>
    <cellStyle name="Normal 5 5 5 2 5 2" xfId="21887"/>
    <cellStyle name="Normal 5 5 5 2 5 3" xfId="21888"/>
    <cellStyle name="Normal 5 5 5 2 6" xfId="21889"/>
    <cellStyle name="Normal 5 5 5 2 7" xfId="21890"/>
    <cellStyle name="Normal 5 5 5 2 8" xfId="21891"/>
    <cellStyle name="Normal 5 5 5 2 9" xfId="21892"/>
    <cellStyle name="Normal 5 5 5 3" xfId="21893"/>
    <cellStyle name="Normal 5 5 5 3 2" xfId="21894"/>
    <cellStyle name="Normal 5 5 5 3 2 2" xfId="21895"/>
    <cellStyle name="Normal 5 5 5 3 2 2 2" xfId="21896"/>
    <cellStyle name="Normal 5 5 5 3 2 2 3" xfId="21897"/>
    <cellStyle name="Normal 5 5 5 3 2 3" xfId="21898"/>
    <cellStyle name="Normal 5 5 5 3 2 3 2" xfId="21899"/>
    <cellStyle name="Normal 5 5 5 3 2 3 3" xfId="21900"/>
    <cellStyle name="Normal 5 5 5 3 2 4" xfId="21901"/>
    <cellStyle name="Normal 5 5 5 3 2 5" xfId="21902"/>
    <cellStyle name="Normal 5 5 5 3 2 6" xfId="21903"/>
    <cellStyle name="Normal 5 5 5 3 2 7" xfId="21904"/>
    <cellStyle name="Normal 5 5 5 3 3" xfId="21905"/>
    <cellStyle name="Normal 5 5 5 3 3 2" xfId="21906"/>
    <cellStyle name="Normal 5 5 5 3 3 3" xfId="21907"/>
    <cellStyle name="Normal 5 5 5 3 4" xfId="21908"/>
    <cellStyle name="Normal 5 5 5 3 4 2" xfId="21909"/>
    <cellStyle name="Normal 5 5 5 3 4 3" xfId="21910"/>
    <cellStyle name="Normal 5 5 5 3 5" xfId="21911"/>
    <cellStyle name="Normal 5 5 5 3 6" xfId="21912"/>
    <cellStyle name="Normal 5 5 5 3 7" xfId="21913"/>
    <cellStyle name="Normal 5 5 5 3 8" xfId="21914"/>
    <cellStyle name="Normal 5 5 5 4" xfId="21915"/>
    <cellStyle name="Normal 5 5 5 4 2" xfId="21916"/>
    <cellStyle name="Normal 5 5 5 4 2 2" xfId="21917"/>
    <cellStyle name="Normal 5 5 5 4 2 2 2" xfId="21918"/>
    <cellStyle name="Normal 5 5 5 4 2 2 3" xfId="21919"/>
    <cellStyle name="Normal 5 5 5 4 2 3" xfId="21920"/>
    <cellStyle name="Normal 5 5 5 4 2 3 2" xfId="21921"/>
    <cellStyle name="Normal 5 5 5 4 2 3 3" xfId="21922"/>
    <cellStyle name="Normal 5 5 5 4 2 4" xfId="21923"/>
    <cellStyle name="Normal 5 5 5 4 2 5" xfId="21924"/>
    <cellStyle name="Normal 5 5 5 4 2 6" xfId="21925"/>
    <cellStyle name="Normal 5 5 5 4 2 7" xfId="21926"/>
    <cellStyle name="Normal 5 5 5 4 3" xfId="21927"/>
    <cellStyle name="Normal 5 5 5 4 3 2" xfId="21928"/>
    <cellStyle name="Normal 5 5 5 4 3 3" xfId="21929"/>
    <cellStyle name="Normal 5 5 5 4 4" xfId="21930"/>
    <cellStyle name="Normal 5 5 5 4 4 2" xfId="21931"/>
    <cellStyle name="Normal 5 5 5 4 4 3" xfId="21932"/>
    <cellStyle name="Normal 5 5 5 4 5" xfId="21933"/>
    <cellStyle name="Normal 5 5 5 4 6" xfId="21934"/>
    <cellStyle name="Normal 5 5 5 4 7" xfId="21935"/>
    <cellStyle name="Normal 5 5 5 4 8" xfId="21936"/>
    <cellStyle name="Normal 5 5 5 5" xfId="21937"/>
    <cellStyle name="Normal 5 5 5 5 2" xfId="21938"/>
    <cellStyle name="Normal 5 5 5 5 2 2" xfId="21939"/>
    <cellStyle name="Normal 5 5 5 5 2 3" xfId="21940"/>
    <cellStyle name="Normal 5 5 5 5 3" xfId="21941"/>
    <cellStyle name="Normal 5 5 5 5 3 2" xfId="21942"/>
    <cellStyle name="Normal 5 5 5 5 3 3" xfId="21943"/>
    <cellStyle name="Normal 5 5 5 5 4" xfId="21944"/>
    <cellStyle name="Normal 5 5 5 5 5" xfId="21945"/>
    <cellStyle name="Normal 5 5 5 5 6" xfId="21946"/>
    <cellStyle name="Normal 5 5 5 5 7" xfId="21947"/>
    <cellStyle name="Normal 5 5 5 6" xfId="21948"/>
    <cellStyle name="Normal 5 5 5 6 2" xfId="21949"/>
    <cellStyle name="Normal 5 5 5 7" xfId="21950"/>
    <cellStyle name="Normal 5 5 5 7 2" xfId="21951"/>
    <cellStyle name="Normal 5 5 5 7 3" xfId="21952"/>
    <cellStyle name="Normal 5 5 5 8" xfId="21953"/>
    <cellStyle name="Normal 5 5 5 8 2" xfId="21954"/>
    <cellStyle name="Normal 5 5 5 8 3" xfId="21955"/>
    <cellStyle name="Normal 5 5 5 9" xfId="21956"/>
    <cellStyle name="Normal 5 5 6" xfId="21957"/>
    <cellStyle name="Normal 5 5 6 10" xfId="21958"/>
    <cellStyle name="Normal 5 5 6 2" xfId="21959"/>
    <cellStyle name="Normal 5 5 6 2 2" xfId="21960"/>
    <cellStyle name="Normal 5 5 6 2 2 2" xfId="21961"/>
    <cellStyle name="Normal 5 5 6 2 2 2 2" xfId="21962"/>
    <cellStyle name="Normal 5 5 6 2 2 2 3" xfId="21963"/>
    <cellStyle name="Normal 5 5 6 2 2 3" xfId="21964"/>
    <cellStyle name="Normal 5 5 6 2 2 3 2" xfId="21965"/>
    <cellStyle name="Normal 5 5 6 2 2 3 3" xfId="21966"/>
    <cellStyle name="Normal 5 5 6 2 2 4" xfId="21967"/>
    <cellStyle name="Normal 5 5 6 2 2 5" xfId="21968"/>
    <cellStyle name="Normal 5 5 6 2 2 6" xfId="21969"/>
    <cellStyle name="Normal 5 5 6 2 2 7" xfId="21970"/>
    <cellStyle name="Normal 5 5 6 2 3" xfId="21971"/>
    <cellStyle name="Normal 5 5 6 2 3 2" xfId="21972"/>
    <cellStyle name="Normal 5 5 6 2 3 3" xfId="21973"/>
    <cellStyle name="Normal 5 5 6 2 4" xfId="21974"/>
    <cellStyle name="Normal 5 5 6 2 4 2" xfId="21975"/>
    <cellStyle name="Normal 5 5 6 2 4 3" xfId="21976"/>
    <cellStyle name="Normal 5 5 6 2 5" xfId="21977"/>
    <cellStyle name="Normal 5 5 6 2 6" xfId="21978"/>
    <cellStyle name="Normal 5 5 6 2 7" xfId="21979"/>
    <cellStyle name="Normal 5 5 6 2 8" xfId="21980"/>
    <cellStyle name="Normal 5 5 6 3" xfId="21981"/>
    <cellStyle name="Normal 5 5 6 3 2" xfId="21982"/>
    <cellStyle name="Normal 5 5 6 3 2 2" xfId="21983"/>
    <cellStyle name="Normal 5 5 6 3 2 3" xfId="21984"/>
    <cellStyle name="Normal 5 5 6 3 3" xfId="21985"/>
    <cellStyle name="Normal 5 5 6 3 3 2" xfId="21986"/>
    <cellStyle name="Normal 5 5 6 3 3 3" xfId="21987"/>
    <cellStyle name="Normal 5 5 6 3 4" xfId="21988"/>
    <cellStyle name="Normal 5 5 6 3 5" xfId="21989"/>
    <cellStyle name="Normal 5 5 6 3 6" xfId="21990"/>
    <cellStyle name="Normal 5 5 6 3 7" xfId="21991"/>
    <cellStyle name="Normal 5 5 6 4" xfId="21992"/>
    <cellStyle name="Normal 5 5 6 4 2" xfId="21993"/>
    <cellStyle name="Normal 5 5 6 5" xfId="21994"/>
    <cellStyle name="Normal 5 5 6 5 2" xfId="21995"/>
    <cellStyle name="Normal 5 5 6 5 3" xfId="21996"/>
    <cellStyle name="Normal 5 5 6 6" xfId="21997"/>
    <cellStyle name="Normal 5 5 6 6 2" xfId="21998"/>
    <cellStyle name="Normal 5 5 6 6 3" xfId="21999"/>
    <cellStyle name="Normal 5 5 6 7" xfId="22000"/>
    <cellStyle name="Normal 5 5 6 8" xfId="22001"/>
    <cellStyle name="Normal 5 5 6 9" xfId="22002"/>
    <cellStyle name="Normal 5 5 7" xfId="22003"/>
    <cellStyle name="Normal 5 5 7 2" xfId="22004"/>
    <cellStyle name="Normal 5 5 7 2 2" xfId="22005"/>
    <cellStyle name="Normal 5 5 7 2 2 2" xfId="22006"/>
    <cellStyle name="Normal 5 5 7 2 2 3" xfId="22007"/>
    <cellStyle name="Normal 5 5 7 2 3" xfId="22008"/>
    <cellStyle name="Normal 5 5 7 2 3 2" xfId="22009"/>
    <cellStyle name="Normal 5 5 7 2 3 3" xfId="22010"/>
    <cellStyle name="Normal 5 5 7 2 4" xfId="22011"/>
    <cellStyle name="Normal 5 5 7 2 5" xfId="22012"/>
    <cellStyle name="Normal 5 5 7 2 6" xfId="22013"/>
    <cellStyle name="Normal 5 5 7 2 7" xfId="22014"/>
    <cellStyle name="Normal 5 5 7 3" xfId="22015"/>
    <cellStyle name="Normal 5 5 7 3 2" xfId="22016"/>
    <cellStyle name="Normal 5 5 7 4" xfId="22017"/>
    <cellStyle name="Normal 5 5 7 4 2" xfId="22018"/>
    <cellStyle name="Normal 5 5 7 4 3" xfId="22019"/>
    <cellStyle name="Normal 5 5 7 5" xfId="22020"/>
    <cellStyle name="Normal 5 5 7 5 2" xfId="22021"/>
    <cellStyle name="Normal 5 5 7 5 3" xfId="22022"/>
    <cellStyle name="Normal 5 5 7 6" xfId="22023"/>
    <cellStyle name="Normal 5 5 7 7" xfId="22024"/>
    <cellStyle name="Normal 5 5 7 8" xfId="22025"/>
    <cellStyle name="Normal 5 5 7 9" xfId="22026"/>
    <cellStyle name="Normal 5 5 8" xfId="22027"/>
    <cellStyle name="Normal 5 5 8 2" xfId="22028"/>
    <cellStyle name="Normal 5 5 8 2 2" xfId="22029"/>
    <cellStyle name="Normal 5 5 8 2 2 2" xfId="22030"/>
    <cellStyle name="Normal 5 5 8 2 2 3" xfId="22031"/>
    <cellStyle name="Normal 5 5 8 2 3" xfId="22032"/>
    <cellStyle name="Normal 5 5 8 2 3 2" xfId="22033"/>
    <cellStyle name="Normal 5 5 8 2 3 3" xfId="22034"/>
    <cellStyle name="Normal 5 5 8 2 4" xfId="22035"/>
    <cellStyle name="Normal 5 5 8 2 5" xfId="22036"/>
    <cellStyle name="Normal 5 5 8 2 6" xfId="22037"/>
    <cellStyle name="Normal 5 5 8 2 7" xfId="22038"/>
    <cellStyle name="Normal 5 5 8 3" xfId="22039"/>
    <cellStyle name="Normal 5 5 8 3 2" xfId="22040"/>
    <cellStyle name="Normal 5 5 8 4" xfId="22041"/>
    <cellStyle name="Normal 5 5 8 4 2" xfId="22042"/>
    <cellStyle name="Normal 5 5 8 4 3" xfId="22043"/>
    <cellStyle name="Normal 5 5 8 5" xfId="22044"/>
    <cellStyle name="Normal 5 5 8 5 2" xfId="22045"/>
    <cellStyle name="Normal 5 5 8 5 3" xfId="22046"/>
    <cellStyle name="Normal 5 5 8 6" xfId="22047"/>
    <cellStyle name="Normal 5 5 8 7" xfId="22048"/>
    <cellStyle name="Normal 5 5 8 8" xfId="22049"/>
    <cellStyle name="Normal 5 5 8 9" xfId="22050"/>
    <cellStyle name="Normal 5 5 9" xfId="22051"/>
    <cellStyle name="Normal 5 5 9 2" xfId="22052"/>
    <cellStyle name="Normal 5 5 9 2 2" xfId="22053"/>
    <cellStyle name="Normal 5 5 9 2 3" xfId="22054"/>
    <cellStyle name="Normal 5 5 9 3" xfId="22055"/>
    <cellStyle name="Normal 5 5 9 3 2" xfId="22056"/>
    <cellStyle name="Normal 5 5 9 3 3" xfId="22057"/>
    <cellStyle name="Normal 5 5 9 4" xfId="22058"/>
    <cellStyle name="Normal 5 5 9 5" xfId="22059"/>
    <cellStyle name="Normal 5 5 9 6" xfId="22060"/>
    <cellStyle name="Normal 5 5 9 7" xfId="22061"/>
    <cellStyle name="Normal 5 6" xfId="22062"/>
    <cellStyle name="Normal 5 6 10" xfId="22063"/>
    <cellStyle name="Normal 5 6 10 2" xfId="22064"/>
    <cellStyle name="Normal 5 6 11" xfId="22065"/>
    <cellStyle name="Normal 5 6 11 2" xfId="22066"/>
    <cellStyle name="Normal 5 6 11 3" xfId="22067"/>
    <cellStyle name="Normal 5 6 12" xfId="22068"/>
    <cellStyle name="Normal 5 6 12 2" xfId="22069"/>
    <cellStyle name="Normal 5 6 12 3" xfId="22070"/>
    <cellStyle name="Normal 5 6 13" xfId="22071"/>
    <cellStyle name="Normal 5 6 14" xfId="22072"/>
    <cellStyle name="Normal 5 6 15" xfId="22073"/>
    <cellStyle name="Normal 5 6 16" xfId="22074"/>
    <cellStyle name="Normal 5 6 17" xfId="22075"/>
    <cellStyle name="Normal 5 6 18" xfId="22076"/>
    <cellStyle name="Normal 5 6 2" xfId="22077"/>
    <cellStyle name="Normal 5 6 2 10" xfId="22078"/>
    <cellStyle name="Normal 5 6 2 11" xfId="22079"/>
    <cellStyle name="Normal 5 6 2 12" xfId="22080"/>
    <cellStyle name="Normal 5 6 2 2" xfId="22081"/>
    <cellStyle name="Normal 5 6 2 2 2" xfId="22082"/>
    <cellStyle name="Normal 5 6 2 2 2 2" xfId="22083"/>
    <cellStyle name="Normal 5 6 2 2 2 2 2" xfId="22084"/>
    <cellStyle name="Normal 5 6 2 2 2 2 2 2" xfId="22085"/>
    <cellStyle name="Normal 5 6 2 2 2 2 2 3" xfId="22086"/>
    <cellStyle name="Normal 5 6 2 2 2 2 3" xfId="22087"/>
    <cellStyle name="Normal 5 6 2 2 2 2 3 2" xfId="22088"/>
    <cellStyle name="Normal 5 6 2 2 2 2 3 3" xfId="22089"/>
    <cellStyle name="Normal 5 6 2 2 2 2 4" xfId="22090"/>
    <cellStyle name="Normal 5 6 2 2 2 2 5" xfId="22091"/>
    <cellStyle name="Normal 5 6 2 2 2 2 6" xfId="22092"/>
    <cellStyle name="Normal 5 6 2 2 2 2 7" xfId="22093"/>
    <cellStyle name="Normal 5 6 2 2 2 3" xfId="22094"/>
    <cellStyle name="Normal 5 6 2 2 2 3 2" xfId="22095"/>
    <cellStyle name="Normal 5 6 2 2 2 3 3" xfId="22096"/>
    <cellStyle name="Normal 5 6 2 2 2 4" xfId="22097"/>
    <cellStyle name="Normal 5 6 2 2 2 4 2" xfId="22098"/>
    <cellStyle name="Normal 5 6 2 2 2 4 3" xfId="22099"/>
    <cellStyle name="Normal 5 6 2 2 2 5" xfId="22100"/>
    <cellStyle name="Normal 5 6 2 2 2 6" xfId="22101"/>
    <cellStyle name="Normal 5 6 2 2 2 7" xfId="22102"/>
    <cellStyle name="Normal 5 6 2 2 2 8" xfId="22103"/>
    <cellStyle name="Normal 5 6 2 2 3" xfId="22104"/>
    <cellStyle name="Normal 5 6 2 2 3 2" xfId="22105"/>
    <cellStyle name="Normal 5 6 2 2 3 2 2" xfId="22106"/>
    <cellStyle name="Normal 5 6 2 2 3 2 3" xfId="22107"/>
    <cellStyle name="Normal 5 6 2 2 3 3" xfId="22108"/>
    <cellStyle name="Normal 5 6 2 2 3 3 2" xfId="22109"/>
    <cellStyle name="Normal 5 6 2 2 3 3 3" xfId="22110"/>
    <cellStyle name="Normal 5 6 2 2 3 4" xfId="22111"/>
    <cellStyle name="Normal 5 6 2 2 3 5" xfId="22112"/>
    <cellStyle name="Normal 5 6 2 2 3 6" xfId="22113"/>
    <cellStyle name="Normal 5 6 2 2 3 7" xfId="22114"/>
    <cellStyle name="Normal 5 6 2 2 4" xfId="22115"/>
    <cellStyle name="Normal 5 6 2 2 4 2" xfId="22116"/>
    <cellStyle name="Normal 5 6 2 2 4 3" xfId="22117"/>
    <cellStyle name="Normal 5 6 2 2 5" xfId="22118"/>
    <cellStyle name="Normal 5 6 2 2 5 2" xfId="22119"/>
    <cellStyle name="Normal 5 6 2 2 5 3" xfId="22120"/>
    <cellStyle name="Normal 5 6 2 2 6" xfId="22121"/>
    <cellStyle name="Normal 5 6 2 2 7" xfId="22122"/>
    <cellStyle name="Normal 5 6 2 2 8" xfId="22123"/>
    <cellStyle name="Normal 5 6 2 2 9" xfId="22124"/>
    <cellStyle name="Normal 5 6 2 3" xfId="22125"/>
    <cellStyle name="Normal 5 6 2 3 2" xfId="22126"/>
    <cellStyle name="Normal 5 6 2 3 2 2" xfId="22127"/>
    <cellStyle name="Normal 5 6 2 3 2 2 2" xfId="22128"/>
    <cellStyle name="Normal 5 6 2 3 2 2 3" xfId="22129"/>
    <cellStyle name="Normal 5 6 2 3 2 3" xfId="22130"/>
    <cellStyle name="Normal 5 6 2 3 2 3 2" xfId="22131"/>
    <cellStyle name="Normal 5 6 2 3 2 3 3" xfId="22132"/>
    <cellStyle name="Normal 5 6 2 3 2 4" xfId="22133"/>
    <cellStyle name="Normal 5 6 2 3 2 5" xfId="22134"/>
    <cellStyle name="Normal 5 6 2 3 2 6" xfId="22135"/>
    <cellStyle name="Normal 5 6 2 3 2 7" xfId="22136"/>
    <cellStyle name="Normal 5 6 2 3 3" xfId="22137"/>
    <cellStyle name="Normal 5 6 2 3 3 2" xfId="22138"/>
    <cellStyle name="Normal 5 6 2 3 3 3" xfId="22139"/>
    <cellStyle name="Normal 5 6 2 3 4" xfId="22140"/>
    <cellStyle name="Normal 5 6 2 3 4 2" xfId="22141"/>
    <cellStyle name="Normal 5 6 2 3 4 3" xfId="22142"/>
    <cellStyle name="Normal 5 6 2 3 5" xfId="22143"/>
    <cellStyle name="Normal 5 6 2 3 6" xfId="22144"/>
    <cellStyle name="Normal 5 6 2 3 7" xfId="22145"/>
    <cellStyle name="Normal 5 6 2 3 8" xfId="22146"/>
    <cellStyle name="Normal 5 6 2 4" xfId="22147"/>
    <cellStyle name="Normal 5 6 2 4 2" xfId="22148"/>
    <cellStyle name="Normal 5 6 2 4 2 2" xfId="22149"/>
    <cellStyle name="Normal 5 6 2 4 2 2 2" xfId="22150"/>
    <cellStyle name="Normal 5 6 2 4 2 2 3" xfId="22151"/>
    <cellStyle name="Normal 5 6 2 4 2 3" xfId="22152"/>
    <cellStyle name="Normal 5 6 2 4 2 3 2" xfId="22153"/>
    <cellStyle name="Normal 5 6 2 4 2 3 3" xfId="22154"/>
    <cellStyle name="Normal 5 6 2 4 2 4" xfId="22155"/>
    <cellStyle name="Normal 5 6 2 4 2 5" xfId="22156"/>
    <cellStyle name="Normal 5 6 2 4 2 6" xfId="22157"/>
    <cellStyle name="Normal 5 6 2 4 2 7" xfId="22158"/>
    <cellStyle name="Normal 5 6 2 4 3" xfId="22159"/>
    <cellStyle name="Normal 5 6 2 4 3 2" xfId="22160"/>
    <cellStyle name="Normal 5 6 2 4 3 3" xfId="22161"/>
    <cellStyle name="Normal 5 6 2 4 4" xfId="22162"/>
    <cellStyle name="Normal 5 6 2 4 4 2" xfId="22163"/>
    <cellStyle name="Normal 5 6 2 4 4 3" xfId="22164"/>
    <cellStyle name="Normal 5 6 2 4 5" xfId="22165"/>
    <cellStyle name="Normal 5 6 2 4 6" xfId="22166"/>
    <cellStyle name="Normal 5 6 2 4 7" xfId="22167"/>
    <cellStyle name="Normal 5 6 2 4 8" xfId="22168"/>
    <cellStyle name="Normal 5 6 2 5" xfId="22169"/>
    <cellStyle name="Normal 5 6 2 5 2" xfId="22170"/>
    <cellStyle name="Normal 5 6 2 5 2 2" xfId="22171"/>
    <cellStyle name="Normal 5 6 2 5 2 3" xfId="22172"/>
    <cellStyle name="Normal 5 6 2 5 3" xfId="22173"/>
    <cellStyle name="Normal 5 6 2 5 3 2" xfId="22174"/>
    <cellStyle name="Normal 5 6 2 5 3 3" xfId="22175"/>
    <cellStyle name="Normal 5 6 2 5 4" xfId="22176"/>
    <cellStyle name="Normal 5 6 2 5 5" xfId="22177"/>
    <cellStyle name="Normal 5 6 2 5 6" xfId="22178"/>
    <cellStyle name="Normal 5 6 2 5 7" xfId="22179"/>
    <cellStyle name="Normal 5 6 2 6" xfId="22180"/>
    <cellStyle name="Normal 5 6 2 6 2" xfId="22181"/>
    <cellStyle name="Normal 5 6 2 7" xfId="22182"/>
    <cellStyle name="Normal 5 6 2 7 2" xfId="22183"/>
    <cellStyle name="Normal 5 6 2 7 3" xfId="22184"/>
    <cellStyle name="Normal 5 6 2 8" xfId="22185"/>
    <cellStyle name="Normal 5 6 2 8 2" xfId="22186"/>
    <cellStyle name="Normal 5 6 2 8 3" xfId="22187"/>
    <cellStyle name="Normal 5 6 2 9" xfId="22188"/>
    <cellStyle name="Normal 5 6 3" xfId="22189"/>
    <cellStyle name="Normal 5 6 3 10" xfId="22190"/>
    <cellStyle name="Normal 5 6 3 11" xfId="22191"/>
    <cellStyle name="Normal 5 6 3 12" xfId="22192"/>
    <cellStyle name="Normal 5 6 3 2" xfId="22193"/>
    <cellStyle name="Normal 5 6 3 2 2" xfId="22194"/>
    <cellStyle name="Normal 5 6 3 2 2 2" xfId="22195"/>
    <cellStyle name="Normal 5 6 3 2 2 2 2" xfId="22196"/>
    <cellStyle name="Normal 5 6 3 2 2 2 2 2" xfId="22197"/>
    <cellStyle name="Normal 5 6 3 2 2 2 2 3" xfId="22198"/>
    <cellStyle name="Normal 5 6 3 2 2 2 3" xfId="22199"/>
    <cellStyle name="Normal 5 6 3 2 2 2 3 2" xfId="22200"/>
    <cellStyle name="Normal 5 6 3 2 2 2 3 3" xfId="22201"/>
    <cellStyle name="Normal 5 6 3 2 2 2 4" xfId="22202"/>
    <cellStyle name="Normal 5 6 3 2 2 2 5" xfId="22203"/>
    <cellStyle name="Normal 5 6 3 2 2 2 6" xfId="22204"/>
    <cellStyle name="Normal 5 6 3 2 2 2 7" xfId="22205"/>
    <cellStyle name="Normal 5 6 3 2 2 3" xfId="22206"/>
    <cellStyle name="Normal 5 6 3 2 2 3 2" xfId="22207"/>
    <cellStyle name="Normal 5 6 3 2 2 3 3" xfId="22208"/>
    <cellStyle name="Normal 5 6 3 2 2 4" xfId="22209"/>
    <cellStyle name="Normal 5 6 3 2 2 4 2" xfId="22210"/>
    <cellStyle name="Normal 5 6 3 2 2 4 3" xfId="22211"/>
    <cellStyle name="Normal 5 6 3 2 2 5" xfId="22212"/>
    <cellStyle name="Normal 5 6 3 2 2 6" xfId="22213"/>
    <cellStyle name="Normal 5 6 3 2 2 7" xfId="22214"/>
    <cellStyle name="Normal 5 6 3 2 2 8" xfId="22215"/>
    <cellStyle name="Normal 5 6 3 2 3" xfId="22216"/>
    <cellStyle name="Normal 5 6 3 2 3 2" xfId="22217"/>
    <cellStyle name="Normal 5 6 3 2 3 2 2" xfId="22218"/>
    <cellStyle name="Normal 5 6 3 2 3 2 3" xfId="22219"/>
    <cellStyle name="Normal 5 6 3 2 3 3" xfId="22220"/>
    <cellStyle name="Normal 5 6 3 2 3 3 2" xfId="22221"/>
    <cellStyle name="Normal 5 6 3 2 3 3 3" xfId="22222"/>
    <cellStyle name="Normal 5 6 3 2 3 4" xfId="22223"/>
    <cellStyle name="Normal 5 6 3 2 3 5" xfId="22224"/>
    <cellStyle name="Normal 5 6 3 2 3 6" xfId="22225"/>
    <cellStyle name="Normal 5 6 3 2 3 7" xfId="22226"/>
    <cellStyle name="Normal 5 6 3 2 4" xfId="22227"/>
    <cellStyle name="Normal 5 6 3 2 4 2" xfId="22228"/>
    <cellStyle name="Normal 5 6 3 2 4 3" xfId="22229"/>
    <cellStyle name="Normal 5 6 3 2 5" xfId="22230"/>
    <cellStyle name="Normal 5 6 3 2 5 2" xfId="22231"/>
    <cellStyle name="Normal 5 6 3 2 5 3" xfId="22232"/>
    <cellStyle name="Normal 5 6 3 2 6" xfId="22233"/>
    <cellStyle name="Normal 5 6 3 2 7" xfId="22234"/>
    <cellStyle name="Normal 5 6 3 2 8" xfId="22235"/>
    <cellStyle name="Normal 5 6 3 2 9" xfId="22236"/>
    <cellStyle name="Normal 5 6 3 3" xfId="22237"/>
    <cellStyle name="Normal 5 6 3 3 2" xfId="22238"/>
    <cellStyle name="Normal 5 6 3 3 2 2" xfId="22239"/>
    <cellStyle name="Normal 5 6 3 3 2 2 2" xfId="22240"/>
    <cellStyle name="Normal 5 6 3 3 2 2 3" xfId="22241"/>
    <cellStyle name="Normal 5 6 3 3 2 3" xfId="22242"/>
    <cellStyle name="Normal 5 6 3 3 2 3 2" xfId="22243"/>
    <cellStyle name="Normal 5 6 3 3 2 3 3" xfId="22244"/>
    <cellStyle name="Normal 5 6 3 3 2 4" xfId="22245"/>
    <cellStyle name="Normal 5 6 3 3 2 5" xfId="22246"/>
    <cellStyle name="Normal 5 6 3 3 2 6" xfId="22247"/>
    <cellStyle name="Normal 5 6 3 3 2 7" xfId="22248"/>
    <cellStyle name="Normal 5 6 3 3 3" xfId="22249"/>
    <cellStyle name="Normal 5 6 3 3 3 2" xfId="22250"/>
    <cellStyle name="Normal 5 6 3 3 3 3" xfId="22251"/>
    <cellStyle name="Normal 5 6 3 3 4" xfId="22252"/>
    <cellStyle name="Normal 5 6 3 3 4 2" xfId="22253"/>
    <cellStyle name="Normal 5 6 3 3 4 3" xfId="22254"/>
    <cellStyle name="Normal 5 6 3 3 5" xfId="22255"/>
    <cellStyle name="Normal 5 6 3 3 6" xfId="22256"/>
    <cellStyle name="Normal 5 6 3 3 7" xfId="22257"/>
    <cellStyle name="Normal 5 6 3 3 8" xfId="22258"/>
    <cellStyle name="Normal 5 6 3 4" xfId="22259"/>
    <cellStyle name="Normal 5 6 3 4 2" xfId="22260"/>
    <cellStyle name="Normal 5 6 3 4 2 2" xfId="22261"/>
    <cellStyle name="Normal 5 6 3 4 2 2 2" xfId="22262"/>
    <cellStyle name="Normal 5 6 3 4 2 2 3" xfId="22263"/>
    <cellStyle name="Normal 5 6 3 4 2 3" xfId="22264"/>
    <cellStyle name="Normal 5 6 3 4 2 3 2" xfId="22265"/>
    <cellStyle name="Normal 5 6 3 4 2 3 3" xfId="22266"/>
    <cellStyle name="Normal 5 6 3 4 2 4" xfId="22267"/>
    <cellStyle name="Normal 5 6 3 4 2 5" xfId="22268"/>
    <cellStyle name="Normal 5 6 3 4 2 6" xfId="22269"/>
    <cellStyle name="Normal 5 6 3 4 2 7" xfId="22270"/>
    <cellStyle name="Normal 5 6 3 4 3" xfId="22271"/>
    <cellStyle name="Normal 5 6 3 4 3 2" xfId="22272"/>
    <cellStyle name="Normal 5 6 3 4 3 3" xfId="22273"/>
    <cellStyle name="Normal 5 6 3 4 4" xfId="22274"/>
    <cellStyle name="Normal 5 6 3 4 4 2" xfId="22275"/>
    <cellStyle name="Normal 5 6 3 4 4 3" xfId="22276"/>
    <cellStyle name="Normal 5 6 3 4 5" xfId="22277"/>
    <cellStyle name="Normal 5 6 3 4 6" xfId="22278"/>
    <cellStyle name="Normal 5 6 3 4 7" xfId="22279"/>
    <cellStyle name="Normal 5 6 3 4 8" xfId="22280"/>
    <cellStyle name="Normal 5 6 3 5" xfId="22281"/>
    <cellStyle name="Normal 5 6 3 5 2" xfId="22282"/>
    <cellStyle name="Normal 5 6 3 5 2 2" xfId="22283"/>
    <cellStyle name="Normal 5 6 3 5 2 3" xfId="22284"/>
    <cellStyle name="Normal 5 6 3 5 3" xfId="22285"/>
    <cellStyle name="Normal 5 6 3 5 3 2" xfId="22286"/>
    <cellStyle name="Normal 5 6 3 5 3 3" xfId="22287"/>
    <cellStyle name="Normal 5 6 3 5 4" xfId="22288"/>
    <cellStyle name="Normal 5 6 3 5 5" xfId="22289"/>
    <cellStyle name="Normal 5 6 3 5 6" xfId="22290"/>
    <cellStyle name="Normal 5 6 3 5 7" xfId="22291"/>
    <cellStyle name="Normal 5 6 3 6" xfId="22292"/>
    <cellStyle name="Normal 5 6 3 6 2" xfId="22293"/>
    <cellStyle name="Normal 5 6 3 7" xfId="22294"/>
    <cellStyle name="Normal 5 6 3 7 2" xfId="22295"/>
    <cellStyle name="Normal 5 6 3 7 3" xfId="22296"/>
    <cellStyle name="Normal 5 6 3 8" xfId="22297"/>
    <cellStyle name="Normal 5 6 3 8 2" xfId="22298"/>
    <cellStyle name="Normal 5 6 3 8 3" xfId="22299"/>
    <cellStyle name="Normal 5 6 3 9" xfId="22300"/>
    <cellStyle name="Normal 5 6 4" xfId="22301"/>
    <cellStyle name="Normal 5 6 4 10" xfId="22302"/>
    <cellStyle name="Normal 5 6 4 11" xfId="22303"/>
    <cellStyle name="Normal 5 6 4 12" xfId="22304"/>
    <cellStyle name="Normal 5 6 4 2" xfId="22305"/>
    <cellStyle name="Normal 5 6 4 2 2" xfId="22306"/>
    <cellStyle name="Normal 5 6 4 2 2 2" xfId="22307"/>
    <cellStyle name="Normal 5 6 4 2 2 2 2" xfId="22308"/>
    <cellStyle name="Normal 5 6 4 2 2 2 2 2" xfId="22309"/>
    <cellStyle name="Normal 5 6 4 2 2 2 2 3" xfId="22310"/>
    <cellStyle name="Normal 5 6 4 2 2 2 3" xfId="22311"/>
    <cellStyle name="Normal 5 6 4 2 2 2 3 2" xfId="22312"/>
    <cellStyle name="Normal 5 6 4 2 2 2 3 3" xfId="22313"/>
    <cellStyle name="Normal 5 6 4 2 2 2 4" xfId="22314"/>
    <cellStyle name="Normal 5 6 4 2 2 2 5" xfId="22315"/>
    <cellStyle name="Normal 5 6 4 2 2 2 6" xfId="22316"/>
    <cellStyle name="Normal 5 6 4 2 2 2 7" xfId="22317"/>
    <cellStyle name="Normal 5 6 4 2 2 3" xfId="22318"/>
    <cellStyle name="Normal 5 6 4 2 2 3 2" xfId="22319"/>
    <cellStyle name="Normal 5 6 4 2 2 3 3" xfId="22320"/>
    <cellStyle name="Normal 5 6 4 2 2 4" xfId="22321"/>
    <cellStyle name="Normal 5 6 4 2 2 4 2" xfId="22322"/>
    <cellStyle name="Normal 5 6 4 2 2 4 3" xfId="22323"/>
    <cellStyle name="Normal 5 6 4 2 2 5" xfId="22324"/>
    <cellStyle name="Normal 5 6 4 2 2 6" xfId="22325"/>
    <cellStyle name="Normal 5 6 4 2 2 7" xfId="22326"/>
    <cellStyle name="Normal 5 6 4 2 2 8" xfId="22327"/>
    <cellStyle name="Normal 5 6 4 2 3" xfId="22328"/>
    <cellStyle name="Normal 5 6 4 2 3 2" xfId="22329"/>
    <cellStyle name="Normal 5 6 4 2 3 2 2" xfId="22330"/>
    <cellStyle name="Normal 5 6 4 2 3 2 3" xfId="22331"/>
    <cellStyle name="Normal 5 6 4 2 3 3" xfId="22332"/>
    <cellStyle name="Normal 5 6 4 2 3 3 2" xfId="22333"/>
    <cellStyle name="Normal 5 6 4 2 3 3 3" xfId="22334"/>
    <cellStyle name="Normal 5 6 4 2 3 4" xfId="22335"/>
    <cellStyle name="Normal 5 6 4 2 3 5" xfId="22336"/>
    <cellStyle name="Normal 5 6 4 2 3 6" xfId="22337"/>
    <cellStyle name="Normal 5 6 4 2 3 7" xfId="22338"/>
    <cellStyle name="Normal 5 6 4 2 4" xfId="22339"/>
    <cellStyle name="Normal 5 6 4 2 4 2" xfId="22340"/>
    <cellStyle name="Normal 5 6 4 2 4 3" xfId="22341"/>
    <cellStyle name="Normal 5 6 4 2 5" xfId="22342"/>
    <cellStyle name="Normal 5 6 4 2 5 2" xfId="22343"/>
    <cellStyle name="Normal 5 6 4 2 5 3" xfId="22344"/>
    <cellStyle name="Normal 5 6 4 2 6" xfId="22345"/>
    <cellStyle name="Normal 5 6 4 2 7" xfId="22346"/>
    <cellStyle name="Normal 5 6 4 2 8" xfId="22347"/>
    <cellStyle name="Normal 5 6 4 2 9" xfId="22348"/>
    <cellStyle name="Normal 5 6 4 3" xfId="22349"/>
    <cellStyle name="Normal 5 6 4 3 2" xfId="22350"/>
    <cellStyle name="Normal 5 6 4 3 2 2" xfId="22351"/>
    <cellStyle name="Normal 5 6 4 3 2 2 2" xfId="22352"/>
    <cellStyle name="Normal 5 6 4 3 2 2 3" xfId="22353"/>
    <cellStyle name="Normal 5 6 4 3 2 3" xfId="22354"/>
    <cellStyle name="Normal 5 6 4 3 2 3 2" xfId="22355"/>
    <cellStyle name="Normal 5 6 4 3 2 3 3" xfId="22356"/>
    <cellStyle name="Normal 5 6 4 3 2 4" xfId="22357"/>
    <cellStyle name="Normal 5 6 4 3 2 5" xfId="22358"/>
    <cellStyle name="Normal 5 6 4 3 2 6" xfId="22359"/>
    <cellStyle name="Normal 5 6 4 3 2 7" xfId="22360"/>
    <cellStyle name="Normal 5 6 4 3 3" xfId="22361"/>
    <cellStyle name="Normal 5 6 4 3 3 2" xfId="22362"/>
    <cellStyle name="Normal 5 6 4 3 3 3" xfId="22363"/>
    <cellStyle name="Normal 5 6 4 3 4" xfId="22364"/>
    <cellStyle name="Normal 5 6 4 3 4 2" xfId="22365"/>
    <cellStyle name="Normal 5 6 4 3 4 3" xfId="22366"/>
    <cellStyle name="Normal 5 6 4 3 5" xfId="22367"/>
    <cellStyle name="Normal 5 6 4 3 6" xfId="22368"/>
    <cellStyle name="Normal 5 6 4 3 7" xfId="22369"/>
    <cellStyle name="Normal 5 6 4 3 8" xfId="22370"/>
    <cellStyle name="Normal 5 6 4 4" xfId="22371"/>
    <cellStyle name="Normal 5 6 4 4 2" xfId="22372"/>
    <cellStyle name="Normal 5 6 4 4 2 2" xfId="22373"/>
    <cellStyle name="Normal 5 6 4 4 2 2 2" xfId="22374"/>
    <cellStyle name="Normal 5 6 4 4 2 2 3" xfId="22375"/>
    <cellStyle name="Normal 5 6 4 4 2 3" xfId="22376"/>
    <cellStyle name="Normal 5 6 4 4 2 3 2" xfId="22377"/>
    <cellStyle name="Normal 5 6 4 4 2 3 3" xfId="22378"/>
    <cellStyle name="Normal 5 6 4 4 2 4" xfId="22379"/>
    <cellStyle name="Normal 5 6 4 4 2 5" xfId="22380"/>
    <cellStyle name="Normal 5 6 4 4 2 6" xfId="22381"/>
    <cellStyle name="Normal 5 6 4 4 2 7" xfId="22382"/>
    <cellStyle name="Normal 5 6 4 4 3" xfId="22383"/>
    <cellStyle name="Normal 5 6 4 4 3 2" xfId="22384"/>
    <cellStyle name="Normal 5 6 4 4 3 3" xfId="22385"/>
    <cellStyle name="Normal 5 6 4 4 4" xfId="22386"/>
    <cellStyle name="Normal 5 6 4 4 4 2" xfId="22387"/>
    <cellStyle name="Normal 5 6 4 4 4 3" xfId="22388"/>
    <cellStyle name="Normal 5 6 4 4 5" xfId="22389"/>
    <cellStyle name="Normal 5 6 4 4 6" xfId="22390"/>
    <cellStyle name="Normal 5 6 4 4 7" xfId="22391"/>
    <cellStyle name="Normal 5 6 4 4 8" xfId="22392"/>
    <cellStyle name="Normal 5 6 4 5" xfId="22393"/>
    <cellStyle name="Normal 5 6 4 5 2" xfId="22394"/>
    <cellStyle name="Normal 5 6 4 5 2 2" xfId="22395"/>
    <cellStyle name="Normal 5 6 4 5 2 3" xfId="22396"/>
    <cellStyle name="Normal 5 6 4 5 3" xfId="22397"/>
    <cellStyle name="Normal 5 6 4 5 3 2" xfId="22398"/>
    <cellStyle name="Normal 5 6 4 5 3 3" xfId="22399"/>
    <cellStyle name="Normal 5 6 4 5 4" xfId="22400"/>
    <cellStyle name="Normal 5 6 4 5 5" xfId="22401"/>
    <cellStyle name="Normal 5 6 4 5 6" xfId="22402"/>
    <cellStyle name="Normal 5 6 4 5 7" xfId="22403"/>
    <cellStyle name="Normal 5 6 4 6" xfId="22404"/>
    <cellStyle name="Normal 5 6 4 6 2" xfId="22405"/>
    <cellStyle name="Normal 5 6 4 7" xfId="22406"/>
    <cellStyle name="Normal 5 6 4 7 2" xfId="22407"/>
    <cellStyle name="Normal 5 6 4 7 3" xfId="22408"/>
    <cellStyle name="Normal 5 6 4 8" xfId="22409"/>
    <cellStyle name="Normal 5 6 4 8 2" xfId="22410"/>
    <cellStyle name="Normal 5 6 4 8 3" xfId="22411"/>
    <cellStyle name="Normal 5 6 4 9" xfId="22412"/>
    <cellStyle name="Normal 5 6 5" xfId="22413"/>
    <cellStyle name="Normal 5 6 5 10" xfId="22414"/>
    <cellStyle name="Normal 5 6 5 11" xfId="22415"/>
    <cellStyle name="Normal 5 6 5 12" xfId="22416"/>
    <cellStyle name="Normal 5 6 5 2" xfId="22417"/>
    <cellStyle name="Normal 5 6 5 2 2" xfId="22418"/>
    <cellStyle name="Normal 5 6 5 2 2 2" xfId="22419"/>
    <cellStyle name="Normal 5 6 5 2 2 2 2" xfId="22420"/>
    <cellStyle name="Normal 5 6 5 2 2 2 2 2" xfId="22421"/>
    <cellStyle name="Normal 5 6 5 2 2 2 2 3" xfId="22422"/>
    <cellStyle name="Normal 5 6 5 2 2 2 3" xfId="22423"/>
    <cellStyle name="Normal 5 6 5 2 2 2 3 2" xfId="22424"/>
    <cellStyle name="Normal 5 6 5 2 2 2 3 3" xfId="22425"/>
    <cellStyle name="Normal 5 6 5 2 2 2 4" xfId="22426"/>
    <cellStyle name="Normal 5 6 5 2 2 2 5" xfId="22427"/>
    <cellStyle name="Normal 5 6 5 2 2 2 6" xfId="22428"/>
    <cellStyle name="Normal 5 6 5 2 2 2 7" xfId="22429"/>
    <cellStyle name="Normal 5 6 5 2 2 3" xfId="22430"/>
    <cellStyle name="Normal 5 6 5 2 2 3 2" xfId="22431"/>
    <cellStyle name="Normal 5 6 5 2 2 3 3" xfId="22432"/>
    <cellStyle name="Normal 5 6 5 2 2 4" xfId="22433"/>
    <cellStyle name="Normal 5 6 5 2 2 4 2" xfId="22434"/>
    <cellStyle name="Normal 5 6 5 2 2 4 3" xfId="22435"/>
    <cellStyle name="Normal 5 6 5 2 2 5" xfId="22436"/>
    <cellStyle name="Normal 5 6 5 2 2 6" xfId="22437"/>
    <cellStyle name="Normal 5 6 5 2 2 7" xfId="22438"/>
    <cellStyle name="Normal 5 6 5 2 2 8" xfId="22439"/>
    <cellStyle name="Normal 5 6 5 2 3" xfId="22440"/>
    <cellStyle name="Normal 5 6 5 2 3 2" xfId="22441"/>
    <cellStyle name="Normal 5 6 5 2 3 2 2" xfId="22442"/>
    <cellStyle name="Normal 5 6 5 2 3 2 3" xfId="22443"/>
    <cellStyle name="Normal 5 6 5 2 3 3" xfId="22444"/>
    <cellStyle name="Normal 5 6 5 2 3 3 2" xfId="22445"/>
    <cellStyle name="Normal 5 6 5 2 3 3 3" xfId="22446"/>
    <cellStyle name="Normal 5 6 5 2 3 4" xfId="22447"/>
    <cellStyle name="Normal 5 6 5 2 3 5" xfId="22448"/>
    <cellStyle name="Normal 5 6 5 2 3 6" xfId="22449"/>
    <cellStyle name="Normal 5 6 5 2 3 7" xfId="22450"/>
    <cellStyle name="Normal 5 6 5 2 4" xfId="22451"/>
    <cellStyle name="Normal 5 6 5 2 4 2" xfId="22452"/>
    <cellStyle name="Normal 5 6 5 2 4 3" xfId="22453"/>
    <cellStyle name="Normal 5 6 5 2 5" xfId="22454"/>
    <cellStyle name="Normal 5 6 5 2 5 2" xfId="22455"/>
    <cellStyle name="Normal 5 6 5 2 5 3" xfId="22456"/>
    <cellStyle name="Normal 5 6 5 2 6" xfId="22457"/>
    <cellStyle name="Normal 5 6 5 2 7" xfId="22458"/>
    <cellStyle name="Normal 5 6 5 2 8" xfId="22459"/>
    <cellStyle name="Normal 5 6 5 2 9" xfId="22460"/>
    <cellStyle name="Normal 5 6 5 3" xfId="22461"/>
    <cellStyle name="Normal 5 6 5 3 2" xfId="22462"/>
    <cellStyle name="Normal 5 6 5 3 2 2" xfId="22463"/>
    <cellStyle name="Normal 5 6 5 3 2 2 2" xfId="22464"/>
    <cellStyle name="Normal 5 6 5 3 2 2 3" xfId="22465"/>
    <cellStyle name="Normal 5 6 5 3 2 3" xfId="22466"/>
    <cellStyle name="Normal 5 6 5 3 2 3 2" xfId="22467"/>
    <cellStyle name="Normal 5 6 5 3 2 3 3" xfId="22468"/>
    <cellStyle name="Normal 5 6 5 3 2 4" xfId="22469"/>
    <cellStyle name="Normal 5 6 5 3 2 5" xfId="22470"/>
    <cellStyle name="Normal 5 6 5 3 2 6" xfId="22471"/>
    <cellStyle name="Normal 5 6 5 3 2 7" xfId="22472"/>
    <cellStyle name="Normal 5 6 5 3 3" xfId="22473"/>
    <cellStyle name="Normal 5 6 5 3 3 2" xfId="22474"/>
    <cellStyle name="Normal 5 6 5 3 3 3" xfId="22475"/>
    <cellStyle name="Normal 5 6 5 3 4" xfId="22476"/>
    <cellStyle name="Normal 5 6 5 3 4 2" xfId="22477"/>
    <cellStyle name="Normal 5 6 5 3 4 3" xfId="22478"/>
    <cellStyle name="Normal 5 6 5 3 5" xfId="22479"/>
    <cellStyle name="Normal 5 6 5 3 6" xfId="22480"/>
    <cellStyle name="Normal 5 6 5 3 7" xfId="22481"/>
    <cellStyle name="Normal 5 6 5 3 8" xfId="22482"/>
    <cellStyle name="Normal 5 6 5 4" xfId="22483"/>
    <cellStyle name="Normal 5 6 5 4 2" xfId="22484"/>
    <cellStyle name="Normal 5 6 5 4 2 2" xfId="22485"/>
    <cellStyle name="Normal 5 6 5 4 2 2 2" xfId="22486"/>
    <cellStyle name="Normal 5 6 5 4 2 2 3" xfId="22487"/>
    <cellStyle name="Normal 5 6 5 4 2 3" xfId="22488"/>
    <cellStyle name="Normal 5 6 5 4 2 3 2" xfId="22489"/>
    <cellStyle name="Normal 5 6 5 4 2 3 3" xfId="22490"/>
    <cellStyle name="Normal 5 6 5 4 2 4" xfId="22491"/>
    <cellStyle name="Normal 5 6 5 4 2 5" xfId="22492"/>
    <cellStyle name="Normal 5 6 5 4 2 6" xfId="22493"/>
    <cellStyle name="Normal 5 6 5 4 2 7" xfId="22494"/>
    <cellStyle name="Normal 5 6 5 4 3" xfId="22495"/>
    <cellStyle name="Normal 5 6 5 4 3 2" xfId="22496"/>
    <cellStyle name="Normal 5 6 5 4 3 3" xfId="22497"/>
    <cellStyle name="Normal 5 6 5 4 4" xfId="22498"/>
    <cellStyle name="Normal 5 6 5 4 4 2" xfId="22499"/>
    <cellStyle name="Normal 5 6 5 4 4 3" xfId="22500"/>
    <cellStyle name="Normal 5 6 5 4 5" xfId="22501"/>
    <cellStyle name="Normal 5 6 5 4 6" xfId="22502"/>
    <cellStyle name="Normal 5 6 5 4 7" xfId="22503"/>
    <cellStyle name="Normal 5 6 5 4 8" xfId="22504"/>
    <cellStyle name="Normal 5 6 5 5" xfId="22505"/>
    <cellStyle name="Normal 5 6 5 5 2" xfId="22506"/>
    <cellStyle name="Normal 5 6 5 5 2 2" xfId="22507"/>
    <cellStyle name="Normal 5 6 5 5 2 3" xfId="22508"/>
    <cellStyle name="Normal 5 6 5 5 3" xfId="22509"/>
    <cellStyle name="Normal 5 6 5 5 3 2" xfId="22510"/>
    <cellStyle name="Normal 5 6 5 5 3 3" xfId="22511"/>
    <cellStyle name="Normal 5 6 5 5 4" xfId="22512"/>
    <cellStyle name="Normal 5 6 5 5 5" xfId="22513"/>
    <cellStyle name="Normal 5 6 5 5 6" xfId="22514"/>
    <cellStyle name="Normal 5 6 5 5 7" xfId="22515"/>
    <cellStyle name="Normal 5 6 5 6" xfId="22516"/>
    <cellStyle name="Normal 5 6 5 6 2" xfId="22517"/>
    <cellStyle name="Normal 5 6 5 7" xfId="22518"/>
    <cellStyle name="Normal 5 6 5 7 2" xfId="22519"/>
    <cellStyle name="Normal 5 6 5 7 3" xfId="22520"/>
    <cellStyle name="Normal 5 6 5 8" xfId="22521"/>
    <cellStyle name="Normal 5 6 5 8 2" xfId="22522"/>
    <cellStyle name="Normal 5 6 5 8 3" xfId="22523"/>
    <cellStyle name="Normal 5 6 5 9" xfId="22524"/>
    <cellStyle name="Normal 5 6 6" xfId="22525"/>
    <cellStyle name="Normal 5 6 6 10" xfId="22526"/>
    <cellStyle name="Normal 5 6 6 2" xfId="22527"/>
    <cellStyle name="Normal 5 6 6 2 2" xfId="22528"/>
    <cellStyle name="Normal 5 6 6 2 2 2" xfId="22529"/>
    <cellStyle name="Normal 5 6 6 2 2 2 2" xfId="22530"/>
    <cellStyle name="Normal 5 6 6 2 2 2 3" xfId="22531"/>
    <cellStyle name="Normal 5 6 6 2 2 3" xfId="22532"/>
    <cellStyle name="Normal 5 6 6 2 2 3 2" xfId="22533"/>
    <cellStyle name="Normal 5 6 6 2 2 3 3" xfId="22534"/>
    <cellStyle name="Normal 5 6 6 2 2 4" xfId="22535"/>
    <cellStyle name="Normal 5 6 6 2 2 5" xfId="22536"/>
    <cellStyle name="Normal 5 6 6 2 2 6" xfId="22537"/>
    <cellStyle name="Normal 5 6 6 2 2 7" xfId="22538"/>
    <cellStyle name="Normal 5 6 6 2 3" xfId="22539"/>
    <cellStyle name="Normal 5 6 6 2 3 2" xfId="22540"/>
    <cellStyle name="Normal 5 6 6 2 3 3" xfId="22541"/>
    <cellStyle name="Normal 5 6 6 2 4" xfId="22542"/>
    <cellStyle name="Normal 5 6 6 2 4 2" xfId="22543"/>
    <cellStyle name="Normal 5 6 6 2 4 3" xfId="22544"/>
    <cellStyle name="Normal 5 6 6 2 5" xfId="22545"/>
    <cellStyle name="Normal 5 6 6 2 6" xfId="22546"/>
    <cellStyle name="Normal 5 6 6 2 7" xfId="22547"/>
    <cellStyle name="Normal 5 6 6 2 8" xfId="22548"/>
    <cellStyle name="Normal 5 6 6 3" xfId="22549"/>
    <cellStyle name="Normal 5 6 6 3 2" xfId="22550"/>
    <cellStyle name="Normal 5 6 6 3 2 2" xfId="22551"/>
    <cellStyle name="Normal 5 6 6 3 2 3" xfId="22552"/>
    <cellStyle name="Normal 5 6 6 3 3" xfId="22553"/>
    <cellStyle name="Normal 5 6 6 3 3 2" xfId="22554"/>
    <cellStyle name="Normal 5 6 6 3 3 3" xfId="22555"/>
    <cellStyle name="Normal 5 6 6 3 4" xfId="22556"/>
    <cellStyle name="Normal 5 6 6 3 5" xfId="22557"/>
    <cellStyle name="Normal 5 6 6 3 6" xfId="22558"/>
    <cellStyle name="Normal 5 6 6 3 7" xfId="22559"/>
    <cellStyle name="Normal 5 6 6 4" xfId="22560"/>
    <cellStyle name="Normal 5 6 6 4 2" xfId="22561"/>
    <cellStyle name="Normal 5 6 6 5" xfId="22562"/>
    <cellStyle name="Normal 5 6 6 5 2" xfId="22563"/>
    <cellStyle name="Normal 5 6 6 5 3" xfId="22564"/>
    <cellStyle name="Normal 5 6 6 6" xfId="22565"/>
    <cellStyle name="Normal 5 6 6 6 2" xfId="22566"/>
    <cellStyle name="Normal 5 6 6 6 3" xfId="22567"/>
    <cellStyle name="Normal 5 6 6 7" xfId="22568"/>
    <cellStyle name="Normal 5 6 6 8" xfId="22569"/>
    <cellStyle name="Normal 5 6 6 9" xfId="22570"/>
    <cellStyle name="Normal 5 6 7" xfId="22571"/>
    <cellStyle name="Normal 5 6 7 2" xfId="22572"/>
    <cellStyle name="Normal 5 6 7 2 2" xfId="22573"/>
    <cellStyle name="Normal 5 6 7 2 2 2" xfId="22574"/>
    <cellStyle name="Normal 5 6 7 2 2 3" xfId="22575"/>
    <cellStyle name="Normal 5 6 7 2 3" xfId="22576"/>
    <cellStyle name="Normal 5 6 7 2 3 2" xfId="22577"/>
    <cellStyle name="Normal 5 6 7 2 3 3" xfId="22578"/>
    <cellStyle name="Normal 5 6 7 2 4" xfId="22579"/>
    <cellStyle name="Normal 5 6 7 2 5" xfId="22580"/>
    <cellStyle name="Normal 5 6 7 2 6" xfId="22581"/>
    <cellStyle name="Normal 5 6 7 2 7" xfId="22582"/>
    <cellStyle name="Normal 5 6 7 3" xfId="22583"/>
    <cellStyle name="Normal 5 6 7 3 2" xfId="22584"/>
    <cellStyle name="Normal 5 6 7 4" xfId="22585"/>
    <cellStyle name="Normal 5 6 7 4 2" xfId="22586"/>
    <cellStyle name="Normal 5 6 7 4 3" xfId="22587"/>
    <cellStyle name="Normal 5 6 7 5" xfId="22588"/>
    <cellStyle name="Normal 5 6 7 5 2" xfId="22589"/>
    <cellStyle name="Normal 5 6 7 5 3" xfId="22590"/>
    <cellStyle name="Normal 5 6 7 6" xfId="22591"/>
    <cellStyle name="Normal 5 6 7 7" xfId="22592"/>
    <cellStyle name="Normal 5 6 7 8" xfId="22593"/>
    <cellStyle name="Normal 5 6 7 9" xfId="22594"/>
    <cellStyle name="Normal 5 6 8" xfId="22595"/>
    <cellStyle name="Normal 5 6 8 2" xfId="22596"/>
    <cellStyle name="Normal 5 6 8 2 2" xfId="22597"/>
    <cellStyle name="Normal 5 6 8 2 2 2" xfId="22598"/>
    <cellStyle name="Normal 5 6 8 2 2 3" xfId="22599"/>
    <cellStyle name="Normal 5 6 8 2 3" xfId="22600"/>
    <cellStyle name="Normal 5 6 8 2 3 2" xfId="22601"/>
    <cellStyle name="Normal 5 6 8 2 3 3" xfId="22602"/>
    <cellStyle name="Normal 5 6 8 2 4" xfId="22603"/>
    <cellStyle name="Normal 5 6 8 2 5" xfId="22604"/>
    <cellStyle name="Normal 5 6 8 2 6" xfId="22605"/>
    <cellStyle name="Normal 5 6 8 2 7" xfId="22606"/>
    <cellStyle name="Normal 5 6 8 3" xfId="22607"/>
    <cellStyle name="Normal 5 6 8 3 2" xfId="22608"/>
    <cellStyle name="Normal 5 6 8 4" xfId="22609"/>
    <cellStyle name="Normal 5 6 8 4 2" xfId="22610"/>
    <cellStyle name="Normal 5 6 8 4 3" xfId="22611"/>
    <cellStyle name="Normal 5 6 8 5" xfId="22612"/>
    <cellStyle name="Normal 5 6 8 5 2" xfId="22613"/>
    <cellStyle name="Normal 5 6 8 5 3" xfId="22614"/>
    <cellStyle name="Normal 5 6 8 6" xfId="22615"/>
    <cellStyle name="Normal 5 6 8 7" xfId="22616"/>
    <cellStyle name="Normal 5 6 8 8" xfId="22617"/>
    <cellStyle name="Normal 5 6 8 9" xfId="22618"/>
    <cellStyle name="Normal 5 6 9" xfId="22619"/>
    <cellStyle name="Normal 5 6 9 2" xfId="22620"/>
    <cellStyle name="Normal 5 6 9 2 2" xfId="22621"/>
    <cellStyle name="Normal 5 6 9 2 3" xfId="22622"/>
    <cellStyle name="Normal 5 6 9 3" xfId="22623"/>
    <cellStyle name="Normal 5 6 9 3 2" xfId="22624"/>
    <cellStyle name="Normal 5 6 9 3 3" xfId="22625"/>
    <cellStyle name="Normal 5 6 9 4" xfId="22626"/>
    <cellStyle name="Normal 5 6 9 5" xfId="22627"/>
    <cellStyle name="Normal 5 6 9 6" xfId="22628"/>
    <cellStyle name="Normal 5 6 9 7" xfId="22629"/>
    <cellStyle name="Normal 5 7" xfId="22630"/>
    <cellStyle name="Normal 5 7 10" xfId="22631"/>
    <cellStyle name="Normal 5 7 11" xfId="22632"/>
    <cellStyle name="Normal 5 7 12" xfId="22633"/>
    <cellStyle name="Normal 5 7 13" xfId="22634"/>
    <cellStyle name="Normal 5 7 14" xfId="22635"/>
    <cellStyle name="Normal 5 7 15" xfId="22636"/>
    <cellStyle name="Normal 5 7 16" xfId="22637"/>
    <cellStyle name="Normal 5 7 17" xfId="22638"/>
    <cellStyle name="Normal 5 7 18" xfId="22639"/>
    <cellStyle name="Normal 5 7 2" xfId="22640"/>
    <cellStyle name="Normal 5 7 2 2" xfId="22641"/>
    <cellStyle name="Normal 5 7 2 3" xfId="22642"/>
    <cellStyle name="Normal 5 7 3" xfId="22643"/>
    <cellStyle name="Normal 5 7 3 2" xfId="22644"/>
    <cellStyle name="Normal 5 7 3 3" xfId="22645"/>
    <cellStyle name="Normal 5 7 4" xfId="22646"/>
    <cellStyle name="Normal 5 7 4 2" xfId="22647"/>
    <cellStyle name="Normal 5 7 4 3" xfId="22648"/>
    <cellStyle name="Normal 5 7 5" xfId="22649"/>
    <cellStyle name="Normal 5 7 5 2" xfId="22650"/>
    <cellStyle name="Normal 5 7 5 3" xfId="22651"/>
    <cellStyle name="Normal 5 7 6" xfId="22652"/>
    <cellStyle name="Normal 5 7 6 2" xfId="22653"/>
    <cellStyle name="Normal 5 7 6 3" xfId="22654"/>
    <cellStyle name="Normal 5 7 7" xfId="22655"/>
    <cellStyle name="Normal 5 7 7 2" xfId="22656"/>
    <cellStyle name="Normal 5 7 8" xfId="22657"/>
    <cellStyle name="Normal 5 7 8 2" xfId="22658"/>
    <cellStyle name="Normal 5 7 9" xfId="22659"/>
    <cellStyle name="Normal 5 8" xfId="22660"/>
    <cellStyle name="Normal 5 8 10" xfId="22661"/>
    <cellStyle name="Normal 5 8 11" xfId="22662"/>
    <cellStyle name="Normal 5 8 12" xfId="22663"/>
    <cellStyle name="Normal 5 8 13" xfId="22664"/>
    <cellStyle name="Normal 5 8 14" xfId="22665"/>
    <cellStyle name="Normal 5 8 15" xfId="22666"/>
    <cellStyle name="Normal 5 8 16" xfId="22667"/>
    <cellStyle name="Normal 5 8 17" xfId="22668"/>
    <cellStyle name="Normal 5 8 18" xfId="22669"/>
    <cellStyle name="Normal 5 8 2" xfId="22670"/>
    <cellStyle name="Normal 5 8 2 2" xfId="22671"/>
    <cellStyle name="Normal 5 8 2 3" xfId="22672"/>
    <cellStyle name="Normal 5 8 3" xfId="22673"/>
    <cellStyle name="Normal 5 8 3 2" xfId="22674"/>
    <cellStyle name="Normal 5 8 3 3" xfId="22675"/>
    <cellStyle name="Normal 5 8 4" xfId="22676"/>
    <cellStyle name="Normal 5 8 4 2" xfId="22677"/>
    <cellStyle name="Normal 5 8 4 3" xfId="22678"/>
    <cellStyle name="Normal 5 8 5" xfId="22679"/>
    <cellStyle name="Normal 5 8 5 2" xfId="22680"/>
    <cellStyle name="Normal 5 8 5 3" xfId="22681"/>
    <cellStyle name="Normal 5 8 6" xfId="22682"/>
    <cellStyle name="Normal 5 8 6 2" xfId="22683"/>
    <cellStyle name="Normal 5 8 6 3" xfId="22684"/>
    <cellStyle name="Normal 5 8 7" xfId="22685"/>
    <cellStyle name="Normal 5 8 7 2" xfId="22686"/>
    <cellStyle name="Normal 5 8 8" xfId="22687"/>
    <cellStyle name="Normal 5 8 8 2" xfId="22688"/>
    <cellStyle name="Normal 5 8 9" xfId="22689"/>
    <cellStyle name="Normal 5 9" xfId="22690"/>
    <cellStyle name="Normal 5 9 10" xfId="22691"/>
    <cellStyle name="Normal 5 9 11" xfId="22692"/>
    <cellStyle name="Normal 5 9 12" xfId="22693"/>
    <cellStyle name="Normal 5 9 13" xfId="22694"/>
    <cellStyle name="Normal 5 9 14" xfId="22695"/>
    <cellStyle name="Normal 5 9 15" xfId="22696"/>
    <cellStyle name="Normal 5 9 16" xfId="22697"/>
    <cellStyle name="Normal 5 9 17" xfId="22698"/>
    <cellStyle name="Normal 5 9 18" xfId="22699"/>
    <cellStyle name="Normal 5 9 2" xfId="22700"/>
    <cellStyle name="Normal 5 9 2 2" xfId="22701"/>
    <cellStyle name="Normal 5 9 2 3" xfId="22702"/>
    <cellStyle name="Normal 5 9 3" xfId="22703"/>
    <cellStyle name="Normal 5 9 3 2" xfId="22704"/>
    <cellStyle name="Normal 5 9 3 3" xfId="22705"/>
    <cellStyle name="Normal 5 9 4" xfId="22706"/>
    <cellStyle name="Normal 5 9 4 2" xfId="22707"/>
    <cellStyle name="Normal 5 9 4 3" xfId="22708"/>
    <cellStyle name="Normal 5 9 5" xfId="22709"/>
    <cellStyle name="Normal 5 9 5 2" xfId="22710"/>
    <cellStyle name="Normal 5 9 5 3" xfId="22711"/>
    <cellStyle name="Normal 5 9 6" xfId="22712"/>
    <cellStyle name="Normal 5 9 6 2" xfId="22713"/>
    <cellStyle name="Normal 5 9 6 3" xfId="22714"/>
    <cellStyle name="Normal 5 9 7" xfId="22715"/>
    <cellStyle name="Normal 5 9 7 2" xfId="22716"/>
    <cellStyle name="Normal 5 9 8" xfId="22717"/>
    <cellStyle name="Normal 5 9 8 2" xfId="22718"/>
    <cellStyle name="Normal 5 9 9" xfId="22719"/>
    <cellStyle name="Normal 5_126  NAGANOOL TO GADDAMPALLY  - 82.50  LAKHS" xfId="22720"/>
    <cellStyle name="Normal 50" xfId="22721"/>
    <cellStyle name="Normal 50 2" xfId="22722"/>
    <cellStyle name="Normal 50 2 2" xfId="22723"/>
    <cellStyle name="Normal 50 2 3" xfId="22724"/>
    <cellStyle name="Normal 50 2 4" xfId="22725"/>
    <cellStyle name="Normal 50 3" xfId="22726"/>
    <cellStyle name="Normal 50 3 2" xfId="22727"/>
    <cellStyle name="Normal 50 4" xfId="22728"/>
    <cellStyle name="Normal 50 5" xfId="22729"/>
    <cellStyle name="Normal 50 6" xfId="22730"/>
    <cellStyle name="Normal 51" xfId="22731"/>
    <cellStyle name="Normal 51 2" xfId="22732"/>
    <cellStyle name="Normal 51 2 2" xfId="22733"/>
    <cellStyle name="Normal 51 2 3" xfId="22734"/>
    <cellStyle name="Normal 51 2 4" xfId="22735"/>
    <cellStyle name="Normal 51 3" xfId="22736"/>
    <cellStyle name="Normal 51 3 2" xfId="22737"/>
    <cellStyle name="Normal 51 4" xfId="22738"/>
    <cellStyle name="Normal 51 5" xfId="22739"/>
    <cellStyle name="Normal 51 6" xfId="22740"/>
    <cellStyle name="Normal 52" xfId="22741"/>
    <cellStyle name="Normal 52 2" xfId="22742"/>
    <cellStyle name="Normal 52 2 2" xfId="22743"/>
    <cellStyle name="Normal 52 3" xfId="22744"/>
    <cellStyle name="Normal 52 4" xfId="22745"/>
    <cellStyle name="Normal 52 5" xfId="22746"/>
    <cellStyle name="Normal 53" xfId="22747"/>
    <cellStyle name="Normal 53 2" xfId="22748"/>
    <cellStyle name="Normal 53 3" xfId="22749"/>
    <cellStyle name="Normal 53 4" xfId="22750"/>
    <cellStyle name="Normal 54" xfId="22751"/>
    <cellStyle name="Normal 54 10" xfId="22752"/>
    <cellStyle name="Normal 54 11" xfId="22753"/>
    <cellStyle name="Normal 54 12" xfId="22754"/>
    <cellStyle name="Normal 54 13" xfId="22755"/>
    <cellStyle name="Normal 54 14" xfId="22756"/>
    <cellStyle name="Normal 54 15" xfId="22757"/>
    <cellStyle name="Normal 54 2" xfId="22758"/>
    <cellStyle name="Normal 54 2 10" xfId="22759"/>
    <cellStyle name="Normal 54 2 11" xfId="22760"/>
    <cellStyle name="Normal 54 2 12" xfId="22761"/>
    <cellStyle name="Normal 54 2 13" xfId="22762"/>
    <cellStyle name="Normal 54 2 2" xfId="22763"/>
    <cellStyle name="Normal 54 2 2 10" xfId="22764"/>
    <cellStyle name="Normal 54 2 2 11" xfId="22765"/>
    <cellStyle name="Normal 54 2 2 2" xfId="22766"/>
    <cellStyle name="Normal 54 2 2 3" xfId="22767"/>
    <cellStyle name="Normal 54 2 2 4" xfId="22768"/>
    <cellStyle name="Normal 54 2 2 5" xfId="22769"/>
    <cellStyle name="Normal 54 2 2 6" xfId="22770"/>
    <cellStyle name="Normal 54 2 2 7" xfId="22771"/>
    <cellStyle name="Normal 54 2 2 8" xfId="22772"/>
    <cellStyle name="Normal 54 2 2 9" xfId="22773"/>
    <cellStyle name="Normal 54 2 3" xfId="22774"/>
    <cellStyle name="Normal 54 2 3 10" xfId="22775"/>
    <cellStyle name="Normal 54 2 3 11" xfId="22776"/>
    <cellStyle name="Normal 54 2 3 2" xfId="22777"/>
    <cellStyle name="Normal 54 2 3 3" xfId="22778"/>
    <cellStyle name="Normal 54 2 3 4" xfId="22779"/>
    <cellStyle name="Normal 54 2 3 5" xfId="22780"/>
    <cellStyle name="Normal 54 2 3 6" xfId="22781"/>
    <cellStyle name="Normal 54 2 3 7" xfId="22782"/>
    <cellStyle name="Normal 54 2 3 8" xfId="22783"/>
    <cellStyle name="Normal 54 2 3 9" xfId="22784"/>
    <cellStyle name="Normal 54 2 4" xfId="22785"/>
    <cellStyle name="Normal 54 2 4 2" xfId="22786"/>
    <cellStyle name="Normal 54 2 4 3" xfId="22787"/>
    <cellStyle name="Normal 54 2 5" xfId="22788"/>
    <cellStyle name="Normal 54 2 5 2" xfId="22789"/>
    <cellStyle name="Normal 54 2 5 3" xfId="22790"/>
    <cellStyle name="Normal 54 2 6" xfId="22791"/>
    <cellStyle name="Normal 54 2 7" xfId="22792"/>
    <cellStyle name="Normal 54 2 8" xfId="22793"/>
    <cellStyle name="Normal 54 2 9" xfId="22794"/>
    <cellStyle name="Normal 54 3" xfId="22795"/>
    <cellStyle name="Normal 54 3 10" xfId="22796"/>
    <cellStyle name="Normal 54 3 11" xfId="22797"/>
    <cellStyle name="Normal 54 3 12" xfId="22798"/>
    <cellStyle name="Normal 54 3 13" xfId="22799"/>
    <cellStyle name="Normal 54 3 2" xfId="22800"/>
    <cellStyle name="Normal 54 3 2 10" xfId="22801"/>
    <cellStyle name="Normal 54 3 2 11" xfId="22802"/>
    <cellStyle name="Normal 54 3 2 2" xfId="22803"/>
    <cellStyle name="Normal 54 3 2 3" xfId="22804"/>
    <cellStyle name="Normal 54 3 2 4" xfId="22805"/>
    <cellStyle name="Normal 54 3 2 5" xfId="22806"/>
    <cellStyle name="Normal 54 3 2 6" xfId="22807"/>
    <cellStyle name="Normal 54 3 2 7" xfId="22808"/>
    <cellStyle name="Normal 54 3 2 8" xfId="22809"/>
    <cellStyle name="Normal 54 3 2 9" xfId="22810"/>
    <cellStyle name="Normal 54 3 3" xfId="22811"/>
    <cellStyle name="Normal 54 3 3 10" xfId="22812"/>
    <cellStyle name="Normal 54 3 3 11" xfId="22813"/>
    <cellStyle name="Normal 54 3 3 2" xfId="22814"/>
    <cellStyle name="Normal 54 3 3 3" xfId="22815"/>
    <cellStyle name="Normal 54 3 3 4" xfId="22816"/>
    <cellStyle name="Normal 54 3 3 5" xfId="22817"/>
    <cellStyle name="Normal 54 3 3 6" xfId="22818"/>
    <cellStyle name="Normal 54 3 3 7" xfId="22819"/>
    <cellStyle name="Normal 54 3 3 8" xfId="22820"/>
    <cellStyle name="Normal 54 3 3 9" xfId="22821"/>
    <cellStyle name="Normal 54 3 4" xfId="22822"/>
    <cellStyle name="Normal 54 3 4 2" xfId="22823"/>
    <cellStyle name="Normal 54 3 4 3" xfId="22824"/>
    <cellStyle name="Normal 54 3 5" xfId="22825"/>
    <cellStyle name="Normal 54 3 5 2" xfId="22826"/>
    <cellStyle name="Normal 54 3 5 3" xfId="22827"/>
    <cellStyle name="Normal 54 3 6" xfId="22828"/>
    <cellStyle name="Normal 54 3 7" xfId="22829"/>
    <cellStyle name="Normal 54 3 8" xfId="22830"/>
    <cellStyle name="Normal 54 3 9" xfId="22831"/>
    <cellStyle name="Normal 54 4" xfId="22832"/>
    <cellStyle name="Normal 54 4 10" xfId="22833"/>
    <cellStyle name="Normal 54 4 11" xfId="22834"/>
    <cellStyle name="Normal 54 4 2" xfId="22835"/>
    <cellStyle name="Normal 54 4 3" xfId="22836"/>
    <cellStyle name="Normal 54 4 4" xfId="22837"/>
    <cellStyle name="Normal 54 4 5" xfId="22838"/>
    <cellStyle name="Normal 54 4 6" xfId="22839"/>
    <cellStyle name="Normal 54 4 7" xfId="22840"/>
    <cellStyle name="Normal 54 4 8" xfId="22841"/>
    <cellStyle name="Normal 54 4 9" xfId="22842"/>
    <cellStyle name="Normal 54 5" xfId="22843"/>
    <cellStyle name="Normal 54 5 10" xfId="22844"/>
    <cellStyle name="Normal 54 5 11" xfId="22845"/>
    <cellStyle name="Normal 54 5 2" xfId="22846"/>
    <cellStyle name="Normal 54 5 3" xfId="22847"/>
    <cellStyle name="Normal 54 5 4" xfId="22848"/>
    <cellStyle name="Normal 54 5 5" xfId="22849"/>
    <cellStyle name="Normal 54 5 6" xfId="22850"/>
    <cellStyle name="Normal 54 5 7" xfId="22851"/>
    <cellStyle name="Normal 54 5 8" xfId="22852"/>
    <cellStyle name="Normal 54 5 9" xfId="22853"/>
    <cellStyle name="Normal 54 6" xfId="22854"/>
    <cellStyle name="Normal 54 6 2" xfId="22855"/>
    <cellStyle name="Normal 54 6 3" xfId="22856"/>
    <cellStyle name="Normal 54 7" xfId="22857"/>
    <cellStyle name="Normal 54 7 2" xfId="22858"/>
    <cellStyle name="Normal 54 7 3" xfId="22859"/>
    <cellStyle name="Normal 54 8" xfId="22860"/>
    <cellStyle name="Normal 54 9" xfId="22861"/>
    <cellStyle name="Normal 55" xfId="22862"/>
    <cellStyle name="Normal 55 2" xfId="22863"/>
    <cellStyle name="Normal 55 2 2" xfId="22864"/>
    <cellStyle name="Normal 55 2 2 2" xfId="22865"/>
    <cellStyle name="Normal 55 2 2 3" xfId="22866"/>
    <cellStyle name="Normal 55 2 3" xfId="22867"/>
    <cellStyle name="Normal 55 2 3 2" xfId="22868"/>
    <cellStyle name="Normal 55 2 3 3" xfId="22869"/>
    <cellStyle name="Normal 55 2 4" xfId="22870"/>
    <cellStyle name="Normal 55 2 5" xfId="22871"/>
    <cellStyle name="Normal 55 2 6" xfId="22872"/>
    <cellStyle name="Normal 55 2 7" xfId="22873"/>
    <cellStyle name="Normal 55 3" xfId="22874"/>
    <cellStyle name="Normal 55 3 2" xfId="22875"/>
    <cellStyle name="Normal 55 3 3" xfId="22876"/>
    <cellStyle name="Normal 55 4" xfId="22877"/>
    <cellStyle name="Normal 55 4 2" xfId="22878"/>
    <cellStyle name="Normal 55 4 3" xfId="22879"/>
    <cellStyle name="Normal 55 5" xfId="22880"/>
    <cellStyle name="Normal 55 6" xfId="22881"/>
    <cellStyle name="Normal 55 7" xfId="22882"/>
    <cellStyle name="Normal 55 8" xfId="22883"/>
    <cellStyle name="Normal 56" xfId="22884"/>
    <cellStyle name="Normal 56 2" xfId="22885"/>
    <cellStyle name="Normal 56 3" xfId="22886"/>
    <cellStyle name="Normal 56 4" xfId="22887"/>
    <cellStyle name="Normal 57" xfId="22888"/>
    <cellStyle name="Normal 57 10" xfId="22889"/>
    <cellStyle name="Normal 57 11" xfId="22890"/>
    <cellStyle name="Normal 57 12" xfId="22891"/>
    <cellStyle name="Normal 57 13" xfId="22892"/>
    <cellStyle name="Normal 57 14" xfId="22893"/>
    <cellStyle name="Normal 57 15" xfId="22894"/>
    <cellStyle name="Normal 57 16" xfId="22895"/>
    <cellStyle name="Normal 57 17" xfId="22896"/>
    <cellStyle name="Normal 57 18" xfId="22897"/>
    <cellStyle name="Normal 57 2" xfId="22898"/>
    <cellStyle name="Normal 57 2 2" xfId="22899"/>
    <cellStyle name="Normal 57 2 3" xfId="22900"/>
    <cellStyle name="Normal 57 3" xfId="22901"/>
    <cellStyle name="Normal 57 3 2" xfId="22902"/>
    <cellStyle name="Normal 57 3 3" xfId="22903"/>
    <cellStyle name="Normal 57 4" xfId="22904"/>
    <cellStyle name="Normal 57 4 2" xfId="22905"/>
    <cellStyle name="Normal 57 4 3" xfId="22906"/>
    <cellStyle name="Normal 57 5" xfId="22907"/>
    <cellStyle name="Normal 57 5 2" xfId="22908"/>
    <cellStyle name="Normal 57 5 3" xfId="22909"/>
    <cellStyle name="Normal 57 6" xfId="22910"/>
    <cellStyle name="Normal 57 6 2" xfId="22911"/>
    <cellStyle name="Normal 57 6 3" xfId="22912"/>
    <cellStyle name="Normal 57 7" xfId="22913"/>
    <cellStyle name="Normal 57 7 2" xfId="22914"/>
    <cellStyle name="Normal 57 8" xfId="22915"/>
    <cellStyle name="Normal 57 8 2" xfId="22916"/>
    <cellStyle name="Normal 57 9" xfId="22917"/>
    <cellStyle name="Normal 58" xfId="22918"/>
    <cellStyle name="Normal 58 2" xfId="22919"/>
    <cellStyle name="Normal 58 2 2" xfId="22920"/>
    <cellStyle name="Normal 58 3" xfId="22921"/>
    <cellStyle name="Normal 58 4" xfId="22922"/>
    <cellStyle name="Normal 58 5" xfId="22923"/>
    <cellStyle name="Normal 59" xfId="22924"/>
    <cellStyle name="Normal 59 2" xfId="22925"/>
    <cellStyle name="Normal 59 2 2" xfId="22926"/>
    <cellStyle name="Normal 59 2 3" xfId="22927"/>
    <cellStyle name="Normal 59 3" xfId="22928"/>
    <cellStyle name="Normal 59 3 2" xfId="22929"/>
    <cellStyle name="Normal 59 3 3" xfId="22930"/>
    <cellStyle name="Normal 59 4" xfId="22931"/>
    <cellStyle name="Normal 59 5" xfId="22932"/>
    <cellStyle name="Normal 59 6" xfId="22933"/>
    <cellStyle name="Normal 59 7" xfId="22934"/>
    <cellStyle name="Normal 6" xfId="22935"/>
    <cellStyle name="Normal 6 10" xfId="22936"/>
    <cellStyle name="Normal 6 10 10" xfId="22937"/>
    <cellStyle name="Normal 6 10 11" xfId="22938"/>
    <cellStyle name="Normal 6 10 2" xfId="22939"/>
    <cellStyle name="Normal 6 10 2 2" xfId="22940"/>
    <cellStyle name="Normal 6 10 2 2 2" xfId="22941"/>
    <cellStyle name="Normal 6 10 2 2 2 2" xfId="22942"/>
    <cellStyle name="Normal 6 10 2 2 2 2 2" xfId="22943"/>
    <cellStyle name="Normal 6 10 2 2 2 2 3" xfId="22944"/>
    <cellStyle name="Normal 6 10 2 2 2 3" xfId="22945"/>
    <cellStyle name="Normal 6 10 2 2 2 3 2" xfId="22946"/>
    <cellStyle name="Normal 6 10 2 2 2 3 3" xfId="22947"/>
    <cellStyle name="Normal 6 10 2 2 2 4" xfId="22948"/>
    <cellStyle name="Normal 6 10 2 2 2 5" xfId="22949"/>
    <cellStyle name="Normal 6 10 2 2 2 6" xfId="22950"/>
    <cellStyle name="Normal 6 10 2 2 2 7" xfId="22951"/>
    <cellStyle name="Normal 6 10 2 2 3" xfId="22952"/>
    <cellStyle name="Normal 6 10 2 2 3 2" xfId="22953"/>
    <cellStyle name="Normal 6 10 2 2 3 3" xfId="22954"/>
    <cellStyle name="Normal 6 10 2 2 4" xfId="22955"/>
    <cellStyle name="Normal 6 10 2 2 4 2" xfId="22956"/>
    <cellStyle name="Normal 6 10 2 2 4 3" xfId="22957"/>
    <cellStyle name="Normal 6 10 2 2 5" xfId="22958"/>
    <cellStyle name="Normal 6 10 2 2 6" xfId="22959"/>
    <cellStyle name="Normal 6 10 2 2 7" xfId="22960"/>
    <cellStyle name="Normal 6 10 2 2 8" xfId="22961"/>
    <cellStyle name="Normal 6 10 2 3" xfId="22962"/>
    <cellStyle name="Normal 6 10 2 3 2" xfId="22963"/>
    <cellStyle name="Normal 6 10 2 3 2 2" xfId="22964"/>
    <cellStyle name="Normal 6 10 2 3 2 3" xfId="22965"/>
    <cellStyle name="Normal 6 10 2 3 3" xfId="22966"/>
    <cellStyle name="Normal 6 10 2 3 3 2" xfId="22967"/>
    <cellStyle name="Normal 6 10 2 3 3 3" xfId="22968"/>
    <cellStyle name="Normal 6 10 2 3 4" xfId="22969"/>
    <cellStyle name="Normal 6 10 2 3 5" xfId="22970"/>
    <cellStyle name="Normal 6 10 2 3 6" xfId="22971"/>
    <cellStyle name="Normal 6 10 2 3 7" xfId="22972"/>
    <cellStyle name="Normal 6 10 2 4" xfId="22973"/>
    <cellStyle name="Normal 6 10 2 4 2" xfId="22974"/>
    <cellStyle name="Normal 6 10 2 4 3" xfId="22975"/>
    <cellStyle name="Normal 6 10 2 5" xfId="22976"/>
    <cellStyle name="Normal 6 10 2 5 2" xfId="22977"/>
    <cellStyle name="Normal 6 10 2 5 3" xfId="22978"/>
    <cellStyle name="Normal 6 10 2 6" xfId="22979"/>
    <cellStyle name="Normal 6 10 2 7" xfId="22980"/>
    <cellStyle name="Normal 6 10 2 8" xfId="22981"/>
    <cellStyle name="Normal 6 10 2 9" xfId="22982"/>
    <cellStyle name="Normal 6 10 3" xfId="22983"/>
    <cellStyle name="Normal 6 10 3 2" xfId="22984"/>
    <cellStyle name="Normal 6 10 3 2 2" xfId="22985"/>
    <cellStyle name="Normal 6 10 3 2 2 2" xfId="22986"/>
    <cellStyle name="Normal 6 10 3 2 2 3" xfId="22987"/>
    <cellStyle name="Normal 6 10 3 2 3" xfId="22988"/>
    <cellStyle name="Normal 6 10 3 2 3 2" xfId="22989"/>
    <cellStyle name="Normal 6 10 3 2 3 3" xfId="22990"/>
    <cellStyle name="Normal 6 10 3 2 4" xfId="22991"/>
    <cellStyle name="Normal 6 10 3 2 5" xfId="22992"/>
    <cellStyle name="Normal 6 10 3 2 6" xfId="22993"/>
    <cellStyle name="Normal 6 10 3 2 7" xfId="22994"/>
    <cellStyle name="Normal 6 10 3 3" xfId="22995"/>
    <cellStyle name="Normal 6 10 3 3 2" xfId="22996"/>
    <cellStyle name="Normal 6 10 3 3 3" xfId="22997"/>
    <cellStyle name="Normal 6 10 3 4" xfId="22998"/>
    <cellStyle name="Normal 6 10 3 4 2" xfId="22999"/>
    <cellStyle name="Normal 6 10 3 4 3" xfId="23000"/>
    <cellStyle name="Normal 6 10 3 5" xfId="23001"/>
    <cellStyle name="Normal 6 10 3 6" xfId="23002"/>
    <cellStyle name="Normal 6 10 3 7" xfId="23003"/>
    <cellStyle name="Normal 6 10 3 8" xfId="23004"/>
    <cellStyle name="Normal 6 10 4" xfId="23005"/>
    <cellStyle name="Normal 6 10 4 2" xfId="23006"/>
    <cellStyle name="Normal 6 10 4 2 2" xfId="23007"/>
    <cellStyle name="Normal 6 10 4 2 2 2" xfId="23008"/>
    <cellStyle name="Normal 6 10 4 2 2 3" xfId="23009"/>
    <cellStyle name="Normal 6 10 4 2 3" xfId="23010"/>
    <cellStyle name="Normal 6 10 4 2 3 2" xfId="23011"/>
    <cellStyle name="Normal 6 10 4 2 3 3" xfId="23012"/>
    <cellStyle name="Normal 6 10 4 2 4" xfId="23013"/>
    <cellStyle name="Normal 6 10 4 2 5" xfId="23014"/>
    <cellStyle name="Normal 6 10 4 2 6" xfId="23015"/>
    <cellStyle name="Normal 6 10 4 2 7" xfId="23016"/>
    <cellStyle name="Normal 6 10 4 3" xfId="23017"/>
    <cellStyle name="Normal 6 10 4 3 2" xfId="23018"/>
    <cellStyle name="Normal 6 10 4 3 3" xfId="23019"/>
    <cellStyle name="Normal 6 10 4 4" xfId="23020"/>
    <cellStyle name="Normal 6 10 4 4 2" xfId="23021"/>
    <cellStyle name="Normal 6 10 4 4 3" xfId="23022"/>
    <cellStyle name="Normal 6 10 4 5" xfId="23023"/>
    <cellStyle name="Normal 6 10 4 6" xfId="23024"/>
    <cellStyle name="Normal 6 10 4 7" xfId="23025"/>
    <cellStyle name="Normal 6 10 4 8" xfId="23026"/>
    <cellStyle name="Normal 6 10 5" xfId="23027"/>
    <cellStyle name="Normal 6 10 5 2" xfId="23028"/>
    <cellStyle name="Normal 6 10 5 2 2" xfId="23029"/>
    <cellStyle name="Normal 6 10 5 2 3" xfId="23030"/>
    <cellStyle name="Normal 6 10 5 3" xfId="23031"/>
    <cellStyle name="Normal 6 10 5 3 2" xfId="23032"/>
    <cellStyle name="Normal 6 10 5 3 3" xfId="23033"/>
    <cellStyle name="Normal 6 10 5 4" xfId="23034"/>
    <cellStyle name="Normal 6 10 5 5" xfId="23035"/>
    <cellStyle name="Normal 6 10 5 6" xfId="23036"/>
    <cellStyle name="Normal 6 10 5 7" xfId="23037"/>
    <cellStyle name="Normal 6 10 6" xfId="23038"/>
    <cellStyle name="Normal 6 10 6 2" xfId="23039"/>
    <cellStyle name="Normal 6 10 6 3" xfId="23040"/>
    <cellStyle name="Normal 6 10 7" xfId="23041"/>
    <cellStyle name="Normal 6 10 7 2" xfId="23042"/>
    <cellStyle name="Normal 6 10 7 3" xfId="23043"/>
    <cellStyle name="Normal 6 10 8" xfId="23044"/>
    <cellStyle name="Normal 6 10 9" xfId="23045"/>
    <cellStyle name="Normal 6 11" xfId="23046"/>
    <cellStyle name="Normal 6 11 2" xfId="23047"/>
    <cellStyle name="Normal 6 11 2 2" xfId="23048"/>
    <cellStyle name="Normal 6 11 2 2 2" xfId="23049"/>
    <cellStyle name="Normal 6 11 2 2 2 2" xfId="23050"/>
    <cellStyle name="Normal 6 11 2 2 2 3" xfId="23051"/>
    <cellStyle name="Normal 6 11 2 2 3" xfId="23052"/>
    <cellStyle name="Normal 6 11 2 2 3 2" xfId="23053"/>
    <cellStyle name="Normal 6 11 2 2 3 3" xfId="23054"/>
    <cellStyle name="Normal 6 11 2 2 4" xfId="23055"/>
    <cellStyle name="Normal 6 11 2 2 5" xfId="23056"/>
    <cellStyle name="Normal 6 11 2 2 6" xfId="23057"/>
    <cellStyle name="Normal 6 11 2 2 7" xfId="23058"/>
    <cellStyle name="Normal 6 11 2 3" xfId="23059"/>
    <cellStyle name="Normal 6 11 2 3 2" xfId="23060"/>
    <cellStyle name="Normal 6 11 2 3 3" xfId="23061"/>
    <cellStyle name="Normal 6 11 2 4" xfId="23062"/>
    <cellStyle name="Normal 6 11 2 4 2" xfId="23063"/>
    <cellStyle name="Normal 6 11 2 4 3" xfId="23064"/>
    <cellStyle name="Normal 6 11 2 5" xfId="23065"/>
    <cellStyle name="Normal 6 11 2 6" xfId="23066"/>
    <cellStyle name="Normal 6 11 2 7" xfId="23067"/>
    <cellStyle name="Normal 6 11 2 8" xfId="23068"/>
    <cellStyle name="Normal 6 11 3" xfId="23069"/>
    <cellStyle name="Normal 6 11 3 2" xfId="23070"/>
    <cellStyle name="Normal 6 11 3 2 2" xfId="23071"/>
    <cellStyle name="Normal 6 11 3 2 3" xfId="23072"/>
    <cellStyle name="Normal 6 11 3 3" xfId="23073"/>
    <cellStyle name="Normal 6 11 3 3 2" xfId="23074"/>
    <cellStyle name="Normal 6 11 3 3 3" xfId="23075"/>
    <cellStyle name="Normal 6 11 3 4" xfId="23076"/>
    <cellStyle name="Normal 6 11 3 5" xfId="23077"/>
    <cellStyle name="Normal 6 11 3 6" xfId="23078"/>
    <cellStyle name="Normal 6 11 3 7" xfId="23079"/>
    <cellStyle name="Normal 6 11 4" xfId="23080"/>
    <cellStyle name="Normal 6 11 4 2" xfId="23081"/>
    <cellStyle name="Normal 6 11 4 3" xfId="23082"/>
    <cellStyle name="Normal 6 11 5" xfId="23083"/>
    <cellStyle name="Normal 6 11 5 2" xfId="23084"/>
    <cellStyle name="Normal 6 11 5 3" xfId="23085"/>
    <cellStyle name="Normal 6 11 6" xfId="23086"/>
    <cellStyle name="Normal 6 11 7" xfId="23087"/>
    <cellStyle name="Normal 6 11 8" xfId="23088"/>
    <cellStyle name="Normal 6 11 9" xfId="23089"/>
    <cellStyle name="Normal 6 12" xfId="23090"/>
    <cellStyle name="Normal 6 12 2" xfId="23091"/>
    <cellStyle name="Normal 6 12 2 2" xfId="23092"/>
    <cellStyle name="Normal 6 12 2 2 2" xfId="23093"/>
    <cellStyle name="Normal 6 12 2 2 3" xfId="23094"/>
    <cellStyle name="Normal 6 12 2 3" xfId="23095"/>
    <cellStyle name="Normal 6 12 2 3 2" xfId="23096"/>
    <cellStyle name="Normal 6 12 2 3 3" xfId="23097"/>
    <cellStyle name="Normal 6 12 2 4" xfId="23098"/>
    <cellStyle name="Normal 6 12 2 5" xfId="23099"/>
    <cellStyle name="Normal 6 12 2 6" xfId="23100"/>
    <cellStyle name="Normal 6 12 2 7" xfId="23101"/>
    <cellStyle name="Normal 6 12 3" xfId="23102"/>
    <cellStyle name="Normal 6 12 3 2" xfId="23103"/>
    <cellStyle name="Normal 6 12 3 3" xfId="23104"/>
    <cellStyle name="Normal 6 12 4" xfId="23105"/>
    <cellStyle name="Normal 6 12 4 2" xfId="23106"/>
    <cellStyle name="Normal 6 12 4 3" xfId="23107"/>
    <cellStyle name="Normal 6 12 5" xfId="23108"/>
    <cellStyle name="Normal 6 12 6" xfId="23109"/>
    <cellStyle name="Normal 6 12 7" xfId="23110"/>
    <cellStyle name="Normal 6 12 8" xfId="23111"/>
    <cellStyle name="Normal 6 13" xfId="23112"/>
    <cellStyle name="Normal 6 13 2" xfId="23113"/>
    <cellStyle name="Normal 6 13 2 2" xfId="23114"/>
    <cellStyle name="Normal 6 13 2 2 2" xfId="23115"/>
    <cellStyle name="Normal 6 13 2 2 3" xfId="23116"/>
    <cellStyle name="Normal 6 13 2 3" xfId="23117"/>
    <cellStyle name="Normal 6 13 2 3 2" xfId="23118"/>
    <cellStyle name="Normal 6 13 2 3 3" xfId="23119"/>
    <cellStyle name="Normal 6 13 2 4" xfId="23120"/>
    <cellStyle name="Normal 6 13 2 5" xfId="23121"/>
    <cellStyle name="Normal 6 13 2 6" xfId="23122"/>
    <cellStyle name="Normal 6 13 2 7" xfId="23123"/>
    <cellStyle name="Normal 6 13 3" xfId="23124"/>
    <cellStyle name="Normal 6 13 3 2" xfId="23125"/>
    <cellStyle name="Normal 6 13 3 3" xfId="23126"/>
    <cellStyle name="Normal 6 13 4" xfId="23127"/>
    <cellStyle name="Normal 6 13 4 2" xfId="23128"/>
    <cellStyle name="Normal 6 13 4 3" xfId="23129"/>
    <cellStyle name="Normal 6 13 5" xfId="23130"/>
    <cellStyle name="Normal 6 13 6" xfId="23131"/>
    <cellStyle name="Normal 6 13 7" xfId="23132"/>
    <cellStyle name="Normal 6 13 8" xfId="23133"/>
    <cellStyle name="Normal 6 14" xfId="23134"/>
    <cellStyle name="Normal 6 14 2" xfId="23135"/>
    <cellStyle name="Normal 6 14 2 2" xfId="23136"/>
    <cellStyle name="Normal 6 14 2 3" xfId="23137"/>
    <cellStyle name="Normal 6 14 3" xfId="23138"/>
    <cellStyle name="Normal 6 14 3 2" xfId="23139"/>
    <cellStyle name="Normal 6 14 3 3" xfId="23140"/>
    <cellStyle name="Normal 6 14 4" xfId="23141"/>
    <cellStyle name="Normal 6 14 5" xfId="23142"/>
    <cellStyle name="Normal 6 14 6" xfId="23143"/>
    <cellStyle name="Normal 6 14 7" xfId="23144"/>
    <cellStyle name="Normal 6 15" xfId="23145"/>
    <cellStyle name="Normal 6 15 2" xfId="23146"/>
    <cellStyle name="Normal 6 15 3" xfId="23147"/>
    <cellStyle name="Normal 6 16" xfId="23148"/>
    <cellStyle name="Normal 6 16 2" xfId="23149"/>
    <cellStyle name="Normal 6 16 3" xfId="23150"/>
    <cellStyle name="Normal 6 17" xfId="23151"/>
    <cellStyle name="Normal 6 18" xfId="23152"/>
    <cellStyle name="Normal 6 19" xfId="23153"/>
    <cellStyle name="Normal 6 2" xfId="23154"/>
    <cellStyle name="Normal 6 2 2" xfId="23155"/>
    <cellStyle name="Normal 6 2 2 10" xfId="23156"/>
    <cellStyle name="Normal 6 2 2 11" xfId="23157"/>
    <cellStyle name="Normal 6 2 2 12" xfId="23158"/>
    <cellStyle name="Normal 6 2 2 13" xfId="23159"/>
    <cellStyle name="Normal 6 2 2 2" xfId="23160"/>
    <cellStyle name="Normal 6 2 2 2 10" xfId="23161"/>
    <cellStyle name="Normal 6 2 2 2 11" xfId="23162"/>
    <cellStyle name="Normal 6 2 2 2 2" xfId="23163"/>
    <cellStyle name="Normal 6 2 2 2 3" xfId="23164"/>
    <cellStyle name="Normal 6 2 2 2 4" xfId="23165"/>
    <cellStyle name="Normal 6 2 2 2 5" xfId="23166"/>
    <cellStyle name="Normal 6 2 2 2 6" xfId="23167"/>
    <cellStyle name="Normal 6 2 2 2 7" xfId="23168"/>
    <cellStyle name="Normal 6 2 2 2 8" xfId="23169"/>
    <cellStyle name="Normal 6 2 2 2 9" xfId="23170"/>
    <cellStyle name="Normal 6 2 2 3" xfId="23171"/>
    <cellStyle name="Normal 6 2 2 3 10" xfId="23172"/>
    <cellStyle name="Normal 6 2 2 3 11" xfId="23173"/>
    <cellStyle name="Normal 6 2 2 3 2" xfId="23174"/>
    <cellStyle name="Normal 6 2 2 3 3" xfId="23175"/>
    <cellStyle name="Normal 6 2 2 3 4" xfId="23176"/>
    <cellStyle name="Normal 6 2 2 3 5" xfId="23177"/>
    <cellStyle name="Normal 6 2 2 3 6" xfId="23178"/>
    <cellStyle name="Normal 6 2 2 3 7" xfId="23179"/>
    <cellStyle name="Normal 6 2 2 3 8" xfId="23180"/>
    <cellStyle name="Normal 6 2 2 3 9" xfId="23181"/>
    <cellStyle name="Normal 6 2 2 4" xfId="23182"/>
    <cellStyle name="Normal 6 2 2 4 2" xfId="23183"/>
    <cellStyle name="Normal 6 2 2 4 3" xfId="23184"/>
    <cellStyle name="Normal 6 2 2 5" xfId="23185"/>
    <cellStyle name="Normal 6 2 2 5 2" xfId="23186"/>
    <cellStyle name="Normal 6 2 2 5 3" xfId="23187"/>
    <cellStyle name="Normal 6 2 2 6" xfId="23188"/>
    <cellStyle name="Normal 6 2 2 7" xfId="23189"/>
    <cellStyle name="Normal 6 2 2 8" xfId="23190"/>
    <cellStyle name="Normal 6 2 2 9" xfId="23191"/>
    <cellStyle name="Normal 6 2 3" xfId="23192"/>
    <cellStyle name="Normal 6 2 3 10" xfId="23193"/>
    <cellStyle name="Normal 6 2 3 11" xfId="23194"/>
    <cellStyle name="Normal 6 2 3 12" xfId="23195"/>
    <cellStyle name="Normal 6 2 3 13" xfId="23196"/>
    <cellStyle name="Normal 6 2 3 2" xfId="23197"/>
    <cellStyle name="Normal 6 2 3 2 10" xfId="23198"/>
    <cellStyle name="Normal 6 2 3 2 11" xfId="23199"/>
    <cellStyle name="Normal 6 2 3 2 2" xfId="23200"/>
    <cellStyle name="Normal 6 2 3 2 3" xfId="23201"/>
    <cellStyle name="Normal 6 2 3 2 4" xfId="23202"/>
    <cellStyle name="Normal 6 2 3 2 5" xfId="23203"/>
    <cellStyle name="Normal 6 2 3 2 6" xfId="23204"/>
    <cellStyle name="Normal 6 2 3 2 7" xfId="23205"/>
    <cellStyle name="Normal 6 2 3 2 8" xfId="23206"/>
    <cellStyle name="Normal 6 2 3 2 9" xfId="23207"/>
    <cellStyle name="Normal 6 2 3 3" xfId="23208"/>
    <cellStyle name="Normal 6 2 3 3 10" xfId="23209"/>
    <cellStyle name="Normal 6 2 3 3 11" xfId="23210"/>
    <cellStyle name="Normal 6 2 3 3 2" xfId="23211"/>
    <cellStyle name="Normal 6 2 3 3 3" xfId="23212"/>
    <cellStyle name="Normal 6 2 3 3 4" xfId="23213"/>
    <cellStyle name="Normal 6 2 3 3 5" xfId="23214"/>
    <cellStyle name="Normal 6 2 3 3 6" xfId="23215"/>
    <cellStyle name="Normal 6 2 3 3 7" xfId="23216"/>
    <cellStyle name="Normal 6 2 3 3 8" xfId="23217"/>
    <cellStyle name="Normal 6 2 3 3 9" xfId="23218"/>
    <cellStyle name="Normal 6 2 3 4" xfId="23219"/>
    <cellStyle name="Normal 6 2 3 4 2" xfId="23220"/>
    <cellStyle name="Normal 6 2 3 4 3" xfId="23221"/>
    <cellStyle name="Normal 6 2 3 5" xfId="23222"/>
    <cellStyle name="Normal 6 2 3 5 2" xfId="23223"/>
    <cellStyle name="Normal 6 2 3 5 3" xfId="23224"/>
    <cellStyle name="Normal 6 2 3 6" xfId="23225"/>
    <cellStyle name="Normal 6 2 3 7" xfId="23226"/>
    <cellStyle name="Normal 6 2 3 8" xfId="23227"/>
    <cellStyle name="Normal 6 2 3 9" xfId="23228"/>
    <cellStyle name="Normal 6 2 4" xfId="23229"/>
    <cellStyle name="Normal 6 2 4 2" xfId="23230"/>
    <cellStyle name="Normal 6 2 5" xfId="23231"/>
    <cellStyle name="Normal 6 2 6" xfId="23232"/>
    <cellStyle name="Normal 6 2 7" xfId="23233"/>
    <cellStyle name="Normal 6 20" xfId="23234"/>
    <cellStyle name="Normal 6 3" xfId="23235"/>
    <cellStyle name="Normal 6 3 2" xfId="23236"/>
    <cellStyle name="Normal 6 3 3" xfId="23237"/>
    <cellStyle name="Normal 6 3 4" xfId="23238"/>
    <cellStyle name="Normal 6 3_Bhamanagar 5.2 - Copy" xfId="23239"/>
    <cellStyle name="Normal 6 4" xfId="23240"/>
    <cellStyle name="Normal 6 4 2" xfId="23241"/>
    <cellStyle name="Normal 6 4 3" xfId="23242"/>
    <cellStyle name="Normal 6 4 4" xfId="23243"/>
    <cellStyle name="Normal 6 5" xfId="23244"/>
    <cellStyle name="Normal 6 5 2" xfId="23245"/>
    <cellStyle name="Normal 6 5 3" xfId="23246"/>
    <cellStyle name="Normal 6 5 4" xfId="23247"/>
    <cellStyle name="Normal 6 6" xfId="23248"/>
    <cellStyle name="Normal 6 6 10" xfId="23249"/>
    <cellStyle name="Normal 6 6 11" xfId="23250"/>
    <cellStyle name="Normal 6 6 12" xfId="23251"/>
    <cellStyle name="Normal 6 6 13" xfId="23252"/>
    <cellStyle name="Normal 6 6 2" xfId="23253"/>
    <cellStyle name="Normal 6 6 2 10" xfId="23254"/>
    <cellStyle name="Normal 6 6 2 11" xfId="23255"/>
    <cellStyle name="Normal 6 6 2 2" xfId="23256"/>
    <cellStyle name="Normal 6 6 2 2 2" xfId="23257"/>
    <cellStyle name="Normal 6 6 2 2 2 2" xfId="23258"/>
    <cellStyle name="Normal 6 6 2 2 2 2 2" xfId="23259"/>
    <cellStyle name="Normal 6 6 2 2 2 2 2 2" xfId="23260"/>
    <cellStyle name="Normal 6 6 2 2 2 2 2 3" xfId="23261"/>
    <cellStyle name="Normal 6 6 2 2 2 2 3" xfId="23262"/>
    <cellStyle name="Normal 6 6 2 2 2 2 3 2" xfId="23263"/>
    <cellStyle name="Normal 6 6 2 2 2 2 3 3" xfId="23264"/>
    <cellStyle name="Normal 6 6 2 2 2 2 4" xfId="23265"/>
    <cellStyle name="Normal 6 6 2 2 2 2 5" xfId="23266"/>
    <cellStyle name="Normal 6 6 2 2 2 2 6" xfId="23267"/>
    <cellStyle name="Normal 6 6 2 2 2 2 7" xfId="23268"/>
    <cellStyle name="Normal 6 6 2 2 2 3" xfId="23269"/>
    <cellStyle name="Normal 6 6 2 2 2 3 2" xfId="23270"/>
    <cellStyle name="Normal 6 6 2 2 2 3 3" xfId="23271"/>
    <cellStyle name="Normal 6 6 2 2 2 4" xfId="23272"/>
    <cellStyle name="Normal 6 6 2 2 2 4 2" xfId="23273"/>
    <cellStyle name="Normal 6 6 2 2 2 4 3" xfId="23274"/>
    <cellStyle name="Normal 6 6 2 2 2 5" xfId="23275"/>
    <cellStyle name="Normal 6 6 2 2 2 6" xfId="23276"/>
    <cellStyle name="Normal 6 6 2 2 2 7" xfId="23277"/>
    <cellStyle name="Normal 6 6 2 2 2 8" xfId="23278"/>
    <cellStyle name="Normal 6 6 2 2 3" xfId="23279"/>
    <cellStyle name="Normal 6 6 2 2 3 2" xfId="23280"/>
    <cellStyle name="Normal 6 6 2 2 3 2 2" xfId="23281"/>
    <cellStyle name="Normal 6 6 2 2 3 2 3" xfId="23282"/>
    <cellStyle name="Normal 6 6 2 2 3 3" xfId="23283"/>
    <cellStyle name="Normal 6 6 2 2 3 3 2" xfId="23284"/>
    <cellStyle name="Normal 6 6 2 2 3 3 3" xfId="23285"/>
    <cellStyle name="Normal 6 6 2 2 3 4" xfId="23286"/>
    <cellStyle name="Normal 6 6 2 2 3 5" xfId="23287"/>
    <cellStyle name="Normal 6 6 2 2 3 6" xfId="23288"/>
    <cellStyle name="Normal 6 6 2 2 3 7" xfId="23289"/>
    <cellStyle name="Normal 6 6 2 2 4" xfId="23290"/>
    <cellStyle name="Normal 6 6 2 2 4 2" xfId="23291"/>
    <cellStyle name="Normal 6 6 2 2 4 3" xfId="23292"/>
    <cellStyle name="Normal 6 6 2 2 5" xfId="23293"/>
    <cellStyle name="Normal 6 6 2 2 5 2" xfId="23294"/>
    <cellStyle name="Normal 6 6 2 2 5 3" xfId="23295"/>
    <cellStyle name="Normal 6 6 2 2 6" xfId="23296"/>
    <cellStyle name="Normal 6 6 2 2 7" xfId="23297"/>
    <cellStyle name="Normal 6 6 2 2 8" xfId="23298"/>
    <cellStyle name="Normal 6 6 2 2 9" xfId="23299"/>
    <cellStyle name="Normal 6 6 2 3" xfId="23300"/>
    <cellStyle name="Normal 6 6 2 3 2" xfId="23301"/>
    <cellStyle name="Normal 6 6 2 3 2 2" xfId="23302"/>
    <cellStyle name="Normal 6 6 2 3 2 2 2" xfId="23303"/>
    <cellStyle name="Normal 6 6 2 3 2 2 3" xfId="23304"/>
    <cellStyle name="Normal 6 6 2 3 2 3" xfId="23305"/>
    <cellStyle name="Normal 6 6 2 3 2 3 2" xfId="23306"/>
    <cellStyle name="Normal 6 6 2 3 2 3 3" xfId="23307"/>
    <cellStyle name="Normal 6 6 2 3 2 4" xfId="23308"/>
    <cellStyle name="Normal 6 6 2 3 2 5" xfId="23309"/>
    <cellStyle name="Normal 6 6 2 3 2 6" xfId="23310"/>
    <cellStyle name="Normal 6 6 2 3 2 7" xfId="23311"/>
    <cellStyle name="Normal 6 6 2 3 3" xfId="23312"/>
    <cellStyle name="Normal 6 6 2 3 3 2" xfId="23313"/>
    <cellStyle name="Normal 6 6 2 3 3 3" xfId="23314"/>
    <cellStyle name="Normal 6 6 2 3 4" xfId="23315"/>
    <cellStyle name="Normal 6 6 2 3 4 2" xfId="23316"/>
    <cellStyle name="Normal 6 6 2 3 4 3" xfId="23317"/>
    <cellStyle name="Normal 6 6 2 3 5" xfId="23318"/>
    <cellStyle name="Normal 6 6 2 3 6" xfId="23319"/>
    <cellStyle name="Normal 6 6 2 3 7" xfId="23320"/>
    <cellStyle name="Normal 6 6 2 3 8" xfId="23321"/>
    <cellStyle name="Normal 6 6 2 4" xfId="23322"/>
    <cellStyle name="Normal 6 6 2 4 2" xfId="23323"/>
    <cellStyle name="Normal 6 6 2 4 2 2" xfId="23324"/>
    <cellStyle name="Normal 6 6 2 4 2 2 2" xfId="23325"/>
    <cellStyle name="Normal 6 6 2 4 2 2 3" xfId="23326"/>
    <cellStyle name="Normal 6 6 2 4 2 3" xfId="23327"/>
    <cellStyle name="Normal 6 6 2 4 2 3 2" xfId="23328"/>
    <cellStyle name="Normal 6 6 2 4 2 3 3" xfId="23329"/>
    <cellStyle name="Normal 6 6 2 4 2 4" xfId="23330"/>
    <cellStyle name="Normal 6 6 2 4 2 5" xfId="23331"/>
    <cellStyle name="Normal 6 6 2 4 2 6" xfId="23332"/>
    <cellStyle name="Normal 6 6 2 4 2 7" xfId="23333"/>
    <cellStyle name="Normal 6 6 2 4 3" xfId="23334"/>
    <cellStyle name="Normal 6 6 2 4 3 2" xfId="23335"/>
    <cellStyle name="Normal 6 6 2 4 3 3" xfId="23336"/>
    <cellStyle name="Normal 6 6 2 4 4" xfId="23337"/>
    <cellStyle name="Normal 6 6 2 4 4 2" xfId="23338"/>
    <cellStyle name="Normal 6 6 2 4 4 3" xfId="23339"/>
    <cellStyle name="Normal 6 6 2 4 5" xfId="23340"/>
    <cellStyle name="Normal 6 6 2 4 6" xfId="23341"/>
    <cellStyle name="Normal 6 6 2 4 7" xfId="23342"/>
    <cellStyle name="Normal 6 6 2 4 8" xfId="23343"/>
    <cellStyle name="Normal 6 6 2 5" xfId="23344"/>
    <cellStyle name="Normal 6 6 2 5 2" xfId="23345"/>
    <cellStyle name="Normal 6 6 2 5 2 2" xfId="23346"/>
    <cellStyle name="Normal 6 6 2 5 2 3" xfId="23347"/>
    <cellStyle name="Normal 6 6 2 5 3" xfId="23348"/>
    <cellStyle name="Normal 6 6 2 5 3 2" xfId="23349"/>
    <cellStyle name="Normal 6 6 2 5 3 3" xfId="23350"/>
    <cellStyle name="Normal 6 6 2 5 4" xfId="23351"/>
    <cellStyle name="Normal 6 6 2 5 5" xfId="23352"/>
    <cellStyle name="Normal 6 6 2 5 6" xfId="23353"/>
    <cellStyle name="Normal 6 6 2 5 7" xfId="23354"/>
    <cellStyle name="Normal 6 6 2 6" xfId="23355"/>
    <cellStyle name="Normal 6 6 2 6 2" xfId="23356"/>
    <cellStyle name="Normal 6 6 2 6 3" xfId="23357"/>
    <cellStyle name="Normal 6 6 2 7" xfId="23358"/>
    <cellStyle name="Normal 6 6 2 7 2" xfId="23359"/>
    <cellStyle name="Normal 6 6 2 7 3" xfId="23360"/>
    <cellStyle name="Normal 6 6 2 8" xfId="23361"/>
    <cellStyle name="Normal 6 6 2 9" xfId="23362"/>
    <cellStyle name="Normal 6 6 3" xfId="23363"/>
    <cellStyle name="Normal 6 6 3 10" xfId="23364"/>
    <cellStyle name="Normal 6 6 3 11" xfId="23365"/>
    <cellStyle name="Normal 6 6 3 2" xfId="23366"/>
    <cellStyle name="Normal 6 6 3 2 2" xfId="23367"/>
    <cellStyle name="Normal 6 6 3 2 2 2" xfId="23368"/>
    <cellStyle name="Normal 6 6 3 2 2 2 2" xfId="23369"/>
    <cellStyle name="Normal 6 6 3 2 2 2 2 2" xfId="23370"/>
    <cellStyle name="Normal 6 6 3 2 2 2 2 3" xfId="23371"/>
    <cellStyle name="Normal 6 6 3 2 2 2 3" xfId="23372"/>
    <cellStyle name="Normal 6 6 3 2 2 2 3 2" xfId="23373"/>
    <cellStyle name="Normal 6 6 3 2 2 2 3 3" xfId="23374"/>
    <cellStyle name="Normal 6 6 3 2 2 2 4" xfId="23375"/>
    <cellStyle name="Normal 6 6 3 2 2 2 5" xfId="23376"/>
    <cellStyle name="Normal 6 6 3 2 2 2 6" xfId="23377"/>
    <cellStyle name="Normal 6 6 3 2 2 2 7" xfId="23378"/>
    <cellStyle name="Normal 6 6 3 2 2 3" xfId="23379"/>
    <cellStyle name="Normal 6 6 3 2 2 3 2" xfId="23380"/>
    <cellStyle name="Normal 6 6 3 2 2 3 3" xfId="23381"/>
    <cellStyle name="Normal 6 6 3 2 2 4" xfId="23382"/>
    <cellStyle name="Normal 6 6 3 2 2 4 2" xfId="23383"/>
    <cellStyle name="Normal 6 6 3 2 2 4 3" xfId="23384"/>
    <cellStyle name="Normal 6 6 3 2 2 5" xfId="23385"/>
    <cellStyle name="Normal 6 6 3 2 2 6" xfId="23386"/>
    <cellStyle name="Normal 6 6 3 2 2 7" xfId="23387"/>
    <cellStyle name="Normal 6 6 3 2 2 8" xfId="23388"/>
    <cellStyle name="Normal 6 6 3 2 3" xfId="23389"/>
    <cellStyle name="Normal 6 6 3 2 3 2" xfId="23390"/>
    <cellStyle name="Normal 6 6 3 2 3 2 2" xfId="23391"/>
    <cellStyle name="Normal 6 6 3 2 3 2 3" xfId="23392"/>
    <cellStyle name="Normal 6 6 3 2 3 3" xfId="23393"/>
    <cellStyle name="Normal 6 6 3 2 3 3 2" xfId="23394"/>
    <cellStyle name="Normal 6 6 3 2 3 3 3" xfId="23395"/>
    <cellStyle name="Normal 6 6 3 2 3 4" xfId="23396"/>
    <cellStyle name="Normal 6 6 3 2 3 5" xfId="23397"/>
    <cellStyle name="Normal 6 6 3 2 3 6" xfId="23398"/>
    <cellStyle name="Normal 6 6 3 2 3 7" xfId="23399"/>
    <cellStyle name="Normal 6 6 3 2 4" xfId="23400"/>
    <cellStyle name="Normal 6 6 3 2 4 2" xfId="23401"/>
    <cellStyle name="Normal 6 6 3 2 4 3" xfId="23402"/>
    <cellStyle name="Normal 6 6 3 2 5" xfId="23403"/>
    <cellStyle name="Normal 6 6 3 2 5 2" xfId="23404"/>
    <cellStyle name="Normal 6 6 3 2 5 3" xfId="23405"/>
    <cellStyle name="Normal 6 6 3 2 6" xfId="23406"/>
    <cellStyle name="Normal 6 6 3 2 7" xfId="23407"/>
    <cellStyle name="Normal 6 6 3 2 8" xfId="23408"/>
    <cellStyle name="Normal 6 6 3 2 9" xfId="23409"/>
    <cellStyle name="Normal 6 6 3 3" xfId="23410"/>
    <cellStyle name="Normal 6 6 3 3 2" xfId="23411"/>
    <cellStyle name="Normal 6 6 3 3 2 2" xfId="23412"/>
    <cellStyle name="Normal 6 6 3 3 2 2 2" xfId="23413"/>
    <cellStyle name="Normal 6 6 3 3 2 2 3" xfId="23414"/>
    <cellStyle name="Normal 6 6 3 3 2 3" xfId="23415"/>
    <cellStyle name="Normal 6 6 3 3 2 3 2" xfId="23416"/>
    <cellStyle name="Normal 6 6 3 3 2 3 3" xfId="23417"/>
    <cellStyle name="Normal 6 6 3 3 2 4" xfId="23418"/>
    <cellStyle name="Normal 6 6 3 3 2 5" xfId="23419"/>
    <cellStyle name="Normal 6 6 3 3 2 6" xfId="23420"/>
    <cellStyle name="Normal 6 6 3 3 2 7" xfId="23421"/>
    <cellStyle name="Normal 6 6 3 3 3" xfId="23422"/>
    <cellStyle name="Normal 6 6 3 3 3 2" xfId="23423"/>
    <cellStyle name="Normal 6 6 3 3 3 3" xfId="23424"/>
    <cellStyle name="Normal 6 6 3 3 4" xfId="23425"/>
    <cellStyle name="Normal 6 6 3 3 4 2" xfId="23426"/>
    <cellStyle name="Normal 6 6 3 3 4 3" xfId="23427"/>
    <cellStyle name="Normal 6 6 3 3 5" xfId="23428"/>
    <cellStyle name="Normal 6 6 3 3 6" xfId="23429"/>
    <cellStyle name="Normal 6 6 3 3 7" xfId="23430"/>
    <cellStyle name="Normal 6 6 3 3 8" xfId="23431"/>
    <cellStyle name="Normal 6 6 3 4" xfId="23432"/>
    <cellStyle name="Normal 6 6 3 4 2" xfId="23433"/>
    <cellStyle name="Normal 6 6 3 4 2 2" xfId="23434"/>
    <cellStyle name="Normal 6 6 3 4 2 2 2" xfId="23435"/>
    <cellStyle name="Normal 6 6 3 4 2 2 3" xfId="23436"/>
    <cellStyle name="Normal 6 6 3 4 2 3" xfId="23437"/>
    <cellStyle name="Normal 6 6 3 4 2 3 2" xfId="23438"/>
    <cellStyle name="Normal 6 6 3 4 2 3 3" xfId="23439"/>
    <cellStyle name="Normal 6 6 3 4 2 4" xfId="23440"/>
    <cellStyle name="Normal 6 6 3 4 2 5" xfId="23441"/>
    <cellStyle name="Normal 6 6 3 4 2 6" xfId="23442"/>
    <cellStyle name="Normal 6 6 3 4 2 7" xfId="23443"/>
    <cellStyle name="Normal 6 6 3 4 3" xfId="23444"/>
    <cellStyle name="Normal 6 6 3 4 3 2" xfId="23445"/>
    <cellStyle name="Normal 6 6 3 4 3 3" xfId="23446"/>
    <cellStyle name="Normal 6 6 3 4 4" xfId="23447"/>
    <cellStyle name="Normal 6 6 3 4 4 2" xfId="23448"/>
    <cellStyle name="Normal 6 6 3 4 4 3" xfId="23449"/>
    <cellStyle name="Normal 6 6 3 4 5" xfId="23450"/>
    <cellStyle name="Normal 6 6 3 4 6" xfId="23451"/>
    <cellStyle name="Normal 6 6 3 4 7" xfId="23452"/>
    <cellStyle name="Normal 6 6 3 4 8" xfId="23453"/>
    <cellStyle name="Normal 6 6 3 5" xfId="23454"/>
    <cellStyle name="Normal 6 6 3 5 2" xfId="23455"/>
    <cellStyle name="Normal 6 6 3 5 2 2" xfId="23456"/>
    <cellStyle name="Normal 6 6 3 5 2 3" xfId="23457"/>
    <cellStyle name="Normal 6 6 3 5 3" xfId="23458"/>
    <cellStyle name="Normal 6 6 3 5 3 2" xfId="23459"/>
    <cellStyle name="Normal 6 6 3 5 3 3" xfId="23460"/>
    <cellStyle name="Normal 6 6 3 5 4" xfId="23461"/>
    <cellStyle name="Normal 6 6 3 5 5" xfId="23462"/>
    <cellStyle name="Normal 6 6 3 5 6" xfId="23463"/>
    <cellStyle name="Normal 6 6 3 5 7" xfId="23464"/>
    <cellStyle name="Normal 6 6 3 6" xfId="23465"/>
    <cellStyle name="Normal 6 6 3 6 2" xfId="23466"/>
    <cellStyle name="Normal 6 6 3 6 3" xfId="23467"/>
    <cellStyle name="Normal 6 6 3 7" xfId="23468"/>
    <cellStyle name="Normal 6 6 3 7 2" xfId="23469"/>
    <cellStyle name="Normal 6 6 3 7 3" xfId="23470"/>
    <cellStyle name="Normal 6 6 3 8" xfId="23471"/>
    <cellStyle name="Normal 6 6 3 9" xfId="23472"/>
    <cellStyle name="Normal 6 6 4" xfId="23473"/>
    <cellStyle name="Normal 6 6 4 2" xfId="23474"/>
    <cellStyle name="Normal 6 6 4 2 2" xfId="23475"/>
    <cellStyle name="Normal 6 6 4 2 2 2" xfId="23476"/>
    <cellStyle name="Normal 6 6 4 2 2 2 2" xfId="23477"/>
    <cellStyle name="Normal 6 6 4 2 2 2 3" xfId="23478"/>
    <cellStyle name="Normal 6 6 4 2 2 3" xfId="23479"/>
    <cellStyle name="Normal 6 6 4 2 2 3 2" xfId="23480"/>
    <cellStyle name="Normal 6 6 4 2 2 3 3" xfId="23481"/>
    <cellStyle name="Normal 6 6 4 2 2 4" xfId="23482"/>
    <cellStyle name="Normal 6 6 4 2 2 5" xfId="23483"/>
    <cellStyle name="Normal 6 6 4 2 2 6" xfId="23484"/>
    <cellStyle name="Normal 6 6 4 2 2 7" xfId="23485"/>
    <cellStyle name="Normal 6 6 4 2 3" xfId="23486"/>
    <cellStyle name="Normal 6 6 4 2 3 2" xfId="23487"/>
    <cellStyle name="Normal 6 6 4 2 3 3" xfId="23488"/>
    <cellStyle name="Normal 6 6 4 2 4" xfId="23489"/>
    <cellStyle name="Normal 6 6 4 2 4 2" xfId="23490"/>
    <cellStyle name="Normal 6 6 4 2 4 3" xfId="23491"/>
    <cellStyle name="Normal 6 6 4 2 5" xfId="23492"/>
    <cellStyle name="Normal 6 6 4 2 6" xfId="23493"/>
    <cellStyle name="Normal 6 6 4 2 7" xfId="23494"/>
    <cellStyle name="Normal 6 6 4 2 8" xfId="23495"/>
    <cellStyle name="Normal 6 6 4 3" xfId="23496"/>
    <cellStyle name="Normal 6 6 4 3 2" xfId="23497"/>
    <cellStyle name="Normal 6 6 4 3 2 2" xfId="23498"/>
    <cellStyle name="Normal 6 6 4 3 2 3" xfId="23499"/>
    <cellStyle name="Normal 6 6 4 3 3" xfId="23500"/>
    <cellStyle name="Normal 6 6 4 3 3 2" xfId="23501"/>
    <cellStyle name="Normal 6 6 4 3 3 3" xfId="23502"/>
    <cellStyle name="Normal 6 6 4 3 4" xfId="23503"/>
    <cellStyle name="Normal 6 6 4 3 5" xfId="23504"/>
    <cellStyle name="Normal 6 6 4 3 6" xfId="23505"/>
    <cellStyle name="Normal 6 6 4 3 7" xfId="23506"/>
    <cellStyle name="Normal 6 6 4 4" xfId="23507"/>
    <cellStyle name="Normal 6 6 4 4 2" xfId="23508"/>
    <cellStyle name="Normal 6 6 4 4 3" xfId="23509"/>
    <cellStyle name="Normal 6 6 4 5" xfId="23510"/>
    <cellStyle name="Normal 6 6 4 5 2" xfId="23511"/>
    <cellStyle name="Normal 6 6 4 5 3" xfId="23512"/>
    <cellStyle name="Normal 6 6 4 6" xfId="23513"/>
    <cellStyle name="Normal 6 6 4 7" xfId="23514"/>
    <cellStyle name="Normal 6 6 4 8" xfId="23515"/>
    <cellStyle name="Normal 6 6 4 9" xfId="23516"/>
    <cellStyle name="Normal 6 6 5" xfId="23517"/>
    <cellStyle name="Normal 6 6 5 2" xfId="23518"/>
    <cellStyle name="Normal 6 6 5 2 2" xfId="23519"/>
    <cellStyle name="Normal 6 6 5 2 2 2" xfId="23520"/>
    <cellStyle name="Normal 6 6 5 2 2 3" xfId="23521"/>
    <cellStyle name="Normal 6 6 5 2 3" xfId="23522"/>
    <cellStyle name="Normal 6 6 5 2 3 2" xfId="23523"/>
    <cellStyle name="Normal 6 6 5 2 3 3" xfId="23524"/>
    <cellStyle name="Normal 6 6 5 2 4" xfId="23525"/>
    <cellStyle name="Normal 6 6 5 2 5" xfId="23526"/>
    <cellStyle name="Normal 6 6 5 2 6" xfId="23527"/>
    <cellStyle name="Normal 6 6 5 2 7" xfId="23528"/>
    <cellStyle name="Normal 6 6 5 3" xfId="23529"/>
    <cellStyle name="Normal 6 6 5 3 2" xfId="23530"/>
    <cellStyle name="Normal 6 6 5 3 3" xfId="23531"/>
    <cellStyle name="Normal 6 6 5 4" xfId="23532"/>
    <cellStyle name="Normal 6 6 5 4 2" xfId="23533"/>
    <cellStyle name="Normal 6 6 5 4 3" xfId="23534"/>
    <cellStyle name="Normal 6 6 5 5" xfId="23535"/>
    <cellStyle name="Normal 6 6 5 6" xfId="23536"/>
    <cellStyle name="Normal 6 6 5 7" xfId="23537"/>
    <cellStyle name="Normal 6 6 5 8" xfId="23538"/>
    <cellStyle name="Normal 6 6 6" xfId="23539"/>
    <cellStyle name="Normal 6 6 6 2" xfId="23540"/>
    <cellStyle name="Normal 6 6 6 2 2" xfId="23541"/>
    <cellStyle name="Normal 6 6 6 2 2 2" xfId="23542"/>
    <cellStyle name="Normal 6 6 6 2 2 3" xfId="23543"/>
    <cellStyle name="Normal 6 6 6 2 3" xfId="23544"/>
    <cellStyle name="Normal 6 6 6 2 3 2" xfId="23545"/>
    <cellStyle name="Normal 6 6 6 2 3 3" xfId="23546"/>
    <cellStyle name="Normal 6 6 6 2 4" xfId="23547"/>
    <cellStyle name="Normal 6 6 6 2 5" xfId="23548"/>
    <cellStyle name="Normal 6 6 6 2 6" xfId="23549"/>
    <cellStyle name="Normal 6 6 6 2 7" xfId="23550"/>
    <cellStyle name="Normal 6 6 6 3" xfId="23551"/>
    <cellStyle name="Normal 6 6 6 3 2" xfId="23552"/>
    <cellStyle name="Normal 6 6 6 3 3" xfId="23553"/>
    <cellStyle name="Normal 6 6 6 4" xfId="23554"/>
    <cellStyle name="Normal 6 6 6 4 2" xfId="23555"/>
    <cellStyle name="Normal 6 6 6 4 3" xfId="23556"/>
    <cellStyle name="Normal 6 6 6 5" xfId="23557"/>
    <cellStyle name="Normal 6 6 6 6" xfId="23558"/>
    <cellStyle name="Normal 6 6 6 7" xfId="23559"/>
    <cellStyle name="Normal 6 6 6 8" xfId="23560"/>
    <cellStyle name="Normal 6 6 7" xfId="23561"/>
    <cellStyle name="Normal 6 6 7 2" xfId="23562"/>
    <cellStyle name="Normal 6 6 7 2 2" xfId="23563"/>
    <cellStyle name="Normal 6 6 7 2 3" xfId="23564"/>
    <cellStyle name="Normal 6 6 7 3" xfId="23565"/>
    <cellStyle name="Normal 6 6 7 3 2" xfId="23566"/>
    <cellStyle name="Normal 6 6 7 3 3" xfId="23567"/>
    <cellStyle name="Normal 6 6 7 4" xfId="23568"/>
    <cellStyle name="Normal 6 6 7 5" xfId="23569"/>
    <cellStyle name="Normal 6 6 7 6" xfId="23570"/>
    <cellStyle name="Normal 6 6 7 7" xfId="23571"/>
    <cellStyle name="Normal 6 6 8" xfId="23572"/>
    <cellStyle name="Normal 6 6 8 2" xfId="23573"/>
    <cellStyle name="Normal 6 6 8 3" xfId="23574"/>
    <cellStyle name="Normal 6 6 9" xfId="23575"/>
    <cellStyle name="Normal 6 6 9 2" xfId="23576"/>
    <cellStyle name="Normal 6 6 9 3" xfId="23577"/>
    <cellStyle name="Normal 6 7" xfId="23578"/>
    <cellStyle name="Normal 6 7 10" xfId="23579"/>
    <cellStyle name="Normal 6 7 11" xfId="23580"/>
    <cellStyle name="Normal 6 7 2" xfId="23581"/>
    <cellStyle name="Normal 6 7 2 2" xfId="23582"/>
    <cellStyle name="Normal 6 7 2 2 2" xfId="23583"/>
    <cellStyle name="Normal 6 7 2 2 2 2" xfId="23584"/>
    <cellStyle name="Normal 6 7 2 2 2 2 2" xfId="23585"/>
    <cellStyle name="Normal 6 7 2 2 2 2 3" xfId="23586"/>
    <cellStyle name="Normal 6 7 2 2 2 3" xfId="23587"/>
    <cellStyle name="Normal 6 7 2 2 2 3 2" xfId="23588"/>
    <cellStyle name="Normal 6 7 2 2 2 3 3" xfId="23589"/>
    <cellStyle name="Normal 6 7 2 2 2 4" xfId="23590"/>
    <cellStyle name="Normal 6 7 2 2 2 5" xfId="23591"/>
    <cellStyle name="Normal 6 7 2 2 2 6" xfId="23592"/>
    <cellStyle name="Normal 6 7 2 2 2 7" xfId="23593"/>
    <cellStyle name="Normal 6 7 2 2 3" xfId="23594"/>
    <cellStyle name="Normal 6 7 2 2 3 2" xfId="23595"/>
    <cellStyle name="Normal 6 7 2 2 3 3" xfId="23596"/>
    <cellStyle name="Normal 6 7 2 2 4" xfId="23597"/>
    <cellStyle name="Normal 6 7 2 2 4 2" xfId="23598"/>
    <cellStyle name="Normal 6 7 2 2 4 3" xfId="23599"/>
    <cellStyle name="Normal 6 7 2 2 5" xfId="23600"/>
    <cellStyle name="Normal 6 7 2 2 6" xfId="23601"/>
    <cellStyle name="Normal 6 7 2 2 7" xfId="23602"/>
    <cellStyle name="Normal 6 7 2 2 8" xfId="23603"/>
    <cellStyle name="Normal 6 7 2 3" xfId="23604"/>
    <cellStyle name="Normal 6 7 2 3 2" xfId="23605"/>
    <cellStyle name="Normal 6 7 2 3 2 2" xfId="23606"/>
    <cellStyle name="Normal 6 7 2 3 2 3" xfId="23607"/>
    <cellStyle name="Normal 6 7 2 3 3" xfId="23608"/>
    <cellStyle name="Normal 6 7 2 3 3 2" xfId="23609"/>
    <cellStyle name="Normal 6 7 2 3 3 3" xfId="23610"/>
    <cellStyle name="Normal 6 7 2 3 4" xfId="23611"/>
    <cellStyle name="Normal 6 7 2 3 5" xfId="23612"/>
    <cellStyle name="Normal 6 7 2 3 6" xfId="23613"/>
    <cellStyle name="Normal 6 7 2 3 7" xfId="23614"/>
    <cellStyle name="Normal 6 7 2 4" xfId="23615"/>
    <cellStyle name="Normal 6 7 2 4 2" xfId="23616"/>
    <cellStyle name="Normal 6 7 2 4 3" xfId="23617"/>
    <cellStyle name="Normal 6 7 2 5" xfId="23618"/>
    <cellStyle name="Normal 6 7 2 5 2" xfId="23619"/>
    <cellStyle name="Normal 6 7 2 5 3" xfId="23620"/>
    <cellStyle name="Normal 6 7 2 6" xfId="23621"/>
    <cellStyle name="Normal 6 7 2 7" xfId="23622"/>
    <cellStyle name="Normal 6 7 2 8" xfId="23623"/>
    <cellStyle name="Normal 6 7 2 9" xfId="23624"/>
    <cellStyle name="Normal 6 7 3" xfId="23625"/>
    <cellStyle name="Normal 6 7 3 2" xfId="23626"/>
    <cellStyle name="Normal 6 7 3 2 2" xfId="23627"/>
    <cellStyle name="Normal 6 7 3 2 2 2" xfId="23628"/>
    <cellStyle name="Normal 6 7 3 2 2 3" xfId="23629"/>
    <cellStyle name="Normal 6 7 3 2 3" xfId="23630"/>
    <cellStyle name="Normal 6 7 3 2 3 2" xfId="23631"/>
    <cellStyle name="Normal 6 7 3 2 3 3" xfId="23632"/>
    <cellStyle name="Normal 6 7 3 2 4" xfId="23633"/>
    <cellStyle name="Normal 6 7 3 2 5" xfId="23634"/>
    <cellStyle name="Normal 6 7 3 2 6" xfId="23635"/>
    <cellStyle name="Normal 6 7 3 2 7" xfId="23636"/>
    <cellStyle name="Normal 6 7 3 3" xfId="23637"/>
    <cellStyle name="Normal 6 7 3 3 2" xfId="23638"/>
    <cellStyle name="Normal 6 7 3 3 3" xfId="23639"/>
    <cellStyle name="Normal 6 7 3 4" xfId="23640"/>
    <cellStyle name="Normal 6 7 3 4 2" xfId="23641"/>
    <cellStyle name="Normal 6 7 3 4 3" xfId="23642"/>
    <cellStyle name="Normal 6 7 3 5" xfId="23643"/>
    <cellStyle name="Normal 6 7 3 6" xfId="23644"/>
    <cellStyle name="Normal 6 7 3 7" xfId="23645"/>
    <cellStyle name="Normal 6 7 3 8" xfId="23646"/>
    <cellStyle name="Normal 6 7 4" xfId="23647"/>
    <cellStyle name="Normal 6 7 4 2" xfId="23648"/>
    <cellStyle name="Normal 6 7 4 2 2" xfId="23649"/>
    <cellStyle name="Normal 6 7 4 2 2 2" xfId="23650"/>
    <cellStyle name="Normal 6 7 4 2 2 3" xfId="23651"/>
    <cellStyle name="Normal 6 7 4 2 3" xfId="23652"/>
    <cellStyle name="Normal 6 7 4 2 3 2" xfId="23653"/>
    <cellStyle name="Normal 6 7 4 2 3 3" xfId="23654"/>
    <cellStyle name="Normal 6 7 4 2 4" xfId="23655"/>
    <cellStyle name="Normal 6 7 4 2 5" xfId="23656"/>
    <cellStyle name="Normal 6 7 4 2 6" xfId="23657"/>
    <cellStyle name="Normal 6 7 4 2 7" xfId="23658"/>
    <cellStyle name="Normal 6 7 4 3" xfId="23659"/>
    <cellStyle name="Normal 6 7 4 3 2" xfId="23660"/>
    <cellStyle name="Normal 6 7 4 3 3" xfId="23661"/>
    <cellStyle name="Normal 6 7 4 4" xfId="23662"/>
    <cellStyle name="Normal 6 7 4 4 2" xfId="23663"/>
    <cellStyle name="Normal 6 7 4 4 3" xfId="23664"/>
    <cellStyle name="Normal 6 7 4 5" xfId="23665"/>
    <cellStyle name="Normal 6 7 4 6" xfId="23666"/>
    <cellStyle name="Normal 6 7 4 7" xfId="23667"/>
    <cellStyle name="Normal 6 7 4 8" xfId="23668"/>
    <cellStyle name="Normal 6 7 5" xfId="23669"/>
    <cellStyle name="Normal 6 7 5 2" xfId="23670"/>
    <cellStyle name="Normal 6 7 5 2 2" xfId="23671"/>
    <cellStyle name="Normal 6 7 5 2 3" xfId="23672"/>
    <cellStyle name="Normal 6 7 5 3" xfId="23673"/>
    <cellStyle name="Normal 6 7 5 3 2" xfId="23674"/>
    <cellStyle name="Normal 6 7 5 3 3" xfId="23675"/>
    <cellStyle name="Normal 6 7 5 4" xfId="23676"/>
    <cellStyle name="Normal 6 7 5 5" xfId="23677"/>
    <cellStyle name="Normal 6 7 5 6" xfId="23678"/>
    <cellStyle name="Normal 6 7 5 7" xfId="23679"/>
    <cellStyle name="Normal 6 7 6" xfId="23680"/>
    <cellStyle name="Normal 6 7 6 2" xfId="23681"/>
    <cellStyle name="Normal 6 7 6 3" xfId="23682"/>
    <cellStyle name="Normal 6 7 7" xfId="23683"/>
    <cellStyle name="Normal 6 7 7 2" xfId="23684"/>
    <cellStyle name="Normal 6 7 7 3" xfId="23685"/>
    <cellStyle name="Normal 6 7 8" xfId="23686"/>
    <cellStyle name="Normal 6 7 9" xfId="23687"/>
    <cellStyle name="Normal 6 8" xfId="23688"/>
    <cellStyle name="Normal 6 8 10" xfId="23689"/>
    <cellStyle name="Normal 6 8 11" xfId="23690"/>
    <cellStyle name="Normal 6 8 2" xfId="23691"/>
    <cellStyle name="Normal 6 8 2 2" xfId="23692"/>
    <cellStyle name="Normal 6 8 2 2 2" xfId="23693"/>
    <cellStyle name="Normal 6 8 2 2 2 2" xfId="23694"/>
    <cellStyle name="Normal 6 8 2 2 2 2 2" xfId="23695"/>
    <cellStyle name="Normal 6 8 2 2 2 2 3" xfId="23696"/>
    <cellStyle name="Normal 6 8 2 2 2 3" xfId="23697"/>
    <cellStyle name="Normal 6 8 2 2 2 3 2" xfId="23698"/>
    <cellStyle name="Normal 6 8 2 2 2 3 3" xfId="23699"/>
    <cellStyle name="Normal 6 8 2 2 2 4" xfId="23700"/>
    <cellStyle name="Normal 6 8 2 2 2 5" xfId="23701"/>
    <cellStyle name="Normal 6 8 2 2 2 6" xfId="23702"/>
    <cellStyle name="Normal 6 8 2 2 2 7" xfId="23703"/>
    <cellStyle name="Normal 6 8 2 2 3" xfId="23704"/>
    <cellStyle name="Normal 6 8 2 2 3 2" xfId="23705"/>
    <cellStyle name="Normal 6 8 2 2 3 3" xfId="23706"/>
    <cellStyle name="Normal 6 8 2 2 4" xfId="23707"/>
    <cellStyle name="Normal 6 8 2 2 4 2" xfId="23708"/>
    <cellStyle name="Normal 6 8 2 2 4 3" xfId="23709"/>
    <cellStyle name="Normal 6 8 2 2 5" xfId="23710"/>
    <cellStyle name="Normal 6 8 2 2 6" xfId="23711"/>
    <cellStyle name="Normal 6 8 2 2 7" xfId="23712"/>
    <cellStyle name="Normal 6 8 2 2 8" xfId="23713"/>
    <cellStyle name="Normal 6 8 2 3" xfId="23714"/>
    <cellStyle name="Normal 6 8 2 3 2" xfId="23715"/>
    <cellStyle name="Normal 6 8 2 3 2 2" xfId="23716"/>
    <cellStyle name="Normal 6 8 2 3 2 3" xfId="23717"/>
    <cellStyle name="Normal 6 8 2 3 3" xfId="23718"/>
    <cellStyle name="Normal 6 8 2 3 3 2" xfId="23719"/>
    <cellStyle name="Normal 6 8 2 3 3 3" xfId="23720"/>
    <cellStyle name="Normal 6 8 2 3 4" xfId="23721"/>
    <cellStyle name="Normal 6 8 2 3 5" xfId="23722"/>
    <cellStyle name="Normal 6 8 2 3 6" xfId="23723"/>
    <cellStyle name="Normal 6 8 2 3 7" xfId="23724"/>
    <cellStyle name="Normal 6 8 2 4" xfId="23725"/>
    <cellStyle name="Normal 6 8 2 4 2" xfId="23726"/>
    <cellStyle name="Normal 6 8 2 4 3" xfId="23727"/>
    <cellStyle name="Normal 6 8 2 5" xfId="23728"/>
    <cellStyle name="Normal 6 8 2 5 2" xfId="23729"/>
    <cellStyle name="Normal 6 8 2 5 3" xfId="23730"/>
    <cellStyle name="Normal 6 8 2 6" xfId="23731"/>
    <cellStyle name="Normal 6 8 2 7" xfId="23732"/>
    <cellStyle name="Normal 6 8 2 8" xfId="23733"/>
    <cellStyle name="Normal 6 8 2 9" xfId="23734"/>
    <cellStyle name="Normal 6 8 3" xfId="23735"/>
    <cellStyle name="Normal 6 8 3 2" xfId="23736"/>
    <cellStyle name="Normal 6 8 3 2 2" xfId="23737"/>
    <cellStyle name="Normal 6 8 3 2 2 2" xfId="23738"/>
    <cellStyle name="Normal 6 8 3 2 2 3" xfId="23739"/>
    <cellStyle name="Normal 6 8 3 2 3" xfId="23740"/>
    <cellStyle name="Normal 6 8 3 2 3 2" xfId="23741"/>
    <cellStyle name="Normal 6 8 3 2 3 3" xfId="23742"/>
    <cellStyle name="Normal 6 8 3 2 4" xfId="23743"/>
    <cellStyle name="Normal 6 8 3 2 5" xfId="23744"/>
    <cellStyle name="Normal 6 8 3 2 6" xfId="23745"/>
    <cellStyle name="Normal 6 8 3 2 7" xfId="23746"/>
    <cellStyle name="Normal 6 8 3 3" xfId="23747"/>
    <cellStyle name="Normal 6 8 3 3 2" xfId="23748"/>
    <cellStyle name="Normal 6 8 3 3 3" xfId="23749"/>
    <cellStyle name="Normal 6 8 3 4" xfId="23750"/>
    <cellStyle name="Normal 6 8 3 4 2" xfId="23751"/>
    <cellStyle name="Normal 6 8 3 4 3" xfId="23752"/>
    <cellStyle name="Normal 6 8 3 5" xfId="23753"/>
    <cellStyle name="Normal 6 8 3 6" xfId="23754"/>
    <cellStyle name="Normal 6 8 3 7" xfId="23755"/>
    <cellStyle name="Normal 6 8 3 8" xfId="23756"/>
    <cellStyle name="Normal 6 8 4" xfId="23757"/>
    <cellStyle name="Normal 6 8 4 2" xfId="23758"/>
    <cellStyle name="Normal 6 8 4 2 2" xfId="23759"/>
    <cellStyle name="Normal 6 8 4 2 2 2" xfId="23760"/>
    <cellStyle name="Normal 6 8 4 2 2 3" xfId="23761"/>
    <cellStyle name="Normal 6 8 4 2 3" xfId="23762"/>
    <cellStyle name="Normal 6 8 4 2 3 2" xfId="23763"/>
    <cellStyle name="Normal 6 8 4 2 3 3" xfId="23764"/>
    <cellStyle name="Normal 6 8 4 2 4" xfId="23765"/>
    <cellStyle name="Normal 6 8 4 2 5" xfId="23766"/>
    <cellStyle name="Normal 6 8 4 2 6" xfId="23767"/>
    <cellStyle name="Normal 6 8 4 2 7" xfId="23768"/>
    <cellStyle name="Normal 6 8 4 3" xfId="23769"/>
    <cellStyle name="Normal 6 8 4 3 2" xfId="23770"/>
    <cellStyle name="Normal 6 8 4 3 3" xfId="23771"/>
    <cellStyle name="Normal 6 8 4 4" xfId="23772"/>
    <cellStyle name="Normal 6 8 4 4 2" xfId="23773"/>
    <cellStyle name="Normal 6 8 4 4 3" xfId="23774"/>
    <cellStyle name="Normal 6 8 4 5" xfId="23775"/>
    <cellStyle name="Normal 6 8 4 6" xfId="23776"/>
    <cellStyle name="Normal 6 8 4 7" xfId="23777"/>
    <cellStyle name="Normal 6 8 4 8" xfId="23778"/>
    <cellStyle name="Normal 6 8 5" xfId="23779"/>
    <cellStyle name="Normal 6 8 5 2" xfId="23780"/>
    <cellStyle name="Normal 6 8 5 2 2" xfId="23781"/>
    <cellStyle name="Normal 6 8 5 2 3" xfId="23782"/>
    <cellStyle name="Normal 6 8 5 3" xfId="23783"/>
    <cellStyle name="Normal 6 8 5 3 2" xfId="23784"/>
    <cellStyle name="Normal 6 8 5 3 3" xfId="23785"/>
    <cellStyle name="Normal 6 8 5 4" xfId="23786"/>
    <cellStyle name="Normal 6 8 5 5" xfId="23787"/>
    <cellStyle name="Normal 6 8 5 6" xfId="23788"/>
    <cellStyle name="Normal 6 8 5 7" xfId="23789"/>
    <cellStyle name="Normal 6 8 6" xfId="23790"/>
    <cellStyle name="Normal 6 8 6 2" xfId="23791"/>
    <cellStyle name="Normal 6 8 6 3" xfId="23792"/>
    <cellStyle name="Normal 6 8 7" xfId="23793"/>
    <cellStyle name="Normal 6 8 7 2" xfId="23794"/>
    <cellStyle name="Normal 6 8 7 3" xfId="23795"/>
    <cellStyle name="Normal 6 8 8" xfId="23796"/>
    <cellStyle name="Normal 6 8 9" xfId="23797"/>
    <cellStyle name="Normal 6 9" xfId="23798"/>
    <cellStyle name="Normal 6 9 10" xfId="23799"/>
    <cellStyle name="Normal 6 9 11" xfId="23800"/>
    <cellStyle name="Normal 6 9 2" xfId="23801"/>
    <cellStyle name="Normal 6 9 2 2" xfId="23802"/>
    <cellStyle name="Normal 6 9 2 2 2" xfId="23803"/>
    <cellStyle name="Normal 6 9 2 2 2 2" xfId="23804"/>
    <cellStyle name="Normal 6 9 2 2 2 2 2" xfId="23805"/>
    <cellStyle name="Normal 6 9 2 2 2 2 3" xfId="23806"/>
    <cellStyle name="Normal 6 9 2 2 2 3" xfId="23807"/>
    <cellStyle name="Normal 6 9 2 2 2 3 2" xfId="23808"/>
    <cellStyle name="Normal 6 9 2 2 2 3 3" xfId="23809"/>
    <cellStyle name="Normal 6 9 2 2 2 4" xfId="23810"/>
    <cellStyle name="Normal 6 9 2 2 2 5" xfId="23811"/>
    <cellStyle name="Normal 6 9 2 2 2 6" xfId="23812"/>
    <cellStyle name="Normal 6 9 2 2 2 7" xfId="23813"/>
    <cellStyle name="Normal 6 9 2 2 3" xfId="23814"/>
    <cellStyle name="Normal 6 9 2 2 3 2" xfId="23815"/>
    <cellStyle name="Normal 6 9 2 2 3 3" xfId="23816"/>
    <cellStyle name="Normal 6 9 2 2 4" xfId="23817"/>
    <cellStyle name="Normal 6 9 2 2 4 2" xfId="23818"/>
    <cellStyle name="Normal 6 9 2 2 4 3" xfId="23819"/>
    <cellStyle name="Normal 6 9 2 2 5" xfId="23820"/>
    <cellStyle name="Normal 6 9 2 2 6" xfId="23821"/>
    <cellStyle name="Normal 6 9 2 2 7" xfId="23822"/>
    <cellStyle name="Normal 6 9 2 2 8" xfId="23823"/>
    <cellStyle name="Normal 6 9 2 3" xfId="23824"/>
    <cellStyle name="Normal 6 9 2 3 2" xfId="23825"/>
    <cellStyle name="Normal 6 9 2 3 2 2" xfId="23826"/>
    <cellStyle name="Normal 6 9 2 3 2 3" xfId="23827"/>
    <cellStyle name="Normal 6 9 2 3 3" xfId="23828"/>
    <cellStyle name="Normal 6 9 2 3 3 2" xfId="23829"/>
    <cellStyle name="Normal 6 9 2 3 3 3" xfId="23830"/>
    <cellStyle name="Normal 6 9 2 3 4" xfId="23831"/>
    <cellStyle name="Normal 6 9 2 3 5" xfId="23832"/>
    <cellStyle name="Normal 6 9 2 3 6" xfId="23833"/>
    <cellStyle name="Normal 6 9 2 3 7" xfId="23834"/>
    <cellStyle name="Normal 6 9 2 4" xfId="23835"/>
    <cellStyle name="Normal 6 9 2 4 2" xfId="23836"/>
    <cellStyle name="Normal 6 9 2 4 3" xfId="23837"/>
    <cellStyle name="Normal 6 9 2 5" xfId="23838"/>
    <cellStyle name="Normal 6 9 2 5 2" xfId="23839"/>
    <cellStyle name="Normal 6 9 2 5 3" xfId="23840"/>
    <cellStyle name="Normal 6 9 2 6" xfId="23841"/>
    <cellStyle name="Normal 6 9 2 7" xfId="23842"/>
    <cellStyle name="Normal 6 9 2 8" xfId="23843"/>
    <cellStyle name="Normal 6 9 2 9" xfId="23844"/>
    <cellStyle name="Normal 6 9 3" xfId="23845"/>
    <cellStyle name="Normal 6 9 3 2" xfId="23846"/>
    <cellStyle name="Normal 6 9 3 2 2" xfId="23847"/>
    <cellStyle name="Normal 6 9 3 2 2 2" xfId="23848"/>
    <cellStyle name="Normal 6 9 3 2 2 3" xfId="23849"/>
    <cellStyle name="Normal 6 9 3 2 3" xfId="23850"/>
    <cellStyle name="Normal 6 9 3 2 3 2" xfId="23851"/>
    <cellStyle name="Normal 6 9 3 2 3 3" xfId="23852"/>
    <cellStyle name="Normal 6 9 3 2 4" xfId="23853"/>
    <cellStyle name="Normal 6 9 3 2 5" xfId="23854"/>
    <cellStyle name="Normal 6 9 3 2 6" xfId="23855"/>
    <cellStyle name="Normal 6 9 3 2 7" xfId="23856"/>
    <cellStyle name="Normal 6 9 3 3" xfId="23857"/>
    <cellStyle name="Normal 6 9 3 3 2" xfId="23858"/>
    <cellStyle name="Normal 6 9 3 3 3" xfId="23859"/>
    <cellStyle name="Normal 6 9 3 4" xfId="23860"/>
    <cellStyle name="Normal 6 9 3 4 2" xfId="23861"/>
    <cellStyle name="Normal 6 9 3 4 3" xfId="23862"/>
    <cellStyle name="Normal 6 9 3 5" xfId="23863"/>
    <cellStyle name="Normal 6 9 3 6" xfId="23864"/>
    <cellStyle name="Normal 6 9 3 7" xfId="23865"/>
    <cellStyle name="Normal 6 9 3 8" xfId="23866"/>
    <cellStyle name="Normal 6 9 4" xfId="23867"/>
    <cellStyle name="Normal 6 9 4 2" xfId="23868"/>
    <cellStyle name="Normal 6 9 4 2 2" xfId="23869"/>
    <cellStyle name="Normal 6 9 4 2 2 2" xfId="23870"/>
    <cellStyle name="Normal 6 9 4 2 2 3" xfId="23871"/>
    <cellStyle name="Normal 6 9 4 2 3" xfId="23872"/>
    <cellStyle name="Normal 6 9 4 2 3 2" xfId="23873"/>
    <cellStyle name="Normal 6 9 4 2 3 3" xfId="23874"/>
    <cellStyle name="Normal 6 9 4 2 4" xfId="23875"/>
    <cellStyle name="Normal 6 9 4 2 5" xfId="23876"/>
    <cellStyle name="Normal 6 9 4 2 6" xfId="23877"/>
    <cellStyle name="Normal 6 9 4 2 7" xfId="23878"/>
    <cellStyle name="Normal 6 9 4 3" xfId="23879"/>
    <cellStyle name="Normal 6 9 4 3 2" xfId="23880"/>
    <cellStyle name="Normal 6 9 4 3 3" xfId="23881"/>
    <cellStyle name="Normal 6 9 4 4" xfId="23882"/>
    <cellStyle name="Normal 6 9 4 4 2" xfId="23883"/>
    <cellStyle name="Normal 6 9 4 4 3" xfId="23884"/>
    <cellStyle name="Normal 6 9 4 5" xfId="23885"/>
    <cellStyle name="Normal 6 9 4 6" xfId="23886"/>
    <cellStyle name="Normal 6 9 4 7" xfId="23887"/>
    <cellStyle name="Normal 6 9 4 8" xfId="23888"/>
    <cellStyle name="Normal 6 9 5" xfId="23889"/>
    <cellStyle name="Normal 6 9 5 2" xfId="23890"/>
    <cellStyle name="Normal 6 9 5 2 2" xfId="23891"/>
    <cellStyle name="Normal 6 9 5 2 3" xfId="23892"/>
    <cellStyle name="Normal 6 9 5 3" xfId="23893"/>
    <cellStyle name="Normal 6 9 5 3 2" xfId="23894"/>
    <cellStyle name="Normal 6 9 5 3 3" xfId="23895"/>
    <cellStyle name="Normal 6 9 5 4" xfId="23896"/>
    <cellStyle name="Normal 6 9 5 5" xfId="23897"/>
    <cellStyle name="Normal 6 9 5 6" xfId="23898"/>
    <cellStyle name="Normal 6 9 5 7" xfId="23899"/>
    <cellStyle name="Normal 6 9 6" xfId="23900"/>
    <cellStyle name="Normal 6 9 6 2" xfId="23901"/>
    <cellStyle name="Normal 6 9 6 3" xfId="23902"/>
    <cellStyle name="Normal 6 9 7" xfId="23903"/>
    <cellStyle name="Normal 6 9 7 2" xfId="23904"/>
    <cellStyle name="Normal 6 9 7 3" xfId="23905"/>
    <cellStyle name="Normal 6 9 8" xfId="23906"/>
    <cellStyle name="Normal 6 9 9" xfId="23907"/>
    <cellStyle name="Normal 6_2bhk_19122016" xfId="23908"/>
    <cellStyle name="Normal 60" xfId="23909"/>
    <cellStyle name="Normal 60 2" xfId="23910"/>
    <cellStyle name="Normal 60 2 2" xfId="23911"/>
    <cellStyle name="Normal 60 2 3" xfId="23912"/>
    <cellStyle name="Normal 60 3" xfId="23913"/>
    <cellStyle name="Normal 60 3 2" xfId="23914"/>
    <cellStyle name="Normal 60 3 3" xfId="23915"/>
    <cellStyle name="Normal 60 4" xfId="23916"/>
    <cellStyle name="Normal 60 5" xfId="23917"/>
    <cellStyle name="Normal 60 6" xfId="23918"/>
    <cellStyle name="Normal 60 7" xfId="23919"/>
    <cellStyle name="Normal 61" xfId="23920"/>
    <cellStyle name="Normal 61 2" xfId="23921"/>
    <cellStyle name="Normal 61 3" xfId="23922"/>
    <cellStyle name="Normal 62" xfId="23923"/>
    <cellStyle name="Normal 62 2" xfId="23924"/>
    <cellStyle name="Normal 62 3" xfId="23925"/>
    <cellStyle name="Normal 63" xfId="23926"/>
    <cellStyle name="Normal 63 2" xfId="23927"/>
    <cellStyle name="Normal 63 3" xfId="23928"/>
    <cellStyle name="Normal 64" xfId="23929"/>
    <cellStyle name="Normal 64 2" xfId="23930"/>
    <cellStyle name="Normal 64 3" xfId="23931"/>
    <cellStyle name="Normal 65" xfId="23932"/>
    <cellStyle name="Normal 65 2" xfId="23933"/>
    <cellStyle name="Normal 65 3" xfId="23934"/>
    <cellStyle name="Normal 66" xfId="23935"/>
    <cellStyle name="Normal 66 2" xfId="23936"/>
    <cellStyle name="Normal 66 2 2" xfId="23937"/>
    <cellStyle name="Normal 66 2 3" xfId="23938"/>
    <cellStyle name="Normal 66 3" xfId="23939"/>
    <cellStyle name="Normal 66 3 2" xfId="23940"/>
    <cellStyle name="Normal 66 3 3" xfId="23941"/>
    <cellStyle name="Normal 66 4" xfId="23942"/>
    <cellStyle name="Normal 66 5" xfId="23943"/>
    <cellStyle name="Normal 66 6" xfId="23944"/>
    <cellStyle name="Normal 66 7" xfId="23945"/>
    <cellStyle name="Normal 67" xfId="23946"/>
    <cellStyle name="Normal 67 2" xfId="23947"/>
    <cellStyle name="Normal 67 3" xfId="23948"/>
    <cellStyle name="Normal 67 4" xfId="23949"/>
    <cellStyle name="Normal 68" xfId="23950"/>
    <cellStyle name="Normal 68 10" xfId="23951"/>
    <cellStyle name="Normal 68 11" xfId="23952"/>
    <cellStyle name="Normal 68 2" xfId="23953"/>
    <cellStyle name="Normal 68 2 2" xfId="23954"/>
    <cellStyle name="Normal 68 2 3" xfId="23955"/>
    <cellStyle name="Normal 68 3" xfId="23956"/>
    <cellStyle name="Normal 68 3 2" xfId="23957"/>
    <cellStyle name="Normal 68 3 3" xfId="23958"/>
    <cellStyle name="Normal 68 4" xfId="23959"/>
    <cellStyle name="Normal 68 4 2" xfId="23960"/>
    <cellStyle name="Normal 68 4 3" xfId="23961"/>
    <cellStyle name="Normal 68 5" xfId="23962"/>
    <cellStyle name="Normal 68 5 2" xfId="23963"/>
    <cellStyle name="Normal 68 6" xfId="23964"/>
    <cellStyle name="Normal 68 6 2" xfId="23965"/>
    <cellStyle name="Normal 68 7" xfId="23966"/>
    <cellStyle name="Normal 68 8" xfId="23967"/>
    <cellStyle name="Normal 68 9" xfId="23968"/>
    <cellStyle name="Normal 69" xfId="23969"/>
    <cellStyle name="Normal 69 2" xfId="23970"/>
    <cellStyle name="Normal 69 2 2" xfId="23971"/>
    <cellStyle name="Normal 69 3" xfId="23972"/>
    <cellStyle name="Normal 69 4" xfId="23973"/>
    <cellStyle name="Normal 7" xfId="23974"/>
    <cellStyle name="Normal 7 10" xfId="23975"/>
    <cellStyle name="Normal 7 10 10" xfId="23976"/>
    <cellStyle name="Normal 7 10 11" xfId="23977"/>
    <cellStyle name="Normal 7 10 12" xfId="23978"/>
    <cellStyle name="Normal 7 10 13" xfId="23979"/>
    <cellStyle name="Normal 7 10 14" xfId="23980"/>
    <cellStyle name="Normal 7 10 15" xfId="23981"/>
    <cellStyle name="Normal 7 10 16" xfId="23982"/>
    <cellStyle name="Normal 7 10 17" xfId="23983"/>
    <cellStyle name="Normal 7 10 18" xfId="23984"/>
    <cellStyle name="Normal 7 10 2" xfId="23985"/>
    <cellStyle name="Normal 7 10 2 2" xfId="23986"/>
    <cellStyle name="Normal 7 10 2 3" xfId="23987"/>
    <cellStyle name="Normal 7 10 3" xfId="23988"/>
    <cellStyle name="Normal 7 10 3 2" xfId="23989"/>
    <cellStyle name="Normal 7 10 3 3" xfId="23990"/>
    <cellStyle name="Normal 7 10 4" xfId="23991"/>
    <cellStyle name="Normal 7 10 4 2" xfId="23992"/>
    <cellStyle name="Normal 7 10 4 3" xfId="23993"/>
    <cellStyle name="Normal 7 10 5" xfId="23994"/>
    <cellStyle name="Normal 7 10 5 2" xfId="23995"/>
    <cellStyle name="Normal 7 10 5 3" xfId="23996"/>
    <cellStyle name="Normal 7 10 6" xfId="23997"/>
    <cellStyle name="Normal 7 10 6 2" xfId="23998"/>
    <cellStyle name="Normal 7 10 6 3" xfId="23999"/>
    <cellStyle name="Normal 7 10 7" xfId="24000"/>
    <cellStyle name="Normal 7 10 7 2" xfId="24001"/>
    <cellStyle name="Normal 7 10 8" xfId="24002"/>
    <cellStyle name="Normal 7 10 8 2" xfId="24003"/>
    <cellStyle name="Normal 7 10 9" xfId="24004"/>
    <cellStyle name="Normal 7 11" xfId="24005"/>
    <cellStyle name="Normal 7 11 10" xfId="24006"/>
    <cellStyle name="Normal 7 11 11" xfId="24007"/>
    <cellStyle name="Normal 7 11 12" xfId="24008"/>
    <cellStyle name="Normal 7 11 13" xfId="24009"/>
    <cellStyle name="Normal 7 11 14" xfId="24010"/>
    <cellStyle name="Normal 7 11 15" xfId="24011"/>
    <cellStyle name="Normal 7 11 16" xfId="24012"/>
    <cellStyle name="Normal 7 11 17" xfId="24013"/>
    <cellStyle name="Normal 7 11 18" xfId="24014"/>
    <cellStyle name="Normal 7 11 2" xfId="24015"/>
    <cellStyle name="Normal 7 11 2 2" xfId="24016"/>
    <cellStyle name="Normal 7 11 2 3" xfId="24017"/>
    <cellStyle name="Normal 7 11 3" xfId="24018"/>
    <cellStyle name="Normal 7 11 3 2" xfId="24019"/>
    <cellStyle name="Normal 7 11 3 3" xfId="24020"/>
    <cellStyle name="Normal 7 11 4" xfId="24021"/>
    <cellStyle name="Normal 7 11 4 2" xfId="24022"/>
    <cellStyle name="Normal 7 11 4 3" xfId="24023"/>
    <cellStyle name="Normal 7 11 5" xfId="24024"/>
    <cellStyle name="Normal 7 11 5 2" xfId="24025"/>
    <cellStyle name="Normal 7 11 5 3" xfId="24026"/>
    <cellStyle name="Normal 7 11 6" xfId="24027"/>
    <cellStyle name="Normal 7 11 6 2" xfId="24028"/>
    <cellStyle name="Normal 7 11 6 3" xfId="24029"/>
    <cellStyle name="Normal 7 11 7" xfId="24030"/>
    <cellStyle name="Normal 7 11 7 2" xfId="24031"/>
    <cellStyle name="Normal 7 11 8" xfId="24032"/>
    <cellStyle name="Normal 7 11 8 2" xfId="24033"/>
    <cellStyle name="Normal 7 11 9" xfId="24034"/>
    <cellStyle name="Normal 7 12" xfId="24035"/>
    <cellStyle name="Normal 7 12 10" xfId="24036"/>
    <cellStyle name="Normal 7 12 11" xfId="24037"/>
    <cellStyle name="Normal 7 12 12" xfId="24038"/>
    <cellStyle name="Normal 7 12 13" xfId="24039"/>
    <cellStyle name="Normal 7 12 14" xfId="24040"/>
    <cellStyle name="Normal 7 12 15" xfId="24041"/>
    <cellStyle name="Normal 7 12 16" xfId="24042"/>
    <cellStyle name="Normal 7 12 17" xfId="24043"/>
    <cellStyle name="Normal 7 12 18" xfId="24044"/>
    <cellStyle name="Normal 7 12 2" xfId="24045"/>
    <cellStyle name="Normal 7 12 2 2" xfId="24046"/>
    <cellStyle name="Normal 7 12 2 3" xfId="24047"/>
    <cellStyle name="Normal 7 12 3" xfId="24048"/>
    <cellStyle name="Normal 7 12 3 2" xfId="24049"/>
    <cellStyle name="Normal 7 12 3 3" xfId="24050"/>
    <cellStyle name="Normal 7 12 4" xfId="24051"/>
    <cellStyle name="Normal 7 12 4 2" xfId="24052"/>
    <cellStyle name="Normal 7 12 4 3" xfId="24053"/>
    <cellStyle name="Normal 7 12 5" xfId="24054"/>
    <cellStyle name="Normal 7 12 5 2" xfId="24055"/>
    <cellStyle name="Normal 7 12 5 3" xfId="24056"/>
    <cellStyle name="Normal 7 12 6" xfId="24057"/>
    <cellStyle name="Normal 7 12 6 2" xfId="24058"/>
    <cellStyle name="Normal 7 12 6 3" xfId="24059"/>
    <cellStyle name="Normal 7 12 7" xfId="24060"/>
    <cellStyle name="Normal 7 12 7 2" xfId="24061"/>
    <cellStyle name="Normal 7 12 8" xfId="24062"/>
    <cellStyle name="Normal 7 12 8 2" xfId="24063"/>
    <cellStyle name="Normal 7 12 9" xfId="24064"/>
    <cellStyle name="Normal 7 13" xfId="24065"/>
    <cellStyle name="Normal 7 13 2" xfId="24066"/>
    <cellStyle name="Normal 7 13 3" xfId="24067"/>
    <cellStyle name="Normal 7 14" xfId="24068"/>
    <cellStyle name="Normal 7 14 2" xfId="24069"/>
    <cellStyle name="Normal 7 14 3" xfId="24070"/>
    <cellStyle name="Normal 7 15" xfId="24071"/>
    <cellStyle name="Normal 7 15 2" xfId="24072"/>
    <cellStyle name="Normal 7 15 3" xfId="24073"/>
    <cellStyle name="Normal 7 16" xfId="24074"/>
    <cellStyle name="Normal 7 16 2" xfId="24075"/>
    <cellStyle name="Normal 7 16 3" xfId="24076"/>
    <cellStyle name="Normal 7 17" xfId="24077"/>
    <cellStyle name="Normal 7 17 2" xfId="24078"/>
    <cellStyle name="Normal 7 17 3" xfId="24079"/>
    <cellStyle name="Normal 7 18" xfId="24080"/>
    <cellStyle name="Normal 7 18 2" xfId="24081"/>
    <cellStyle name="Normal 7 19" xfId="24082"/>
    <cellStyle name="Normal 7 19 2" xfId="24083"/>
    <cellStyle name="Normal 7 2" xfId="24084"/>
    <cellStyle name="Normal 7 2 2" xfId="24085"/>
    <cellStyle name="Normal 7 2 2 2" xfId="24086"/>
    <cellStyle name="Normal 7 2 3" xfId="24087"/>
    <cellStyle name="Normal 7 2 4" xfId="24088"/>
    <cellStyle name="Normal 7 2_CC DESIGN" xfId="24089"/>
    <cellStyle name="Normal 7 20" xfId="24090"/>
    <cellStyle name="Normal 7 21" xfId="24091"/>
    <cellStyle name="Normal 7 22" xfId="24092"/>
    <cellStyle name="Normal 7 23" xfId="24093"/>
    <cellStyle name="Normal 7 24" xfId="24094"/>
    <cellStyle name="Normal 7 25" xfId="24095"/>
    <cellStyle name="Normal 7 26" xfId="24096"/>
    <cellStyle name="Normal 7 27" xfId="24097"/>
    <cellStyle name="Normal 7 28" xfId="24098"/>
    <cellStyle name="Normal 7 29" xfId="24099"/>
    <cellStyle name="Normal 7 3" xfId="24100"/>
    <cellStyle name="Normal 7 3 2" xfId="24101"/>
    <cellStyle name="Normal 7 3 2 2" xfId="24102"/>
    <cellStyle name="Normal 7 3 2 3" xfId="24103"/>
    <cellStyle name="Normal 7 3 2 4" xfId="24104"/>
    <cellStyle name="Normal 7 3 3" xfId="24105"/>
    <cellStyle name="Normal 7 3 4" xfId="24106"/>
    <cellStyle name="Normal 7 3 5" xfId="24107"/>
    <cellStyle name="Normal 7 4" xfId="24108"/>
    <cellStyle name="Normal 7 4 10" xfId="24109"/>
    <cellStyle name="Normal 7 4 11" xfId="24110"/>
    <cellStyle name="Normal 7 4 12" xfId="24111"/>
    <cellStyle name="Normal 7 4 13" xfId="24112"/>
    <cellStyle name="Normal 7 4 14" xfId="24113"/>
    <cellStyle name="Normal 7 4 15" xfId="24114"/>
    <cellStyle name="Normal 7 4 16" xfId="24115"/>
    <cellStyle name="Normal 7 4 17" xfId="24116"/>
    <cellStyle name="Normal 7 4 18" xfId="24117"/>
    <cellStyle name="Normal 7 4 2" xfId="24118"/>
    <cellStyle name="Normal 7 4 2 2" xfId="24119"/>
    <cellStyle name="Normal 7 4 2 3" xfId="24120"/>
    <cellStyle name="Normal 7 4 3" xfId="24121"/>
    <cellStyle name="Normal 7 4 3 2" xfId="24122"/>
    <cellStyle name="Normal 7 4 3 3" xfId="24123"/>
    <cellStyle name="Normal 7 4 4" xfId="24124"/>
    <cellStyle name="Normal 7 4 4 2" xfId="24125"/>
    <cellStyle name="Normal 7 4 4 3" xfId="24126"/>
    <cellStyle name="Normal 7 4 5" xfId="24127"/>
    <cellStyle name="Normal 7 4 5 2" xfId="24128"/>
    <cellStyle name="Normal 7 4 5 3" xfId="24129"/>
    <cellStyle name="Normal 7 4 6" xfId="24130"/>
    <cellStyle name="Normal 7 4 6 2" xfId="24131"/>
    <cellStyle name="Normal 7 4 6 3" xfId="24132"/>
    <cellStyle name="Normal 7 4 7" xfId="24133"/>
    <cellStyle name="Normal 7 4 7 2" xfId="24134"/>
    <cellStyle name="Normal 7 4 8" xfId="24135"/>
    <cellStyle name="Normal 7 4 8 2" xfId="24136"/>
    <cellStyle name="Normal 7 4 9" xfId="24137"/>
    <cellStyle name="Normal 7 5" xfId="24138"/>
    <cellStyle name="Normal 7 5 10" xfId="24139"/>
    <cellStyle name="Normal 7 5 11" xfId="24140"/>
    <cellStyle name="Normal 7 5 12" xfId="24141"/>
    <cellStyle name="Normal 7 5 13" xfId="24142"/>
    <cellStyle name="Normal 7 5 14" xfId="24143"/>
    <cellStyle name="Normal 7 5 15" xfId="24144"/>
    <cellStyle name="Normal 7 5 16" xfId="24145"/>
    <cellStyle name="Normal 7 5 17" xfId="24146"/>
    <cellStyle name="Normal 7 5 18" xfId="24147"/>
    <cellStyle name="Normal 7 5 2" xfId="24148"/>
    <cellStyle name="Normal 7 5 2 2" xfId="24149"/>
    <cellStyle name="Normal 7 5 2 3" xfId="24150"/>
    <cellStyle name="Normal 7 5 3" xfId="24151"/>
    <cellStyle name="Normal 7 5 3 2" xfId="24152"/>
    <cellStyle name="Normal 7 5 3 3" xfId="24153"/>
    <cellStyle name="Normal 7 5 4" xfId="24154"/>
    <cellStyle name="Normal 7 5 4 2" xfId="24155"/>
    <cellStyle name="Normal 7 5 4 3" xfId="24156"/>
    <cellStyle name="Normal 7 5 5" xfId="24157"/>
    <cellStyle name="Normal 7 5 5 2" xfId="24158"/>
    <cellStyle name="Normal 7 5 5 3" xfId="24159"/>
    <cellStyle name="Normal 7 5 6" xfId="24160"/>
    <cellStyle name="Normal 7 5 6 2" xfId="24161"/>
    <cellStyle name="Normal 7 5 6 3" xfId="24162"/>
    <cellStyle name="Normal 7 5 7" xfId="24163"/>
    <cellStyle name="Normal 7 5 7 2" xfId="24164"/>
    <cellStyle name="Normal 7 5 8" xfId="24165"/>
    <cellStyle name="Normal 7 5 8 2" xfId="24166"/>
    <cellStyle name="Normal 7 5 9" xfId="24167"/>
    <cellStyle name="Normal 7 6" xfId="24168"/>
    <cellStyle name="Normal 7 6 10" xfId="24169"/>
    <cellStyle name="Normal 7 6 11" xfId="24170"/>
    <cellStyle name="Normal 7 6 12" xfId="24171"/>
    <cellStyle name="Normal 7 6 13" xfId="24172"/>
    <cellStyle name="Normal 7 6 14" xfId="24173"/>
    <cellStyle name="Normal 7 6 15" xfId="24174"/>
    <cellStyle name="Normal 7 6 16" xfId="24175"/>
    <cellStyle name="Normal 7 6 17" xfId="24176"/>
    <cellStyle name="Normal 7 6 18" xfId="24177"/>
    <cellStyle name="Normal 7 6 2" xfId="24178"/>
    <cellStyle name="Normal 7 6 2 2" xfId="24179"/>
    <cellStyle name="Normal 7 6 2 3" xfId="24180"/>
    <cellStyle name="Normal 7 6 3" xfId="24181"/>
    <cellStyle name="Normal 7 6 3 2" xfId="24182"/>
    <cellStyle name="Normal 7 6 3 3" xfId="24183"/>
    <cellStyle name="Normal 7 6 4" xfId="24184"/>
    <cellStyle name="Normal 7 6 4 2" xfId="24185"/>
    <cellStyle name="Normal 7 6 4 3" xfId="24186"/>
    <cellStyle name="Normal 7 6 5" xfId="24187"/>
    <cellStyle name="Normal 7 6 5 2" xfId="24188"/>
    <cellStyle name="Normal 7 6 5 3" xfId="24189"/>
    <cellStyle name="Normal 7 6 6" xfId="24190"/>
    <cellStyle name="Normal 7 6 6 2" xfId="24191"/>
    <cellStyle name="Normal 7 6 6 3" xfId="24192"/>
    <cellStyle name="Normal 7 6 7" xfId="24193"/>
    <cellStyle name="Normal 7 6 7 2" xfId="24194"/>
    <cellStyle name="Normal 7 6 8" xfId="24195"/>
    <cellStyle name="Normal 7 6 8 2" xfId="24196"/>
    <cellStyle name="Normal 7 6 9" xfId="24197"/>
    <cellStyle name="Normal 7 7" xfId="24198"/>
    <cellStyle name="Normal 7 7 10" xfId="24199"/>
    <cellStyle name="Normal 7 7 11" xfId="24200"/>
    <cellStyle name="Normal 7 7 12" xfId="24201"/>
    <cellStyle name="Normal 7 7 13" xfId="24202"/>
    <cellStyle name="Normal 7 7 14" xfId="24203"/>
    <cellStyle name="Normal 7 7 15" xfId="24204"/>
    <cellStyle name="Normal 7 7 16" xfId="24205"/>
    <cellStyle name="Normal 7 7 17" xfId="24206"/>
    <cellStyle name="Normal 7 7 18" xfId="24207"/>
    <cellStyle name="Normal 7 7 2" xfId="24208"/>
    <cellStyle name="Normal 7 7 2 2" xfId="24209"/>
    <cellStyle name="Normal 7 7 2 3" xfId="24210"/>
    <cellStyle name="Normal 7 7 3" xfId="24211"/>
    <cellStyle name="Normal 7 7 3 2" xfId="24212"/>
    <cellStyle name="Normal 7 7 3 3" xfId="24213"/>
    <cellStyle name="Normal 7 7 4" xfId="24214"/>
    <cellStyle name="Normal 7 7 4 2" xfId="24215"/>
    <cellStyle name="Normal 7 7 4 3" xfId="24216"/>
    <cellStyle name="Normal 7 7 5" xfId="24217"/>
    <cellStyle name="Normal 7 7 5 2" xfId="24218"/>
    <cellStyle name="Normal 7 7 5 3" xfId="24219"/>
    <cellStyle name="Normal 7 7 6" xfId="24220"/>
    <cellStyle name="Normal 7 7 6 2" xfId="24221"/>
    <cellStyle name="Normal 7 7 6 3" xfId="24222"/>
    <cellStyle name="Normal 7 7 7" xfId="24223"/>
    <cellStyle name="Normal 7 7 7 2" xfId="24224"/>
    <cellStyle name="Normal 7 7 8" xfId="24225"/>
    <cellStyle name="Normal 7 7 8 2" xfId="24226"/>
    <cellStyle name="Normal 7 7 9" xfId="24227"/>
    <cellStyle name="Normal 7 8" xfId="24228"/>
    <cellStyle name="Normal 7 8 10" xfId="24229"/>
    <cellStyle name="Normal 7 8 11" xfId="24230"/>
    <cellStyle name="Normal 7 8 12" xfId="24231"/>
    <cellStyle name="Normal 7 8 13" xfId="24232"/>
    <cellStyle name="Normal 7 8 14" xfId="24233"/>
    <cellStyle name="Normal 7 8 15" xfId="24234"/>
    <cellStyle name="Normal 7 8 16" xfId="24235"/>
    <cellStyle name="Normal 7 8 17" xfId="24236"/>
    <cellStyle name="Normal 7 8 18" xfId="24237"/>
    <cellStyle name="Normal 7 8 2" xfId="24238"/>
    <cellStyle name="Normal 7 8 2 2" xfId="24239"/>
    <cellStyle name="Normal 7 8 2 3" xfId="24240"/>
    <cellStyle name="Normal 7 8 3" xfId="24241"/>
    <cellStyle name="Normal 7 8 3 2" xfId="24242"/>
    <cellStyle name="Normal 7 8 3 3" xfId="24243"/>
    <cellStyle name="Normal 7 8 4" xfId="24244"/>
    <cellStyle name="Normal 7 8 4 2" xfId="24245"/>
    <cellStyle name="Normal 7 8 4 3" xfId="24246"/>
    <cellStyle name="Normal 7 8 5" xfId="24247"/>
    <cellStyle name="Normal 7 8 5 2" xfId="24248"/>
    <cellStyle name="Normal 7 8 5 3" xfId="24249"/>
    <cellStyle name="Normal 7 8 6" xfId="24250"/>
    <cellStyle name="Normal 7 8 6 2" xfId="24251"/>
    <cellStyle name="Normal 7 8 6 3" xfId="24252"/>
    <cellStyle name="Normal 7 8 7" xfId="24253"/>
    <cellStyle name="Normal 7 8 7 2" xfId="24254"/>
    <cellStyle name="Normal 7 8 8" xfId="24255"/>
    <cellStyle name="Normal 7 8 8 2" xfId="24256"/>
    <cellStyle name="Normal 7 8 9" xfId="24257"/>
    <cellStyle name="Normal 7 9" xfId="24258"/>
    <cellStyle name="Normal 7 9 10" xfId="24259"/>
    <cellStyle name="Normal 7 9 11" xfId="24260"/>
    <cellStyle name="Normal 7 9 12" xfId="24261"/>
    <cellStyle name="Normal 7 9 13" xfId="24262"/>
    <cellStyle name="Normal 7 9 14" xfId="24263"/>
    <cellStyle name="Normal 7 9 15" xfId="24264"/>
    <cellStyle name="Normal 7 9 16" xfId="24265"/>
    <cellStyle name="Normal 7 9 17" xfId="24266"/>
    <cellStyle name="Normal 7 9 18" xfId="24267"/>
    <cellStyle name="Normal 7 9 2" xfId="24268"/>
    <cellStyle name="Normal 7 9 2 2" xfId="24269"/>
    <cellStyle name="Normal 7 9 2 3" xfId="24270"/>
    <cellStyle name="Normal 7 9 3" xfId="24271"/>
    <cellStyle name="Normal 7 9 3 2" xfId="24272"/>
    <cellStyle name="Normal 7 9 3 3" xfId="24273"/>
    <cellStyle name="Normal 7 9 4" xfId="24274"/>
    <cellStyle name="Normal 7 9 4 2" xfId="24275"/>
    <cellStyle name="Normal 7 9 4 3" xfId="24276"/>
    <cellStyle name="Normal 7 9 5" xfId="24277"/>
    <cellStyle name="Normal 7 9 5 2" xfId="24278"/>
    <cellStyle name="Normal 7 9 5 3" xfId="24279"/>
    <cellStyle name="Normal 7 9 6" xfId="24280"/>
    <cellStyle name="Normal 7 9 6 2" xfId="24281"/>
    <cellStyle name="Normal 7 9 6 3" xfId="24282"/>
    <cellStyle name="Normal 7 9 7" xfId="24283"/>
    <cellStyle name="Normal 7 9 7 2" xfId="24284"/>
    <cellStyle name="Normal 7 9 8" xfId="24285"/>
    <cellStyle name="Normal 7 9 8 2" xfId="24286"/>
    <cellStyle name="Normal 7 9 9" xfId="24287"/>
    <cellStyle name="Normal 7_126  NAGANOOL TO GADDAMPALLY  - 82.50  LAKHS" xfId="24288"/>
    <cellStyle name="Normal 70" xfId="24289"/>
    <cellStyle name="Normal 70 2" xfId="24290"/>
    <cellStyle name="Normal 70 2 2" xfId="24291"/>
    <cellStyle name="Normal 70 3" xfId="24292"/>
    <cellStyle name="Normal 70 3 2" xfId="24293"/>
    <cellStyle name="Normal 70 3 3" xfId="24294"/>
    <cellStyle name="Normal 71" xfId="24295"/>
    <cellStyle name="Normal 71 2" xfId="24296"/>
    <cellStyle name="Normal 72" xfId="24297"/>
    <cellStyle name="Normal 72 2" xfId="24298"/>
    <cellStyle name="Normal 73" xfId="24299"/>
    <cellStyle name="Normal 73 2" xfId="24300"/>
    <cellStyle name="Normal 74" xfId="24301"/>
    <cellStyle name="Normal 74 2" xfId="24302"/>
    <cellStyle name="Normal 75" xfId="24303"/>
    <cellStyle name="Normal 75 2" xfId="24304"/>
    <cellStyle name="Normal 76" xfId="24305"/>
    <cellStyle name="Normal 76 2" xfId="24306"/>
    <cellStyle name="Normal 77" xfId="24307"/>
    <cellStyle name="Normal 77 2" xfId="24308"/>
    <cellStyle name="Normal 78" xfId="24309"/>
    <cellStyle name="Normal 78 2" xfId="24310"/>
    <cellStyle name="Normal 79" xfId="24311"/>
    <cellStyle name="Normal 79 2" xfId="24312"/>
    <cellStyle name="Normal 8" xfId="24313"/>
    <cellStyle name="Normal 8 10" xfId="24314"/>
    <cellStyle name="Normal 8 10 2" xfId="24315"/>
    <cellStyle name="Normal 8 10 3" xfId="24316"/>
    <cellStyle name="Normal 8 10 4" xfId="24317"/>
    <cellStyle name="Normal 8 11" xfId="24318"/>
    <cellStyle name="Normal 8 11 2" xfId="24319"/>
    <cellStyle name="Normal 8 11 3" xfId="24320"/>
    <cellStyle name="Normal 8 11 4" xfId="24321"/>
    <cellStyle name="Normal 8 12" xfId="24322"/>
    <cellStyle name="Normal 8 13" xfId="24323"/>
    <cellStyle name="Normal 8 14" xfId="24324"/>
    <cellStyle name="Normal 8 2" xfId="24325"/>
    <cellStyle name="Normal 8 2 2" xfId="24326"/>
    <cellStyle name="Normal 8 2 2 2" xfId="24327"/>
    <cellStyle name="Normal 8 2 2 3" xfId="24328"/>
    <cellStyle name="Normal 8 2 2 4" xfId="24329"/>
    <cellStyle name="Normal 8 2 3" xfId="24330"/>
    <cellStyle name="Normal 8 2 4" xfId="24331"/>
    <cellStyle name="Normal 8 2 5" xfId="24332"/>
    <cellStyle name="Normal 8 3" xfId="24333"/>
    <cellStyle name="Normal 8 3 2" xfId="24334"/>
    <cellStyle name="Normal 8 3 2 2" xfId="24335"/>
    <cellStyle name="Normal 8 3 3" xfId="24336"/>
    <cellStyle name="Normal 8 3 4" xfId="24337"/>
    <cellStyle name="Normal 8 4" xfId="24338"/>
    <cellStyle name="Normal 8 4 2" xfId="24339"/>
    <cellStyle name="Normal 8 4 2 2" xfId="24340"/>
    <cellStyle name="Normal 8 4 2 3" xfId="24341"/>
    <cellStyle name="Normal 8 4 2 4" xfId="24342"/>
    <cellStyle name="Normal 8 4 3" xfId="24343"/>
    <cellStyle name="Normal 8 4 4" xfId="24344"/>
    <cellStyle name="Normal 8 4 5" xfId="24345"/>
    <cellStyle name="Normal 8 5" xfId="24346"/>
    <cellStyle name="Normal 8 5 2" xfId="24347"/>
    <cellStyle name="Normal 8 5 2 2" xfId="24348"/>
    <cellStyle name="Normal 8 5 2 3" xfId="24349"/>
    <cellStyle name="Normal 8 5 2 4" xfId="24350"/>
    <cellStyle name="Normal 8 5 3" xfId="24351"/>
    <cellStyle name="Normal 8 5 4" xfId="24352"/>
    <cellStyle name="Normal 8 5 5" xfId="24353"/>
    <cellStyle name="Normal 8 6" xfId="24354"/>
    <cellStyle name="Normal 8 6 2" xfId="24355"/>
    <cellStyle name="Normal 8 6 2 2" xfId="24356"/>
    <cellStyle name="Normal 8 6 2 3" xfId="24357"/>
    <cellStyle name="Normal 8 6 2 4" xfId="24358"/>
    <cellStyle name="Normal 8 6 3" xfId="24359"/>
    <cellStyle name="Normal 8 6 4" xfId="24360"/>
    <cellStyle name="Normal 8 6 5" xfId="24361"/>
    <cellStyle name="Normal 8 7" xfId="24362"/>
    <cellStyle name="Normal 8 7 2" xfId="24363"/>
    <cellStyle name="Normal 8 7 3" xfId="24364"/>
    <cellStyle name="Normal 8 7 4" xfId="24365"/>
    <cellStyle name="Normal 8 8" xfId="24366"/>
    <cellStyle name="Normal 8 8 2" xfId="24367"/>
    <cellStyle name="Normal 8 8 3" xfId="24368"/>
    <cellStyle name="Normal 8 8 4" xfId="24369"/>
    <cellStyle name="Normal 8 9" xfId="24370"/>
    <cellStyle name="Normal 8 9 2" xfId="24371"/>
    <cellStyle name="Normal 8 9 3" xfId="24372"/>
    <cellStyle name="Normal 8 9 4" xfId="24373"/>
    <cellStyle name="Normal 8_2015-16 MASTER CC ROAD &amp; DRAIN" xfId="24374"/>
    <cellStyle name="Normal 80" xfId="24375"/>
    <cellStyle name="Normal 80 2" xfId="24376"/>
    <cellStyle name="Normal 81" xfId="24377"/>
    <cellStyle name="Normal 81 2" xfId="24378"/>
    <cellStyle name="Normal 82" xfId="24379"/>
    <cellStyle name="Normal 82 2" xfId="24380"/>
    <cellStyle name="Normal 83" xfId="24381"/>
    <cellStyle name="Normal 84" xfId="24382"/>
    <cellStyle name="Normal 85" xfId="24383"/>
    <cellStyle name="Normal 86" xfId="24384"/>
    <cellStyle name="Normal 87" xfId="24385"/>
    <cellStyle name="Normal 88" xfId="24386"/>
    <cellStyle name="Normal 89" xfId="24387"/>
    <cellStyle name="Normal 9" xfId="24388"/>
    <cellStyle name="Normal 9 10" xfId="24389"/>
    <cellStyle name="Normal 9 10 10" xfId="24390"/>
    <cellStyle name="Normal 9 10 11" xfId="24391"/>
    <cellStyle name="Normal 9 10 12" xfId="24392"/>
    <cellStyle name="Normal 9 10 13" xfId="24393"/>
    <cellStyle name="Normal 9 10 14" xfId="24394"/>
    <cellStyle name="Normal 9 10 15" xfId="24395"/>
    <cellStyle name="Normal 9 10 16" xfId="24396"/>
    <cellStyle name="Normal 9 10 17" xfId="24397"/>
    <cellStyle name="Normal 9 10 18" xfId="24398"/>
    <cellStyle name="Normal 9 10 2" xfId="24399"/>
    <cellStyle name="Normal 9 10 2 2" xfId="24400"/>
    <cellStyle name="Normal 9 10 2 3" xfId="24401"/>
    <cellStyle name="Normal 9 10 3" xfId="24402"/>
    <cellStyle name="Normal 9 10 3 2" xfId="24403"/>
    <cellStyle name="Normal 9 10 3 3" xfId="24404"/>
    <cellStyle name="Normal 9 10 4" xfId="24405"/>
    <cellStyle name="Normal 9 10 4 2" xfId="24406"/>
    <cellStyle name="Normal 9 10 4 3" xfId="24407"/>
    <cellStyle name="Normal 9 10 5" xfId="24408"/>
    <cellStyle name="Normal 9 10 5 2" xfId="24409"/>
    <cellStyle name="Normal 9 10 5 3" xfId="24410"/>
    <cellStyle name="Normal 9 10 6" xfId="24411"/>
    <cellStyle name="Normal 9 10 6 2" xfId="24412"/>
    <cellStyle name="Normal 9 10 6 3" xfId="24413"/>
    <cellStyle name="Normal 9 10 7" xfId="24414"/>
    <cellStyle name="Normal 9 10 7 2" xfId="24415"/>
    <cellStyle name="Normal 9 10 8" xfId="24416"/>
    <cellStyle name="Normal 9 10 8 2" xfId="24417"/>
    <cellStyle name="Normal 9 10 9" xfId="24418"/>
    <cellStyle name="Normal 9 11" xfId="24419"/>
    <cellStyle name="Normal 9 11 2" xfId="24420"/>
    <cellStyle name="Normal 9 11 3" xfId="24421"/>
    <cellStyle name="Normal 9 12" xfId="24422"/>
    <cellStyle name="Normal 9 12 2" xfId="24423"/>
    <cellStyle name="Normal 9 12 3" xfId="24424"/>
    <cellStyle name="Normal 9 13" xfId="24425"/>
    <cellStyle name="Normal 9 13 2" xfId="24426"/>
    <cellStyle name="Normal 9 13 3" xfId="24427"/>
    <cellStyle name="Normal 9 14" xfId="24428"/>
    <cellStyle name="Normal 9 14 2" xfId="24429"/>
    <cellStyle name="Normal 9 14 3" xfId="24430"/>
    <cellStyle name="Normal 9 15" xfId="24431"/>
    <cellStyle name="Normal 9 15 2" xfId="24432"/>
    <cellStyle name="Normal 9 15 3" xfId="24433"/>
    <cellStyle name="Normal 9 16" xfId="24434"/>
    <cellStyle name="Normal 9 16 2" xfId="24435"/>
    <cellStyle name="Normal 9 17" xfId="24436"/>
    <cellStyle name="Normal 9 17 2" xfId="24437"/>
    <cellStyle name="Normal 9 18" xfId="24438"/>
    <cellStyle name="Normal 9 19" xfId="24439"/>
    <cellStyle name="Normal 9 2" xfId="24440"/>
    <cellStyle name="Normal 9 2 10" xfId="24441"/>
    <cellStyle name="Normal 9 2 10 2" xfId="24442"/>
    <cellStyle name="Normal 9 2 10 2 2" xfId="24443"/>
    <cellStyle name="Normal 9 2 10 2 2 2" xfId="24444"/>
    <cellStyle name="Normal 9 2 10 2 2 3" xfId="24445"/>
    <cellStyle name="Normal 9 2 10 2 3" xfId="24446"/>
    <cellStyle name="Normal 9 2 10 2 3 2" xfId="24447"/>
    <cellStyle name="Normal 9 2 10 2 3 3" xfId="24448"/>
    <cellStyle name="Normal 9 2 10 2 4" xfId="24449"/>
    <cellStyle name="Normal 9 2 10 2 5" xfId="24450"/>
    <cellStyle name="Normal 9 2 10 2 6" xfId="24451"/>
    <cellStyle name="Normal 9 2 10 2 7" xfId="24452"/>
    <cellStyle name="Normal 9 2 10 3" xfId="24453"/>
    <cellStyle name="Normal 9 2 10 3 2" xfId="24454"/>
    <cellStyle name="Normal 9 2 10 3 3" xfId="24455"/>
    <cellStyle name="Normal 9 2 10 4" xfId="24456"/>
    <cellStyle name="Normal 9 2 10 4 2" xfId="24457"/>
    <cellStyle name="Normal 9 2 10 4 3" xfId="24458"/>
    <cellStyle name="Normal 9 2 10 5" xfId="24459"/>
    <cellStyle name="Normal 9 2 10 6" xfId="24460"/>
    <cellStyle name="Normal 9 2 10 7" xfId="24461"/>
    <cellStyle name="Normal 9 2 10 8" xfId="24462"/>
    <cellStyle name="Normal 9 2 11" xfId="24463"/>
    <cellStyle name="Normal 9 2 11 2" xfId="24464"/>
    <cellStyle name="Normal 9 2 11 2 2" xfId="24465"/>
    <cellStyle name="Normal 9 2 11 2 2 2" xfId="24466"/>
    <cellStyle name="Normal 9 2 11 2 2 3" xfId="24467"/>
    <cellStyle name="Normal 9 2 11 2 3" xfId="24468"/>
    <cellStyle name="Normal 9 2 11 2 3 2" xfId="24469"/>
    <cellStyle name="Normal 9 2 11 2 3 3" xfId="24470"/>
    <cellStyle name="Normal 9 2 11 2 4" xfId="24471"/>
    <cellStyle name="Normal 9 2 11 2 5" xfId="24472"/>
    <cellStyle name="Normal 9 2 11 2 6" xfId="24473"/>
    <cellStyle name="Normal 9 2 11 2 7" xfId="24474"/>
    <cellStyle name="Normal 9 2 11 3" xfId="24475"/>
    <cellStyle name="Normal 9 2 11 3 2" xfId="24476"/>
    <cellStyle name="Normal 9 2 11 3 3" xfId="24477"/>
    <cellStyle name="Normal 9 2 11 4" xfId="24478"/>
    <cellStyle name="Normal 9 2 11 4 2" xfId="24479"/>
    <cellStyle name="Normal 9 2 11 4 3" xfId="24480"/>
    <cellStyle name="Normal 9 2 11 5" xfId="24481"/>
    <cellStyle name="Normal 9 2 11 6" xfId="24482"/>
    <cellStyle name="Normal 9 2 11 7" xfId="24483"/>
    <cellStyle name="Normal 9 2 11 8" xfId="24484"/>
    <cellStyle name="Normal 9 2 12" xfId="24485"/>
    <cellStyle name="Normal 9 2 12 2" xfId="24486"/>
    <cellStyle name="Normal 9 2 12 2 2" xfId="24487"/>
    <cellStyle name="Normal 9 2 12 2 3" xfId="24488"/>
    <cellStyle name="Normal 9 2 12 3" xfId="24489"/>
    <cellStyle name="Normal 9 2 12 3 2" xfId="24490"/>
    <cellStyle name="Normal 9 2 12 3 3" xfId="24491"/>
    <cellStyle name="Normal 9 2 12 4" xfId="24492"/>
    <cellStyle name="Normal 9 2 12 5" xfId="24493"/>
    <cellStyle name="Normal 9 2 12 6" xfId="24494"/>
    <cellStyle name="Normal 9 2 12 7" xfId="24495"/>
    <cellStyle name="Normal 9 2 13" xfId="24496"/>
    <cellStyle name="Normal 9 2 13 2" xfId="24497"/>
    <cellStyle name="Normal 9 2 13 2 2" xfId="24498"/>
    <cellStyle name="Normal 9 2 13 2 3" xfId="24499"/>
    <cellStyle name="Normal 9 2 13 3" xfId="24500"/>
    <cellStyle name="Normal 9 2 13 3 2" xfId="24501"/>
    <cellStyle name="Normal 9 2 13 3 3" xfId="24502"/>
    <cellStyle name="Normal 9 2 13 4" xfId="24503"/>
    <cellStyle name="Normal 9 2 13 5" xfId="24504"/>
    <cellStyle name="Normal 9 2 13 6" xfId="24505"/>
    <cellStyle name="Normal 9 2 13 7" xfId="24506"/>
    <cellStyle name="Normal 9 2 14" xfId="24507"/>
    <cellStyle name="Normal 9 2 14 2" xfId="24508"/>
    <cellStyle name="Normal 9 2 15" xfId="24509"/>
    <cellStyle name="Normal 9 2 15 2" xfId="24510"/>
    <cellStyle name="Normal 9 2 15 3" xfId="24511"/>
    <cellStyle name="Normal 9 2 16" xfId="24512"/>
    <cellStyle name="Normal 9 2 16 2" xfId="24513"/>
    <cellStyle name="Normal 9 2 16 3" xfId="24514"/>
    <cellStyle name="Normal 9 2 17" xfId="24515"/>
    <cellStyle name="Normal 9 2 18" xfId="24516"/>
    <cellStyle name="Normal 9 2 19" xfId="24517"/>
    <cellStyle name="Normal 9 2 2" xfId="24518"/>
    <cellStyle name="Normal 9 2 2 10" xfId="24519"/>
    <cellStyle name="Normal 9 2 2 10 2" xfId="24520"/>
    <cellStyle name="Normal 9 2 2 10 3" xfId="24521"/>
    <cellStyle name="Normal 9 2 2 11" xfId="24522"/>
    <cellStyle name="Normal 9 2 2 11 2" xfId="24523"/>
    <cellStyle name="Normal 9 2 2 11 3" xfId="24524"/>
    <cellStyle name="Normal 9 2 2 12" xfId="24525"/>
    <cellStyle name="Normal 9 2 2 13" xfId="24526"/>
    <cellStyle name="Normal 9 2 2 14" xfId="24527"/>
    <cellStyle name="Normal 9 2 2 15" xfId="24528"/>
    <cellStyle name="Normal 9 2 2 2" xfId="24529"/>
    <cellStyle name="Normal 9 2 2 2 10" xfId="24530"/>
    <cellStyle name="Normal 9 2 2 2 11" xfId="24531"/>
    <cellStyle name="Normal 9 2 2 2 2" xfId="24532"/>
    <cellStyle name="Normal 9 2 2 2 2 2" xfId="24533"/>
    <cellStyle name="Normal 9 2 2 2 2 2 2" xfId="24534"/>
    <cellStyle name="Normal 9 2 2 2 2 2 2 2" xfId="24535"/>
    <cellStyle name="Normal 9 2 2 2 2 2 2 2 2" xfId="24536"/>
    <cellStyle name="Normal 9 2 2 2 2 2 2 2 3" xfId="24537"/>
    <cellStyle name="Normal 9 2 2 2 2 2 2 3" xfId="24538"/>
    <cellStyle name="Normal 9 2 2 2 2 2 2 3 2" xfId="24539"/>
    <cellStyle name="Normal 9 2 2 2 2 2 2 3 3" xfId="24540"/>
    <cellStyle name="Normal 9 2 2 2 2 2 2 4" xfId="24541"/>
    <cellStyle name="Normal 9 2 2 2 2 2 2 5" xfId="24542"/>
    <cellStyle name="Normal 9 2 2 2 2 2 2 6" xfId="24543"/>
    <cellStyle name="Normal 9 2 2 2 2 2 2 7" xfId="24544"/>
    <cellStyle name="Normal 9 2 2 2 2 2 3" xfId="24545"/>
    <cellStyle name="Normal 9 2 2 2 2 2 3 2" xfId="24546"/>
    <cellStyle name="Normal 9 2 2 2 2 2 3 3" xfId="24547"/>
    <cellStyle name="Normal 9 2 2 2 2 2 4" xfId="24548"/>
    <cellStyle name="Normal 9 2 2 2 2 2 4 2" xfId="24549"/>
    <cellStyle name="Normal 9 2 2 2 2 2 4 3" xfId="24550"/>
    <cellStyle name="Normal 9 2 2 2 2 2 5" xfId="24551"/>
    <cellStyle name="Normal 9 2 2 2 2 2 6" xfId="24552"/>
    <cellStyle name="Normal 9 2 2 2 2 2 7" xfId="24553"/>
    <cellStyle name="Normal 9 2 2 2 2 2 8" xfId="24554"/>
    <cellStyle name="Normal 9 2 2 2 2 3" xfId="24555"/>
    <cellStyle name="Normal 9 2 2 2 2 3 2" xfId="24556"/>
    <cellStyle name="Normal 9 2 2 2 2 3 2 2" xfId="24557"/>
    <cellStyle name="Normal 9 2 2 2 2 3 2 3" xfId="24558"/>
    <cellStyle name="Normal 9 2 2 2 2 3 3" xfId="24559"/>
    <cellStyle name="Normal 9 2 2 2 2 3 3 2" xfId="24560"/>
    <cellStyle name="Normal 9 2 2 2 2 3 3 3" xfId="24561"/>
    <cellStyle name="Normal 9 2 2 2 2 3 4" xfId="24562"/>
    <cellStyle name="Normal 9 2 2 2 2 3 5" xfId="24563"/>
    <cellStyle name="Normal 9 2 2 2 2 3 6" xfId="24564"/>
    <cellStyle name="Normal 9 2 2 2 2 3 7" xfId="24565"/>
    <cellStyle name="Normal 9 2 2 2 2 4" xfId="24566"/>
    <cellStyle name="Normal 9 2 2 2 2 4 2" xfId="24567"/>
    <cellStyle name="Normal 9 2 2 2 2 4 3" xfId="24568"/>
    <cellStyle name="Normal 9 2 2 2 2 5" xfId="24569"/>
    <cellStyle name="Normal 9 2 2 2 2 5 2" xfId="24570"/>
    <cellStyle name="Normal 9 2 2 2 2 5 3" xfId="24571"/>
    <cellStyle name="Normal 9 2 2 2 2 6" xfId="24572"/>
    <cellStyle name="Normal 9 2 2 2 2 7" xfId="24573"/>
    <cellStyle name="Normal 9 2 2 2 2 8" xfId="24574"/>
    <cellStyle name="Normal 9 2 2 2 2 9" xfId="24575"/>
    <cellStyle name="Normal 9 2 2 2 3" xfId="24576"/>
    <cellStyle name="Normal 9 2 2 2 3 2" xfId="24577"/>
    <cellStyle name="Normal 9 2 2 2 3 2 2" xfId="24578"/>
    <cellStyle name="Normal 9 2 2 2 3 2 2 2" xfId="24579"/>
    <cellStyle name="Normal 9 2 2 2 3 2 2 3" xfId="24580"/>
    <cellStyle name="Normal 9 2 2 2 3 2 3" xfId="24581"/>
    <cellStyle name="Normal 9 2 2 2 3 2 3 2" xfId="24582"/>
    <cellStyle name="Normal 9 2 2 2 3 2 3 3" xfId="24583"/>
    <cellStyle name="Normal 9 2 2 2 3 2 4" xfId="24584"/>
    <cellStyle name="Normal 9 2 2 2 3 2 5" xfId="24585"/>
    <cellStyle name="Normal 9 2 2 2 3 2 6" xfId="24586"/>
    <cellStyle name="Normal 9 2 2 2 3 2 7" xfId="24587"/>
    <cellStyle name="Normal 9 2 2 2 3 3" xfId="24588"/>
    <cellStyle name="Normal 9 2 2 2 3 3 2" xfId="24589"/>
    <cellStyle name="Normal 9 2 2 2 3 3 3" xfId="24590"/>
    <cellStyle name="Normal 9 2 2 2 3 4" xfId="24591"/>
    <cellStyle name="Normal 9 2 2 2 3 4 2" xfId="24592"/>
    <cellStyle name="Normal 9 2 2 2 3 4 3" xfId="24593"/>
    <cellStyle name="Normal 9 2 2 2 3 5" xfId="24594"/>
    <cellStyle name="Normal 9 2 2 2 3 6" xfId="24595"/>
    <cellStyle name="Normal 9 2 2 2 3 7" xfId="24596"/>
    <cellStyle name="Normal 9 2 2 2 3 8" xfId="24597"/>
    <cellStyle name="Normal 9 2 2 2 4" xfId="24598"/>
    <cellStyle name="Normal 9 2 2 2 4 2" xfId="24599"/>
    <cellStyle name="Normal 9 2 2 2 4 2 2" xfId="24600"/>
    <cellStyle name="Normal 9 2 2 2 4 2 2 2" xfId="24601"/>
    <cellStyle name="Normal 9 2 2 2 4 2 2 3" xfId="24602"/>
    <cellStyle name="Normal 9 2 2 2 4 2 3" xfId="24603"/>
    <cellStyle name="Normal 9 2 2 2 4 2 3 2" xfId="24604"/>
    <cellStyle name="Normal 9 2 2 2 4 2 3 3" xfId="24605"/>
    <cellStyle name="Normal 9 2 2 2 4 2 4" xfId="24606"/>
    <cellStyle name="Normal 9 2 2 2 4 2 5" xfId="24607"/>
    <cellStyle name="Normal 9 2 2 2 4 2 6" xfId="24608"/>
    <cellStyle name="Normal 9 2 2 2 4 2 7" xfId="24609"/>
    <cellStyle name="Normal 9 2 2 2 4 3" xfId="24610"/>
    <cellStyle name="Normal 9 2 2 2 4 3 2" xfId="24611"/>
    <cellStyle name="Normal 9 2 2 2 4 3 3" xfId="24612"/>
    <cellStyle name="Normal 9 2 2 2 4 4" xfId="24613"/>
    <cellStyle name="Normal 9 2 2 2 4 4 2" xfId="24614"/>
    <cellStyle name="Normal 9 2 2 2 4 4 3" xfId="24615"/>
    <cellStyle name="Normal 9 2 2 2 4 5" xfId="24616"/>
    <cellStyle name="Normal 9 2 2 2 4 6" xfId="24617"/>
    <cellStyle name="Normal 9 2 2 2 4 7" xfId="24618"/>
    <cellStyle name="Normal 9 2 2 2 4 8" xfId="24619"/>
    <cellStyle name="Normal 9 2 2 2 5" xfId="24620"/>
    <cellStyle name="Normal 9 2 2 2 5 2" xfId="24621"/>
    <cellStyle name="Normal 9 2 2 2 5 2 2" xfId="24622"/>
    <cellStyle name="Normal 9 2 2 2 5 2 3" xfId="24623"/>
    <cellStyle name="Normal 9 2 2 2 5 3" xfId="24624"/>
    <cellStyle name="Normal 9 2 2 2 5 3 2" xfId="24625"/>
    <cellStyle name="Normal 9 2 2 2 5 3 3" xfId="24626"/>
    <cellStyle name="Normal 9 2 2 2 5 4" xfId="24627"/>
    <cellStyle name="Normal 9 2 2 2 5 5" xfId="24628"/>
    <cellStyle name="Normal 9 2 2 2 5 6" xfId="24629"/>
    <cellStyle name="Normal 9 2 2 2 5 7" xfId="24630"/>
    <cellStyle name="Normal 9 2 2 2 6" xfId="24631"/>
    <cellStyle name="Normal 9 2 2 2 6 2" xfId="24632"/>
    <cellStyle name="Normal 9 2 2 2 6 3" xfId="24633"/>
    <cellStyle name="Normal 9 2 2 2 7" xfId="24634"/>
    <cellStyle name="Normal 9 2 2 2 7 2" xfId="24635"/>
    <cellStyle name="Normal 9 2 2 2 7 3" xfId="24636"/>
    <cellStyle name="Normal 9 2 2 2 8" xfId="24637"/>
    <cellStyle name="Normal 9 2 2 2 9" xfId="24638"/>
    <cellStyle name="Normal 9 2 2 3" xfId="24639"/>
    <cellStyle name="Normal 9 2 2 3 10" xfId="24640"/>
    <cellStyle name="Normal 9 2 2 3 11" xfId="24641"/>
    <cellStyle name="Normal 9 2 2 3 2" xfId="24642"/>
    <cellStyle name="Normal 9 2 2 3 2 2" xfId="24643"/>
    <cellStyle name="Normal 9 2 2 3 2 2 2" xfId="24644"/>
    <cellStyle name="Normal 9 2 2 3 2 2 2 2" xfId="24645"/>
    <cellStyle name="Normal 9 2 2 3 2 2 2 2 2" xfId="24646"/>
    <cellStyle name="Normal 9 2 2 3 2 2 2 2 3" xfId="24647"/>
    <cellStyle name="Normal 9 2 2 3 2 2 2 3" xfId="24648"/>
    <cellStyle name="Normal 9 2 2 3 2 2 2 3 2" xfId="24649"/>
    <cellStyle name="Normal 9 2 2 3 2 2 2 3 3" xfId="24650"/>
    <cellStyle name="Normal 9 2 2 3 2 2 2 4" xfId="24651"/>
    <cellStyle name="Normal 9 2 2 3 2 2 2 5" xfId="24652"/>
    <cellStyle name="Normal 9 2 2 3 2 2 2 6" xfId="24653"/>
    <cellStyle name="Normal 9 2 2 3 2 2 2 7" xfId="24654"/>
    <cellStyle name="Normal 9 2 2 3 2 2 3" xfId="24655"/>
    <cellStyle name="Normal 9 2 2 3 2 2 3 2" xfId="24656"/>
    <cellStyle name="Normal 9 2 2 3 2 2 3 3" xfId="24657"/>
    <cellStyle name="Normal 9 2 2 3 2 2 4" xfId="24658"/>
    <cellStyle name="Normal 9 2 2 3 2 2 4 2" xfId="24659"/>
    <cellStyle name="Normal 9 2 2 3 2 2 4 3" xfId="24660"/>
    <cellStyle name="Normal 9 2 2 3 2 2 5" xfId="24661"/>
    <cellStyle name="Normal 9 2 2 3 2 2 6" xfId="24662"/>
    <cellStyle name="Normal 9 2 2 3 2 2 7" xfId="24663"/>
    <cellStyle name="Normal 9 2 2 3 2 2 8" xfId="24664"/>
    <cellStyle name="Normal 9 2 2 3 2 3" xfId="24665"/>
    <cellStyle name="Normal 9 2 2 3 2 3 2" xfId="24666"/>
    <cellStyle name="Normal 9 2 2 3 2 3 2 2" xfId="24667"/>
    <cellStyle name="Normal 9 2 2 3 2 3 2 3" xfId="24668"/>
    <cellStyle name="Normal 9 2 2 3 2 3 3" xfId="24669"/>
    <cellStyle name="Normal 9 2 2 3 2 3 3 2" xfId="24670"/>
    <cellStyle name="Normal 9 2 2 3 2 3 3 3" xfId="24671"/>
    <cellStyle name="Normal 9 2 2 3 2 3 4" xfId="24672"/>
    <cellStyle name="Normal 9 2 2 3 2 3 5" xfId="24673"/>
    <cellStyle name="Normal 9 2 2 3 2 3 6" xfId="24674"/>
    <cellStyle name="Normal 9 2 2 3 2 3 7" xfId="24675"/>
    <cellStyle name="Normal 9 2 2 3 2 4" xfId="24676"/>
    <cellStyle name="Normal 9 2 2 3 2 4 2" xfId="24677"/>
    <cellStyle name="Normal 9 2 2 3 2 4 3" xfId="24678"/>
    <cellStyle name="Normal 9 2 2 3 2 5" xfId="24679"/>
    <cellStyle name="Normal 9 2 2 3 2 5 2" xfId="24680"/>
    <cellStyle name="Normal 9 2 2 3 2 5 3" xfId="24681"/>
    <cellStyle name="Normal 9 2 2 3 2 6" xfId="24682"/>
    <cellStyle name="Normal 9 2 2 3 2 7" xfId="24683"/>
    <cellStyle name="Normal 9 2 2 3 2 8" xfId="24684"/>
    <cellStyle name="Normal 9 2 2 3 2 9" xfId="24685"/>
    <cellStyle name="Normal 9 2 2 3 3" xfId="24686"/>
    <cellStyle name="Normal 9 2 2 3 3 2" xfId="24687"/>
    <cellStyle name="Normal 9 2 2 3 3 2 2" xfId="24688"/>
    <cellStyle name="Normal 9 2 2 3 3 2 2 2" xfId="24689"/>
    <cellStyle name="Normal 9 2 2 3 3 2 2 3" xfId="24690"/>
    <cellStyle name="Normal 9 2 2 3 3 2 3" xfId="24691"/>
    <cellStyle name="Normal 9 2 2 3 3 2 3 2" xfId="24692"/>
    <cellStyle name="Normal 9 2 2 3 3 2 3 3" xfId="24693"/>
    <cellStyle name="Normal 9 2 2 3 3 2 4" xfId="24694"/>
    <cellStyle name="Normal 9 2 2 3 3 2 5" xfId="24695"/>
    <cellStyle name="Normal 9 2 2 3 3 2 6" xfId="24696"/>
    <cellStyle name="Normal 9 2 2 3 3 2 7" xfId="24697"/>
    <cellStyle name="Normal 9 2 2 3 3 3" xfId="24698"/>
    <cellStyle name="Normal 9 2 2 3 3 3 2" xfId="24699"/>
    <cellStyle name="Normal 9 2 2 3 3 3 3" xfId="24700"/>
    <cellStyle name="Normal 9 2 2 3 3 4" xfId="24701"/>
    <cellStyle name="Normal 9 2 2 3 3 4 2" xfId="24702"/>
    <cellStyle name="Normal 9 2 2 3 3 4 3" xfId="24703"/>
    <cellStyle name="Normal 9 2 2 3 3 5" xfId="24704"/>
    <cellStyle name="Normal 9 2 2 3 3 6" xfId="24705"/>
    <cellStyle name="Normal 9 2 2 3 3 7" xfId="24706"/>
    <cellStyle name="Normal 9 2 2 3 3 8" xfId="24707"/>
    <cellStyle name="Normal 9 2 2 3 4" xfId="24708"/>
    <cellStyle name="Normal 9 2 2 3 4 2" xfId="24709"/>
    <cellStyle name="Normal 9 2 2 3 4 2 2" xfId="24710"/>
    <cellStyle name="Normal 9 2 2 3 4 2 2 2" xfId="24711"/>
    <cellStyle name="Normal 9 2 2 3 4 2 2 3" xfId="24712"/>
    <cellStyle name="Normal 9 2 2 3 4 2 3" xfId="24713"/>
    <cellStyle name="Normal 9 2 2 3 4 2 3 2" xfId="24714"/>
    <cellStyle name="Normal 9 2 2 3 4 2 3 3" xfId="24715"/>
    <cellStyle name="Normal 9 2 2 3 4 2 4" xfId="24716"/>
    <cellStyle name="Normal 9 2 2 3 4 2 5" xfId="24717"/>
    <cellStyle name="Normal 9 2 2 3 4 2 6" xfId="24718"/>
    <cellStyle name="Normal 9 2 2 3 4 2 7" xfId="24719"/>
    <cellStyle name="Normal 9 2 2 3 4 3" xfId="24720"/>
    <cellStyle name="Normal 9 2 2 3 4 3 2" xfId="24721"/>
    <cellStyle name="Normal 9 2 2 3 4 3 3" xfId="24722"/>
    <cellStyle name="Normal 9 2 2 3 4 4" xfId="24723"/>
    <cellStyle name="Normal 9 2 2 3 4 4 2" xfId="24724"/>
    <cellStyle name="Normal 9 2 2 3 4 4 3" xfId="24725"/>
    <cellStyle name="Normal 9 2 2 3 4 5" xfId="24726"/>
    <cellStyle name="Normal 9 2 2 3 4 6" xfId="24727"/>
    <cellStyle name="Normal 9 2 2 3 4 7" xfId="24728"/>
    <cellStyle name="Normal 9 2 2 3 4 8" xfId="24729"/>
    <cellStyle name="Normal 9 2 2 3 5" xfId="24730"/>
    <cellStyle name="Normal 9 2 2 3 5 2" xfId="24731"/>
    <cellStyle name="Normal 9 2 2 3 5 2 2" xfId="24732"/>
    <cellStyle name="Normal 9 2 2 3 5 2 3" xfId="24733"/>
    <cellStyle name="Normal 9 2 2 3 5 3" xfId="24734"/>
    <cellStyle name="Normal 9 2 2 3 5 3 2" xfId="24735"/>
    <cellStyle name="Normal 9 2 2 3 5 3 3" xfId="24736"/>
    <cellStyle name="Normal 9 2 2 3 5 4" xfId="24737"/>
    <cellStyle name="Normal 9 2 2 3 5 5" xfId="24738"/>
    <cellStyle name="Normal 9 2 2 3 5 6" xfId="24739"/>
    <cellStyle name="Normal 9 2 2 3 5 7" xfId="24740"/>
    <cellStyle name="Normal 9 2 2 3 6" xfId="24741"/>
    <cellStyle name="Normal 9 2 2 3 6 2" xfId="24742"/>
    <cellStyle name="Normal 9 2 2 3 6 3" xfId="24743"/>
    <cellStyle name="Normal 9 2 2 3 7" xfId="24744"/>
    <cellStyle name="Normal 9 2 2 3 7 2" xfId="24745"/>
    <cellStyle name="Normal 9 2 2 3 7 3" xfId="24746"/>
    <cellStyle name="Normal 9 2 2 3 8" xfId="24747"/>
    <cellStyle name="Normal 9 2 2 3 9" xfId="24748"/>
    <cellStyle name="Normal 9 2 2 4" xfId="24749"/>
    <cellStyle name="Normal 9 2 2 4 10" xfId="24750"/>
    <cellStyle name="Normal 9 2 2 4 11" xfId="24751"/>
    <cellStyle name="Normal 9 2 2 4 2" xfId="24752"/>
    <cellStyle name="Normal 9 2 2 4 2 2" xfId="24753"/>
    <cellStyle name="Normal 9 2 2 4 2 2 2" xfId="24754"/>
    <cellStyle name="Normal 9 2 2 4 2 2 2 2" xfId="24755"/>
    <cellStyle name="Normal 9 2 2 4 2 2 2 2 2" xfId="24756"/>
    <cellStyle name="Normal 9 2 2 4 2 2 2 2 3" xfId="24757"/>
    <cellStyle name="Normal 9 2 2 4 2 2 2 3" xfId="24758"/>
    <cellStyle name="Normal 9 2 2 4 2 2 2 3 2" xfId="24759"/>
    <cellStyle name="Normal 9 2 2 4 2 2 2 3 3" xfId="24760"/>
    <cellStyle name="Normal 9 2 2 4 2 2 2 4" xfId="24761"/>
    <cellStyle name="Normal 9 2 2 4 2 2 2 5" xfId="24762"/>
    <cellStyle name="Normal 9 2 2 4 2 2 2 6" xfId="24763"/>
    <cellStyle name="Normal 9 2 2 4 2 2 2 7" xfId="24764"/>
    <cellStyle name="Normal 9 2 2 4 2 2 3" xfId="24765"/>
    <cellStyle name="Normal 9 2 2 4 2 2 3 2" xfId="24766"/>
    <cellStyle name="Normal 9 2 2 4 2 2 3 3" xfId="24767"/>
    <cellStyle name="Normal 9 2 2 4 2 2 4" xfId="24768"/>
    <cellStyle name="Normal 9 2 2 4 2 2 4 2" xfId="24769"/>
    <cellStyle name="Normal 9 2 2 4 2 2 4 3" xfId="24770"/>
    <cellStyle name="Normal 9 2 2 4 2 2 5" xfId="24771"/>
    <cellStyle name="Normal 9 2 2 4 2 2 6" xfId="24772"/>
    <cellStyle name="Normal 9 2 2 4 2 2 7" xfId="24773"/>
    <cellStyle name="Normal 9 2 2 4 2 2 8" xfId="24774"/>
    <cellStyle name="Normal 9 2 2 4 2 3" xfId="24775"/>
    <cellStyle name="Normal 9 2 2 4 2 3 2" xfId="24776"/>
    <cellStyle name="Normal 9 2 2 4 2 3 2 2" xfId="24777"/>
    <cellStyle name="Normal 9 2 2 4 2 3 2 3" xfId="24778"/>
    <cellStyle name="Normal 9 2 2 4 2 3 3" xfId="24779"/>
    <cellStyle name="Normal 9 2 2 4 2 3 3 2" xfId="24780"/>
    <cellStyle name="Normal 9 2 2 4 2 3 3 3" xfId="24781"/>
    <cellStyle name="Normal 9 2 2 4 2 3 4" xfId="24782"/>
    <cellStyle name="Normal 9 2 2 4 2 3 5" xfId="24783"/>
    <cellStyle name="Normal 9 2 2 4 2 3 6" xfId="24784"/>
    <cellStyle name="Normal 9 2 2 4 2 3 7" xfId="24785"/>
    <cellStyle name="Normal 9 2 2 4 2 4" xfId="24786"/>
    <cellStyle name="Normal 9 2 2 4 2 4 2" xfId="24787"/>
    <cellStyle name="Normal 9 2 2 4 2 4 3" xfId="24788"/>
    <cellStyle name="Normal 9 2 2 4 2 5" xfId="24789"/>
    <cellStyle name="Normal 9 2 2 4 2 5 2" xfId="24790"/>
    <cellStyle name="Normal 9 2 2 4 2 5 3" xfId="24791"/>
    <cellStyle name="Normal 9 2 2 4 2 6" xfId="24792"/>
    <cellStyle name="Normal 9 2 2 4 2 7" xfId="24793"/>
    <cellStyle name="Normal 9 2 2 4 2 8" xfId="24794"/>
    <cellStyle name="Normal 9 2 2 4 2 9" xfId="24795"/>
    <cellStyle name="Normal 9 2 2 4 3" xfId="24796"/>
    <cellStyle name="Normal 9 2 2 4 3 2" xfId="24797"/>
    <cellStyle name="Normal 9 2 2 4 3 2 2" xfId="24798"/>
    <cellStyle name="Normal 9 2 2 4 3 2 2 2" xfId="24799"/>
    <cellStyle name="Normal 9 2 2 4 3 2 2 3" xfId="24800"/>
    <cellStyle name="Normal 9 2 2 4 3 2 3" xfId="24801"/>
    <cellStyle name="Normal 9 2 2 4 3 2 3 2" xfId="24802"/>
    <cellStyle name="Normal 9 2 2 4 3 2 3 3" xfId="24803"/>
    <cellStyle name="Normal 9 2 2 4 3 2 4" xfId="24804"/>
    <cellStyle name="Normal 9 2 2 4 3 2 5" xfId="24805"/>
    <cellStyle name="Normal 9 2 2 4 3 2 6" xfId="24806"/>
    <cellStyle name="Normal 9 2 2 4 3 2 7" xfId="24807"/>
    <cellStyle name="Normal 9 2 2 4 3 3" xfId="24808"/>
    <cellStyle name="Normal 9 2 2 4 3 3 2" xfId="24809"/>
    <cellStyle name="Normal 9 2 2 4 3 3 3" xfId="24810"/>
    <cellStyle name="Normal 9 2 2 4 3 4" xfId="24811"/>
    <cellStyle name="Normal 9 2 2 4 3 4 2" xfId="24812"/>
    <cellStyle name="Normal 9 2 2 4 3 4 3" xfId="24813"/>
    <cellStyle name="Normal 9 2 2 4 3 5" xfId="24814"/>
    <cellStyle name="Normal 9 2 2 4 3 6" xfId="24815"/>
    <cellStyle name="Normal 9 2 2 4 3 7" xfId="24816"/>
    <cellStyle name="Normal 9 2 2 4 3 8" xfId="24817"/>
    <cellStyle name="Normal 9 2 2 4 4" xfId="24818"/>
    <cellStyle name="Normal 9 2 2 4 4 2" xfId="24819"/>
    <cellStyle name="Normal 9 2 2 4 4 2 2" xfId="24820"/>
    <cellStyle name="Normal 9 2 2 4 4 2 2 2" xfId="24821"/>
    <cellStyle name="Normal 9 2 2 4 4 2 2 3" xfId="24822"/>
    <cellStyle name="Normal 9 2 2 4 4 2 3" xfId="24823"/>
    <cellStyle name="Normal 9 2 2 4 4 2 3 2" xfId="24824"/>
    <cellStyle name="Normal 9 2 2 4 4 2 3 3" xfId="24825"/>
    <cellStyle name="Normal 9 2 2 4 4 2 4" xfId="24826"/>
    <cellStyle name="Normal 9 2 2 4 4 2 5" xfId="24827"/>
    <cellStyle name="Normal 9 2 2 4 4 2 6" xfId="24828"/>
    <cellStyle name="Normal 9 2 2 4 4 2 7" xfId="24829"/>
    <cellStyle name="Normal 9 2 2 4 4 3" xfId="24830"/>
    <cellStyle name="Normal 9 2 2 4 4 3 2" xfId="24831"/>
    <cellStyle name="Normal 9 2 2 4 4 3 3" xfId="24832"/>
    <cellStyle name="Normal 9 2 2 4 4 4" xfId="24833"/>
    <cellStyle name="Normal 9 2 2 4 4 4 2" xfId="24834"/>
    <cellStyle name="Normal 9 2 2 4 4 4 3" xfId="24835"/>
    <cellStyle name="Normal 9 2 2 4 4 5" xfId="24836"/>
    <cellStyle name="Normal 9 2 2 4 4 6" xfId="24837"/>
    <cellStyle name="Normal 9 2 2 4 4 7" xfId="24838"/>
    <cellStyle name="Normal 9 2 2 4 4 8" xfId="24839"/>
    <cellStyle name="Normal 9 2 2 4 5" xfId="24840"/>
    <cellStyle name="Normal 9 2 2 4 5 2" xfId="24841"/>
    <cellStyle name="Normal 9 2 2 4 5 2 2" xfId="24842"/>
    <cellStyle name="Normal 9 2 2 4 5 2 3" xfId="24843"/>
    <cellStyle name="Normal 9 2 2 4 5 3" xfId="24844"/>
    <cellStyle name="Normal 9 2 2 4 5 3 2" xfId="24845"/>
    <cellStyle name="Normal 9 2 2 4 5 3 3" xfId="24846"/>
    <cellStyle name="Normal 9 2 2 4 5 4" xfId="24847"/>
    <cellStyle name="Normal 9 2 2 4 5 5" xfId="24848"/>
    <cellStyle name="Normal 9 2 2 4 5 6" xfId="24849"/>
    <cellStyle name="Normal 9 2 2 4 5 7" xfId="24850"/>
    <cellStyle name="Normal 9 2 2 4 6" xfId="24851"/>
    <cellStyle name="Normal 9 2 2 4 6 2" xfId="24852"/>
    <cellStyle name="Normal 9 2 2 4 6 3" xfId="24853"/>
    <cellStyle name="Normal 9 2 2 4 7" xfId="24854"/>
    <cellStyle name="Normal 9 2 2 4 7 2" xfId="24855"/>
    <cellStyle name="Normal 9 2 2 4 7 3" xfId="24856"/>
    <cellStyle name="Normal 9 2 2 4 8" xfId="24857"/>
    <cellStyle name="Normal 9 2 2 4 9" xfId="24858"/>
    <cellStyle name="Normal 9 2 2 5" xfId="24859"/>
    <cellStyle name="Normal 9 2 2 5 10" xfId="24860"/>
    <cellStyle name="Normal 9 2 2 5 11" xfId="24861"/>
    <cellStyle name="Normal 9 2 2 5 2" xfId="24862"/>
    <cellStyle name="Normal 9 2 2 5 2 2" xfId="24863"/>
    <cellStyle name="Normal 9 2 2 5 2 2 2" xfId="24864"/>
    <cellStyle name="Normal 9 2 2 5 2 2 2 2" xfId="24865"/>
    <cellStyle name="Normal 9 2 2 5 2 2 2 2 2" xfId="24866"/>
    <cellStyle name="Normal 9 2 2 5 2 2 2 2 3" xfId="24867"/>
    <cellStyle name="Normal 9 2 2 5 2 2 2 3" xfId="24868"/>
    <cellStyle name="Normal 9 2 2 5 2 2 2 3 2" xfId="24869"/>
    <cellStyle name="Normal 9 2 2 5 2 2 2 3 3" xfId="24870"/>
    <cellStyle name="Normal 9 2 2 5 2 2 2 4" xfId="24871"/>
    <cellStyle name="Normal 9 2 2 5 2 2 2 5" xfId="24872"/>
    <cellStyle name="Normal 9 2 2 5 2 2 2 6" xfId="24873"/>
    <cellStyle name="Normal 9 2 2 5 2 2 2 7" xfId="24874"/>
    <cellStyle name="Normal 9 2 2 5 2 2 3" xfId="24875"/>
    <cellStyle name="Normal 9 2 2 5 2 2 3 2" xfId="24876"/>
    <cellStyle name="Normal 9 2 2 5 2 2 3 3" xfId="24877"/>
    <cellStyle name="Normal 9 2 2 5 2 2 4" xfId="24878"/>
    <cellStyle name="Normal 9 2 2 5 2 2 4 2" xfId="24879"/>
    <cellStyle name="Normal 9 2 2 5 2 2 4 3" xfId="24880"/>
    <cellStyle name="Normal 9 2 2 5 2 2 5" xfId="24881"/>
    <cellStyle name="Normal 9 2 2 5 2 2 6" xfId="24882"/>
    <cellStyle name="Normal 9 2 2 5 2 2 7" xfId="24883"/>
    <cellStyle name="Normal 9 2 2 5 2 2 8" xfId="24884"/>
    <cellStyle name="Normal 9 2 2 5 2 3" xfId="24885"/>
    <cellStyle name="Normal 9 2 2 5 2 3 2" xfId="24886"/>
    <cellStyle name="Normal 9 2 2 5 2 3 2 2" xfId="24887"/>
    <cellStyle name="Normal 9 2 2 5 2 3 2 3" xfId="24888"/>
    <cellStyle name="Normal 9 2 2 5 2 3 3" xfId="24889"/>
    <cellStyle name="Normal 9 2 2 5 2 3 3 2" xfId="24890"/>
    <cellStyle name="Normal 9 2 2 5 2 3 3 3" xfId="24891"/>
    <cellStyle name="Normal 9 2 2 5 2 3 4" xfId="24892"/>
    <cellStyle name="Normal 9 2 2 5 2 3 5" xfId="24893"/>
    <cellStyle name="Normal 9 2 2 5 2 3 6" xfId="24894"/>
    <cellStyle name="Normal 9 2 2 5 2 3 7" xfId="24895"/>
    <cellStyle name="Normal 9 2 2 5 2 4" xfId="24896"/>
    <cellStyle name="Normal 9 2 2 5 2 4 2" xfId="24897"/>
    <cellStyle name="Normal 9 2 2 5 2 4 3" xfId="24898"/>
    <cellStyle name="Normal 9 2 2 5 2 5" xfId="24899"/>
    <cellStyle name="Normal 9 2 2 5 2 5 2" xfId="24900"/>
    <cellStyle name="Normal 9 2 2 5 2 5 3" xfId="24901"/>
    <cellStyle name="Normal 9 2 2 5 2 6" xfId="24902"/>
    <cellStyle name="Normal 9 2 2 5 2 7" xfId="24903"/>
    <cellStyle name="Normal 9 2 2 5 2 8" xfId="24904"/>
    <cellStyle name="Normal 9 2 2 5 2 9" xfId="24905"/>
    <cellStyle name="Normal 9 2 2 5 3" xfId="24906"/>
    <cellStyle name="Normal 9 2 2 5 3 2" xfId="24907"/>
    <cellStyle name="Normal 9 2 2 5 3 2 2" xfId="24908"/>
    <cellStyle name="Normal 9 2 2 5 3 2 2 2" xfId="24909"/>
    <cellStyle name="Normal 9 2 2 5 3 2 2 3" xfId="24910"/>
    <cellStyle name="Normal 9 2 2 5 3 2 3" xfId="24911"/>
    <cellStyle name="Normal 9 2 2 5 3 2 3 2" xfId="24912"/>
    <cellStyle name="Normal 9 2 2 5 3 2 3 3" xfId="24913"/>
    <cellStyle name="Normal 9 2 2 5 3 2 4" xfId="24914"/>
    <cellStyle name="Normal 9 2 2 5 3 2 5" xfId="24915"/>
    <cellStyle name="Normal 9 2 2 5 3 2 6" xfId="24916"/>
    <cellStyle name="Normal 9 2 2 5 3 2 7" xfId="24917"/>
    <cellStyle name="Normal 9 2 2 5 3 3" xfId="24918"/>
    <cellStyle name="Normal 9 2 2 5 3 3 2" xfId="24919"/>
    <cellStyle name="Normal 9 2 2 5 3 3 3" xfId="24920"/>
    <cellStyle name="Normal 9 2 2 5 3 4" xfId="24921"/>
    <cellStyle name="Normal 9 2 2 5 3 4 2" xfId="24922"/>
    <cellStyle name="Normal 9 2 2 5 3 4 3" xfId="24923"/>
    <cellStyle name="Normal 9 2 2 5 3 5" xfId="24924"/>
    <cellStyle name="Normal 9 2 2 5 3 6" xfId="24925"/>
    <cellStyle name="Normal 9 2 2 5 3 7" xfId="24926"/>
    <cellStyle name="Normal 9 2 2 5 3 8" xfId="24927"/>
    <cellStyle name="Normal 9 2 2 5 4" xfId="24928"/>
    <cellStyle name="Normal 9 2 2 5 4 2" xfId="24929"/>
    <cellStyle name="Normal 9 2 2 5 4 2 2" xfId="24930"/>
    <cellStyle name="Normal 9 2 2 5 4 2 2 2" xfId="24931"/>
    <cellStyle name="Normal 9 2 2 5 4 2 2 3" xfId="24932"/>
    <cellStyle name="Normal 9 2 2 5 4 2 3" xfId="24933"/>
    <cellStyle name="Normal 9 2 2 5 4 2 3 2" xfId="24934"/>
    <cellStyle name="Normal 9 2 2 5 4 2 3 3" xfId="24935"/>
    <cellStyle name="Normal 9 2 2 5 4 2 4" xfId="24936"/>
    <cellStyle name="Normal 9 2 2 5 4 2 5" xfId="24937"/>
    <cellStyle name="Normal 9 2 2 5 4 2 6" xfId="24938"/>
    <cellStyle name="Normal 9 2 2 5 4 2 7" xfId="24939"/>
    <cellStyle name="Normal 9 2 2 5 4 3" xfId="24940"/>
    <cellStyle name="Normal 9 2 2 5 4 3 2" xfId="24941"/>
    <cellStyle name="Normal 9 2 2 5 4 3 3" xfId="24942"/>
    <cellStyle name="Normal 9 2 2 5 4 4" xfId="24943"/>
    <cellStyle name="Normal 9 2 2 5 4 4 2" xfId="24944"/>
    <cellStyle name="Normal 9 2 2 5 4 4 3" xfId="24945"/>
    <cellStyle name="Normal 9 2 2 5 4 5" xfId="24946"/>
    <cellStyle name="Normal 9 2 2 5 4 6" xfId="24947"/>
    <cellStyle name="Normal 9 2 2 5 4 7" xfId="24948"/>
    <cellStyle name="Normal 9 2 2 5 4 8" xfId="24949"/>
    <cellStyle name="Normal 9 2 2 5 5" xfId="24950"/>
    <cellStyle name="Normal 9 2 2 5 5 2" xfId="24951"/>
    <cellStyle name="Normal 9 2 2 5 5 2 2" xfId="24952"/>
    <cellStyle name="Normal 9 2 2 5 5 2 3" xfId="24953"/>
    <cellStyle name="Normal 9 2 2 5 5 3" xfId="24954"/>
    <cellStyle name="Normal 9 2 2 5 5 3 2" xfId="24955"/>
    <cellStyle name="Normal 9 2 2 5 5 3 3" xfId="24956"/>
    <cellStyle name="Normal 9 2 2 5 5 4" xfId="24957"/>
    <cellStyle name="Normal 9 2 2 5 5 5" xfId="24958"/>
    <cellStyle name="Normal 9 2 2 5 5 6" xfId="24959"/>
    <cellStyle name="Normal 9 2 2 5 5 7" xfId="24960"/>
    <cellStyle name="Normal 9 2 2 5 6" xfId="24961"/>
    <cellStyle name="Normal 9 2 2 5 6 2" xfId="24962"/>
    <cellStyle name="Normal 9 2 2 5 6 3" xfId="24963"/>
    <cellStyle name="Normal 9 2 2 5 7" xfId="24964"/>
    <cellStyle name="Normal 9 2 2 5 7 2" xfId="24965"/>
    <cellStyle name="Normal 9 2 2 5 7 3" xfId="24966"/>
    <cellStyle name="Normal 9 2 2 5 8" xfId="24967"/>
    <cellStyle name="Normal 9 2 2 5 9" xfId="24968"/>
    <cellStyle name="Normal 9 2 2 6" xfId="24969"/>
    <cellStyle name="Normal 9 2 2 6 2" xfId="24970"/>
    <cellStyle name="Normal 9 2 2 6 2 2" xfId="24971"/>
    <cellStyle name="Normal 9 2 2 6 2 2 2" xfId="24972"/>
    <cellStyle name="Normal 9 2 2 6 2 2 2 2" xfId="24973"/>
    <cellStyle name="Normal 9 2 2 6 2 2 2 3" xfId="24974"/>
    <cellStyle name="Normal 9 2 2 6 2 2 3" xfId="24975"/>
    <cellStyle name="Normal 9 2 2 6 2 2 3 2" xfId="24976"/>
    <cellStyle name="Normal 9 2 2 6 2 2 3 3" xfId="24977"/>
    <cellStyle name="Normal 9 2 2 6 2 2 4" xfId="24978"/>
    <cellStyle name="Normal 9 2 2 6 2 2 5" xfId="24979"/>
    <cellStyle name="Normal 9 2 2 6 2 2 6" xfId="24980"/>
    <cellStyle name="Normal 9 2 2 6 2 2 7" xfId="24981"/>
    <cellStyle name="Normal 9 2 2 6 2 3" xfId="24982"/>
    <cellStyle name="Normal 9 2 2 6 2 3 2" xfId="24983"/>
    <cellStyle name="Normal 9 2 2 6 2 3 3" xfId="24984"/>
    <cellStyle name="Normal 9 2 2 6 2 4" xfId="24985"/>
    <cellStyle name="Normal 9 2 2 6 2 4 2" xfId="24986"/>
    <cellStyle name="Normal 9 2 2 6 2 4 3" xfId="24987"/>
    <cellStyle name="Normal 9 2 2 6 2 5" xfId="24988"/>
    <cellStyle name="Normal 9 2 2 6 2 6" xfId="24989"/>
    <cellStyle name="Normal 9 2 2 6 2 7" xfId="24990"/>
    <cellStyle name="Normal 9 2 2 6 2 8" xfId="24991"/>
    <cellStyle name="Normal 9 2 2 6 3" xfId="24992"/>
    <cellStyle name="Normal 9 2 2 6 3 2" xfId="24993"/>
    <cellStyle name="Normal 9 2 2 6 3 2 2" xfId="24994"/>
    <cellStyle name="Normal 9 2 2 6 3 2 3" xfId="24995"/>
    <cellStyle name="Normal 9 2 2 6 3 3" xfId="24996"/>
    <cellStyle name="Normal 9 2 2 6 3 3 2" xfId="24997"/>
    <cellStyle name="Normal 9 2 2 6 3 3 3" xfId="24998"/>
    <cellStyle name="Normal 9 2 2 6 3 4" xfId="24999"/>
    <cellStyle name="Normal 9 2 2 6 3 5" xfId="25000"/>
    <cellStyle name="Normal 9 2 2 6 3 6" xfId="25001"/>
    <cellStyle name="Normal 9 2 2 6 3 7" xfId="25002"/>
    <cellStyle name="Normal 9 2 2 6 4" xfId="25003"/>
    <cellStyle name="Normal 9 2 2 6 4 2" xfId="25004"/>
    <cellStyle name="Normal 9 2 2 6 4 3" xfId="25005"/>
    <cellStyle name="Normal 9 2 2 6 5" xfId="25006"/>
    <cellStyle name="Normal 9 2 2 6 5 2" xfId="25007"/>
    <cellStyle name="Normal 9 2 2 6 5 3" xfId="25008"/>
    <cellStyle name="Normal 9 2 2 6 6" xfId="25009"/>
    <cellStyle name="Normal 9 2 2 6 7" xfId="25010"/>
    <cellStyle name="Normal 9 2 2 6 8" xfId="25011"/>
    <cellStyle name="Normal 9 2 2 6 9" xfId="25012"/>
    <cellStyle name="Normal 9 2 2 7" xfId="25013"/>
    <cellStyle name="Normal 9 2 2 7 2" xfId="25014"/>
    <cellStyle name="Normal 9 2 2 7 2 2" xfId="25015"/>
    <cellStyle name="Normal 9 2 2 7 2 2 2" xfId="25016"/>
    <cellStyle name="Normal 9 2 2 7 2 2 3" xfId="25017"/>
    <cellStyle name="Normal 9 2 2 7 2 3" xfId="25018"/>
    <cellStyle name="Normal 9 2 2 7 2 3 2" xfId="25019"/>
    <cellStyle name="Normal 9 2 2 7 2 3 3" xfId="25020"/>
    <cellStyle name="Normal 9 2 2 7 2 4" xfId="25021"/>
    <cellStyle name="Normal 9 2 2 7 2 5" xfId="25022"/>
    <cellStyle name="Normal 9 2 2 7 2 6" xfId="25023"/>
    <cellStyle name="Normal 9 2 2 7 2 7" xfId="25024"/>
    <cellStyle name="Normal 9 2 2 7 3" xfId="25025"/>
    <cellStyle name="Normal 9 2 2 7 3 2" xfId="25026"/>
    <cellStyle name="Normal 9 2 2 7 3 3" xfId="25027"/>
    <cellStyle name="Normal 9 2 2 7 4" xfId="25028"/>
    <cellStyle name="Normal 9 2 2 7 4 2" xfId="25029"/>
    <cellStyle name="Normal 9 2 2 7 4 3" xfId="25030"/>
    <cellStyle name="Normal 9 2 2 7 5" xfId="25031"/>
    <cellStyle name="Normal 9 2 2 7 6" xfId="25032"/>
    <cellStyle name="Normal 9 2 2 7 7" xfId="25033"/>
    <cellStyle name="Normal 9 2 2 7 8" xfId="25034"/>
    <cellStyle name="Normal 9 2 2 8" xfId="25035"/>
    <cellStyle name="Normal 9 2 2 8 2" xfId="25036"/>
    <cellStyle name="Normal 9 2 2 8 2 2" xfId="25037"/>
    <cellStyle name="Normal 9 2 2 8 2 2 2" xfId="25038"/>
    <cellStyle name="Normal 9 2 2 8 2 2 3" xfId="25039"/>
    <cellStyle name="Normal 9 2 2 8 2 3" xfId="25040"/>
    <cellStyle name="Normal 9 2 2 8 2 3 2" xfId="25041"/>
    <cellStyle name="Normal 9 2 2 8 2 3 3" xfId="25042"/>
    <cellStyle name="Normal 9 2 2 8 2 4" xfId="25043"/>
    <cellStyle name="Normal 9 2 2 8 2 5" xfId="25044"/>
    <cellStyle name="Normal 9 2 2 8 2 6" xfId="25045"/>
    <cellStyle name="Normal 9 2 2 8 2 7" xfId="25046"/>
    <cellStyle name="Normal 9 2 2 8 3" xfId="25047"/>
    <cellStyle name="Normal 9 2 2 8 3 2" xfId="25048"/>
    <cellStyle name="Normal 9 2 2 8 3 3" xfId="25049"/>
    <cellStyle name="Normal 9 2 2 8 4" xfId="25050"/>
    <cellStyle name="Normal 9 2 2 8 4 2" xfId="25051"/>
    <cellStyle name="Normal 9 2 2 8 4 3" xfId="25052"/>
    <cellStyle name="Normal 9 2 2 8 5" xfId="25053"/>
    <cellStyle name="Normal 9 2 2 8 6" xfId="25054"/>
    <cellStyle name="Normal 9 2 2 8 7" xfId="25055"/>
    <cellStyle name="Normal 9 2 2 8 8" xfId="25056"/>
    <cellStyle name="Normal 9 2 2 9" xfId="25057"/>
    <cellStyle name="Normal 9 2 2 9 2" xfId="25058"/>
    <cellStyle name="Normal 9 2 2 9 2 2" xfId="25059"/>
    <cellStyle name="Normal 9 2 2 9 2 3" xfId="25060"/>
    <cellStyle name="Normal 9 2 2 9 3" xfId="25061"/>
    <cellStyle name="Normal 9 2 2 9 3 2" xfId="25062"/>
    <cellStyle name="Normal 9 2 2 9 3 3" xfId="25063"/>
    <cellStyle name="Normal 9 2 2 9 4" xfId="25064"/>
    <cellStyle name="Normal 9 2 2 9 5" xfId="25065"/>
    <cellStyle name="Normal 9 2 2 9 6" xfId="25066"/>
    <cellStyle name="Normal 9 2 2 9 7" xfId="25067"/>
    <cellStyle name="Normal 9 2 20" xfId="25068"/>
    <cellStyle name="Normal 9 2 3" xfId="25069"/>
    <cellStyle name="Normal 9 2 3 10" xfId="25070"/>
    <cellStyle name="Normal 9 2 3 10 2" xfId="25071"/>
    <cellStyle name="Normal 9 2 3 10 3" xfId="25072"/>
    <cellStyle name="Normal 9 2 3 11" xfId="25073"/>
    <cellStyle name="Normal 9 2 3 11 2" xfId="25074"/>
    <cellStyle name="Normal 9 2 3 11 3" xfId="25075"/>
    <cellStyle name="Normal 9 2 3 12" xfId="25076"/>
    <cellStyle name="Normal 9 2 3 13" xfId="25077"/>
    <cellStyle name="Normal 9 2 3 14" xfId="25078"/>
    <cellStyle name="Normal 9 2 3 15" xfId="25079"/>
    <cellStyle name="Normal 9 2 3 2" xfId="25080"/>
    <cellStyle name="Normal 9 2 3 2 10" xfId="25081"/>
    <cellStyle name="Normal 9 2 3 2 11" xfId="25082"/>
    <cellStyle name="Normal 9 2 3 2 2" xfId="25083"/>
    <cellStyle name="Normal 9 2 3 2 2 2" xfId="25084"/>
    <cellStyle name="Normal 9 2 3 2 2 2 2" xfId="25085"/>
    <cellStyle name="Normal 9 2 3 2 2 2 2 2" xfId="25086"/>
    <cellStyle name="Normal 9 2 3 2 2 2 2 2 2" xfId="25087"/>
    <cellStyle name="Normal 9 2 3 2 2 2 2 2 3" xfId="25088"/>
    <cellStyle name="Normal 9 2 3 2 2 2 2 3" xfId="25089"/>
    <cellStyle name="Normal 9 2 3 2 2 2 2 3 2" xfId="25090"/>
    <cellStyle name="Normal 9 2 3 2 2 2 2 3 3" xfId="25091"/>
    <cellStyle name="Normal 9 2 3 2 2 2 2 4" xfId="25092"/>
    <cellStyle name="Normal 9 2 3 2 2 2 2 5" xfId="25093"/>
    <cellStyle name="Normal 9 2 3 2 2 2 2 6" xfId="25094"/>
    <cellStyle name="Normal 9 2 3 2 2 2 2 7" xfId="25095"/>
    <cellStyle name="Normal 9 2 3 2 2 2 3" xfId="25096"/>
    <cellStyle name="Normal 9 2 3 2 2 2 3 2" xfId="25097"/>
    <cellStyle name="Normal 9 2 3 2 2 2 3 3" xfId="25098"/>
    <cellStyle name="Normal 9 2 3 2 2 2 4" xfId="25099"/>
    <cellStyle name="Normal 9 2 3 2 2 2 4 2" xfId="25100"/>
    <cellStyle name="Normal 9 2 3 2 2 2 4 3" xfId="25101"/>
    <cellStyle name="Normal 9 2 3 2 2 2 5" xfId="25102"/>
    <cellStyle name="Normal 9 2 3 2 2 2 6" xfId="25103"/>
    <cellStyle name="Normal 9 2 3 2 2 2 7" xfId="25104"/>
    <cellStyle name="Normal 9 2 3 2 2 2 8" xfId="25105"/>
    <cellStyle name="Normal 9 2 3 2 2 3" xfId="25106"/>
    <cellStyle name="Normal 9 2 3 2 2 3 2" xfId="25107"/>
    <cellStyle name="Normal 9 2 3 2 2 3 2 2" xfId="25108"/>
    <cellStyle name="Normal 9 2 3 2 2 3 2 3" xfId="25109"/>
    <cellStyle name="Normal 9 2 3 2 2 3 3" xfId="25110"/>
    <cellStyle name="Normal 9 2 3 2 2 3 3 2" xfId="25111"/>
    <cellStyle name="Normal 9 2 3 2 2 3 3 3" xfId="25112"/>
    <cellStyle name="Normal 9 2 3 2 2 3 4" xfId="25113"/>
    <cellStyle name="Normal 9 2 3 2 2 3 5" xfId="25114"/>
    <cellStyle name="Normal 9 2 3 2 2 3 6" xfId="25115"/>
    <cellStyle name="Normal 9 2 3 2 2 3 7" xfId="25116"/>
    <cellStyle name="Normal 9 2 3 2 2 4" xfId="25117"/>
    <cellStyle name="Normal 9 2 3 2 2 4 2" xfId="25118"/>
    <cellStyle name="Normal 9 2 3 2 2 4 3" xfId="25119"/>
    <cellStyle name="Normal 9 2 3 2 2 5" xfId="25120"/>
    <cellStyle name="Normal 9 2 3 2 2 5 2" xfId="25121"/>
    <cellStyle name="Normal 9 2 3 2 2 5 3" xfId="25122"/>
    <cellStyle name="Normal 9 2 3 2 2 6" xfId="25123"/>
    <cellStyle name="Normal 9 2 3 2 2 7" xfId="25124"/>
    <cellStyle name="Normal 9 2 3 2 2 8" xfId="25125"/>
    <cellStyle name="Normal 9 2 3 2 2 9" xfId="25126"/>
    <cellStyle name="Normal 9 2 3 2 3" xfId="25127"/>
    <cellStyle name="Normal 9 2 3 2 3 2" xfId="25128"/>
    <cellStyle name="Normal 9 2 3 2 3 2 2" xfId="25129"/>
    <cellStyle name="Normal 9 2 3 2 3 2 2 2" xfId="25130"/>
    <cellStyle name="Normal 9 2 3 2 3 2 2 3" xfId="25131"/>
    <cellStyle name="Normal 9 2 3 2 3 2 3" xfId="25132"/>
    <cellStyle name="Normal 9 2 3 2 3 2 3 2" xfId="25133"/>
    <cellStyle name="Normal 9 2 3 2 3 2 3 3" xfId="25134"/>
    <cellStyle name="Normal 9 2 3 2 3 2 4" xfId="25135"/>
    <cellStyle name="Normal 9 2 3 2 3 2 5" xfId="25136"/>
    <cellStyle name="Normal 9 2 3 2 3 2 6" xfId="25137"/>
    <cellStyle name="Normal 9 2 3 2 3 2 7" xfId="25138"/>
    <cellStyle name="Normal 9 2 3 2 3 3" xfId="25139"/>
    <cellStyle name="Normal 9 2 3 2 3 3 2" xfId="25140"/>
    <cellStyle name="Normal 9 2 3 2 3 3 3" xfId="25141"/>
    <cellStyle name="Normal 9 2 3 2 3 4" xfId="25142"/>
    <cellStyle name="Normal 9 2 3 2 3 4 2" xfId="25143"/>
    <cellStyle name="Normal 9 2 3 2 3 4 3" xfId="25144"/>
    <cellStyle name="Normal 9 2 3 2 3 5" xfId="25145"/>
    <cellStyle name="Normal 9 2 3 2 3 6" xfId="25146"/>
    <cellStyle name="Normal 9 2 3 2 3 7" xfId="25147"/>
    <cellStyle name="Normal 9 2 3 2 3 8" xfId="25148"/>
    <cellStyle name="Normal 9 2 3 2 4" xfId="25149"/>
    <cellStyle name="Normal 9 2 3 2 4 2" xfId="25150"/>
    <cellStyle name="Normal 9 2 3 2 4 2 2" xfId="25151"/>
    <cellStyle name="Normal 9 2 3 2 4 2 2 2" xfId="25152"/>
    <cellStyle name="Normal 9 2 3 2 4 2 2 3" xfId="25153"/>
    <cellStyle name="Normal 9 2 3 2 4 2 3" xfId="25154"/>
    <cellStyle name="Normal 9 2 3 2 4 2 3 2" xfId="25155"/>
    <cellStyle name="Normal 9 2 3 2 4 2 3 3" xfId="25156"/>
    <cellStyle name="Normal 9 2 3 2 4 2 4" xfId="25157"/>
    <cellStyle name="Normal 9 2 3 2 4 2 5" xfId="25158"/>
    <cellStyle name="Normal 9 2 3 2 4 2 6" xfId="25159"/>
    <cellStyle name="Normal 9 2 3 2 4 2 7" xfId="25160"/>
    <cellStyle name="Normal 9 2 3 2 4 3" xfId="25161"/>
    <cellStyle name="Normal 9 2 3 2 4 3 2" xfId="25162"/>
    <cellStyle name="Normal 9 2 3 2 4 3 3" xfId="25163"/>
    <cellStyle name="Normal 9 2 3 2 4 4" xfId="25164"/>
    <cellStyle name="Normal 9 2 3 2 4 4 2" xfId="25165"/>
    <cellStyle name="Normal 9 2 3 2 4 4 3" xfId="25166"/>
    <cellStyle name="Normal 9 2 3 2 4 5" xfId="25167"/>
    <cellStyle name="Normal 9 2 3 2 4 6" xfId="25168"/>
    <cellStyle name="Normal 9 2 3 2 4 7" xfId="25169"/>
    <cellStyle name="Normal 9 2 3 2 4 8" xfId="25170"/>
    <cellStyle name="Normal 9 2 3 2 5" xfId="25171"/>
    <cellStyle name="Normal 9 2 3 2 5 2" xfId="25172"/>
    <cellStyle name="Normal 9 2 3 2 5 2 2" xfId="25173"/>
    <cellStyle name="Normal 9 2 3 2 5 2 3" xfId="25174"/>
    <cellStyle name="Normal 9 2 3 2 5 3" xfId="25175"/>
    <cellStyle name="Normal 9 2 3 2 5 3 2" xfId="25176"/>
    <cellStyle name="Normal 9 2 3 2 5 3 3" xfId="25177"/>
    <cellStyle name="Normal 9 2 3 2 5 4" xfId="25178"/>
    <cellStyle name="Normal 9 2 3 2 5 5" xfId="25179"/>
    <cellStyle name="Normal 9 2 3 2 5 6" xfId="25180"/>
    <cellStyle name="Normal 9 2 3 2 5 7" xfId="25181"/>
    <cellStyle name="Normal 9 2 3 2 6" xfId="25182"/>
    <cellStyle name="Normal 9 2 3 2 6 2" xfId="25183"/>
    <cellStyle name="Normal 9 2 3 2 6 3" xfId="25184"/>
    <cellStyle name="Normal 9 2 3 2 7" xfId="25185"/>
    <cellStyle name="Normal 9 2 3 2 7 2" xfId="25186"/>
    <cellStyle name="Normal 9 2 3 2 7 3" xfId="25187"/>
    <cellStyle name="Normal 9 2 3 2 8" xfId="25188"/>
    <cellStyle name="Normal 9 2 3 2 9" xfId="25189"/>
    <cellStyle name="Normal 9 2 3 3" xfId="25190"/>
    <cellStyle name="Normal 9 2 3 3 10" xfId="25191"/>
    <cellStyle name="Normal 9 2 3 3 11" xfId="25192"/>
    <cellStyle name="Normal 9 2 3 3 2" xfId="25193"/>
    <cellStyle name="Normal 9 2 3 3 2 2" xfId="25194"/>
    <cellStyle name="Normal 9 2 3 3 2 2 2" xfId="25195"/>
    <cellStyle name="Normal 9 2 3 3 2 2 2 2" xfId="25196"/>
    <cellStyle name="Normal 9 2 3 3 2 2 2 2 2" xfId="25197"/>
    <cellStyle name="Normal 9 2 3 3 2 2 2 2 3" xfId="25198"/>
    <cellStyle name="Normal 9 2 3 3 2 2 2 3" xfId="25199"/>
    <cellStyle name="Normal 9 2 3 3 2 2 2 3 2" xfId="25200"/>
    <cellStyle name="Normal 9 2 3 3 2 2 2 3 3" xfId="25201"/>
    <cellStyle name="Normal 9 2 3 3 2 2 2 4" xfId="25202"/>
    <cellStyle name="Normal 9 2 3 3 2 2 2 5" xfId="25203"/>
    <cellStyle name="Normal 9 2 3 3 2 2 2 6" xfId="25204"/>
    <cellStyle name="Normal 9 2 3 3 2 2 2 7" xfId="25205"/>
    <cellStyle name="Normal 9 2 3 3 2 2 3" xfId="25206"/>
    <cellStyle name="Normal 9 2 3 3 2 2 3 2" xfId="25207"/>
    <cellStyle name="Normal 9 2 3 3 2 2 3 3" xfId="25208"/>
    <cellStyle name="Normal 9 2 3 3 2 2 4" xfId="25209"/>
    <cellStyle name="Normal 9 2 3 3 2 2 4 2" xfId="25210"/>
    <cellStyle name="Normal 9 2 3 3 2 2 4 3" xfId="25211"/>
    <cellStyle name="Normal 9 2 3 3 2 2 5" xfId="25212"/>
    <cellStyle name="Normal 9 2 3 3 2 2 6" xfId="25213"/>
    <cellStyle name="Normal 9 2 3 3 2 2 7" xfId="25214"/>
    <cellStyle name="Normal 9 2 3 3 2 2 8" xfId="25215"/>
    <cellStyle name="Normal 9 2 3 3 2 3" xfId="25216"/>
    <cellStyle name="Normal 9 2 3 3 2 3 2" xfId="25217"/>
    <cellStyle name="Normal 9 2 3 3 2 3 2 2" xfId="25218"/>
    <cellStyle name="Normal 9 2 3 3 2 3 2 3" xfId="25219"/>
    <cellStyle name="Normal 9 2 3 3 2 3 3" xfId="25220"/>
    <cellStyle name="Normal 9 2 3 3 2 3 3 2" xfId="25221"/>
    <cellStyle name="Normal 9 2 3 3 2 3 3 3" xfId="25222"/>
    <cellStyle name="Normal 9 2 3 3 2 3 4" xfId="25223"/>
    <cellStyle name="Normal 9 2 3 3 2 3 5" xfId="25224"/>
    <cellStyle name="Normal 9 2 3 3 2 3 6" xfId="25225"/>
    <cellStyle name="Normal 9 2 3 3 2 3 7" xfId="25226"/>
    <cellStyle name="Normal 9 2 3 3 2 4" xfId="25227"/>
    <cellStyle name="Normal 9 2 3 3 2 4 2" xfId="25228"/>
    <cellStyle name="Normal 9 2 3 3 2 4 3" xfId="25229"/>
    <cellStyle name="Normal 9 2 3 3 2 5" xfId="25230"/>
    <cellStyle name="Normal 9 2 3 3 2 5 2" xfId="25231"/>
    <cellStyle name="Normal 9 2 3 3 2 5 3" xfId="25232"/>
    <cellStyle name="Normal 9 2 3 3 2 6" xfId="25233"/>
    <cellStyle name="Normal 9 2 3 3 2 7" xfId="25234"/>
    <cellStyle name="Normal 9 2 3 3 2 8" xfId="25235"/>
    <cellStyle name="Normal 9 2 3 3 2 9" xfId="25236"/>
    <cellStyle name="Normal 9 2 3 3 3" xfId="25237"/>
    <cellStyle name="Normal 9 2 3 3 3 2" xfId="25238"/>
    <cellStyle name="Normal 9 2 3 3 3 2 2" xfId="25239"/>
    <cellStyle name="Normal 9 2 3 3 3 2 2 2" xfId="25240"/>
    <cellStyle name="Normal 9 2 3 3 3 2 2 3" xfId="25241"/>
    <cellStyle name="Normal 9 2 3 3 3 2 3" xfId="25242"/>
    <cellStyle name="Normal 9 2 3 3 3 2 3 2" xfId="25243"/>
    <cellStyle name="Normal 9 2 3 3 3 2 3 3" xfId="25244"/>
    <cellStyle name="Normal 9 2 3 3 3 2 4" xfId="25245"/>
    <cellStyle name="Normal 9 2 3 3 3 2 5" xfId="25246"/>
    <cellStyle name="Normal 9 2 3 3 3 2 6" xfId="25247"/>
    <cellStyle name="Normal 9 2 3 3 3 2 7" xfId="25248"/>
    <cellStyle name="Normal 9 2 3 3 3 3" xfId="25249"/>
    <cellStyle name="Normal 9 2 3 3 3 3 2" xfId="25250"/>
    <cellStyle name="Normal 9 2 3 3 3 3 3" xfId="25251"/>
    <cellStyle name="Normal 9 2 3 3 3 4" xfId="25252"/>
    <cellStyle name="Normal 9 2 3 3 3 4 2" xfId="25253"/>
    <cellStyle name="Normal 9 2 3 3 3 4 3" xfId="25254"/>
    <cellStyle name="Normal 9 2 3 3 3 5" xfId="25255"/>
    <cellStyle name="Normal 9 2 3 3 3 6" xfId="25256"/>
    <cellStyle name="Normal 9 2 3 3 3 7" xfId="25257"/>
    <cellStyle name="Normal 9 2 3 3 3 8" xfId="25258"/>
    <cellStyle name="Normal 9 2 3 3 4" xfId="25259"/>
    <cellStyle name="Normal 9 2 3 3 4 2" xfId="25260"/>
    <cellStyle name="Normal 9 2 3 3 4 2 2" xfId="25261"/>
    <cellStyle name="Normal 9 2 3 3 4 2 2 2" xfId="25262"/>
    <cellStyle name="Normal 9 2 3 3 4 2 2 3" xfId="25263"/>
    <cellStyle name="Normal 9 2 3 3 4 2 3" xfId="25264"/>
    <cellStyle name="Normal 9 2 3 3 4 2 3 2" xfId="25265"/>
    <cellStyle name="Normal 9 2 3 3 4 2 3 3" xfId="25266"/>
    <cellStyle name="Normal 9 2 3 3 4 2 4" xfId="25267"/>
    <cellStyle name="Normal 9 2 3 3 4 2 5" xfId="25268"/>
    <cellStyle name="Normal 9 2 3 3 4 2 6" xfId="25269"/>
    <cellStyle name="Normal 9 2 3 3 4 2 7" xfId="25270"/>
    <cellStyle name="Normal 9 2 3 3 4 3" xfId="25271"/>
    <cellStyle name="Normal 9 2 3 3 4 3 2" xfId="25272"/>
    <cellStyle name="Normal 9 2 3 3 4 3 3" xfId="25273"/>
    <cellStyle name="Normal 9 2 3 3 4 4" xfId="25274"/>
    <cellStyle name="Normal 9 2 3 3 4 4 2" xfId="25275"/>
    <cellStyle name="Normal 9 2 3 3 4 4 3" xfId="25276"/>
    <cellStyle name="Normal 9 2 3 3 4 5" xfId="25277"/>
    <cellStyle name="Normal 9 2 3 3 4 6" xfId="25278"/>
    <cellStyle name="Normal 9 2 3 3 4 7" xfId="25279"/>
    <cellStyle name="Normal 9 2 3 3 4 8" xfId="25280"/>
    <cellStyle name="Normal 9 2 3 3 5" xfId="25281"/>
    <cellStyle name="Normal 9 2 3 3 5 2" xfId="25282"/>
    <cellStyle name="Normal 9 2 3 3 5 2 2" xfId="25283"/>
    <cellStyle name="Normal 9 2 3 3 5 2 3" xfId="25284"/>
    <cellStyle name="Normal 9 2 3 3 5 3" xfId="25285"/>
    <cellStyle name="Normal 9 2 3 3 5 3 2" xfId="25286"/>
    <cellStyle name="Normal 9 2 3 3 5 3 3" xfId="25287"/>
    <cellStyle name="Normal 9 2 3 3 5 4" xfId="25288"/>
    <cellStyle name="Normal 9 2 3 3 5 5" xfId="25289"/>
    <cellStyle name="Normal 9 2 3 3 5 6" xfId="25290"/>
    <cellStyle name="Normal 9 2 3 3 5 7" xfId="25291"/>
    <cellStyle name="Normal 9 2 3 3 6" xfId="25292"/>
    <cellStyle name="Normal 9 2 3 3 6 2" xfId="25293"/>
    <cellStyle name="Normal 9 2 3 3 6 3" xfId="25294"/>
    <cellStyle name="Normal 9 2 3 3 7" xfId="25295"/>
    <cellStyle name="Normal 9 2 3 3 7 2" xfId="25296"/>
    <cellStyle name="Normal 9 2 3 3 7 3" xfId="25297"/>
    <cellStyle name="Normal 9 2 3 3 8" xfId="25298"/>
    <cellStyle name="Normal 9 2 3 3 9" xfId="25299"/>
    <cellStyle name="Normal 9 2 3 4" xfId="25300"/>
    <cellStyle name="Normal 9 2 3 4 10" xfId="25301"/>
    <cellStyle name="Normal 9 2 3 4 11" xfId="25302"/>
    <cellStyle name="Normal 9 2 3 4 2" xfId="25303"/>
    <cellStyle name="Normal 9 2 3 4 2 2" xfId="25304"/>
    <cellStyle name="Normal 9 2 3 4 2 2 2" xfId="25305"/>
    <cellStyle name="Normal 9 2 3 4 2 2 2 2" xfId="25306"/>
    <cellStyle name="Normal 9 2 3 4 2 2 2 2 2" xfId="25307"/>
    <cellStyle name="Normal 9 2 3 4 2 2 2 2 3" xfId="25308"/>
    <cellStyle name="Normal 9 2 3 4 2 2 2 3" xfId="25309"/>
    <cellStyle name="Normal 9 2 3 4 2 2 2 3 2" xfId="25310"/>
    <cellStyle name="Normal 9 2 3 4 2 2 2 3 3" xfId="25311"/>
    <cellStyle name="Normal 9 2 3 4 2 2 2 4" xfId="25312"/>
    <cellStyle name="Normal 9 2 3 4 2 2 2 5" xfId="25313"/>
    <cellStyle name="Normal 9 2 3 4 2 2 2 6" xfId="25314"/>
    <cellStyle name="Normal 9 2 3 4 2 2 2 7" xfId="25315"/>
    <cellStyle name="Normal 9 2 3 4 2 2 3" xfId="25316"/>
    <cellStyle name="Normal 9 2 3 4 2 2 3 2" xfId="25317"/>
    <cellStyle name="Normal 9 2 3 4 2 2 3 3" xfId="25318"/>
    <cellStyle name="Normal 9 2 3 4 2 2 4" xfId="25319"/>
    <cellStyle name="Normal 9 2 3 4 2 2 4 2" xfId="25320"/>
    <cellStyle name="Normal 9 2 3 4 2 2 4 3" xfId="25321"/>
    <cellStyle name="Normal 9 2 3 4 2 2 5" xfId="25322"/>
    <cellStyle name="Normal 9 2 3 4 2 2 6" xfId="25323"/>
    <cellStyle name="Normal 9 2 3 4 2 2 7" xfId="25324"/>
    <cellStyle name="Normal 9 2 3 4 2 2 8" xfId="25325"/>
    <cellStyle name="Normal 9 2 3 4 2 3" xfId="25326"/>
    <cellStyle name="Normal 9 2 3 4 2 3 2" xfId="25327"/>
    <cellStyle name="Normal 9 2 3 4 2 3 2 2" xfId="25328"/>
    <cellStyle name="Normal 9 2 3 4 2 3 2 3" xfId="25329"/>
    <cellStyle name="Normal 9 2 3 4 2 3 3" xfId="25330"/>
    <cellStyle name="Normal 9 2 3 4 2 3 3 2" xfId="25331"/>
    <cellStyle name="Normal 9 2 3 4 2 3 3 3" xfId="25332"/>
    <cellStyle name="Normal 9 2 3 4 2 3 4" xfId="25333"/>
    <cellStyle name="Normal 9 2 3 4 2 3 5" xfId="25334"/>
    <cellStyle name="Normal 9 2 3 4 2 3 6" xfId="25335"/>
    <cellStyle name="Normal 9 2 3 4 2 3 7" xfId="25336"/>
    <cellStyle name="Normal 9 2 3 4 2 4" xfId="25337"/>
    <cellStyle name="Normal 9 2 3 4 2 4 2" xfId="25338"/>
    <cellStyle name="Normal 9 2 3 4 2 4 3" xfId="25339"/>
    <cellStyle name="Normal 9 2 3 4 2 5" xfId="25340"/>
    <cellStyle name="Normal 9 2 3 4 2 5 2" xfId="25341"/>
    <cellStyle name="Normal 9 2 3 4 2 5 3" xfId="25342"/>
    <cellStyle name="Normal 9 2 3 4 2 6" xfId="25343"/>
    <cellStyle name="Normal 9 2 3 4 2 7" xfId="25344"/>
    <cellStyle name="Normal 9 2 3 4 2 8" xfId="25345"/>
    <cellStyle name="Normal 9 2 3 4 2 9" xfId="25346"/>
    <cellStyle name="Normal 9 2 3 4 3" xfId="25347"/>
    <cellStyle name="Normal 9 2 3 4 3 2" xfId="25348"/>
    <cellStyle name="Normal 9 2 3 4 3 2 2" xfId="25349"/>
    <cellStyle name="Normal 9 2 3 4 3 2 2 2" xfId="25350"/>
    <cellStyle name="Normal 9 2 3 4 3 2 2 3" xfId="25351"/>
    <cellStyle name="Normal 9 2 3 4 3 2 3" xfId="25352"/>
    <cellStyle name="Normal 9 2 3 4 3 2 3 2" xfId="25353"/>
    <cellStyle name="Normal 9 2 3 4 3 2 3 3" xfId="25354"/>
    <cellStyle name="Normal 9 2 3 4 3 2 4" xfId="25355"/>
    <cellStyle name="Normal 9 2 3 4 3 2 5" xfId="25356"/>
    <cellStyle name="Normal 9 2 3 4 3 2 6" xfId="25357"/>
    <cellStyle name="Normal 9 2 3 4 3 2 7" xfId="25358"/>
    <cellStyle name="Normal 9 2 3 4 3 3" xfId="25359"/>
    <cellStyle name="Normal 9 2 3 4 3 3 2" xfId="25360"/>
    <cellStyle name="Normal 9 2 3 4 3 3 3" xfId="25361"/>
    <cellStyle name="Normal 9 2 3 4 3 4" xfId="25362"/>
    <cellStyle name="Normal 9 2 3 4 3 4 2" xfId="25363"/>
    <cellStyle name="Normal 9 2 3 4 3 4 3" xfId="25364"/>
    <cellStyle name="Normal 9 2 3 4 3 5" xfId="25365"/>
    <cellStyle name="Normal 9 2 3 4 3 6" xfId="25366"/>
    <cellStyle name="Normal 9 2 3 4 3 7" xfId="25367"/>
    <cellStyle name="Normal 9 2 3 4 3 8" xfId="25368"/>
    <cellStyle name="Normal 9 2 3 4 4" xfId="25369"/>
    <cellStyle name="Normal 9 2 3 4 4 2" xfId="25370"/>
    <cellStyle name="Normal 9 2 3 4 4 2 2" xfId="25371"/>
    <cellStyle name="Normal 9 2 3 4 4 2 2 2" xfId="25372"/>
    <cellStyle name="Normal 9 2 3 4 4 2 2 3" xfId="25373"/>
    <cellStyle name="Normal 9 2 3 4 4 2 3" xfId="25374"/>
    <cellStyle name="Normal 9 2 3 4 4 2 3 2" xfId="25375"/>
    <cellStyle name="Normal 9 2 3 4 4 2 3 3" xfId="25376"/>
    <cellStyle name="Normal 9 2 3 4 4 2 4" xfId="25377"/>
    <cellStyle name="Normal 9 2 3 4 4 2 5" xfId="25378"/>
    <cellStyle name="Normal 9 2 3 4 4 2 6" xfId="25379"/>
    <cellStyle name="Normal 9 2 3 4 4 2 7" xfId="25380"/>
    <cellStyle name="Normal 9 2 3 4 4 3" xfId="25381"/>
    <cellStyle name="Normal 9 2 3 4 4 3 2" xfId="25382"/>
    <cellStyle name="Normal 9 2 3 4 4 3 3" xfId="25383"/>
    <cellStyle name="Normal 9 2 3 4 4 4" xfId="25384"/>
    <cellStyle name="Normal 9 2 3 4 4 4 2" xfId="25385"/>
    <cellStyle name="Normal 9 2 3 4 4 4 3" xfId="25386"/>
    <cellStyle name="Normal 9 2 3 4 4 5" xfId="25387"/>
    <cellStyle name="Normal 9 2 3 4 4 6" xfId="25388"/>
    <cellStyle name="Normal 9 2 3 4 4 7" xfId="25389"/>
    <cellStyle name="Normal 9 2 3 4 4 8" xfId="25390"/>
    <cellStyle name="Normal 9 2 3 4 5" xfId="25391"/>
    <cellStyle name="Normal 9 2 3 4 5 2" xfId="25392"/>
    <cellStyle name="Normal 9 2 3 4 5 2 2" xfId="25393"/>
    <cellStyle name="Normal 9 2 3 4 5 2 3" xfId="25394"/>
    <cellStyle name="Normal 9 2 3 4 5 3" xfId="25395"/>
    <cellStyle name="Normal 9 2 3 4 5 3 2" xfId="25396"/>
    <cellStyle name="Normal 9 2 3 4 5 3 3" xfId="25397"/>
    <cellStyle name="Normal 9 2 3 4 5 4" xfId="25398"/>
    <cellStyle name="Normal 9 2 3 4 5 5" xfId="25399"/>
    <cellStyle name="Normal 9 2 3 4 5 6" xfId="25400"/>
    <cellStyle name="Normal 9 2 3 4 5 7" xfId="25401"/>
    <cellStyle name="Normal 9 2 3 4 6" xfId="25402"/>
    <cellStyle name="Normal 9 2 3 4 6 2" xfId="25403"/>
    <cellStyle name="Normal 9 2 3 4 6 3" xfId="25404"/>
    <cellStyle name="Normal 9 2 3 4 7" xfId="25405"/>
    <cellStyle name="Normal 9 2 3 4 7 2" xfId="25406"/>
    <cellStyle name="Normal 9 2 3 4 7 3" xfId="25407"/>
    <cellStyle name="Normal 9 2 3 4 8" xfId="25408"/>
    <cellStyle name="Normal 9 2 3 4 9" xfId="25409"/>
    <cellStyle name="Normal 9 2 3 5" xfId="25410"/>
    <cellStyle name="Normal 9 2 3 5 10" xfId="25411"/>
    <cellStyle name="Normal 9 2 3 5 11" xfId="25412"/>
    <cellStyle name="Normal 9 2 3 5 2" xfId="25413"/>
    <cellStyle name="Normal 9 2 3 5 2 2" xfId="25414"/>
    <cellStyle name="Normal 9 2 3 5 2 2 2" xfId="25415"/>
    <cellStyle name="Normal 9 2 3 5 2 2 2 2" xfId="25416"/>
    <cellStyle name="Normal 9 2 3 5 2 2 2 2 2" xfId="25417"/>
    <cellStyle name="Normal 9 2 3 5 2 2 2 2 3" xfId="25418"/>
    <cellStyle name="Normal 9 2 3 5 2 2 2 3" xfId="25419"/>
    <cellStyle name="Normal 9 2 3 5 2 2 2 3 2" xfId="25420"/>
    <cellStyle name="Normal 9 2 3 5 2 2 2 3 3" xfId="25421"/>
    <cellStyle name="Normal 9 2 3 5 2 2 2 4" xfId="25422"/>
    <cellStyle name="Normal 9 2 3 5 2 2 2 5" xfId="25423"/>
    <cellStyle name="Normal 9 2 3 5 2 2 2 6" xfId="25424"/>
    <cellStyle name="Normal 9 2 3 5 2 2 2 7" xfId="25425"/>
    <cellStyle name="Normal 9 2 3 5 2 2 3" xfId="25426"/>
    <cellStyle name="Normal 9 2 3 5 2 2 3 2" xfId="25427"/>
    <cellStyle name="Normal 9 2 3 5 2 2 3 3" xfId="25428"/>
    <cellStyle name="Normal 9 2 3 5 2 2 4" xfId="25429"/>
    <cellStyle name="Normal 9 2 3 5 2 2 4 2" xfId="25430"/>
    <cellStyle name="Normal 9 2 3 5 2 2 4 3" xfId="25431"/>
    <cellStyle name="Normal 9 2 3 5 2 2 5" xfId="25432"/>
    <cellStyle name="Normal 9 2 3 5 2 2 6" xfId="25433"/>
    <cellStyle name="Normal 9 2 3 5 2 2 7" xfId="25434"/>
    <cellStyle name="Normal 9 2 3 5 2 2 8" xfId="25435"/>
    <cellStyle name="Normal 9 2 3 5 2 3" xfId="25436"/>
    <cellStyle name="Normal 9 2 3 5 2 3 2" xfId="25437"/>
    <cellStyle name="Normal 9 2 3 5 2 3 2 2" xfId="25438"/>
    <cellStyle name="Normal 9 2 3 5 2 3 2 3" xfId="25439"/>
    <cellStyle name="Normal 9 2 3 5 2 3 3" xfId="25440"/>
    <cellStyle name="Normal 9 2 3 5 2 3 3 2" xfId="25441"/>
    <cellStyle name="Normal 9 2 3 5 2 3 3 3" xfId="25442"/>
    <cellStyle name="Normal 9 2 3 5 2 3 4" xfId="25443"/>
    <cellStyle name="Normal 9 2 3 5 2 3 5" xfId="25444"/>
    <cellStyle name="Normal 9 2 3 5 2 3 6" xfId="25445"/>
    <cellStyle name="Normal 9 2 3 5 2 3 7" xfId="25446"/>
    <cellStyle name="Normal 9 2 3 5 2 4" xfId="25447"/>
    <cellStyle name="Normal 9 2 3 5 2 4 2" xfId="25448"/>
    <cellStyle name="Normal 9 2 3 5 2 4 3" xfId="25449"/>
    <cellStyle name="Normal 9 2 3 5 2 5" xfId="25450"/>
    <cellStyle name="Normal 9 2 3 5 2 5 2" xfId="25451"/>
    <cellStyle name="Normal 9 2 3 5 2 5 3" xfId="25452"/>
    <cellStyle name="Normal 9 2 3 5 2 6" xfId="25453"/>
    <cellStyle name="Normal 9 2 3 5 2 7" xfId="25454"/>
    <cellStyle name="Normal 9 2 3 5 2 8" xfId="25455"/>
    <cellStyle name="Normal 9 2 3 5 2 9" xfId="25456"/>
    <cellStyle name="Normal 9 2 3 5 3" xfId="25457"/>
    <cellStyle name="Normal 9 2 3 5 3 2" xfId="25458"/>
    <cellStyle name="Normal 9 2 3 5 3 2 2" xfId="25459"/>
    <cellStyle name="Normal 9 2 3 5 3 2 2 2" xfId="25460"/>
    <cellStyle name="Normal 9 2 3 5 3 2 2 3" xfId="25461"/>
    <cellStyle name="Normal 9 2 3 5 3 2 3" xfId="25462"/>
    <cellStyle name="Normal 9 2 3 5 3 2 3 2" xfId="25463"/>
    <cellStyle name="Normal 9 2 3 5 3 2 3 3" xfId="25464"/>
    <cellStyle name="Normal 9 2 3 5 3 2 4" xfId="25465"/>
    <cellStyle name="Normal 9 2 3 5 3 2 5" xfId="25466"/>
    <cellStyle name="Normal 9 2 3 5 3 2 6" xfId="25467"/>
    <cellStyle name="Normal 9 2 3 5 3 2 7" xfId="25468"/>
    <cellStyle name="Normal 9 2 3 5 3 3" xfId="25469"/>
    <cellStyle name="Normal 9 2 3 5 3 3 2" xfId="25470"/>
    <cellStyle name="Normal 9 2 3 5 3 3 3" xfId="25471"/>
    <cellStyle name="Normal 9 2 3 5 3 4" xfId="25472"/>
    <cellStyle name="Normal 9 2 3 5 3 4 2" xfId="25473"/>
    <cellStyle name="Normal 9 2 3 5 3 4 3" xfId="25474"/>
    <cellStyle name="Normal 9 2 3 5 3 5" xfId="25475"/>
    <cellStyle name="Normal 9 2 3 5 3 6" xfId="25476"/>
    <cellStyle name="Normal 9 2 3 5 3 7" xfId="25477"/>
    <cellStyle name="Normal 9 2 3 5 3 8" xfId="25478"/>
    <cellStyle name="Normal 9 2 3 5 4" xfId="25479"/>
    <cellStyle name="Normal 9 2 3 5 4 2" xfId="25480"/>
    <cellStyle name="Normal 9 2 3 5 4 2 2" xfId="25481"/>
    <cellStyle name="Normal 9 2 3 5 4 2 2 2" xfId="25482"/>
    <cellStyle name="Normal 9 2 3 5 4 2 2 3" xfId="25483"/>
    <cellStyle name="Normal 9 2 3 5 4 2 3" xfId="25484"/>
    <cellStyle name="Normal 9 2 3 5 4 2 3 2" xfId="25485"/>
    <cellStyle name="Normal 9 2 3 5 4 2 3 3" xfId="25486"/>
    <cellStyle name="Normal 9 2 3 5 4 2 4" xfId="25487"/>
    <cellStyle name="Normal 9 2 3 5 4 2 5" xfId="25488"/>
    <cellStyle name="Normal 9 2 3 5 4 2 6" xfId="25489"/>
    <cellStyle name="Normal 9 2 3 5 4 2 7" xfId="25490"/>
    <cellStyle name="Normal 9 2 3 5 4 3" xfId="25491"/>
    <cellStyle name="Normal 9 2 3 5 4 3 2" xfId="25492"/>
    <cellStyle name="Normal 9 2 3 5 4 3 3" xfId="25493"/>
    <cellStyle name="Normal 9 2 3 5 4 4" xfId="25494"/>
    <cellStyle name="Normal 9 2 3 5 4 4 2" xfId="25495"/>
    <cellStyle name="Normal 9 2 3 5 4 4 3" xfId="25496"/>
    <cellStyle name="Normal 9 2 3 5 4 5" xfId="25497"/>
    <cellStyle name="Normal 9 2 3 5 4 6" xfId="25498"/>
    <cellStyle name="Normal 9 2 3 5 4 7" xfId="25499"/>
    <cellStyle name="Normal 9 2 3 5 4 8" xfId="25500"/>
    <cellStyle name="Normal 9 2 3 5 5" xfId="25501"/>
    <cellStyle name="Normal 9 2 3 5 5 2" xfId="25502"/>
    <cellStyle name="Normal 9 2 3 5 5 2 2" xfId="25503"/>
    <cellStyle name="Normal 9 2 3 5 5 2 3" xfId="25504"/>
    <cellStyle name="Normal 9 2 3 5 5 3" xfId="25505"/>
    <cellStyle name="Normal 9 2 3 5 5 3 2" xfId="25506"/>
    <cellStyle name="Normal 9 2 3 5 5 3 3" xfId="25507"/>
    <cellStyle name="Normal 9 2 3 5 5 4" xfId="25508"/>
    <cellStyle name="Normal 9 2 3 5 5 5" xfId="25509"/>
    <cellStyle name="Normal 9 2 3 5 5 6" xfId="25510"/>
    <cellStyle name="Normal 9 2 3 5 5 7" xfId="25511"/>
    <cellStyle name="Normal 9 2 3 5 6" xfId="25512"/>
    <cellStyle name="Normal 9 2 3 5 6 2" xfId="25513"/>
    <cellStyle name="Normal 9 2 3 5 6 3" xfId="25514"/>
    <cellStyle name="Normal 9 2 3 5 7" xfId="25515"/>
    <cellStyle name="Normal 9 2 3 5 7 2" xfId="25516"/>
    <cellStyle name="Normal 9 2 3 5 7 3" xfId="25517"/>
    <cellStyle name="Normal 9 2 3 5 8" xfId="25518"/>
    <cellStyle name="Normal 9 2 3 5 9" xfId="25519"/>
    <cellStyle name="Normal 9 2 3 6" xfId="25520"/>
    <cellStyle name="Normal 9 2 3 6 2" xfId="25521"/>
    <cellStyle name="Normal 9 2 3 6 2 2" xfId="25522"/>
    <cellStyle name="Normal 9 2 3 6 2 2 2" xfId="25523"/>
    <cellStyle name="Normal 9 2 3 6 2 2 2 2" xfId="25524"/>
    <cellStyle name="Normal 9 2 3 6 2 2 2 3" xfId="25525"/>
    <cellStyle name="Normal 9 2 3 6 2 2 3" xfId="25526"/>
    <cellStyle name="Normal 9 2 3 6 2 2 3 2" xfId="25527"/>
    <cellStyle name="Normal 9 2 3 6 2 2 3 3" xfId="25528"/>
    <cellStyle name="Normal 9 2 3 6 2 2 4" xfId="25529"/>
    <cellStyle name="Normal 9 2 3 6 2 2 5" xfId="25530"/>
    <cellStyle name="Normal 9 2 3 6 2 2 6" xfId="25531"/>
    <cellStyle name="Normal 9 2 3 6 2 2 7" xfId="25532"/>
    <cellStyle name="Normal 9 2 3 6 2 3" xfId="25533"/>
    <cellStyle name="Normal 9 2 3 6 2 3 2" xfId="25534"/>
    <cellStyle name="Normal 9 2 3 6 2 3 3" xfId="25535"/>
    <cellStyle name="Normal 9 2 3 6 2 4" xfId="25536"/>
    <cellStyle name="Normal 9 2 3 6 2 4 2" xfId="25537"/>
    <cellStyle name="Normal 9 2 3 6 2 4 3" xfId="25538"/>
    <cellStyle name="Normal 9 2 3 6 2 5" xfId="25539"/>
    <cellStyle name="Normal 9 2 3 6 2 6" xfId="25540"/>
    <cellStyle name="Normal 9 2 3 6 2 7" xfId="25541"/>
    <cellStyle name="Normal 9 2 3 6 2 8" xfId="25542"/>
    <cellStyle name="Normal 9 2 3 6 3" xfId="25543"/>
    <cellStyle name="Normal 9 2 3 6 3 2" xfId="25544"/>
    <cellStyle name="Normal 9 2 3 6 3 2 2" xfId="25545"/>
    <cellStyle name="Normal 9 2 3 6 3 2 3" xfId="25546"/>
    <cellStyle name="Normal 9 2 3 6 3 3" xfId="25547"/>
    <cellStyle name="Normal 9 2 3 6 3 3 2" xfId="25548"/>
    <cellStyle name="Normal 9 2 3 6 3 3 3" xfId="25549"/>
    <cellStyle name="Normal 9 2 3 6 3 4" xfId="25550"/>
    <cellStyle name="Normal 9 2 3 6 3 5" xfId="25551"/>
    <cellStyle name="Normal 9 2 3 6 3 6" xfId="25552"/>
    <cellStyle name="Normal 9 2 3 6 3 7" xfId="25553"/>
    <cellStyle name="Normal 9 2 3 6 4" xfId="25554"/>
    <cellStyle name="Normal 9 2 3 6 4 2" xfId="25555"/>
    <cellStyle name="Normal 9 2 3 6 4 3" xfId="25556"/>
    <cellStyle name="Normal 9 2 3 6 5" xfId="25557"/>
    <cellStyle name="Normal 9 2 3 6 5 2" xfId="25558"/>
    <cellStyle name="Normal 9 2 3 6 5 3" xfId="25559"/>
    <cellStyle name="Normal 9 2 3 6 6" xfId="25560"/>
    <cellStyle name="Normal 9 2 3 6 7" xfId="25561"/>
    <cellStyle name="Normal 9 2 3 6 8" xfId="25562"/>
    <cellStyle name="Normal 9 2 3 6 9" xfId="25563"/>
    <cellStyle name="Normal 9 2 3 7" xfId="25564"/>
    <cellStyle name="Normal 9 2 3 7 2" xfId="25565"/>
    <cellStyle name="Normal 9 2 3 7 2 2" xfId="25566"/>
    <cellStyle name="Normal 9 2 3 7 2 2 2" xfId="25567"/>
    <cellStyle name="Normal 9 2 3 7 2 2 3" xfId="25568"/>
    <cellStyle name="Normal 9 2 3 7 2 3" xfId="25569"/>
    <cellStyle name="Normal 9 2 3 7 2 3 2" xfId="25570"/>
    <cellStyle name="Normal 9 2 3 7 2 3 3" xfId="25571"/>
    <cellStyle name="Normal 9 2 3 7 2 4" xfId="25572"/>
    <cellStyle name="Normal 9 2 3 7 2 5" xfId="25573"/>
    <cellStyle name="Normal 9 2 3 7 2 6" xfId="25574"/>
    <cellStyle name="Normal 9 2 3 7 2 7" xfId="25575"/>
    <cellStyle name="Normal 9 2 3 7 3" xfId="25576"/>
    <cellStyle name="Normal 9 2 3 7 3 2" xfId="25577"/>
    <cellStyle name="Normal 9 2 3 7 3 3" xfId="25578"/>
    <cellStyle name="Normal 9 2 3 7 4" xfId="25579"/>
    <cellStyle name="Normal 9 2 3 7 4 2" xfId="25580"/>
    <cellStyle name="Normal 9 2 3 7 4 3" xfId="25581"/>
    <cellStyle name="Normal 9 2 3 7 5" xfId="25582"/>
    <cellStyle name="Normal 9 2 3 7 6" xfId="25583"/>
    <cellStyle name="Normal 9 2 3 7 7" xfId="25584"/>
    <cellStyle name="Normal 9 2 3 7 8" xfId="25585"/>
    <cellStyle name="Normal 9 2 3 8" xfId="25586"/>
    <cellStyle name="Normal 9 2 3 8 2" xfId="25587"/>
    <cellStyle name="Normal 9 2 3 8 2 2" xfId="25588"/>
    <cellStyle name="Normal 9 2 3 8 2 2 2" xfId="25589"/>
    <cellStyle name="Normal 9 2 3 8 2 2 3" xfId="25590"/>
    <cellStyle name="Normal 9 2 3 8 2 3" xfId="25591"/>
    <cellStyle name="Normal 9 2 3 8 2 3 2" xfId="25592"/>
    <cellStyle name="Normal 9 2 3 8 2 3 3" xfId="25593"/>
    <cellStyle name="Normal 9 2 3 8 2 4" xfId="25594"/>
    <cellStyle name="Normal 9 2 3 8 2 5" xfId="25595"/>
    <cellStyle name="Normal 9 2 3 8 2 6" xfId="25596"/>
    <cellStyle name="Normal 9 2 3 8 2 7" xfId="25597"/>
    <cellStyle name="Normal 9 2 3 8 3" xfId="25598"/>
    <cellStyle name="Normal 9 2 3 8 3 2" xfId="25599"/>
    <cellStyle name="Normal 9 2 3 8 3 3" xfId="25600"/>
    <cellStyle name="Normal 9 2 3 8 4" xfId="25601"/>
    <cellStyle name="Normal 9 2 3 8 4 2" xfId="25602"/>
    <cellStyle name="Normal 9 2 3 8 4 3" xfId="25603"/>
    <cellStyle name="Normal 9 2 3 8 5" xfId="25604"/>
    <cellStyle name="Normal 9 2 3 8 6" xfId="25605"/>
    <cellStyle name="Normal 9 2 3 8 7" xfId="25606"/>
    <cellStyle name="Normal 9 2 3 8 8" xfId="25607"/>
    <cellStyle name="Normal 9 2 3 9" xfId="25608"/>
    <cellStyle name="Normal 9 2 3 9 2" xfId="25609"/>
    <cellStyle name="Normal 9 2 3 9 2 2" xfId="25610"/>
    <cellStyle name="Normal 9 2 3 9 2 3" xfId="25611"/>
    <cellStyle name="Normal 9 2 3 9 3" xfId="25612"/>
    <cellStyle name="Normal 9 2 3 9 3 2" xfId="25613"/>
    <cellStyle name="Normal 9 2 3 9 3 3" xfId="25614"/>
    <cellStyle name="Normal 9 2 3 9 4" xfId="25615"/>
    <cellStyle name="Normal 9 2 3 9 5" xfId="25616"/>
    <cellStyle name="Normal 9 2 3 9 6" xfId="25617"/>
    <cellStyle name="Normal 9 2 3 9 7" xfId="25618"/>
    <cellStyle name="Normal 9 2 4" xfId="25619"/>
    <cellStyle name="Normal 9 2 4 10" xfId="25620"/>
    <cellStyle name="Normal 9 2 4 11" xfId="25621"/>
    <cellStyle name="Normal 9 2 4 12" xfId="25622"/>
    <cellStyle name="Normal 9 2 4 13" xfId="25623"/>
    <cellStyle name="Normal 9 2 4 2" xfId="25624"/>
    <cellStyle name="Normal 9 2 4 2 10" xfId="25625"/>
    <cellStyle name="Normal 9 2 4 2 11" xfId="25626"/>
    <cellStyle name="Normal 9 2 4 2 2" xfId="25627"/>
    <cellStyle name="Normal 9 2 4 2 2 2" xfId="25628"/>
    <cellStyle name="Normal 9 2 4 2 2 2 2" xfId="25629"/>
    <cellStyle name="Normal 9 2 4 2 2 2 2 2" xfId="25630"/>
    <cellStyle name="Normal 9 2 4 2 2 2 2 2 2" xfId="25631"/>
    <cellStyle name="Normal 9 2 4 2 2 2 2 2 3" xfId="25632"/>
    <cellStyle name="Normal 9 2 4 2 2 2 2 3" xfId="25633"/>
    <cellStyle name="Normal 9 2 4 2 2 2 2 3 2" xfId="25634"/>
    <cellStyle name="Normal 9 2 4 2 2 2 2 3 3" xfId="25635"/>
    <cellStyle name="Normal 9 2 4 2 2 2 2 4" xfId="25636"/>
    <cellStyle name="Normal 9 2 4 2 2 2 2 5" xfId="25637"/>
    <cellStyle name="Normal 9 2 4 2 2 2 2 6" xfId="25638"/>
    <cellStyle name="Normal 9 2 4 2 2 2 2 7" xfId="25639"/>
    <cellStyle name="Normal 9 2 4 2 2 2 3" xfId="25640"/>
    <cellStyle name="Normal 9 2 4 2 2 2 3 2" xfId="25641"/>
    <cellStyle name="Normal 9 2 4 2 2 2 3 3" xfId="25642"/>
    <cellStyle name="Normal 9 2 4 2 2 2 4" xfId="25643"/>
    <cellStyle name="Normal 9 2 4 2 2 2 4 2" xfId="25644"/>
    <cellStyle name="Normal 9 2 4 2 2 2 4 3" xfId="25645"/>
    <cellStyle name="Normal 9 2 4 2 2 2 5" xfId="25646"/>
    <cellStyle name="Normal 9 2 4 2 2 2 6" xfId="25647"/>
    <cellStyle name="Normal 9 2 4 2 2 2 7" xfId="25648"/>
    <cellStyle name="Normal 9 2 4 2 2 2 8" xfId="25649"/>
    <cellStyle name="Normal 9 2 4 2 2 3" xfId="25650"/>
    <cellStyle name="Normal 9 2 4 2 2 3 2" xfId="25651"/>
    <cellStyle name="Normal 9 2 4 2 2 3 2 2" xfId="25652"/>
    <cellStyle name="Normal 9 2 4 2 2 3 2 3" xfId="25653"/>
    <cellStyle name="Normal 9 2 4 2 2 3 3" xfId="25654"/>
    <cellStyle name="Normal 9 2 4 2 2 3 3 2" xfId="25655"/>
    <cellStyle name="Normal 9 2 4 2 2 3 3 3" xfId="25656"/>
    <cellStyle name="Normal 9 2 4 2 2 3 4" xfId="25657"/>
    <cellStyle name="Normal 9 2 4 2 2 3 5" xfId="25658"/>
    <cellStyle name="Normal 9 2 4 2 2 3 6" xfId="25659"/>
    <cellStyle name="Normal 9 2 4 2 2 3 7" xfId="25660"/>
    <cellStyle name="Normal 9 2 4 2 2 4" xfId="25661"/>
    <cellStyle name="Normal 9 2 4 2 2 4 2" xfId="25662"/>
    <cellStyle name="Normal 9 2 4 2 2 4 3" xfId="25663"/>
    <cellStyle name="Normal 9 2 4 2 2 5" xfId="25664"/>
    <cellStyle name="Normal 9 2 4 2 2 5 2" xfId="25665"/>
    <cellStyle name="Normal 9 2 4 2 2 5 3" xfId="25666"/>
    <cellStyle name="Normal 9 2 4 2 2 6" xfId="25667"/>
    <cellStyle name="Normal 9 2 4 2 2 7" xfId="25668"/>
    <cellStyle name="Normal 9 2 4 2 2 8" xfId="25669"/>
    <cellStyle name="Normal 9 2 4 2 2 9" xfId="25670"/>
    <cellStyle name="Normal 9 2 4 2 3" xfId="25671"/>
    <cellStyle name="Normal 9 2 4 2 3 2" xfId="25672"/>
    <cellStyle name="Normal 9 2 4 2 3 2 2" xfId="25673"/>
    <cellStyle name="Normal 9 2 4 2 3 2 2 2" xfId="25674"/>
    <cellStyle name="Normal 9 2 4 2 3 2 2 3" xfId="25675"/>
    <cellStyle name="Normal 9 2 4 2 3 2 3" xfId="25676"/>
    <cellStyle name="Normal 9 2 4 2 3 2 3 2" xfId="25677"/>
    <cellStyle name="Normal 9 2 4 2 3 2 3 3" xfId="25678"/>
    <cellStyle name="Normal 9 2 4 2 3 2 4" xfId="25679"/>
    <cellStyle name="Normal 9 2 4 2 3 2 5" xfId="25680"/>
    <cellStyle name="Normal 9 2 4 2 3 2 6" xfId="25681"/>
    <cellStyle name="Normal 9 2 4 2 3 2 7" xfId="25682"/>
    <cellStyle name="Normal 9 2 4 2 3 3" xfId="25683"/>
    <cellStyle name="Normal 9 2 4 2 3 3 2" xfId="25684"/>
    <cellStyle name="Normal 9 2 4 2 3 3 3" xfId="25685"/>
    <cellStyle name="Normal 9 2 4 2 3 4" xfId="25686"/>
    <cellStyle name="Normal 9 2 4 2 3 4 2" xfId="25687"/>
    <cellStyle name="Normal 9 2 4 2 3 4 3" xfId="25688"/>
    <cellStyle name="Normal 9 2 4 2 3 5" xfId="25689"/>
    <cellStyle name="Normal 9 2 4 2 3 6" xfId="25690"/>
    <cellStyle name="Normal 9 2 4 2 3 7" xfId="25691"/>
    <cellStyle name="Normal 9 2 4 2 3 8" xfId="25692"/>
    <cellStyle name="Normal 9 2 4 2 4" xfId="25693"/>
    <cellStyle name="Normal 9 2 4 2 4 2" xfId="25694"/>
    <cellStyle name="Normal 9 2 4 2 4 2 2" xfId="25695"/>
    <cellStyle name="Normal 9 2 4 2 4 2 2 2" xfId="25696"/>
    <cellStyle name="Normal 9 2 4 2 4 2 2 3" xfId="25697"/>
    <cellStyle name="Normal 9 2 4 2 4 2 3" xfId="25698"/>
    <cellStyle name="Normal 9 2 4 2 4 2 3 2" xfId="25699"/>
    <cellStyle name="Normal 9 2 4 2 4 2 3 3" xfId="25700"/>
    <cellStyle name="Normal 9 2 4 2 4 2 4" xfId="25701"/>
    <cellStyle name="Normal 9 2 4 2 4 2 5" xfId="25702"/>
    <cellStyle name="Normal 9 2 4 2 4 2 6" xfId="25703"/>
    <cellStyle name="Normal 9 2 4 2 4 2 7" xfId="25704"/>
    <cellStyle name="Normal 9 2 4 2 4 3" xfId="25705"/>
    <cellStyle name="Normal 9 2 4 2 4 3 2" xfId="25706"/>
    <cellStyle name="Normal 9 2 4 2 4 3 3" xfId="25707"/>
    <cellStyle name="Normal 9 2 4 2 4 4" xfId="25708"/>
    <cellStyle name="Normal 9 2 4 2 4 4 2" xfId="25709"/>
    <cellStyle name="Normal 9 2 4 2 4 4 3" xfId="25710"/>
    <cellStyle name="Normal 9 2 4 2 4 5" xfId="25711"/>
    <cellStyle name="Normal 9 2 4 2 4 6" xfId="25712"/>
    <cellStyle name="Normal 9 2 4 2 4 7" xfId="25713"/>
    <cellStyle name="Normal 9 2 4 2 4 8" xfId="25714"/>
    <cellStyle name="Normal 9 2 4 2 5" xfId="25715"/>
    <cellStyle name="Normal 9 2 4 2 5 2" xfId="25716"/>
    <cellStyle name="Normal 9 2 4 2 5 2 2" xfId="25717"/>
    <cellStyle name="Normal 9 2 4 2 5 2 3" xfId="25718"/>
    <cellStyle name="Normal 9 2 4 2 5 3" xfId="25719"/>
    <cellStyle name="Normal 9 2 4 2 5 3 2" xfId="25720"/>
    <cellStyle name="Normal 9 2 4 2 5 3 3" xfId="25721"/>
    <cellStyle name="Normal 9 2 4 2 5 4" xfId="25722"/>
    <cellStyle name="Normal 9 2 4 2 5 5" xfId="25723"/>
    <cellStyle name="Normal 9 2 4 2 5 6" xfId="25724"/>
    <cellStyle name="Normal 9 2 4 2 5 7" xfId="25725"/>
    <cellStyle name="Normal 9 2 4 2 6" xfId="25726"/>
    <cellStyle name="Normal 9 2 4 2 6 2" xfId="25727"/>
    <cellStyle name="Normal 9 2 4 2 6 3" xfId="25728"/>
    <cellStyle name="Normal 9 2 4 2 7" xfId="25729"/>
    <cellStyle name="Normal 9 2 4 2 7 2" xfId="25730"/>
    <cellStyle name="Normal 9 2 4 2 7 3" xfId="25731"/>
    <cellStyle name="Normal 9 2 4 2 8" xfId="25732"/>
    <cellStyle name="Normal 9 2 4 2 9" xfId="25733"/>
    <cellStyle name="Normal 9 2 4 3" xfId="25734"/>
    <cellStyle name="Normal 9 2 4 3 10" xfId="25735"/>
    <cellStyle name="Normal 9 2 4 3 11" xfId="25736"/>
    <cellStyle name="Normal 9 2 4 3 2" xfId="25737"/>
    <cellStyle name="Normal 9 2 4 3 2 2" xfId="25738"/>
    <cellStyle name="Normal 9 2 4 3 2 2 2" xfId="25739"/>
    <cellStyle name="Normal 9 2 4 3 2 2 2 2" xfId="25740"/>
    <cellStyle name="Normal 9 2 4 3 2 2 2 2 2" xfId="25741"/>
    <cellStyle name="Normal 9 2 4 3 2 2 2 2 3" xfId="25742"/>
    <cellStyle name="Normal 9 2 4 3 2 2 2 3" xfId="25743"/>
    <cellStyle name="Normal 9 2 4 3 2 2 2 3 2" xfId="25744"/>
    <cellStyle name="Normal 9 2 4 3 2 2 2 3 3" xfId="25745"/>
    <cellStyle name="Normal 9 2 4 3 2 2 2 4" xfId="25746"/>
    <cellStyle name="Normal 9 2 4 3 2 2 2 5" xfId="25747"/>
    <cellStyle name="Normal 9 2 4 3 2 2 2 6" xfId="25748"/>
    <cellStyle name="Normal 9 2 4 3 2 2 2 7" xfId="25749"/>
    <cellStyle name="Normal 9 2 4 3 2 2 3" xfId="25750"/>
    <cellStyle name="Normal 9 2 4 3 2 2 3 2" xfId="25751"/>
    <cellStyle name="Normal 9 2 4 3 2 2 3 3" xfId="25752"/>
    <cellStyle name="Normal 9 2 4 3 2 2 4" xfId="25753"/>
    <cellStyle name="Normal 9 2 4 3 2 2 4 2" xfId="25754"/>
    <cellStyle name="Normal 9 2 4 3 2 2 4 3" xfId="25755"/>
    <cellStyle name="Normal 9 2 4 3 2 2 5" xfId="25756"/>
    <cellStyle name="Normal 9 2 4 3 2 2 6" xfId="25757"/>
    <cellStyle name="Normal 9 2 4 3 2 2 7" xfId="25758"/>
    <cellStyle name="Normal 9 2 4 3 2 2 8" xfId="25759"/>
    <cellStyle name="Normal 9 2 4 3 2 3" xfId="25760"/>
    <cellStyle name="Normal 9 2 4 3 2 3 2" xfId="25761"/>
    <cellStyle name="Normal 9 2 4 3 2 3 2 2" xfId="25762"/>
    <cellStyle name="Normal 9 2 4 3 2 3 2 3" xfId="25763"/>
    <cellStyle name="Normal 9 2 4 3 2 3 3" xfId="25764"/>
    <cellStyle name="Normal 9 2 4 3 2 3 3 2" xfId="25765"/>
    <cellStyle name="Normal 9 2 4 3 2 3 3 3" xfId="25766"/>
    <cellStyle name="Normal 9 2 4 3 2 3 4" xfId="25767"/>
    <cellStyle name="Normal 9 2 4 3 2 3 5" xfId="25768"/>
    <cellStyle name="Normal 9 2 4 3 2 3 6" xfId="25769"/>
    <cellStyle name="Normal 9 2 4 3 2 3 7" xfId="25770"/>
    <cellStyle name="Normal 9 2 4 3 2 4" xfId="25771"/>
    <cellStyle name="Normal 9 2 4 3 2 4 2" xfId="25772"/>
    <cellStyle name="Normal 9 2 4 3 2 4 3" xfId="25773"/>
    <cellStyle name="Normal 9 2 4 3 2 5" xfId="25774"/>
    <cellStyle name="Normal 9 2 4 3 2 5 2" xfId="25775"/>
    <cellStyle name="Normal 9 2 4 3 2 5 3" xfId="25776"/>
    <cellStyle name="Normal 9 2 4 3 2 6" xfId="25777"/>
    <cellStyle name="Normal 9 2 4 3 2 7" xfId="25778"/>
    <cellStyle name="Normal 9 2 4 3 2 8" xfId="25779"/>
    <cellStyle name="Normal 9 2 4 3 2 9" xfId="25780"/>
    <cellStyle name="Normal 9 2 4 3 3" xfId="25781"/>
    <cellStyle name="Normal 9 2 4 3 3 2" xfId="25782"/>
    <cellStyle name="Normal 9 2 4 3 3 2 2" xfId="25783"/>
    <cellStyle name="Normal 9 2 4 3 3 2 2 2" xfId="25784"/>
    <cellStyle name="Normal 9 2 4 3 3 2 2 3" xfId="25785"/>
    <cellStyle name="Normal 9 2 4 3 3 2 3" xfId="25786"/>
    <cellStyle name="Normal 9 2 4 3 3 2 3 2" xfId="25787"/>
    <cellStyle name="Normal 9 2 4 3 3 2 3 3" xfId="25788"/>
    <cellStyle name="Normal 9 2 4 3 3 2 4" xfId="25789"/>
    <cellStyle name="Normal 9 2 4 3 3 2 5" xfId="25790"/>
    <cellStyle name="Normal 9 2 4 3 3 2 6" xfId="25791"/>
    <cellStyle name="Normal 9 2 4 3 3 2 7" xfId="25792"/>
    <cellStyle name="Normal 9 2 4 3 3 3" xfId="25793"/>
    <cellStyle name="Normal 9 2 4 3 3 3 2" xfId="25794"/>
    <cellStyle name="Normal 9 2 4 3 3 3 3" xfId="25795"/>
    <cellStyle name="Normal 9 2 4 3 3 4" xfId="25796"/>
    <cellStyle name="Normal 9 2 4 3 3 4 2" xfId="25797"/>
    <cellStyle name="Normal 9 2 4 3 3 4 3" xfId="25798"/>
    <cellStyle name="Normal 9 2 4 3 3 5" xfId="25799"/>
    <cellStyle name="Normal 9 2 4 3 3 6" xfId="25800"/>
    <cellStyle name="Normal 9 2 4 3 3 7" xfId="25801"/>
    <cellStyle name="Normal 9 2 4 3 3 8" xfId="25802"/>
    <cellStyle name="Normal 9 2 4 3 4" xfId="25803"/>
    <cellStyle name="Normal 9 2 4 3 4 2" xfId="25804"/>
    <cellStyle name="Normal 9 2 4 3 4 2 2" xfId="25805"/>
    <cellStyle name="Normal 9 2 4 3 4 2 2 2" xfId="25806"/>
    <cellStyle name="Normal 9 2 4 3 4 2 2 3" xfId="25807"/>
    <cellStyle name="Normal 9 2 4 3 4 2 3" xfId="25808"/>
    <cellStyle name="Normal 9 2 4 3 4 2 3 2" xfId="25809"/>
    <cellStyle name="Normal 9 2 4 3 4 2 3 3" xfId="25810"/>
    <cellStyle name="Normal 9 2 4 3 4 2 4" xfId="25811"/>
    <cellStyle name="Normal 9 2 4 3 4 2 5" xfId="25812"/>
    <cellStyle name="Normal 9 2 4 3 4 2 6" xfId="25813"/>
    <cellStyle name="Normal 9 2 4 3 4 2 7" xfId="25814"/>
    <cellStyle name="Normal 9 2 4 3 4 3" xfId="25815"/>
    <cellStyle name="Normal 9 2 4 3 4 3 2" xfId="25816"/>
    <cellStyle name="Normal 9 2 4 3 4 3 3" xfId="25817"/>
    <cellStyle name="Normal 9 2 4 3 4 4" xfId="25818"/>
    <cellStyle name="Normal 9 2 4 3 4 4 2" xfId="25819"/>
    <cellStyle name="Normal 9 2 4 3 4 4 3" xfId="25820"/>
    <cellStyle name="Normal 9 2 4 3 4 5" xfId="25821"/>
    <cellStyle name="Normal 9 2 4 3 4 6" xfId="25822"/>
    <cellStyle name="Normal 9 2 4 3 4 7" xfId="25823"/>
    <cellStyle name="Normal 9 2 4 3 4 8" xfId="25824"/>
    <cellStyle name="Normal 9 2 4 3 5" xfId="25825"/>
    <cellStyle name="Normal 9 2 4 3 5 2" xfId="25826"/>
    <cellStyle name="Normal 9 2 4 3 5 2 2" xfId="25827"/>
    <cellStyle name="Normal 9 2 4 3 5 2 3" xfId="25828"/>
    <cellStyle name="Normal 9 2 4 3 5 3" xfId="25829"/>
    <cellStyle name="Normal 9 2 4 3 5 3 2" xfId="25830"/>
    <cellStyle name="Normal 9 2 4 3 5 3 3" xfId="25831"/>
    <cellStyle name="Normal 9 2 4 3 5 4" xfId="25832"/>
    <cellStyle name="Normal 9 2 4 3 5 5" xfId="25833"/>
    <cellStyle name="Normal 9 2 4 3 5 6" xfId="25834"/>
    <cellStyle name="Normal 9 2 4 3 5 7" xfId="25835"/>
    <cellStyle name="Normal 9 2 4 3 6" xfId="25836"/>
    <cellStyle name="Normal 9 2 4 3 6 2" xfId="25837"/>
    <cellStyle name="Normal 9 2 4 3 6 3" xfId="25838"/>
    <cellStyle name="Normal 9 2 4 3 7" xfId="25839"/>
    <cellStyle name="Normal 9 2 4 3 7 2" xfId="25840"/>
    <cellStyle name="Normal 9 2 4 3 7 3" xfId="25841"/>
    <cellStyle name="Normal 9 2 4 3 8" xfId="25842"/>
    <cellStyle name="Normal 9 2 4 3 9" xfId="25843"/>
    <cellStyle name="Normal 9 2 4 4" xfId="25844"/>
    <cellStyle name="Normal 9 2 4 4 2" xfId="25845"/>
    <cellStyle name="Normal 9 2 4 4 2 2" xfId="25846"/>
    <cellStyle name="Normal 9 2 4 4 2 2 2" xfId="25847"/>
    <cellStyle name="Normal 9 2 4 4 2 2 2 2" xfId="25848"/>
    <cellStyle name="Normal 9 2 4 4 2 2 2 3" xfId="25849"/>
    <cellStyle name="Normal 9 2 4 4 2 2 3" xfId="25850"/>
    <cellStyle name="Normal 9 2 4 4 2 2 3 2" xfId="25851"/>
    <cellStyle name="Normal 9 2 4 4 2 2 3 3" xfId="25852"/>
    <cellStyle name="Normal 9 2 4 4 2 2 4" xfId="25853"/>
    <cellStyle name="Normal 9 2 4 4 2 2 5" xfId="25854"/>
    <cellStyle name="Normal 9 2 4 4 2 2 6" xfId="25855"/>
    <cellStyle name="Normal 9 2 4 4 2 2 7" xfId="25856"/>
    <cellStyle name="Normal 9 2 4 4 2 3" xfId="25857"/>
    <cellStyle name="Normal 9 2 4 4 2 3 2" xfId="25858"/>
    <cellStyle name="Normal 9 2 4 4 2 3 3" xfId="25859"/>
    <cellStyle name="Normal 9 2 4 4 2 4" xfId="25860"/>
    <cellStyle name="Normal 9 2 4 4 2 4 2" xfId="25861"/>
    <cellStyle name="Normal 9 2 4 4 2 4 3" xfId="25862"/>
    <cellStyle name="Normal 9 2 4 4 2 5" xfId="25863"/>
    <cellStyle name="Normal 9 2 4 4 2 6" xfId="25864"/>
    <cellStyle name="Normal 9 2 4 4 2 7" xfId="25865"/>
    <cellStyle name="Normal 9 2 4 4 2 8" xfId="25866"/>
    <cellStyle name="Normal 9 2 4 4 3" xfId="25867"/>
    <cellStyle name="Normal 9 2 4 4 3 2" xfId="25868"/>
    <cellStyle name="Normal 9 2 4 4 3 2 2" xfId="25869"/>
    <cellStyle name="Normal 9 2 4 4 3 2 3" xfId="25870"/>
    <cellStyle name="Normal 9 2 4 4 3 3" xfId="25871"/>
    <cellStyle name="Normal 9 2 4 4 3 3 2" xfId="25872"/>
    <cellStyle name="Normal 9 2 4 4 3 3 3" xfId="25873"/>
    <cellStyle name="Normal 9 2 4 4 3 4" xfId="25874"/>
    <cellStyle name="Normal 9 2 4 4 3 5" xfId="25875"/>
    <cellStyle name="Normal 9 2 4 4 3 6" xfId="25876"/>
    <cellStyle name="Normal 9 2 4 4 3 7" xfId="25877"/>
    <cellStyle name="Normal 9 2 4 4 4" xfId="25878"/>
    <cellStyle name="Normal 9 2 4 4 4 2" xfId="25879"/>
    <cellStyle name="Normal 9 2 4 4 4 3" xfId="25880"/>
    <cellStyle name="Normal 9 2 4 4 5" xfId="25881"/>
    <cellStyle name="Normal 9 2 4 4 5 2" xfId="25882"/>
    <cellStyle name="Normal 9 2 4 4 5 3" xfId="25883"/>
    <cellStyle name="Normal 9 2 4 4 6" xfId="25884"/>
    <cellStyle name="Normal 9 2 4 4 7" xfId="25885"/>
    <cellStyle name="Normal 9 2 4 4 8" xfId="25886"/>
    <cellStyle name="Normal 9 2 4 4 9" xfId="25887"/>
    <cellStyle name="Normal 9 2 4 5" xfId="25888"/>
    <cellStyle name="Normal 9 2 4 5 2" xfId="25889"/>
    <cellStyle name="Normal 9 2 4 5 2 2" xfId="25890"/>
    <cellStyle name="Normal 9 2 4 5 2 2 2" xfId="25891"/>
    <cellStyle name="Normal 9 2 4 5 2 2 3" xfId="25892"/>
    <cellStyle name="Normal 9 2 4 5 2 3" xfId="25893"/>
    <cellStyle name="Normal 9 2 4 5 2 3 2" xfId="25894"/>
    <cellStyle name="Normal 9 2 4 5 2 3 3" xfId="25895"/>
    <cellStyle name="Normal 9 2 4 5 2 4" xfId="25896"/>
    <cellStyle name="Normal 9 2 4 5 2 5" xfId="25897"/>
    <cellStyle name="Normal 9 2 4 5 2 6" xfId="25898"/>
    <cellStyle name="Normal 9 2 4 5 2 7" xfId="25899"/>
    <cellStyle name="Normal 9 2 4 5 3" xfId="25900"/>
    <cellStyle name="Normal 9 2 4 5 3 2" xfId="25901"/>
    <cellStyle name="Normal 9 2 4 5 3 3" xfId="25902"/>
    <cellStyle name="Normal 9 2 4 5 4" xfId="25903"/>
    <cellStyle name="Normal 9 2 4 5 4 2" xfId="25904"/>
    <cellStyle name="Normal 9 2 4 5 4 3" xfId="25905"/>
    <cellStyle name="Normal 9 2 4 5 5" xfId="25906"/>
    <cellStyle name="Normal 9 2 4 5 6" xfId="25907"/>
    <cellStyle name="Normal 9 2 4 5 7" xfId="25908"/>
    <cellStyle name="Normal 9 2 4 5 8" xfId="25909"/>
    <cellStyle name="Normal 9 2 4 6" xfId="25910"/>
    <cellStyle name="Normal 9 2 4 6 2" xfId="25911"/>
    <cellStyle name="Normal 9 2 4 6 2 2" xfId="25912"/>
    <cellStyle name="Normal 9 2 4 6 2 2 2" xfId="25913"/>
    <cellStyle name="Normal 9 2 4 6 2 2 3" xfId="25914"/>
    <cellStyle name="Normal 9 2 4 6 2 3" xfId="25915"/>
    <cellStyle name="Normal 9 2 4 6 2 3 2" xfId="25916"/>
    <cellStyle name="Normal 9 2 4 6 2 3 3" xfId="25917"/>
    <cellStyle name="Normal 9 2 4 6 2 4" xfId="25918"/>
    <cellStyle name="Normal 9 2 4 6 2 5" xfId="25919"/>
    <cellStyle name="Normal 9 2 4 6 2 6" xfId="25920"/>
    <cellStyle name="Normal 9 2 4 6 2 7" xfId="25921"/>
    <cellStyle name="Normal 9 2 4 6 3" xfId="25922"/>
    <cellStyle name="Normal 9 2 4 6 3 2" xfId="25923"/>
    <cellStyle name="Normal 9 2 4 6 3 3" xfId="25924"/>
    <cellStyle name="Normal 9 2 4 6 4" xfId="25925"/>
    <cellStyle name="Normal 9 2 4 6 4 2" xfId="25926"/>
    <cellStyle name="Normal 9 2 4 6 4 3" xfId="25927"/>
    <cellStyle name="Normal 9 2 4 6 5" xfId="25928"/>
    <cellStyle name="Normal 9 2 4 6 6" xfId="25929"/>
    <cellStyle name="Normal 9 2 4 6 7" xfId="25930"/>
    <cellStyle name="Normal 9 2 4 6 8" xfId="25931"/>
    <cellStyle name="Normal 9 2 4 7" xfId="25932"/>
    <cellStyle name="Normal 9 2 4 7 2" xfId="25933"/>
    <cellStyle name="Normal 9 2 4 7 2 2" xfId="25934"/>
    <cellStyle name="Normal 9 2 4 7 2 3" xfId="25935"/>
    <cellStyle name="Normal 9 2 4 7 3" xfId="25936"/>
    <cellStyle name="Normal 9 2 4 7 3 2" xfId="25937"/>
    <cellStyle name="Normal 9 2 4 7 3 3" xfId="25938"/>
    <cellStyle name="Normal 9 2 4 7 4" xfId="25939"/>
    <cellStyle name="Normal 9 2 4 7 5" xfId="25940"/>
    <cellStyle name="Normal 9 2 4 7 6" xfId="25941"/>
    <cellStyle name="Normal 9 2 4 7 7" xfId="25942"/>
    <cellStyle name="Normal 9 2 4 8" xfId="25943"/>
    <cellStyle name="Normal 9 2 4 8 2" xfId="25944"/>
    <cellStyle name="Normal 9 2 4 8 3" xfId="25945"/>
    <cellStyle name="Normal 9 2 4 9" xfId="25946"/>
    <cellStyle name="Normal 9 2 4 9 2" xfId="25947"/>
    <cellStyle name="Normal 9 2 4 9 3" xfId="25948"/>
    <cellStyle name="Normal 9 2 5" xfId="25949"/>
    <cellStyle name="Normal 9 2 5 10" xfId="25950"/>
    <cellStyle name="Normal 9 2 5 11" xfId="25951"/>
    <cellStyle name="Normal 9 2 5 2" xfId="25952"/>
    <cellStyle name="Normal 9 2 5 2 2" xfId="25953"/>
    <cellStyle name="Normal 9 2 5 2 2 2" xfId="25954"/>
    <cellStyle name="Normal 9 2 5 2 2 2 2" xfId="25955"/>
    <cellStyle name="Normal 9 2 5 2 2 2 2 2" xfId="25956"/>
    <cellStyle name="Normal 9 2 5 2 2 2 2 3" xfId="25957"/>
    <cellStyle name="Normal 9 2 5 2 2 2 3" xfId="25958"/>
    <cellStyle name="Normal 9 2 5 2 2 2 3 2" xfId="25959"/>
    <cellStyle name="Normal 9 2 5 2 2 2 3 3" xfId="25960"/>
    <cellStyle name="Normal 9 2 5 2 2 2 4" xfId="25961"/>
    <cellStyle name="Normal 9 2 5 2 2 2 5" xfId="25962"/>
    <cellStyle name="Normal 9 2 5 2 2 2 6" xfId="25963"/>
    <cellStyle name="Normal 9 2 5 2 2 2 7" xfId="25964"/>
    <cellStyle name="Normal 9 2 5 2 2 3" xfId="25965"/>
    <cellStyle name="Normal 9 2 5 2 2 3 2" xfId="25966"/>
    <cellStyle name="Normal 9 2 5 2 2 3 3" xfId="25967"/>
    <cellStyle name="Normal 9 2 5 2 2 4" xfId="25968"/>
    <cellStyle name="Normal 9 2 5 2 2 4 2" xfId="25969"/>
    <cellStyle name="Normal 9 2 5 2 2 4 3" xfId="25970"/>
    <cellStyle name="Normal 9 2 5 2 2 5" xfId="25971"/>
    <cellStyle name="Normal 9 2 5 2 2 6" xfId="25972"/>
    <cellStyle name="Normal 9 2 5 2 2 7" xfId="25973"/>
    <cellStyle name="Normal 9 2 5 2 2 8" xfId="25974"/>
    <cellStyle name="Normal 9 2 5 2 3" xfId="25975"/>
    <cellStyle name="Normal 9 2 5 2 3 2" xfId="25976"/>
    <cellStyle name="Normal 9 2 5 2 3 2 2" xfId="25977"/>
    <cellStyle name="Normal 9 2 5 2 3 2 3" xfId="25978"/>
    <cellStyle name="Normal 9 2 5 2 3 3" xfId="25979"/>
    <cellStyle name="Normal 9 2 5 2 3 3 2" xfId="25980"/>
    <cellStyle name="Normal 9 2 5 2 3 3 3" xfId="25981"/>
    <cellStyle name="Normal 9 2 5 2 3 4" xfId="25982"/>
    <cellStyle name="Normal 9 2 5 2 3 5" xfId="25983"/>
    <cellStyle name="Normal 9 2 5 2 3 6" xfId="25984"/>
    <cellStyle name="Normal 9 2 5 2 3 7" xfId="25985"/>
    <cellStyle name="Normal 9 2 5 2 4" xfId="25986"/>
    <cellStyle name="Normal 9 2 5 2 4 2" xfId="25987"/>
    <cellStyle name="Normal 9 2 5 2 4 3" xfId="25988"/>
    <cellStyle name="Normal 9 2 5 2 5" xfId="25989"/>
    <cellStyle name="Normal 9 2 5 2 5 2" xfId="25990"/>
    <cellStyle name="Normal 9 2 5 2 5 3" xfId="25991"/>
    <cellStyle name="Normal 9 2 5 2 6" xfId="25992"/>
    <cellStyle name="Normal 9 2 5 2 7" xfId="25993"/>
    <cellStyle name="Normal 9 2 5 2 8" xfId="25994"/>
    <cellStyle name="Normal 9 2 5 2 9" xfId="25995"/>
    <cellStyle name="Normal 9 2 5 3" xfId="25996"/>
    <cellStyle name="Normal 9 2 5 3 2" xfId="25997"/>
    <cellStyle name="Normal 9 2 5 3 2 2" xfId="25998"/>
    <cellStyle name="Normal 9 2 5 3 2 2 2" xfId="25999"/>
    <cellStyle name="Normal 9 2 5 3 2 2 3" xfId="26000"/>
    <cellStyle name="Normal 9 2 5 3 2 3" xfId="26001"/>
    <cellStyle name="Normal 9 2 5 3 2 3 2" xfId="26002"/>
    <cellStyle name="Normal 9 2 5 3 2 3 3" xfId="26003"/>
    <cellStyle name="Normal 9 2 5 3 2 4" xfId="26004"/>
    <cellStyle name="Normal 9 2 5 3 2 5" xfId="26005"/>
    <cellStyle name="Normal 9 2 5 3 2 6" xfId="26006"/>
    <cellStyle name="Normal 9 2 5 3 2 7" xfId="26007"/>
    <cellStyle name="Normal 9 2 5 3 3" xfId="26008"/>
    <cellStyle name="Normal 9 2 5 3 3 2" xfId="26009"/>
    <cellStyle name="Normal 9 2 5 3 3 3" xfId="26010"/>
    <cellStyle name="Normal 9 2 5 3 4" xfId="26011"/>
    <cellStyle name="Normal 9 2 5 3 4 2" xfId="26012"/>
    <cellStyle name="Normal 9 2 5 3 4 3" xfId="26013"/>
    <cellStyle name="Normal 9 2 5 3 5" xfId="26014"/>
    <cellStyle name="Normal 9 2 5 3 6" xfId="26015"/>
    <cellStyle name="Normal 9 2 5 3 7" xfId="26016"/>
    <cellStyle name="Normal 9 2 5 3 8" xfId="26017"/>
    <cellStyle name="Normal 9 2 5 4" xfId="26018"/>
    <cellStyle name="Normal 9 2 5 4 2" xfId="26019"/>
    <cellStyle name="Normal 9 2 5 4 2 2" xfId="26020"/>
    <cellStyle name="Normal 9 2 5 4 2 2 2" xfId="26021"/>
    <cellStyle name="Normal 9 2 5 4 2 2 3" xfId="26022"/>
    <cellStyle name="Normal 9 2 5 4 2 3" xfId="26023"/>
    <cellStyle name="Normal 9 2 5 4 2 3 2" xfId="26024"/>
    <cellStyle name="Normal 9 2 5 4 2 3 3" xfId="26025"/>
    <cellStyle name="Normal 9 2 5 4 2 4" xfId="26026"/>
    <cellStyle name="Normal 9 2 5 4 2 5" xfId="26027"/>
    <cellStyle name="Normal 9 2 5 4 2 6" xfId="26028"/>
    <cellStyle name="Normal 9 2 5 4 2 7" xfId="26029"/>
    <cellStyle name="Normal 9 2 5 4 3" xfId="26030"/>
    <cellStyle name="Normal 9 2 5 4 3 2" xfId="26031"/>
    <cellStyle name="Normal 9 2 5 4 3 3" xfId="26032"/>
    <cellStyle name="Normal 9 2 5 4 4" xfId="26033"/>
    <cellStyle name="Normal 9 2 5 4 4 2" xfId="26034"/>
    <cellStyle name="Normal 9 2 5 4 4 3" xfId="26035"/>
    <cellStyle name="Normal 9 2 5 4 5" xfId="26036"/>
    <cellStyle name="Normal 9 2 5 4 6" xfId="26037"/>
    <cellStyle name="Normal 9 2 5 4 7" xfId="26038"/>
    <cellStyle name="Normal 9 2 5 4 8" xfId="26039"/>
    <cellStyle name="Normal 9 2 5 5" xfId="26040"/>
    <cellStyle name="Normal 9 2 5 5 2" xfId="26041"/>
    <cellStyle name="Normal 9 2 5 5 2 2" xfId="26042"/>
    <cellStyle name="Normal 9 2 5 5 2 3" xfId="26043"/>
    <cellStyle name="Normal 9 2 5 5 3" xfId="26044"/>
    <cellStyle name="Normal 9 2 5 5 3 2" xfId="26045"/>
    <cellStyle name="Normal 9 2 5 5 3 3" xfId="26046"/>
    <cellStyle name="Normal 9 2 5 5 4" xfId="26047"/>
    <cellStyle name="Normal 9 2 5 5 5" xfId="26048"/>
    <cellStyle name="Normal 9 2 5 5 6" xfId="26049"/>
    <cellStyle name="Normal 9 2 5 5 7" xfId="26050"/>
    <cellStyle name="Normal 9 2 5 6" xfId="26051"/>
    <cellStyle name="Normal 9 2 5 6 2" xfId="26052"/>
    <cellStyle name="Normal 9 2 5 6 3" xfId="26053"/>
    <cellStyle name="Normal 9 2 5 7" xfId="26054"/>
    <cellStyle name="Normal 9 2 5 7 2" xfId="26055"/>
    <cellStyle name="Normal 9 2 5 7 3" xfId="26056"/>
    <cellStyle name="Normal 9 2 5 8" xfId="26057"/>
    <cellStyle name="Normal 9 2 5 9" xfId="26058"/>
    <cellStyle name="Normal 9 2 6" xfId="26059"/>
    <cellStyle name="Normal 9 2 6 10" xfId="26060"/>
    <cellStyle name="Normal 9 2 6 11" xfId="26061"/>
    <cellStyle name="Normal 9 2 6 2" xfId="26062"/>
    <cellStyle name="Normal 9 2 6 2 2" xfId="26063"/>
    <cellStyle name="Normal 9 2 6 2 2 2" xfId="26064"/>
    <cellStyle name="Normal 9 2 6 2 2 2 2" xfId="26065"/>
    <cellStyle name="Normal 9 2 6 2 2 2 2 2" xfId="26066"/>
    <cellStyle name="Normal 9 2 6 2 2 2 2 3" xfId="26067"/>
    <cellStyle name="Normal 9 2 6 2 2 2 3" xfId="26068"/>
    <cellStyle name="Normal 9 2 6 2 2 2 3 2" xfId="26069"/>
    <cellStyle name="Normal 9 2 6 2 2 2 3 3" xfId="26070"/>
    <cellStyle name="Normal 9 2 6 2 2 2 4" xfId="26071"/>
    <cellStyle name="Normal 9 2 6 2 2 2 5" xfId="26072"/>
    <cellStyle name="Normal 9 2 6 2 2 2 6" xfId="26073"/>
    <cellStyle name="Normal 9 2 6 2 2 2 7" xfId="26074"/>
    <cellStyle name="Normal 9 2 6 2 2 3" xfId="26075"/>
    <cellStyle name="Normal 9 2 6 2 2 3 2" xfId="26076"/>
    <cellStyle name="Normal 9 2 6 2 2 3 3" xfId="26077"/>
    <cellStyle name="Normal 9 2 6 2 2 4" xfId="26078"/>
    <cellStyle name="Normal 9 2 6 2 2 4 2" xfId="26079"/>
    <cellStyle name="Normal 9 2 6 2 2 4 3" xfId="26080"/>
    <cellStyle name="Normal 9 2 6 2 2 5" xfId="26081"/>
    <cellStyle name="Normal 9 2 6 2 2 6" xfId="26082"/>
    <cellStyle name="Normal 9 2 6 2 2 7" xfId="26083"/>
    <cellStyle name="Normal 9 2 6 2 2 8" xfId="26084"/>
    <cellStyle name="Normal 9 2 6 2 3" xfId="26085"/>
    <cellStyle name="Normal 9 2 6 2 3 2" xfId="26086"/>
    <cellStyle name="Normal 9 2 6 2 3 2 2" xfId="26087"/>
    <cellStyle name="Normal 9 2 6 2 3 2 3" xfId="26088"/>
    <cellStyle name="Normal 9 2 6 2 3 3" xfId="26089"/>
    <cellStyle name="Normal 9 2 6 2 3 3 2" xfId="26090"/>
    <cellStyle name="Normal 9 2 6 2 3 3 3" xfId="26091"/>
    <cellStyle name="Normal 9 2 6 2 3 4" xfId="26092"/>
    <cellStyle name="Normal 9 2 6 2 3 5" xfId="26093"/>
    <cellStyle name="Normal 9 2 6 2 3 6" xfId="26094"/>
    <cellStyle name="Normal 9 2 6 2 3 7" xfId="26095"/>
    <cellStyle name="Normal 9 2 6 2 4" xfId="26096"/>
    <cellStyle name="Normal 9 2 6 2 4 2" xfId="26097"/>
    <cellStyle name="Normal 9 2 6 2 4 3" xfId="26098"/>
    <cellStyle name="Normal 9 2 6 2 5" xfId="26099"/>
    <cellStyle name="Normal 9 2 6 2 5 2" xfId="26100"/>
    <cellStyle name="Normal 9 2 6 2 5 3" xfId="26101"/>
    <cellStyle name="Normal 9 2 6 2 6" xfId="26102"/>
    <cellStyle name="Normal 9 2 6 2 7" xfId="26103"/>
    <cellStyle name="Normal 9 2 6 2 8" xfId="26104"/>
    <cellStyle name="Normal 9 2 6 2 9" xfId="26105"/>
    <cellStyle name="Normal 9 2 6 3" xfId="26106"/>
    <cellStyle name="Normal 9 2 6 3 2" xfId="26107"/>
    <cellStyle name="Normal 9 2 6 3 2 2" xfId="26108"/>
    <cellStyle name="Normal 9 2 6 3 2 2 2" xfId="26109"/>
    <cellStyle name="Normal 9 2 6 3 2 2 3" xfId="26110"/>
    <cellStyle name="Normal 9 2 6 3 2 3" xfId="26111"/>
    <cellStyle name="Normal 9 2 6 3 2 3 2" xfId="26112"/>
    <cellStyle name="Normal 9 2 6 3 2 3 3" xfId="26113"/>
    <cellStyle name="Normal 9 2 6 3 2 4" xfId="26114"/>
    <cellStyle name="Normal 9 2 6 3 2 5" xfId="26115"/>
    <cellStyle name="Normal 9 2 6 3 2 6" xfId="26116"/>
    <cellStyle name="Normal 9 2 6 3 2 7" xfId="26117"/>
    <cellStyle name="Normal 9 2 6 3 3" xfId="26118"/>
    <cellStyle name="Normal 9 2 6 3 3 2" xfId="26119"/>
    <cellStyle name="Normal 9 2 6 3 3 3" xfId="26120"/>
    <cellStyle name="Normal 9 2 6 3 4" xfId="26121"/>
    <cellStyle name="Normal 9 2 6 3 4 2" xfId="26122"/>
    <cellStyle name="Normal 9 2 6 3 4 3" xfId="26123"/>
    <cellStyle name="Normal 9 2 6 3 5" xfId="26124"/>
    <cellStyle name="Normal 9 2 6 3 6" xfId="26125"/>
    <cellStyle name="Normal 9 2 6 3 7" xfId="26126"/>
    <cellStyle name="Normal 9 2 6 3 8" xfId="26127"/>
    <cellStyle name="Normal 9 2 6 4" xfId="26128"/>
    <cellStyle name="Normal 9 2 6 4 2" xfId="26129"/>
    <cellStyle name="Normal 9 2 6 4 2 2" xfId="26130"/>
    <cellStyle name="Normal 9 2 6 4 2 2 2" xfId="26131"/>
    <cellStyle name="Normal 9 2 6 4 2 2 3" xfId="26132"/>
    <cellStyle name="Normal 9 2 6 4 2 3" xfId="26133"/>
    <cellStyle name="Normal 9 2 6 4 2 3 2" xfId="26134"/>
    <cellStyle name="Normal 9 2 6 4 2 3 3" xfId="26135"/>
    <cellStyle name="Normal 9 2 6 4 2 4" xfId="26136"/>
    <cellStyle name="Normal 9 2 6 4 2 5" xfId="26137"/>
    <cellStyle name="Normal 9 2 6 4 2 6" xfId="26138"/>
    <cellStyle name="Normal 9 2 6 4 2 7" xfId="26139"/>
    <cellStyle name="Normal 9 2 6 4 3" xfId="26140"/>
    <cellStyle name="Normal 9 2 6 4 3 2" xfId="26141"/>
    <cellStyle name="Normal 9 2 6 4 3 3" xfId="26142"/>
    <cellStyle name="Normal 9 2 6 4 4" xfId="26143"/>
    <cellStyle name="Normal 9 2 6 4 4 2" xfId="26144"/>
    <cellStyle name="Normal 9 2 6 4 4 3" xfId="26145"/>
    <cellStyle name="Normal 9 2 6 4 5" xfId="26146"/>
    <cellStyle name="Normal 9 2 6 4 6" xfId="26147"/>
    <cellStyle name="Normal 9 2 6 4 7" xfId="26148"/>
    <cellStyle name="Normal 9 2 6 4 8" xfId="26149"/>
    <cellStyle name="Normal 9 2 6 5" xfId="26150"/>
    <cellStyle name="Normal 9 2 6 5 2" xfId="26151"/>
    <cellStyle name="Normal 9 2 6 5 2 2" xfId="26152"/>
    <cellStyle name="Normal 9 2 6 5 2 3" xfId="26153"/>
    <cellStyle name="Normal 9 2 6 5 3" xfId="26154"/>
    <cellStyle name="Normal 9 2 6 5 3 2" xfId="26155"/>
    <cellStyle name="Normal 9 2 6 5 3 3" xfId="26156"/>
    <cellStyle name="Normal 9 2 6 5 4" xfId="26157"/>
    <cellStyle name="Normal 9 2 6 5 5" xfId="26158"/>
    <cellStyle name="Normal 9 2 6 5 6" xfId="26159"/>
    <cellStyle name="Normal 9 2 6 5 7" xfId="26160"/>
    <cellStyle name="Normal 9 2 6 6" xfId="26161"/>
    <cellStyle name="Normal 9 2 6 6 2" xfId="26162"/>
    <cellStyle name="Normal 9 2 6 6 3" xfId="26163"/>
    <cellStyle name="Normal 9 2 6 7" xfId="26164"/>
    <cellStyle name="Normal 9 2 6 7 2" xfId="26165"/>
    <cellStyle name="Normal 9 2 6 7 3" xfId="26166"/>
    <cellStyle name="Normal 9 2 6 8" xfId="26167"/>
    <cellStyle name="Normal 9 2 6 9" xfId="26168"/>
    <cellStyle name="Normal 9 2 7" xfId="26169"/>
    <cellStyle name="Normal 9 2 7 10" xfId="26170"/>
    <cellStyle name="Normal 9 2 7 11" xfId="26171"/>
    <cellStyle name="Normal 9 2 7 2" xfId="26172"/>
    <cellStyle name="Normal 9 2 7 2 2" xfId="26173"/>
    <cellStyle name="Normal 9 2 7 2 2 2" xfId="26174"/>
    <cellStyle name="Normal 9 2 7 2 2 2 2" xfId="26175"/>
    <cellStyle name="Normal 9 2 7 2 2 2 2 2" xfId="26176"/>
    <cellStyle name="Normal 9 2 7 2 2 2 2 3" xfId="26177"/>
    <cellStyle name="Normal 9 2 7 2 2 2 3" xfId="26178"/>
    <cellStyle name="Normal 9 2 7 2 2 2 3 2" xfId="26179"/>
    <cellStyle name="Normal 9 2 7 2 2 2 3 3" xfId="26180"/>
    <cellStyle name="Normal 9 2 7 2 2 2 4" xfId="26181"/>
    <cellStyle name="Normal 9 2 7 2 2 2 5" xfId="26182"/>
    <cellStyle name="Normal 9 2 7 2 2 2 6" xfId="26183"/>
    <cellStyle name="Normal 9 2 7 2 2 2 7" xfId="26184"/>
    <cellStyle name="Normal 9 2 7 2 2 3" xfId="26185"/>
    <cellStyle name="Normal 9 2 7 2 2 3 2" xfId="26186"/>
    <cellStyle name="Normal 9 2 7 2 2 3 3" xfId="26187"/>
    <cellStyle name="Normal 9 2 7 2 2 4" xfId="26188"/>
    <cellStyle name="Normal 9 2 7 2 2 4 2" xfId="26189"/>
    <cellStyle name="Normal 9 2 7 2 2 4 3" xfId="26190"/>
    <cellStyle name="Normal 9 2 7 2 2 5" xfId="26191"/>
    <cellStyle name="Normal 9 2 7 2 2 6" xfId="26192"/>
    <cellStyle name="Normal 9 2 7 2 2 7" xfId="26193"/>
    <cellStyle name="Normal 9 2 7 2 2 8" xfId="26194"/>
    <cellStyle name="Normal 9 2 7 2 3" xfId="26195"/>
    <cellStyle name="Normal 9 2 7 2 3 2" xfId="26196"/>
    <cellStyle name="Normal 9 2 7 2 3 2 2" xfId="26197"/>
    <cellStyle name="Normal 9 2 7 2 3 2 3" xfId="26198"/>
    <cellStyle name="Normal 9 2 7 2 3 3" xfId="26199"/>
    <cellStyle name="Normal 9 2 7 2 3 3 2" xfId="26200"/>
    <cellStyle name="Normal 9 2 7 2 3 3 3" xfId="26201"/>
    <cellStyle name="Normal 9 2 7 2 3 4" xfId="26202"/>
    <cellStyle name="Normal 9 2 7 2 3 5" xfId="26203"/>
    <cellStyle name="Normal 9 2 7 2 3 6" xfId="26204"/>
    <cellStyle name="Normal 9 2 7 2 3 7" xfId="26205"/>
    <cellStyle name="Normal 9 2 7 2 4" xfId="26206"/>
    <cellStyle name="Normal 9 2 7 2 4 2" xfId="26207"/>
    <cellStyle name="Normal 9 2 7 2 4 3" xfId="26208"/>
    <cellStyle name="Normal 9 2 7 2 5" xfId="26209"/>
    <cellStyle name="Normal 9 2 7 2 5 2" xfId="26210"/>
    <cellStyle name="Normal 9 2 7 2 5 3" xfId="26211"/>
    <cellStyle name="Normal 9 2 7 2 6" xfId="26212"/>
    <cellStyle name="Normal 9 2 7 2 7" xfId="26213"/>
    <cellStyle name="Normal 9 2 7 2 8" xfId="26214"/>
    <cellStyle name="Normal 9 2 7 2 9" xfId="26215"/>
    <cellStyle name="Normal 9 2 7 3" xfId="26216"/>
    <cellStyle name="Normal 9 2 7 3 2" xfId="26217"/>
    <cellStyle name="Normal 9 2 7 3 2 2" xfId="26218"/>
    <cellStyle name="Normal 9 2 7 3 2 2 2" xfId="26219"/>
    <cellStyle name="Normal 9 2 7 3 2 2 3" xfId="26220"/>
    <cellStyle name="Normal 9 2 7 3 2 3" xfId="26221"/>
    <cellStyle name="Normal 9 2 7 3 2 3 2" xfId="26222"/>
    <cellStyle name="Normal 9 2 7 3 2 3 3" xfId="26223"/>
    <cellStyle name="Normal 9 2 7 3 2 4" xfId="26224"/>
    <cellStyle name="Normal 9 2 7 3 2 5" xfId="26225"/>
    <cellStyle name="Normal 9 2 7 3 2 6" xfId="26226"/>
    <cellStyle name="Normal 9 2 7 3 2 7" xfId="26227"/>
    <cellStyle name="Normal 9 2 7 3 3" xfId="26228"/>
    <cellStyle name="Normal 9 2 7 3 3 2" xfId="26229"/>
    <cellStyle name="Normal 9 2 7 3 3 3" xfId="26230"/>
    <cellStyle name="Normal 9 2 7 3 4" xfId="26231"/>
    <cellStyle name="Normal 9 2 7 3 4 2" xfId="26232"/>
    <cellStyle name="Normal 9 2 7 3 4 3" xfId="26233"/>
    <cellStyle name="Normal 9 2 7 3 5" xfId="26234"/>
    <cellStyle name="Normal 9 2 7 3 6" xfId="26235"/>
    <cellStyle name="Normal 9 2 7 3 7" xfId="26236"/>
    <cellStyle name="Normal 9 2 7 3 8" xfId="26237"/>
    <cellStyle name="Normal 9 2 7 4" xfId="26238"/>
    <cellStyle name="Normal 9 2 7 4 2" xfId="26239"/>
    <cellStyle name="Normal 9 2 7 4 2 2" xfId="26240"/>
    <cellStyle name="Normal 9 2 7 4 2 2 2" xfId="26241"/>
    <cellStyle name="Normal 9 2 7 4 2 2 3" xfId="26242"/>
    <cellStyle name="Normal 9 2 7 4 2 3" xfId="26243"/>
    <cellStyle name="Normal 9 2 7 4 2 3 2" xfId="26244"/>
    <cellStyle name="Normal 9 2 7 4 2 3 3" xfId="26245"/>
    <cellStyle name="Normal 9 2 7 4 2 4" xfId="26246"/>
    <cellStyle name="Normal 9 2 7 4 2 5" xfId="26247"/>
    <cellStyle name="Normal 9 2 7 4 2 6" xfId="26248"/>
    <cellStyle name="Normal 9 2 7 4 2 7" xfId="26249"/>
    <cellStyle name="Normal 9 2 7 4 3" xfId="26250"/>
    <cellStyle name="Normal 9 2 7 4 3 2" xfId="26251"/>
    <cellStyle name="Normal 9 2 7 4 3 3" xfId="26252"/>
    <cellStyle name="Normal 9 2 7 4 4" xfId="26253"/>
    <cellStyle name="Normal 9 2 7 4 4 2" xfId="26254"/>
    <cellStyle name="Normal 9 2 7 4 4 3" xfId="26255"/>
    <cellStyle name="Normal 9 2 7 4 5" xfId="26256"/>
    <cellStyle name="Normal 9 2 7 4 6" xfId="26257"/>
    <cellStyle name="Normal 9 2 7 4 7" xfId="26258"/>
    <cellStyle name="Normal 9 2 7 4 8" xfId="26259"/>
    <cellStyle name="Normal 9 2 7 5" xfId="26260"/>
    <cellStyle name="Normal 9 2 7 5 2" xfId="26261"/>
    <cellStyle name="Normal 9 2 7 5 2 2" xfId="26262"/>
    <cellStyle name="Normal 9 2 7 5 2 3" xfId="26263"/>
    <cellStyle name="Normal 9 2 7 5 3" xfId="26264"/>
    <cellStyle name="Normal 9 2 7 5 3 2" xfId="26265"/>
    <cellStyle name="Normal 9 2 7 5 3 3" xfId="26266"/>
    <cellStyle name="Normal 9 2 7 5 4" xfId="26267"/>
    <cellStyle name="Normal 9 2 7 5 5" xfId="26268"/>
    <cellStyle name="Normal 9 2 7 5 6" xfId="26269"/>
    <cellStyle name="Normal 9 2 7 5 7" xfId="26270"/>
    <cellStyle name="Normal 9 2 7 6" xfId="26271"/>
    <cellStyle name="Normal 9 2 7 6 2" xfId="26272"/>
    <cellStyle name="Normal 9 2 7 6 3" xfId="26273"/>
    <cellStyle name="Normal 9 2 7 7" xfId="26274"/>
    <cellStyle name="Normal 9 2 7 7 2" xfId="26275"/>
    <cellStyle name="Normal 9 2 7 7 3" xfId="26276"/>
    <cellStyle name="Normal 9 2 7 8" xfId="26277"/>
    <cellStyle name="Normal 9 2 7 9" xfId="26278"/>
    <cellStyle name="Normal 9 2 8" xfId="26279"/>
    <cellStyle name="Normal 9 2 8 10" xfId="26280"/>
    <cellStyle name="Normal 9 2 8 11" xfId="26281"/>
    <cellStyle name="Normal 9 2 8 2" xfId="26282"/>
    <cellStyle name="Normal 9 2 8 2 2" xfId="26283"/>
    <cellStyle name="Normal 9 2 8 2 2 2" xfId="26284"/>
    <cellStyle name="Normal 9 2 8 2 2 2 2" xfId="26285"/>
    <cellStyle name="Normal 9 2 8 2 2 2 2 2" xfId="26286"/>
    <cellStyle name="Normal 9 2 8 2 2 2 2 3" xfId="26287"/>
    <cellStyle name="Normal 9 2 8 2 2 2 3" xfId="26288"/>
    <cellStyle name="Normal 9 2 8 2 2 2 3 2" xfId="26289"/>
    <cellStyle name="Normal 9 2 8 2 2 2 3 3" xfId="26290"/>
    <cellStyle name="Normal 9 2 8 2 2 2 4" xfId="26291"/>
    <cellStyle name="Normal 9 2 8 2 2 2 5" xfId="26292"/>
    <cellStyle name="Normal 9 2 8 2 2 2 6" xfId="26293"/>
    <cellStyle name="Normal 9 2 8 2 2 2 7" xfId="26294"/>
    <cellStyle name="Normal 9 2 8 2 2 3" xfId="26295"/>
    <cellStyle name="Normal 9 2 8 2 2 3 2" xfId="26296"/>
    <cellStyle name="Normal 9 2 8 2 2 3 3" xfId="26297"/>
    <cellStyle name="Normal 9 2 8 2 2 4" xfId="26298"/>
    <cellStyle name="Normal 9 2 8 2 2 4 2" xfId="26299"/>
    <cellStyle name="Normal 9 2 8 2 2 4 3" xfId="26300"/>
    <cellStyle name="Normal 9 2 8 2 2 5" xfId="26301"/>
    <cellStyle name="Normal 9 2 8 2 2 6" xfId="26302"/>
    <cellStyle name="Normal 9 2 8 2 2 7" xfId="26303"/>
    <cellStyle name="Normal 9 2 8 2 2 8" xfId="26304"/>
    <cellStyle name="Normal 9 2 8 2 3" xfId="26305"/>
    <cellStyle name="Normal 9 2 8 2 3 2" xfId="26306"/>
    <cellStyle name="Normal 9 2 8 2 3 2 2" xfId="26307"/>
    <cellStyle name="Normal 9 2 8 2 3 2 3" xfId="26308"/>
    <cellStyle name="Normal 9 2 8 2 3 3" xfId="26309"/>
    <cellStyle name="Normal 9 2 8 2 3 3 2" xfId="26310"/>
    <cellStyle name="Normal 9 2 8 2 3 3 3" xfId="26311"/>
    <cellStyle name="Normal 9 2 8 2 3 4" xfId="26312"/>
    <cellStyle name="Normal 9 2 8 2 3 5" xfId="26313"/>
    <cellStyle name="Normal 9 2 8 2 3 6" xfId="26314"/>
    <cellStyle name="Normal 9 2 8 2 3 7" xfId="26315"/>
    <cellStyle name="Normal 9 2 8 2 4" xfId="26316"/>
    <cellStyle name="Normal 9 2 8 2 4 2" xfId="26317"/>
    <cellStyle name="Normal 9 2 8 2 4 3" xfId="26318"/>
    <cellStyle name="Normal 9 2 8 2 5" xfId="26319"/>
    <cellStyle name="Normal 9 2 8 2 5 2" xfId="26320"/>
    <cellStyle name="Normal 9 2 8 2 5 3" xfId="26321"/>
    <cellStyle name="Normal 9 2 8 2 6" xfId="26322"/>
    <cellStyle name="Normal 9 2 8 2 7" xfId="26323"/>
    <cellStyle name="Normal 9 2 8 2 8" xfId="26324"/>
    <cellStyle name="Normal 9 2 8 2 9" xfId="26325"/>
    <cellStyle name="Normal 9 2 8 3" xfId="26326"/>
    <cellStyle name="Normal 9 2 8 3 2" xfId="26327"/>
    <cellStyle name="Normal 9 2 8 3 2 2" xfId="26328"/>
    <cellStyle name="Normal 9 2 8 3 2 2 2" xfId="26329"/>
    <cellStyle name="Normal 9 2 8 3 2 2 3" xfId="26330"/>
    <cellStyle name="Normal 9 2 8 3 2 3" xfId="26331"/>
    <cellStyle name="Normal 9 2 8 3 2 3 2" xfId="26332"/>
    <cellStyle name="Normal 9 2 8 3 2 3 3" xfId="26333"/>
    <cellStyle name="Normal 9 2 8 3 2 4" xfId="26334"/>
    <cellStyle name="Normal 9 2 8 3 2 5" xfId="26335"/>
    <cellStyle name="Normal 9 2 8 3 2 6" xfId="26336"/>
    <cellStyle name="Normal 9 2 8 3 2 7" xfId="26337"/>
    <cellStyle name="Normal 9 2 8 3 3" xfId="26338"/>
    <cellStyle name="Normal 9 2 8 3 3 2" xfId="26339"/>
    <cellStyle name="Normal 9 2 8 3 3 3" xfId="26340"/>
    <cellStyle name="Normal 9 2 8 3 4" xfId="26341"/>
    <cellStyle name="Normal 9 2 8 3 4 2" xfId="26342"/>
    <cellStyle name="Normal 9 2 8 3 4 3" xfId="26343"/>
    <cellStyle name="Normal 9 2 8 3 5" xfId="26344"/>
    <cellStyle name="Normal 9 2 8 3 6" xfId="26345"/>
    <cellStyle name="Normal 9 2 8 3 7" xfId="26346"/>
    <cellStyle name="Normal 9 2 8 3 8" xfId="26347"/>
    <cellStyle name="Normal 9 2 8 4" xfId="26348"/>
    <cellStyle name="Normal 9 2 8 4 2" xfId="26349"/>
    <cellStyle name="Normal 9 2 8 4 2 2" xfId="26350"/>
    <cellStyle name="Normal 9 2 8 4 2 2 2" xfId="26351"/>
    <cellStyle name="Normal 9 2 8 4 2 2 3" xfId="26352"/>
    <cellStyle name="Normal 9 2 8 4 2 3" xfId="26353"/>
    <cellStyle name="Normal 9 2 8 4 2 3 2" xfId="26354"/>
    <cellStyle name="Normal 9 2 8 4 2 3 3" xfId="26355"/>
    <cellStyle name="Normal 9 2 8 4 2 4" xfId="26356"/>
    <cellStyle name="Normal 9 2 8 4 2 5" xfId="26357"/>
    <cellStyle name="Normal 9 2 8 4 2 6" xfId="26358"/>
    <cellStyle name="Normal 9 2 8 4 2 7" xfId="26359"/>
    <cellStyle name="Normal 9 2 8 4 3" xfId="26360"/>
    <cellStyle name="Normal 9 2 8 4 3 2" xfId="26361"/>
    <cellStyle name="Normal 9 2 8 4 3 3" xfId="26362"/>
    <cellStyle name="Normal 9 2 8 4 4" xfId="26363"/>
    <cellStyle name="Normal 9 2 8 4 4 2" xfId="26364"/>
    <cellStyle name="Normal 9 2 8 4 4 3" xfId="26365"/>
    <cellStyle name="Normal 9 2 8 4 5" xfId="26366"/>
    <cellStyle name="Normal 9 2 8 4 6" xfId="26367"/>
    <cellStyle name="Normal 9 2 8 4 7" xfId="26368"/>
    <cellStyle name="Normal 9 2 8 4 8" xfId="26369"/>
    <cellStyle name="Normal 9 2 8 5" xfId="26370"/>
    <cellStyle name="Normal 9 2 8 5 2" xfId="26371"/>
    <cellStyle name="Normal 9 2 8 5 2 2" xfId="26372"/>
    <cellStyle name="Normal 9 2 8 5 2 3" xfId="26373"/>
    <cellStyle name="Normal 9 2 8 5 3" xfId="26374"/>
    <cellStyle name="Normal 9 2 8 5 3 2" xfId="26375"/>
    <cellStyle name="Normal 9 2 8 5 3 3" xfId="26376"/>
    <cellStyle name="Normal 9 2 8 5 4" xfId="26377"/>
    <cellStyle name="Normal 9 2 8 5 5" xfId="26378"/>
    <cellStyle name="Normal 9 2 8 5 6" xfId="26379"/>
    <cellStyle name="Normal 9 2 8 5 7" xfId="26380"/>
    <cellStyle name="Normal 9 2 8 6" xfId="26381"/>
    <cellStyle name="Normal 9 2 8 6 2" xfId="26382"/>
    <cellStyle name="Normal 9 2 8 6 3" xfId="26383"/>
    <cellStyle name="Normal 9 2 8 7" xfId="26384"/>
    <cellStyle name="Normal 9 2 8 7 2" xfId="26385"/>
    <cellStyle name="Normal 9 2 8 7 3" xfId="26386"/>
    <cellStyle name="Normal 9 2 8 8" xfId="26387"/>
    <cellStyle name="Normal 9 2 8 9" xfId="26388"/>
    <cellStyle name="Normal 9 2 9" xfId="26389"/>
    <cellStyle name="Normal 9 2 9 2" xfId="26390"/>
    <cellStyle name="Normal 9 2 9 2 2" xfId="26391"/>
    <cellStyle name="Normal 9 2 9 2 2 2" xfId="26392"/>
    <cellStyle name="Normal 9 2 9 2 2 2 2" xfId="26393"/>
    <cellStyle name="Normal 9 2 9 2 2 2 3" xfId="26394"/>
    <cellStyle name="Normal 9 2 9 2 2 3" xfId="26395"/>
    <cellStyle name="Normal 9 2 9 2 2 3 2" xfId="26396"/>
    <cellStyle name="Normal 9 2 9 2 2 3 3" xfId="26397"/>
    <cellStyle name="Normal 9 2 9 2 2 4" xfId="26398"/>
    <cellStyle name="Normal 9 2 9 2 2 5" xfId="26399"/>
    <cellStyle name="Normal 9 2 9 2 2 6" xfId="26400"/>
    <cellStyle name="Normal 9 2 9 2 2 7" xfId="26401"/>
    <cellStyle name="Normal 9 2 9 2 3" xfId="26402"/>
    <cellStyle name="Normal 9 2 9 2 3 2" xfId="26403"/>
    <cellStyle name="Normal 9 2 9 2 3 3" xfId="26404"/>
    <cellStyle name="Normal 9 2 9 2 4" xfId="26405"/>
    <cellStyle name="Normal 9 2 9 2 4 2" xfId="26406"/>
    <cellStyle name="Normal 9 2 9 2 4 3" xfId="26407"/>
    <cellStyle name="Normal 9 2 9 2 5" xfId="26408"/>
    <cellStyle name="Normal 9 2 9 2 6" xfId="26409"/>
    <cellStyle name="Normal 9 2 9 2 7" xfId="26410"/>
    <cellStyle name="Normal 9 2 9 2 8" xfId="26411"/>
    <cellStyle name="Normal 9 2 9 3" xfId="26412"/>
    <cellStyle name="Normal 9 2 9 3 2" xfId="26413"/>
    <cellStyle name="Normal 9 2 9 3 2 2" xfId="26414"/>
    <cellStyle name="Normal 9 2 9 3 2 3" xfId="26415"/>
    <cellStyle name="Normal 9 2 9 3 3" xfId="26416"/>
    <cellStyle name="Normal 9 2 9 3 3 2" xfId="26417"/>
    <cellStyle name="Normal 9 2 9 3 3 3" xfId="26418"/>
    <cellStyle name="Normal 9 2 9 3 4" xfId="26419"/>
    <cellStyle name="Normal 9 2 9 3 5" xfId="26420"/>
    <cellStyle name="Normal 9 2 9 3 6" xfId="26421"/>
    <cellStyle name="Normal 9 2 9 3 7" xfId="26422"/>
    <cellStyle name="Normal 9 2 9 4" xfId="26423"/>
    <cellStyle name="Normal 9 2 9 4 2" xfId="26424"/>
    <cellStyle name="Normal 9 2 9 4 3" xfId="26425"/>
    <cellStyle name="Normal 9 2 9 5" xfId="26426"/>
    <cellStyle name="Normal 9 2 9 5 2" xfId="26427"/>
    <cellStyle name="Normal 9 2 9 5 3" xfId="26428"/>
    <cellStyle name="Normal 9 2 9 6" xfId="26429"/>
    <cellStyle name="Normal 9 2 9 7" xfId="26430"/>
    <cellStyle name="Normal 9 2 9 8" xfId="26431"/>
    <cellStyle name="Normal 9 2 9 9" xfId="26432"/>
    <cellStyle name="Normal 9 20" xfId="26433"/>
    <cellStyle name="Normal 9 21" xfId="26434"/>
    <cellStyle name="Normal 9 22" xfId="26435"/>
    <cellStyle name="Normal 9 23" xfId="26436"/>
    <cellStyle name="Normal 9 24" xfId="26437"/>
    <cellStyle name="Normal 9 25" xfId="26438"/>
    <cellStyle name="Normal 9 26" xfId="26439"/>
    <cellStyle name="Normal 9 27" xfId="26440"/>
    <cellStyle name="Normal 9 3" xfId="26441"/>
    <cellStyle name="Normal 9 3 10" xfId="26442"/>
    <cellStyle name="Normal 9 3 10 2" xfId="26443"/>
    <cellStyle name="Normal 9 3 10 2 2" xfId="26444"/>
    <cellStyle name="Normal 9 3 10 2 2 2" xfId="26445"/>
    <cellStyle name="Normal 9 3 10 2 2 2 2" xfId="26446"/>
    <cellStyle name="Normal 9 3 10 2 2 2 3" xfId="26447"/>
    <cellStyle name="Normal 9 3 10 2 2 3" xfId="26448"/>
    <cellStyle name="Normal 9 3 10 2 2 3 2" xfId="26449"/>
    <cellStyle name="Normal 9 3 10 2 2 3 3" xfId="26450"/>
    <cellStyle name="Normal 9 3 10 2 2 4" xfId="26451"/>
    <cellStyle name="Normal 9 3 10 2 2 5" xfId="26452"/>
    <cellStyle name="Normal 9 3 10 2 2 6" xfId="26453"/>
    <cellStyle name="Normal 9 3 10 2 2 7" xfId="26454"/>
    <cellStyle name="Normal 9 3 10 2 3" xfId="26455"/>
    <cellStyle name="Normal 9 3 10 2 3 2" xfId="26456"/>
    <cellStyle name="Normal 9 3 10 2 3 3" xfId="26457"/>
    <cellStyle name="Normal 9 3 10 2 4" xfId="26458"/>
    <cellStyle name="Normal 9 3 10 2 4 2" xfId="26459"/>
    <cellStyle name="Normal 9 3 10 2 4 3" xfId="26460"/>
    <cellStyle name="Normal 9 3 10 2 5" xfId="26461"/>
    <cellStyle name="Normal 9 3 10 2 6" xfId="26462"/>
    <cellStyle name="Normal 9 3 10 2 7" xfId="26463"/>
    <cellStyle name="Normal 9 3 10 2 8" xfId="26464"/>
    <cellStyle name="Normal 9 3 10 3" xfId="26465"/>
    <cellStyle name="Normal 9 3 10 3 2" xfId="26466"/>
    <cellStyle name="Normal 9 3 10 3 2 2" xfId="26467"/>
    <cellStyle name="Normal 9 3 10 3 2 3" xfId="26468"/>
    <cellStyle name="Normal 9 3 10 3 3" xfId="26469"/>
    <cellStyle name="Normal 9 3 10 3 3 2" xfId="26470"/>
    <cellStyle name="Normal 9 3 10 3 3 3" xfId="26471"/>
    <cellStyle name="Normal 9 3 10 3 4" xfId="26472"/>
    <cellStyle name="Normal 9 3 10 3 5" xfId="26473"/>
    <cellStyle name="Normal 9 3 10 3 6" xfId="26474"/>
    <cellStyle name="Normal 9 3 10 3 7" xfId="26475"/>
    <cellStyle name="Normal 9 3 10 4" xfId="26476"/>
    <cellStyle name="Normal 9 3 10 4 2" xfId="26477"/>
    <cellStyle name="Normal 9 3 10 4 3" xfId="26478"/>
    <cellStyle name="Normal 9 3 10 5" xfId="26479"/>
    <cellStyle name="Normal 9 3 10 5 2" xfId="26480"/>
    <cellStyle name="Normal 9 3 10 5 3" xfId="26481"/>
    <cellStyle name="Normal 9 3 10 6" xfId="26482"/>
    <cellStyle name="Normal 9 3 10 7" xfId="26483"/>
    <cellStyle name="Normal 9 3 10 8" xfId="26484"/>
    <cellStyle name="Normal 9 3 10 9" xfId="26485"/>
    <cellStyle name="Normal 9 3 11" xfId="26486"/>
    <cellStyle name="Normal 9 3 11 2" xfId="26487"/>
    <cellStyle name="Normal 9 3 11 2 2" xfId="26488"/>
    <cellStyle name="Normal 9 3 11 2 2 2" xfId="26489"/>
    <cellStyle name="Normal 9 3 11 2 2 3" xfId="26490"/>
    <cellStyle name="Normal 9 3 11 2 3" xfId="26491"/>
    <cellStyle name="Normal 9 3 11 2 3 2" xfId="26492"/>
    <cellStyle name="Normal 9 3 11 2 3 3" xfId="26493"/>
    <cellStyle name="Normal 9 3 11 2 4" xfId="26494"/>
    <cellStyle name="Normal 9 3 11 2 5" xfId="26495"/>
    <cellStyle name="Normal 9 3 11 2 6" xfId="26496"/>
    <cellStyle name="Normal 9 3 11 2 7" xfId="26497"/>
    <cellStyle name="Normal 9 3 11 3" xfId="26498"/>
    <cellStyle name="Normal 9 3 11 3 2" xfId="26499"/>
    <cellStyle name="Normal 9 3 11 3 3" xfId="26500"/>
    <cellStyle name="Normal 9 3 11 4" xfId="26501"/>
    <cellStyle name="Normal 9 3 11 4 2" xfId="26502"/>
    <cellStyle name="Normal 9 3 11 4 3" xfId="26503"/>
    <cellStyle name="Normal 9 3 11 5" xfId="26504"/>
    <cellStyle name="Normal 9 3 11 6" xfId="26505"/>
    <cellStyle name="Normal 9 3 11 7" xfId="26506"/>
    <cellStyle name="Normal 9 3 11 8" xfId="26507"/>
    <cellStyle name="Normal 9 3 12" xfId="26508"/>
    <cellStyle name="Normal 9 3 12 2" xfId="26509"/>
    <cellStyle name="Normal 9 3 12 2 2" xfId="26510"/>
    <cellStyle name="Normal 9 3 12 2 2 2" xfId="26511"/>
    <cellStyle name="Normal 9 3 12 2 2 3" xfId="26512"/>
    <cellStyle name="Normal 9 3 12 2 3" xfId="26513"/>
    <cellStyle name="Normal 9 3 12 2 3 2" xfId="26514"/>
    <cellStyle name="Normal 9 3 12 2 3 3" xfId="26515"/>
    <cellStyle name="Normal 9 3 12 2 4" xfId="26516"/>
    <cellStyle name="Normal 9 3 12 2 5" xfId="26517"/>
    <cellStyle name="Normal 9 3 12 2 6" xfId="26518"/>
    <cellStyle name="Normal 9 3 12 2 7" xfId="26519"/>
    <cellStyle name="Normal 9 3 12 3" xfId="26520"/>
    <cellStyle name="Normal 9 3 12 3 2" xfId="26521"/>
    <cellStyle name="Normal 9 3 12 3 3" xfId="26522"/>
    <cellStyle name="Normal 9 3 12 4" xfId="26523"/>
    <cellStyle name="Normal 9 3 12 4 2" xfId="26524"/>
    <cellStyle name="Normal 9 3 12 4 3" xfId="26525"/>
    <cellStyle name="Normal 9 3 12 5" xfId="26526"/>
    <cellStyle name="Normal 9 3 12 6" xfId="26527"/>
    <cellStyle name="Normal 9 3 12 7" xfId="26528"/>
    <cellStyle name="Normal 9 3 12 8" xfId="26529"/>
    <cellStyle name="Normal 9 3 13" xfId="26530"/>
    <cellStyle name="Normal 9 3 13 2" xfId="26531"/>
    <cellStyle name="Normal 9 3 13 2 2" xfId="26532"/>
    <cellStyle name="Normal 9 3 13 2 3" xfId="26533"/>
    <cellStyle name="Normal 9 3 13 3" xfId="26534"/>
    <cellStyle name="Normal 9 3 13 3 2" xfId="26535"/>
    <cellStyle name="Normal 9 3 13 3 3" xfId="26536"/>
    <cellStyle name="Normal 9 3 13 4" xfId="26537"/>
    <cellStyle name="Normal 9 3 13 5" xfId="26538"/>
    <cellStyle name="Normal 9 3 13 6" xfId="26539"/>
    <cellStyle name="Normal 9 3 13 7" xfId="26540"/>
    <cellStyle name="Normal 9 3 14" xfId="26541"/>
    <cellStyle name="Normal 9 3 14 2" xfId="26542"/>
    <cellStyle name="Normal 9 3 14 2 2" xfId="26543"/>
    <cellStyle name="Normal 9 3 14 2 3" xfId="26544"/>
    <cellStyle name="Normal 9 3 14 3" xfId="26545"/>
    <cellStyle name="Normal 9 3 14 3 2" xfId="26546"/>
    <cellStyle name="Normal 9 3 14 3 3" xfId="26547"/>
    <cellStyle name="Normal 9 3 14 4" xfId="26548"/>
    <cellStyle name="Normal 9 3 14 5" xfId="26549"/>
    <cellStyle name="Normal 9 3 14 6" xfId="26550"/>
    <cellStyle name="Normal 9 3 14 7" xfId="26551"/>
    <cellStyle name="Normal 9 3 15" xfId="26552"/>
    <cellStyle name="Normal 9 3 15 2" xfId="26553"/>
    <cellStyle name="Normal 9 3 16" xfId="26554"/>
    <cellStyle name="Normal 9 3 16 2" xfId="26555"/>
    <cellStyle name="Normal 9 3 16 3" xfId="26556"/>
    <cellStyle name="Normal 9 3 17" xfId="26557"/>
    <cellStyle name="Normal 9 3 17 2" xfId="26558"/>
    <cellStyle name="Normal 9 3 17 3" xfId="26559"/>
    <cellStyle name="Normal 9 3 18" xfId="26560"/>
    <cellStyle name="Normal 9 3 19" xfId="26561"/>
    <cellStyle name="Normal 9 3 2" xfId="26562"/>
    <cellStyle name="Normal 9 3 2 10" xfId="26563"/>
    <cellStyle name="Normal 9 3 2 10 2" xfId="26564"/>
    <cellStyle name="Normal 9 3 2 10 2 2" xfId="26565"/>
    <cellStyle name="Normal 9 3 2 10 2 2 2" xfId="26566"/>
    <cellStyle name="Normal 9 3 2 10 2 2 3" xfId="26567"/>
    <cellStyle name="Normal 9 3 2 10 2 3" xfId="26568"/>
    <cellStyle name="Normal 9 3 2 10 2 3 2" xfId="26569"/>
    <cellStyle name="Normal 9 3 2 10 2 3 3" xfId="26570"/>
    <cellStyle name="Normal 9 3 2 10 2 4" xfId="26571"/>
    <cellStyle name="Normal 9 3 2 10 2 5" xfId="26572"/>
    <cellStyle name="Normal 9 3 2 10 2 6" xfId="26573"/>
    <cellStyle name="Normal 9 3 2 10 2 7" xfId="26574"/>
    <cellStyle name="Normal 9 3 2 10 3" xfId="26575"/>
    <cellStyle name="Normal 9 3 2 10 3 2" xfId="26576"/>
    <cellStyle name="Normal 9 3 2 10 3 3" xfId="26577"/>
    <cellStyle name="Normal 9 3 2 10 4" xfId="26578"/>
    <cellStyle name="Normal 9 3 2 10 4 2" xfId="26579"/>
    <cellStyle name="Normal 9 3 2 10 4 3" xfId="26580"/>
    <cellStyle name="Normal 9 3 2 10 5" xfId="26581"/>
    <cellStyle name="Normal 9 3 2 10 6" xfId="26582"/>
    <cellStyle name="Normal 9 3 2 10 7" xfId="26583"/>
    <cellStyle name="Normal 9 3 2 10 8" xfId="26584"/>
    <cellStyle name="Normal 9 3 2 11" xfId="26585"/>
    <cellStyle name="Normal 9 3 2 11 2" xfId="26586"/>
    <cellStyle name="Normal 9 3 2 11 2 2" xfId="26587"/>
    <cellStyle name="Normal 9 3 2 11 2 2 2" xfId="26588"/>
    <cellStyle name="Normal 9 3 2 11 2 2 3" xfId="26589"/>
    <cellStyle name="Normal 9 3 2 11 2 3" xfId="26590"/>
    <cellStyle name="Normal 9 3 2 11 2 3 2" xfId="26591"/>
    <cellStyle name="Normal 9 3 2 11 2 3 3" xfId="26592"/>
    <cellStyle name="Normal 9 3 2 11 2 4" xfId="26593"/>
    <cellStyle name="Normal 9 3 2 11 2 5" xfId="26594"/>
    <cellStyle name="Normal 9 3 2 11 2 6" xfId="26595"/>
    <cellStyle name="Normal 9 3 2 11 2 7" xfId="26596"/>
    <cellStyle name="Normal 9 3 2 11 3" xfId="26597"/>
    <cellStyle name="Normal 9 3 2 11 3 2" xfId="26598"/>
    <cellStyle name="Normal 9 3 2 11 3 3" xfId="26599"/>
    <cellStyle name="Normal 9 3 2 11 4" xfId="26600"/>
    <cellStyle name="Normal 9 3 2 11 4 2" xfId="26601"/>
    <cellStyle name="Normal 9 3 2 11 4 3" xfId="26602"/>
    <cellStyle name="Normal 9 3 2 11 5" xfId="26603"/>
    <cellStyle name="Normal 9 3 2 11 6" xfId="26604"/>
    <cellStyle name="Normal 9 3 2 11 7" xfId="26605"/>
    <cellStyle name="Normal 9 3 2 11 8" xfId="26606"/>
    <cellStyle name="Normal 9 3 2 12" xfId="26607"/>
    <cellStyle name="Normal 9 3 2 12 2" xfId="26608"/>
    <cellStyle name="Normal 9 3 2 12 2 2" xfId="26609"/>
    <cellStyle name="Normal 9 3 2 12 2 3" xfId="26610"/>
    <cellStyle name="Normal 9 3 2 12 3" xfId="26611"/>
    <cellStyle name="Normal 9 3 2 12 3 2" xfId="26612"/>
    <cellStyle name="Normal 9 3 2 12 3 3" xfId="26613"/>
    <cellStyle name="Normal 9 3 2 12 4" xfId="26614"/>
    <cellStyle name="Normal 9 3 2 12 5" xfId="26615"/>
    <cellStyle name="Normal 9 3 2 12 6" xfId="26616"/>
    <cellStyle name="Normal 9 3 2 12 7" xfId="26617"/>
    <cellStyle name="Normal 9 3 2 13" xfId="26618"/>
    <cellStyle name="Normal 9 3 2 13 2" xfId="26619"/>
    <cellStyle name="Normal 9 3 2 13 2 2" xfId="26620"/>
    <cellStyle name="Normal 9 3 2 13 2 3" xfId="26621"/>
    <cellStyle name="Normal 9 3 2 13 3" xfId="26622"/>
    <cellStyle name="Normal 9 3 2 13 3 2" xfId="26623"/>
    <cellStyle name="Normal 9 3 2 13 3 3" xfId="26624"/>
    <cellStyle name="Normal 9 3 2 13 4" xfId="26625"/>
    <cellStyle name="Normal 9 3 2 13 5" xfId="26626"/>
    <cellStyle name="Normal 9 3 2 13 6" xfId="26627"/>
    <cellStyle name="Normal 9 3 2 13 7" xfId="26628"/>
    <cellStyle name="Normal 9 3 2 14" xfId="26629"/>
    <cellStyle name="Normal 9 3 2 14 2" xfId="26630"/>
    <cellStyle name="Normal 9 3 2 15" xfId="26631"/>
    <cellStyle name="Normal 9 3 2 15 2" xfId="26632"/>
    <cellStyle name="Normal 9 3 2 15 3" xfId="26633"/>
    <cellStyle name="Normal 9 3 2 16" xfId="26634"/>
    <cellStyle name="Normal 9 3 2 16 2" xfId="26635"/>
    <cellStyle name="Normal 9 3 2 16 3" xfId="26636"/>
    <cellStyle name="Normal 9 3 2 17" xfId="26637"/>
    <cellStyle name="Normal 9 3 2 18" xfId="26638"/>
    <cellStyle name="Normal 9 3 2 19" xfId="26639"/>
    <cellStyle name="Normal 9 3 2 2" xfId="26640"/>
    <cellStyle name="Normal 9 3 2 2 10" xfId="26641"/>
    <cellStyle name="Normal 9 3 2 2 10 2" xfId="26642"/>
    <cellStyle name="Normal 9 3 2 2 10 3" xfId="26643"/>
    <cellStyle name="Normal 9 3 2 2 11" xfId="26644"/>
    <cellStyle name="Normal 9 3 2 2 11 2" xfId="26645"/>
    <cellStyle name="Normal 9 3 2 2 11 3" xfId="26646"/>
    <cellStyle name="Normal 9 3 2 2 12" xfId="26647"/>
    <cellStyle name="Normal 9 3 2 2 13" xfId="26648"/>
    <cellStyle name="Normal 9 3 2 2 14" xfId="26649"/>
    <cellStyle name="Normal 9 3 2 2 15" xfId="26650"/>
    <cellStyle name="Normal 9 3 2 2 2" xfId="26651"/>
    <cellStyle name="Normal 9 3 2 2 2 10" xfId="26652"/>
    <cellStyle name="Normal 9 3 2 2 2 11" xfId="26653"/>
    <cellStyle name="Normal 9 3 2 2 2 2" xfId="26654"/>
    <cellStyle name="Normal 9 3 2 2 2 2 2" xfId="26655"/>
    <cellStyle name="Normal 9 3 2 2 2 2 2 2" xfId="26656"/>
    <cellStyle name="Normal 9 3 2 2 2 2 2 2 2" xfId="26657"/>
    <cellStyle name="Normal 9 3 2 2 2 2 2 2 2 2" xfId="26658"/>
    <cellStyle name="Normal 9 3 2 2 2 2 2 2 2 3" xfId="26659"/>
    <cellStyle name="Normal 9 3 2 2 2 2 2 2 3" xfId="26660"/>
    <cellStyle name="Normal 9 3 2 2 2 2 2 2 3 2" xfId="26661"/>
    <cellStyle name="Normal 9 3 2 2 2 2 2 2 3 3" xfId="26662"/>
    <cellStyle name="Normal 9 3 2 2 2 2 2 2 4" xfId="26663"/>
    <cellStyle name="Normal 9 3 2 2 2 2 2 2 5" xfId="26664"/>
    <cellStyle name="Normal 9 3 2 2 2 2 2 2 6" xfId="26665"/>
    <cellStyle name="Normal 9 3 2 2 2 2 2 2 7" xfId="26666"/>
    <cellStyle name="Normal 9 3 2 2 2 2 2 3" xfId="26667"/>
    <cellStyle name="Normal 9 3 2 2 2 2 2 3 2" xfId="26668"/>
    <cellStyle name="Normal 9 3 2 2 2 2 2 3 3" xfId="26669"/>
    <cellStyle name="Normal 9 3 2 2 2 2 2 4" xfId="26670"/>
    <cellStyle name="Normal 9 3 2 2 2 2 2 4 2" xfId="26671"/>
    <cellStyle name="Normal 9 3 2 2 2 2 2 4 3" xfId="26672"/>
    <cellStyle name="Normal 9 3 2 2 2 2 2 5" xfId="26673"/>
    <cellStyle name="Normal 9 3 2 2 2 2 2 6" xfId="26674"/>
    <cellStyle name="Normal 9 3 2 2 2 2 2 7" xfId="26675"/>
    <cellStyle name="Normal 9 3 2 2 2 2 2 8" xfId="26676"/>
    <cellStyle name="Normal 9 3 2 2 2 2 3" xfId="26677"/>
    <cellStyle name="Normal 9 3 2 2 2 2 3 2" xfId="26678"/>
    <cellStyle name="Normal 9 3 2 2 2 2 3 2 2" xfId="26679"/>
    <cellStyle name="Normal 9 3 2 2 2 2 3 2 3" xfId="26680"/>
    <cellStyle name="Normal 9 3 2 2 2 2 3 3" xfId="26681"/>
    <cellStyle name="Normal 9 3 2 2 2 2 3 3 2" xfId="26682"/>
    <cellStyle name="Normal 9 3 2 2 2 2 3 3 3" xfId="26683"/>
    <cellStyle name="Normal 9 3 2 2 2 2 3 4" xfId="26684"/>
    <cellStyle name="Normal 9 3 2 2 2 2 3 5" xfId="26685"/>
    <cellStyle name="Normal 9 3 2 2 2 2 3 6" xfId="26686"/>
    <cellStyle name="Normal 9 3 2 2 2 2 3 7" xfId="26687"/>
    <cellStyle name="Normal 9 3 2 2 2 2 4" xfId="26688"/>
    <cellStyle name="Normal 9 3 2 2 2 2 4 2" xfId="26689"/>
    <cellStyle name="Normal 9 3 2 2 2 2 4 3" xfId="26690"/>
    <cellStyle name="Normal 9 3 2 2 2 2 5" xfId="26691"/>
    <cellStyle name="Normal 9 3 2 2 2 2 5 2" xfId="26692"/>
    <cellStyle name="Normal 9 3 2 2 2 2 5 3" xfId="26693"/>
    <cellStyle name="Normal 9 3 2 2 2 2 6" xfId="26694"/>
    <cellStyle name="Normal 9 3 2 2 2 2 7" xfId="26695"/>
    <cellStyle name="Normal 9 3 2 2 2 2 8" xfId="26696"/>
    <cellStyle name="Normal 9 3 2 2 2 2 9" xfId="26697"/>
    <cellStyle name="Normal 9 3 2 2 2 3" xfId="26698"/>
    <cellStyle name="Normal 9 3 2 2 2 3 2" xfId="26699"/>
    <cellStyle name="Normal 9 3 2 2 2 3 2 2" xfId="26700"/>
    <cellStyle name="Normal 9 3 2 2 2 3 2 2 2" xfId="26701"/>
    <cellStyle name="Normal 9 3 2 2 2 3 2 2 3" xfId="26702"/>
    <cellStyle name="Normal 9 3 2 2 2 3 2 3" xfId="26703"/>
    <cellStyle name="Normal 9 3 2 2 2 3 2 3 2" xfId="26704"/>
    <cellStyle name="Normal 9 3 2 2 2 3 2 3 3" xfId="26705"/>
    <cellStyle name="Normal 9 3 2 2 2 3 2 4" xfId="26706"/>
    <cellStyle name="Normal 9 3 2 2 2 3 2 5" xfId="26707"/>
    <cellStyle name="Normal 9 3 2 2 2 3 2 6" xfId="26708"/>
    <cellStyle name="Normal 9 3 2 2 2 3 2 7" xfId="26709"/>
    <cellStyle name="Normal 9 3 2 2 2 3 3" xfId="26710"/>
    <cellStyle name="Normal 9 3 2 2 2 3 3 2" xfId="26711"/>
    <cellStyle name="Normal 9 3 2 2 2 3 3 3" xfId="26712"/>
    <cellStyle name="Normal 9 3 2 2 2 3 4" xfId="26713"/>
    <cellStyle name="Normal 9 3 2 2 2 3 4 2" xfId="26714"/>
    <cellStyle name="Normal 9 3 2 2 2 3 4 3" xfId="26715"/>
    <cellStyle name="Normal 9 3 2 2 2 3 5" xfId="26716"/>
    <cellStyle name="Normal 9 3 2 2 2 3 6" xfId="26717"/>
    <cellStyle name="Normal 9 3 2 2 2 3 7" xfId="26718"/>
    <cellStyle name="Normal 9 3 2 2 2 3 8" xfId="26719"/>
    <cellStyle name="Normal 9 3 2 2 2 4" xfId="26720"/>
    <cellStyle name="Normal 9 3 2 2 2 4 2" xfId="26721"/>
    <cellStyle name="Normal 9 3 2 2 2 4 2 2" xfId="26722"/>
    <cellStyle name="Normal 9 3 2 2 2 4 2 2 2" xfId="26723"/>
    <cellStyle name="Normal 9 3 2 2 2 4 2 2 3" xfId="26724"/>
    <cellStyle name="Normal 9 3 2 2 2 4 2 3" xfId="26725"/>
    <cellStyle name="Normal 9 3 2 2 2 4 2 3 2" xfId="26726"/>
    <cellStyle name="Normal 9 3 2 2 2 4 2 3 3" xfId="26727"/>
    <cellStyle name="Normal 9 3 2 2 2 4 2 4" xfId="26728"/>
    <cellStyle name="Normal 9 3 2 2 2 4 2 5" xfId="26729"/>
    <cellStyle name="Normal 9 3 2 2 2 4 2 6" xfId="26730"/>
    <cellStyle name="Normal 9 3 2 2 2 4 2 7" xfId="26731"/>
    <cellStyle name="Normal 9 3 2 2 2 4 3" xfId="26732"/>
    <cellStyle name="Normal 9 3 2 2 2 4 3 2" xfId="26733"/>
    <cellStyle name="Normal 9 3 2 2 2 4 3 3" xfId="26734"/>
    <cellStyle name="Normal 9 3 2 2 2 4 4" xfId="26735"/>
    <cellStyle name="Normal 9 3 2 2 2 4 4 2" xfId="26736"/>
    <cellStyle name="Normal 9 3 2 2 2 4 4 3" xfId="26737"/>
    <cellStyle name="Normal 9 3 2 2 2 4 5" xfId="26738"/>
    <cellStyle name="Normal 9 3 2 2 2 4 6" xfId="26739"/>
    <cellStyle name="Normal 9 3 2 2 2 4 7" xfId="26740"/>
    <cellStyle name="Normal 9 3 2 2 2 4 8" xfId="26741"/>
    <cellStyle name="Normal 9 3 2 2 2 5" xfId="26742"/>
    <cellStyle name="Normal 9 3 2 2 2 5 2" xfId="26743"/>
    <cellStyle name="Normal 9 3 2 2 2 5 2 2" xfId="26744"/>
    <cellStyle name="Normal 9 3 2 2 2 5 2 3" xfId="26745"/>
    <cellStyle name="Normal 9 3 2 2 2 5 3" xfId="26746"/>
    <cellStyle name="Normal 9 3 2 2 2 5 3 2" xfId="26747"/>
    <cellStyle name="Normal 9 3 2 2 2 5 3 3" xfId="26748"/>
    <cellStyle name="Normal 9 3 2 2 2 5 4" xfId="26749"/>
    <cellStyle name="Normal 9 3 2 2 2 5 5" xfId="26750"/>
    <cellStyle name="Normal 9 3 2 2 2 5 6" xfId="26751"/>
    <cellStyle name="Normal 9 3 2 2 2 5 7" xfId="26752"/>
    <cellStyle name="Normal 9 3 2 2 2 6" xfId="26753"/>
    <cellStyle name="Normal 9 3 2 2 2 6 2" xfId="26754"/>
    <cellStyle name="Normal 9 3 2 2 2 6 3" xfId="26755"/>
    <cellStyle name="Normal 9 3 2 2 2 7" xfId="26756"/>
    <cellStyle name="Normal 9 3 2 2 2 7 2" xfId="26757"/>
    <cellStyle name="Normal 9 3 2 2 2 7 3" xfId="26758"/>
    <cellStyle name="Normal 9 3 2 2 2 8" xfId="26759"/>
    <cellStyle name="Normal 9 3 2 2 2 9" xfId="26760"/>
    <cellStyle name="Normal 9 3 2 2 3" xfId="26761"/>
    <cellStyle name="Normal 9 3 2 2 3 10" xfId="26762"/>
    <cellStyle name="Normal 9 3 2 2 3 11" xfId="26763"/>
    <cellStyle name="Normal 9 3 2 2 3 2" xfId="26764"/>
    <cellStyle name="Normal 9 3 2 2 3 2 2" xfId="26765"/>
    <cellStyle name="Normal 9 3 2 2 3 2 2 2" xfId="26766"/>
    <cellStyle name="Normal 9 3 2 2 3 2 2 2 2" xfId="26767"/>
    <cellStyle name="Normal 9 3 2 2 3 2 2 2 2 2" xfId="26768"/>
    <cellStyle name="Normal 9 3 2 2 3 2 2 2 2 3" xfId="26769"/>
    <cellStyle name="Normal 9 3 2 2 3 2 2 2 3" xfId="26770"/>
    <cellStyle name="Normal 9 3 2 2 3 2 2 2 3 2" xfId="26771"/>
    <cellStyle name="Normal 9 3 2 2 3 2 2 2 3 3" xfId="26772"/>
    <cellStyle name="Normal 9 3 2 2 3 2 2 2 4" xfId="26773"/>
    <cellStyle name="Normal 9 3 2 2 3 2 2 2 5" xfId="26774"/>
    <cellStyle name="Normal 9 3 2 2 3 2 2 2 6" xfId="26775"/>
    <cellStyle name="Normal 9 3 2 2 3 2 2 2 7" xfId="26776"/>
    <cellStyle name="Normal 9 3 2 2 3 2 2 3" xfId="26777"/>
    <cellStyle name="Normal 9 3 2 2 3 2 2 3 2" xfId="26778"/>
    <cellStyle name="Normal 9 3 2 2 3 2 2 3 3" xfId="26779"/>
    <cellStyle name="Normal 9 3 2 2 3 2 2 4" xfId="26780"/>
    <cellStyle name="Normal 9 3 2 2 3 2 2 4 2" xfId="26781"/>
    <cellStyle name="Normal 9 3 2 2 3 2 2 4 3" xfId="26782"/>
    <cellStyle name="Normal 9 3 2 2 3 2 2 5" xfId="26783"/>
    <cellStyle name="Normal 9 3 2 2 3 2 2 6" xfId="26784"/>
    <cellStyle name="Normal 9 3 2 2 3 2 2 7" xfId="26785"/>
    <cellStyle name="Normal 9 3 2 2 3 2 2 8" xfId="26786"/>
    <cellStyle name="Normal 9 3 2 2 3 2 3" xfId="26787"/>
    <cellStyle name="Normal 9 3 2 2 3 2 3 2" xfId="26788"/>
    <cellStyle name="Normal 9 3 2 2 3 2 3 2 2" xfId="26789"/>
    <cellStyle name="Normal 9 3 2 2 3 2 3 2 3" xfId="26790"/>
    <cellStyle name="Normal 9 3 2 2 3 2 3 3" xfId="26791"/>
    <cellStyle name="Normal 9 3 2 2 3 2 3 3 2" xfId="26792"/>
    <cellStyle name="Normal 9 3 2 2 3 2 3 3 3" xfId="26793"/>
    <cellStyle name="Normal 9 3 2 2 3 2 3 4" xfId="26794"/>
    <cellStyle name="Normal 9 3 2 2 3 2 3 5" xfId="26795"/>
    <cellStyle name="Normal 9 3 2 2 3 2 3 6" xfId="26796"/>
    <cellStyle name="Normal 9 3 2 2 3 2 3 7" xfId="26797"/>
    <cellStyle name="Normal 9 3 2 2 3 2 4" xfId="26798"/>
    <cellStyle name="Normal 9 3 2 2 3 2 4 2" xfId="26799"/>
    <cellStyle name="Normal 9 3 2 2 3 2 4 3" xfId="26800"/>
    <cellStyle name="Normal 9 3 2 2 3 2 5" xfId="26801"/>
    <cellStyle name="Normal 9 3 2 2 3 2 5 2" xfId="26802"/>
    <cellStyle name="Normal 9 3 2 2 3 2 5 3" xfId="26803"/>
    <cellStyle name="Normal 9 3 2 2 3 2 6" xfId="26804"/>
    <cellStyle name="Normal 9 3 2 2 3 2 7" xfId="26805"/>
    <cellStyle name="Normal 9 3 2 2 3 2 8" xfId="26806"/>
    <cellStyle name="Normal 9 3 2 2 3 2 9" xfId="26807"/>
    <cellStyle name="Normal 9 3 2 2 3 3" xfId="26808"/>
    <cellStyle name="Normal 9 3 2 2 3 3 2" xfId="26809"/>
    <cellStyle name="Normal 9 3 2 2 3 3 2 2" xfId="26810"/>
    <cellStyle name="Normal 9 3 2 2 3 3 2 2 2" xfId="26811"/>
    <cellStyle name="Normal 9 3 2 2 3 3 2 2 3" xfId="26812"/>
    <cellStyle name="Normal 9 3 2 2 3 3 2 3" xfId="26813"/>
    <cellStyle name="Normal 9 3 2 2 3 3 2 3 2" xfId="26814"/>
    <cellStyle name="Normal 9 3 2 2 3 3 2 3 3" xfId="26815"/>
    <cellStyle name="Normal 9 3 2 2 3 3 2 4" xfId="26816"/>
    <cellStyle name="Normal 9 3 2 2 3 3 2 5" xfId="26817"/>
    <cellStyle name="Normal 9 3 2 2 3 3 2 6" xfId="26818"/>
    <cellStyle name="Normal 9 3 2 2 3 3 2 7" xfId="26819"/>
    <cellStyle name="Normal 9 3 2 2 3 3 3" xfId="26820"/>
    <cellStyle name="Normal 9 3 2 2 3 3 3 2" xfId="26821"/>
    <cellStyle name="Normal 9 3 2 2 3 3 3 3" xfId="26822"/>
    <cellStyle name="Normal 9 3 2 2 3 3 4" xfId="26823"/>
    <cellStyle name="Normal 9 3 2 2 3 3 4 2" xfId="26824"/>
    <cellStyle name="Normal 9 3 2 2 3 3 4 3" xfId="26825"/>
    <cellStyle name="Normal 9 3 2 2 3 3 5" xfId="26826"/>
    <cellStyle name="Normal 9 3 2 2 3 3 6" xfId="26827"/>
    <cellStyle name="Normal 9 3 2 2 3 3 7" xfId="26828"/>
    <cellStyle name="Normal 9 3 2 2 3 3 8" xfId="26829"/>
    <cellStyle name="Normal 9 3 2 2 3 4" xfId="26830"/>
    <cellStyle name="Normal 9 3 2 2 3 4 2" xfId="26831"/>
    <cellStyle name="Normal 9 3 2 2 3 4 2 2" xfId="26832"/>
    <cellStyle name="Normal 9 3 2 2 3 4 2 2 2" xfId="26833"/>
    <cellStyle name="Normal 9 3 2 2 3 4 2 2 3" xfId="26834"/>
    <cellStyle name="Normal 9 3 2 2 3 4 2 3" xfId="26835"/>
    <cellStyle name="Normal 9 3 2 2 3 4 2 3 2" xfId="26836"/>
    <cellStyle name="Normal 9 3 2 2 3 4 2 3 3" xfId="26837"/>
    <cellStyle name="Normal 9 3 2 2 3 4 2 4" xfId="26838"/>
    <cellStyle name="Normal 9 3 2 2 3 4 2 5" xfId="26839"/>
    <cellStyle name="Normal 9 3 2 2 3 4 2 6" xfId="26840"/>
    <cellStyle name="Normal 9 3 2 2 3 4 2 7" xfId="26841"/>
    <cellStyle name="Normal 9 3 2 2 3 4 3" xfId="26842"/>
    <cellStyle name="Normal 9 3 2 2 3 4 3 2" xfId="26843"/>
    <cellStyle name="Normal 9 3 2 2 3 4 3 3" xfId="26844"/>
    <cellStyle name="Normal 9 3 2 2 3 4 4" xfId="26845"/>
    <cellStyle name="Normal 9 3 2 2 3 4 4 2" xfId="26846"/>
    <cellStyle name="Normal 9 3 2 2 3 4 4 3" xfId="26847"/>
    <cellStyle name="Normal 9 3 2 2 3 4 5" xfId="26848"/>
    <cellStyle name="Normal 9 3 2 2 3 4 6" xfId="26849"/>
    <cellStyle name="Normal 9 3 2 2 3 4 7" xfId="26850"/>
    <cellStyle name="Normal 9 3 2 2 3 4 8" xfId="26851"/>
    <cellStyle name="Normal 9 3 2 2 3 5" xfId="26852"/>
    <cellStyle name="Normal 9 3 2 2 3 5 2" xfId="26853"/>
    <cellStyle name="Normal 9 3 2 2 3 5 2 2" xfId="26854"/>
    <cellStyle name="Normal 9 3 2 2 3 5 2 3" xfId="26855"/>
    <cellStyle name="Normal 9 3 2 2 3 5 3" xfId="26856"/>
    <cellStyle name="Normal 9 3 2 2 3 5 3 2" xfId="26857"/>
    <cellStyle name="Normal 9 3 2 2 3 5 3 3" xfId="26858"/>
    <cellStyle name="Normal 9 3 2 2 3 5 4" xfId="26859"/>
    <cellStyle name="Normal 9 3 2 2 3 5 5" xfId="26860"/>
    <cellStyle name="Normal 9 3 2 2 3 5 6" xfId="26861"/>
    <cellStyle name="Normal 9 3 2 2 3 5 7" xfId="26862"/>
    <cellStyle name="Normal 9 3 2 2 3 6" xfId="26863"/>
    <cellStyle name="Normal 9 3 2 2 3 6 2" xfId="26864"/>
    <cellStyle name="Normal 9 3 2 2 3 6 3" xfId="26865"/>
    <cellStyle name="Normal 9 3 2 2 3 7" xfId="26866"/>
    <cellStyle name="Normal 9 3 2 2 3 7 2" xfId="26867"/>
    <cellStyle name="Normal 9 3 2 2 3 7 3" xfId="26868"/>
    <cellStyle name="Normal 9 3 2 2 3 8" xfId="26869"/>
    <cellStyle name="Normal 9 3 2 2 3 9" xfId="26870"/>
    <cellStyle name="Normal 9 3 2 2 4" xfId="26871"/>
    <cellStyle name="Normal 9 3 2 2 4 10" xfId="26872"/>
    <cellStyle name="Normal 9 3 2 2 4 11" xfId="26873"/>
    <cellStyle name="Normal 9 3 2 2 4 2" xfId="26874"/>
    <cellStyle name="Normal 9 3 2 2 4 2 2" xfId="26875"/>
    <cellStyle name="Normal 9 3 2 2 4 2 2 2" xfId="26876"/>
    <cellStyle name="Normal 9 3 2 2 4 2 2 2 2" xfId="26877"/>
    <cellStyle name="Normal 9 3 2 2 4 2 2 2 2 2" xfId="26878"/>
    <cellStyle name="Normal 9 3 2 2 4 2 2 2 2 3" xfId="26879"/>
    <cellStyle name="Normal 9 3 2 2 4 2 2 2 3" xfId="26880"/>
    <cellStyle name="Normal 9 3 2 2 4 2 2 2 3 2" xfId="26881"/>
    <cellStyle name="Normal 9 3 2 2 4 2 2 2 3 3" xfId="26882"/>
    <cellStyle name="Normal 9 3 2 2 4 2 2 2 4" xfId="26883"/>
    <cellStyle name="Normal 9 3 2 2 4 2 2 2 5" xfId="26884"/>
    <cellStyle name="Normal 9 3 2 2 4 2 2 2 6" xfId="26885"/>
    <cellStyle name="Normal 9 3 2 2 4 2 2 2 7" xfId="26886"/>
    <cellStyle name="Normal 9 3 2 2 4 2 2 3" xfId="26887"/>
    <cellStyle name="Normal 9 3 2 2 4 2 2 3 2" xfId="26888"/>
    <cellStyle name="Normal 9 3 2 2 4 2 2 3 3" xfId="26889"/>
    <cellStyle name="Normal 9 3 2 2 4 2 2 4" xfId="26890"/>
    <cellStyle name="Normal 9 3 2 2 4 2 2 4 2" xfId="26891"/>
    <cellStyle name="Normal 9 3 2 2 4 2 2 4 3" xfId="26892"/>
    <cellStyle name="Normal 9 3 2 2 4 2 2 5" xfId="26893"/>
    <cellStyle name="Normal 9 3 2 2 4 2 2 6" xfId="26894"/>
    <cellStyle name="Normal 9 3 2 2 4 2 2 7" xfId="26895"/>
    <cellStyle name="Normal 9 3 2 2 4 2 2 8" xfId="26896"/>
    <cellStyle name="Normal 9 3 2 2 4 2 3" xfId="26897"/>
    <cellStyle name="Normal 9 3 2 2 4 2 3 2" xfId="26898"/>
    <cellStyle name="Normal 9 3 2 2 4 2 3 2 2" xfId="26899"/>
    <cellStyle name="Normal 9 3 2 2 4 2 3 2 3" xfId="26900"/>
    <cellStyle name="Normal 9 3 2 2 4 2 3 3" xfId="26901"/>
    <cellStyle name="Normal 9 3 2 2 4 2 3 3 2" xfId="26902"/>
    <cellStyle name="Normal 9 3 2 2 4 2 3 3 3" xfId="26903"/>
    <cellStyle name="Normal 9 3 2 2 4 2 3 4" xfId="26904"/>
    <cellStyle name="Normal 9 3 2 2 4 2 3 5" xfId="26905"/>
    <cellStyle name="Normal 9 3 2 2 4 2 3 6" xfId="26906"/>
    <cellStyle name="Normal 9 3 2 2 4 2 3 7" xfId="26907"/>
    <cellStyle name="Normal 9 3 2 2 4 2 4" xfId="26908"/>
    <cellStyle name="Normal 9 3 2 2 4 2 4 2" xfId="26909"/>
    <cellStyle name="Normal 9 3 2 2 4 2 4 3" xfId="26910"/>
    <cellStyle name="Normal 9 3 2 2 4 2 5" xfId="26911"/>
    <cellStyle name="Normal 9 3 2 2 4 2 5 2" xfId="26912"/>
    <cellStyle name="Normal 9 3 2 2 4 2 5 3" xfId="26913"/>
    <cellStyle name="Normal 9 3 2 2 4 2 6" xfId="26914"/>
    <cellStyle name="Normal 9 3 2 2 4 2 7" xfId="26915"/>
    <cellStyle name="Normal 9 3 2 2 4 2 8" xfId="26916"/>
    <cellStyle name="Normal 9 3 2 2 4 2 9" xfId="26917"/>
    <cellStyle name="Normal 9 3 2 2 4 3" xfId="26918"/>
    <cellStyle name="Normal 9 3 2 2 4 3 2" xfId="26919"/>
    <cellStyle name="Normal 9 3 2 2 4 3 2 2" xfId="26920"/>
    <cellStyle name="Normal 9 3 2 2 4 3 2 2 2" xfId="26921"/>
    <cellStyle name="Normal 9 3 2 2 4 3 2 2 3" xfId="26922"/>
    <cellStyle name="Normal 9 3 2 2 4 3 2 3" xfId="26923"/>
    <cellStyle name="Normal 9 3 2 2 4 3 2 3 2" xfId="26924"/>
    <cellStyle name="Normal 9 3 2 2 4 3 2 3 3" xfId="26925"/>
    <cellStyle name="Normal 9 3 2 2 4 3 2 4" xfId="26926"/>
    <cellStyle name="Normal 9 3 2 2 4 3 2 5" xfId="26927"/>
    <cellStyle name="Normal 9 3 2 2 4 3 2 6" xfId="26928"/>
    <cellStyle name="Normal 9 3 2 2 4 3 2 7" xfId="26929"/>
    <cellStyle name="Normal 9 3 2 2 4 3 3" xfId="26930"/>
    <cellStyle name="Normal 9 3 2 2 4 3 3 2" xfId="26931"/>
    <cellStyle name="Normal 9 3 2 2 4 3 3 3" xfId="26932"/>
    <cellStyle name="Normal 9 3 2 2 4 3 4" xfId="26933"/>
    <cellStyle name="Normal 9 3 2 2 4 3 4 2" xfId="26934"/>
    <cellStyle name="Normal 9 3 2 2 4 3 4 3" xfId="26935"/>
    <cellStyle name="Normal 9 3 2 2 4 3 5" xfId="26936"/>
    <cellStyle name="Normal 9 3 2 2 4 3 6" xfId="26937"/>
    <cellStyle name="Normal 9 3 2 2 4 3 7" xfId="26938"/>
    <cellStyle name="Normal 9 3 2 2 4 3 8" xfId="26939"/>
    <cellStyle name="Normal 9 3 2 2 4 4" xfId="26940"/>
    <cellStyle name="Normal 9 3 2 2 4 4 2" xfId="26941"/>
    <cellStyle name="Normal 9 3 2 2 4 4 2 2" xfId="26942"/>
    <cellStyle name="Normal 9 3 2 2 4 4 2 2 2" xfId="26943"/>
    <cellStyle name="Normal 9 3 2 2 4 4 2 2 3" xfId="26944"/>
    <cellStyle name="Normal 9 3 2 2 4 4 2 3" xfId="26945"/>
    <cellStyle name="Normal 9 3 2 2 4 4 2 3 2" xfId="26946"/>
    <cellStyle name="Normal 9 3 2 2 4 4 2 3 3" xfId="26947"/>
    <cellStyle name="Normal 9 3 2 2 4 4 2 4" xfId="26948"/>
    <cellStyle name="Normal 9 3 2 2 4 4 2 5" xfId="26949"/>
    <cellStyle name="Normal 9 3 2 2 4 4 2 6" xfId="26950"/>
    <cellStyle name="Normal 9 3 2 2 4 4 2 7" xfId="26951"/>
    <cellStyle name="Normal 9 3 2 2 4 4 3" xfId="26952"/>
    <cellStyle name="Normal 9 3 2 2 4 4 3 2" xfId="26953"/>
    <cellStyle name="Normal 9 3 2 2 4 4 3 3" xfId="26954"/>
    <cellStyle name="Normal 9 3 2 2 4 4 4" xfId="26955"/>
    <cellStyle name="Normal 9 3 2 2 4 4 4 2" xfId="26956"/>
    <cellStyle name="Normal 9 3 2 2 4 4 4 3" xfId="26957"/>
    <cellStyle name="Normal 9 3 2 2 4 4 5" xfId="26958"/>
    <cellStyle name="Normal 9 3 2 2 4 4 6" xfId="26959"/>
    <cellStyle name="Normal 9 3 2 2 4 4 7" xfId="26960"/>
    <cellStyle name="Normal 9 3 2 2 4 4 8" xfId="26961"/>
    <cellStyle name="Normal 9 3 2 2 4 5" xfId="26962"/>
    <cellStyle name="Normal 9 3 2 2 4 5 2" xfId="26963"/>
    <cellStyle name="Normal 9 3 2 2 4 5 2 2" xfId="26964"/>
    <cellStyle name="Normal 9 3 2 2 4 5 2 3" xfId="26965"/>
    <cellStyle name="Normal 9 3 2 2 4 5 3" xfId="26966"/>
    <cellStyle name="Normal 9 3 2 2 4 5 3 2" xfId="26967"/>
    <cellStyle name="Normal 9 3 2 2 4 5 3 3" xfId="26968"/>
    <cellStyle name="Normal 9 3 2 2 4 5 4" xfId="26969"/>
    <cellStyle name="Normal 9 3 2 2 4 5 5" xfId="26970"/>
    <cellStyle name="Normal 9 3 2 2 4 5 6" xfId="26971"/>
    <cellStyle name="Normal 9 3 2 2 4 5 7" xfId="26972"/>
    <cellStyle name="Normal 9 3 2 2 4 6" xfId="26973"/>
    <cellStyle name="Normal 9 3 2 2 4 6 2" xfId="26974"/>
    <cellStyle name="Normal 9 3 2 2 4 6 3" xfId="26975"/>
    <cellStyle name="Normal 9 3 2 2 4 7" xfId="26976"/>
    <cellStyle name="Normal 9 3 2 2 4 7 2" xfId="26977"/>
    <cellStyle name="Normal 9 3 2 2 4 7 3" xfId="26978"/>
    <cellStyle name="Normal 9 3 2 2 4 8" xfId="26979"/>
    <cellStyle name="Normal 9 3 2 2 4 9" xfId="26980"/>
    <cellStyle name="Normal 9 3 2 2 5" xfId="26981"/>
    <cellStyle name="Normal 9 3 2 2 5 10" xfId="26982"/>
    <cellStyle name="Normal 9 3 2 2 5 11" xfId="26983"/>
    <cellStyle name="Normal 9 3 2 2 5 2" xfId="26984"/>
    <cellStyle name="Normal 9 3 2 2 5 2 2" xfId="26985"/>
    <cellStyle name="Normal 9 3 2 2 5 2 2 2" xfId="26986"/>
    <cellStyle name="Normal 9 3 2 2 5 2 2 2 2" xfId="26987"/>
    <cellStyle name="Normal 9 3 2 2 5 2 2 2 2 2" xfId="26988"/>
    <cellStyle name="Normal 9 3 2 2 5 2 2 2 2 3" xfId="26989"/>
    <cellStyle name="Normal 9 3 2 2 5 2 2 2 3" xfId="26990"/>
    <cellStyle name="Normal 9 3 2 2 5 2 2 2 3 2" xfId="26991"/>
    <cellStyle name="Normal 9 3 2 2 5 2 2 2 3 3" xfId="26992"/>
    <cellStyle name="Normal 9 3 2 2 5 2 2 2 4" xfId="26993"/>
    <cellStyle name="Normal 9 3 2 2 5 2 2 2 5" xfId="26994"/>
    <cellStyle name="Normal 9 3 2 2 5 2 2 2 6" xfId="26995"/>
    <cellStyle name="Normal 9 3 2 2 5 2 2 2 7" xfId="26996"/>
    <cellStyle name="Normal 9 3 2 2 5 2 2 3" xfId="26997"/>
    <cellStyle name="Normal 9 3 2 2 5 2 2 3 2" xfId="26998"/>
    <cellStyle name="Normal 9 3 2 2 5 2 2 3 3" xfId="26999"/>
    <cellStyle name="Normal 9 3 2 2 5 2 2 4" xfId="27000"/>
    <cellStyle name="Normal 9 3 2 2 5 2 2 4 2" xfId="27001"/>
    <cellStyle name="Normal 9 3 2 2 5 2 2 4 3" xfId="27002"/>
    <cellStyle name="Normal 9 3 2 2 5 2 2 5" xfId="27003"/>
    <cellStyle name="Normal 9 3 2 2 5 2 2 6" xfId="27004"/>
    <cellStyle name="Normal 9 3 2 2 5 2 2 7" xfId="27005"/>
    <cellStyle name="Normal 9 3 2 2 5 2 2 8" xfId="27006"/>
    <cellStyle name="Normal 9 3 2 2 5 2 3" xfId="27007"/>
    <cellStyle name="Normal 9 3 2 2 5 2 3 2" xfId="27008"/>
    <cellStyle name="Normal 9 3 2 2 5 2 3 2 2" xfId="27009"/>
    <cellStyle name="Normal 9 3 2 2 5 2 3 2 3" xfId="27010"/>
    <cellStyle name="Normal 9 3 2 2 5 2 3 3" xfId="27011"/>
    <cellStyle name="Normal 9 3 2 2 5 2 3 3 2" xfId="27012"/>
    <cellStyle name="Normal 9 3 2 2 5 2 3 3 3" xfId="27013"/>
    <cellStyle name="Normal 9 3 2 2 5 2 3 4" xfId="27014"/>
    <cellStyle name="Normal 9 3 2 2 5 2 3 5" xfId="27015"/>
    <cellStyle name="Normal 9 3 2 2 5 2 3 6" xfId="27016"/>
    <cellStyle name="Normal 9 3 2 2 5 2 3 7" xfId="27017"/>
    <cellStyle name="Normal 9 3 2 2 5 2 4" xfId="27018"/>
    <cellStyle name="Normal 9 3 2 2 5 2 4 2" xfId="27019"/>
    <cellStyle name="Normal 9 3 2 2 5 2 4 3" xfId="27020"/>
    <cellStyle name="Normal 9 3 2 2 5 2 5" xfId="27021"/>
    <cellStyle name="Normal 9 3 2 2 5 2 5 2" xfId="27022"/>
    <cellStyle name="Normal 9 3 2 2 5 2 5 3" xfId="27023"/>
    <cellStyle name="Normal 9 3 2 2 5 2 6" xfId="27024"/>
    <cellStyle name="Normal 9 3 2 2 5 2 7" xfId="27025"/>
    <cellStyle name="Normal 9 3 2 2 5 2 8" xfId="27026"/>
    <cellStyle name="Normal 9 3 2 2 5 2 9" xfId="27027"/>
    <cellStyle name="Normal 9 3 2 2 5 3" xfId="27028"/>
    <cellStyle name="Normal 9 3 2 2 5 3 2" xfId="27029"/>
    <cellStyle name="Normal 9 3 2 2 5 3 2 2" xfId="27030"/>
    <cellStyle name="Normal 9 3 2 2 5 3 2 2 2" xfId="27031"/>
    <cellStyle name="Normal 9 3 2 2 5 3 2 2 3" xfId="27032"/>
    <cellStyle name="Normal 9 3 2 2 5 3 2 3" xfId="27033"/>
    <cellStyle name="Normal 9 3 2 2 5 3 2 3 2" xfId="27034"/>
    <cellStyle name="Normal 9 3 2 2 5 3 2 3 3" xfId="27035"/>
    <cellStyle name="Normal 9 3 2 2 5 3 2 4" xfId="27036"/>
    <cellStyle name="Normal 9 3 2 2 5 3 2 5" xfId="27037"/>
    <cellStyle name="Normal 9 3 2 2 5 3 2 6" xfId="27038"/>
    <cellStyle name="Normal 9 3 2 2 5 3 2 7" xfId="27039"/>
    <cellStyle name="Normal 9 3 2 2 5 3 3" xfId="27040"/>
    <cellStyle name="Normal 9 3 2 2 5 3 3 2" xfId="27041"/>
    <cellStyle name="Normal 9 3 2 2 5 3 3 3" xfId="27042"/>
    <cellStyle name="Normal 9 3 2 2 5 3 4" xfId="27043"/>
    <cellStyle name="Normal 9 3 2 2 5 3 4 2" xfId="27044"/>
    <cellStyle name="Normal 9 3 2 2 5 3 4 3" xfId="27045"/>
    <cellStyle name="Normal 9 3 2 2 5 3 5" xfId="27046"/>
    <cellStyle name="Normal 9 3 2 2 5 3 6" xfId="27047"/>
    <cellStyle name="Normal 9 3 2 2 5 3 7" xfId="27048"/>
    <cellStyle name="Normal 9 3 2 2 5 3 8" xfId="27049"/>
    <cellStyle name="Normal 9 3 2 2 5 4" xfId="27050"/>
    <cellStyle name="Normal 9 3 2 2 5 4 2" xfId="27051"/>
    <cellStyle name="Normal 9 3 2 2 5 4 2 2" xfId="27052"/>
    <cellStyle name="Normal 9 3 2 2 5 4 2 2 2" xfId="27053"/>
    <cellStyle name="Normal 9 3 2 2 5 4 2 2 3" xfId="27054"/>
    <cellStyle name="Normal 9 3 2 2 5 4 2 3" xfId="27055"/>
    <cellStyle name="Normal 9 3 2 2 5 4 2 3 2" xfId="27056"/>
    <cellStyle name="Normal 9 3 2 2 5 4 2 3 3" xfId="27057"/>
    <cellStyle name="Normal 9 3 2 2 5 4 2 4" xfId="27058"/>
    <cellStyle name="Normal 9 3 2 2 5 4 2 5" xfId="27059"/>
    <cellStyle name="Normal 9 3 2 2 5 4 2 6" xfId="27060"/>
    <cellStyle name="Normal 9 3 2 2 5 4 2 7" xfId="27061"/>
    <cellStyle name="Normal 9 3 2 2 5 4 3" xfId="27062"/>
    <cellStyle name="Normal 9 3 2 2 5 4 3 2" xfId="27063"/>
    <cellStyle name="Normal 9 3 2 2 5 4 3 3" xfId="27064"/>
    <cellStyle name="Normal 9 3 2 2 5 4 4" xfId="27065"/>
    <cellStyle name="Normal 9 3 2 2 5 4 4 2" xfId="27066"/>
    <cellStyle name="Normal 9 3 2 2 5 4 4 3" xfId="27067"/>
    <cellStyle name="Normal 9 3 2 2 5 4 5" xfId="27068"/>
    <cellStyle name="Normal 9 3 2 2 5 4 6" xfId="27069"/>
    <cellStyle name="Normal 9 3 2 2 5 4 7" xfId="27070"/>
    <cellStyle name="Normal 9 3 2 2 5 4 8" xfId="27071"/>
    <cellStyle name="Normal 9 3 2 2 5 5" xfId="27072"/>
    <cellStyle name="Normal 9 3 2 2 5 5 2" xfId="27073"/>
    <cellStyle name="Normal 9 3 2 2 5 5 2 2" xfId="27074"/>
    <cellStyle name="Normal 9 3 2 2 5 5 2 3" xfId="27075"/>
    <cellStyle name="Normal 9 3 2 2 5 5 3" xfId="27076"/>
    <cellStyle name="Normal 9 3 2 2 5 5 3 2" xfId="27077"/>
    <cellStyle name="Normal 9 3 2 2 5 5 3 3" xfId="27078"/>
    <cellStyle name="Normal 9 3 2 2 5 5 4" xfId="27079"/>
    <cellStyle name="Normal 9 3 2 2 5 5 5" xfId="27080"/>
    <cellStyle name="Normal 9 3 2 2 5 5 6" xfId="27081"/>
    <cellStyle name="Normal 9 3 2 2 5 5 7" xfId="27082"/>
    <cellStyle name="Normal 9 3 2 2 5 6" xfId="27083"/>
    <cellStyle name="Normal 9 3 2 2 5 6 2" xfId="27084"/>
    <cellStyle name="Normal 9 3 2 2 5 6 3" xfId="27085"/>
    <cellStyle name="Normal 9 3 2 2 5 7" xfId="27086"/>
    <cellStyle name="Normal 9 3 2 2 5 7 2" xfId="27087"/>
    <cellStyle name="Normal 9 3 2 2 5 7 3" xfId="27088"/>
    <cellStyle name="Normal 9 3 2 2 5 8" xfId="27089"/>
    <cellStyle name="Normal 9 3 2 2 5 9" xfId="27090"/>
    <cellStyle name="Normal 9 3 2 2 6" xfId="27091"/>
    <cellStyle name="Normal 9 3 2 2 6 2" xfId="27092"/>
    <cellStyle name="Normal 9 3 2 2 6 2 2" xfId="27093"/>
    <cellStyle name="Normal 9 3 2 2 6 2 2 2" xfId="27094"/>
    <cellStyle name="Normal 9 3 2 2 6 2 2 2 2" xfId="27095"/>
    <cellStyle name="Normal 9 3 2 2 6 2 2 2 3" xfId="27096"/>
    <cellStyle name="Normal 9 3 2 2 6 2 2 3" xfId="27097"/>
    <cellStyle name="Normal 9 3 2 2 6 2 2 3 2" xfId="27098"/>
    <cellStyle name="Normal 9 3 2 2 6 2 2 3 3" xfId="27099"/>
    <cellStyle name="Normal 9 3 2 2 6 2 2 4" xfId="27100"/>
    <cellStyle name="Normal 9 3 2 2 6 2 2 5" xfId="27101"/>
    <cellStyle name="Normal 9 3 2 2 6 2 2 6" xfId="27102"/>
    <cellStyle name="Normal 9 3 2 2 6 2 2 7" xfId="27103"/>
    <cellStyle name="Normal 9 3 2 2 6 2 3" xfId="27104"/>
    <cellStyle name="Normal 9 3 2 2 6 2 3 2" xfId="27105"/>
    <cellStyle name="Normal 9 3 2 2 6 2 3 3" xfId="27106"/>
    <cellStyle name="Normal 9 3 2 2 6 2 4" xfId="27107"/>
    <cellStyle name="Normal 9 3 2 2 6 2 4 2" xfId="27108"/>
    <cellStyle name="Normal 9 3 2 2 6 2 4 3" xfId="27109"/>
    <cellStyle name="Normal 9 3 2 2 6 2 5" xfId="27110"/>
    <cellStyle name="Normal 9 3 2 2 6 2 6" xfId="27111"/>
    <cellStyle name="Normal 9 3 2 2 6 2 7" xfId="27112"/>
    <cellStyle name="Normal 9 3 2 2 6 2 8" xfId="27113"/>
    <cellStyle name="Normal 9 3 2 2 6 3" xfId="27114"/>
    <cellStyle name="Normal 9 3 2 2 6 3 2" xfId="27115"/>
    <cellStyle name="Normal 9 3 2 2 6 3 2 2" xfId="27116"/>
    <cellStyle name="Normal 9 3 2 2 6 3 2 3" xfId="27117"/>
    <cellStyle name="Normal 9 3 2 2 6 3 3" xfId="27118"/>
    <cellStyle name="Normal 9 3 2 2 6 3 3 2" xfId="27119"/>
    <cellStyle name="Normal 9 3 2 2 6 3 3 3" xfId="27120"/>
    <cellStyle name="Normal 9 3 2 2 6 3 4" xfId="27121"/>
    <cellStyle name="Normal 9 3 2 2 6 3 5" xfId="27122"/>
    <cellStyle name="Normal 9 3 2 2 6 3 6" xfId="27123"/>
    <cellStyle name="Normal 9 3 2 2 6 3 7" xfId="27124"/>
    <cellStyle name="Normal 9 3 2 2 6 4" xfId="27125"/>
    <cellStyle name="Normal 9 3 2 2 6 4 2" xfId="27126"/>
    <cellStyle name="Normal 9 3 2 2 6 4 3" xfId="27127"/>
    <cellStyle name="Normal 9 3 2 2 6 5" xfId="27128"/>
    <cellStyle name="Normal 9 3 2 2 6 5 2" xfId="27129"/>
    <cellStyle name="Normal 9 3 2 2 6 5 3" xfId="27130"/>
    <cellStyle name="Normal 9 3 2 2 6 6" xfId="27131"/>
    <cellStyle name="Normal 9 3 2 2 6 7" xfId="27132"/>
    <cellStyle name="Normal 9 3 2 2 6 8" xfId="27133"/>
    <cellStyle name="Normal 9 3 2 2 6 9" xfId="27134"/>
    <cellStyle name="Normal 9 3 2 2 7" xfId="27135"/>
    <cellStyle name="Normal 9 3 2 2 7 2" xfId="27136"/>
    <cellStyle name="Normal 9 3 2 2 7 2 2" xfId="27137"/>
    <cellStyle name="Normal 9 3 2 2 7 2 2 2" xfId="27138"/>
    <cellStyle name="Normal 9 3 2 2 7 2 2 3" xfId="27139"/>
    <cellStyle name="Normal 9 3 2 2 7 2 3" xfId="27140"/>
    <cellStyle name="Normal 9 3 2 2 7 2 3 2" xfId="27141"/>
    <cellStyle name="Normal 9 3 2 2 7 2 3 3" xfId="27142"/>
    <cellStyle name="Normal 9 3 2 2 7 2 4" xfId="27143"/>
    <cellStyle name="Normal 9 3 2 2 7 2 5" xfId="27144"/>
    <cellStyle name="Normal 9 3 2 2 7 2 6" xfId="27145"/>
    <cellStyle name="Normal 9 3 2 2 7 2 7" xfId="27146"/>
    <cellStyle name="Normal 9 3 2 2 7 3" xfId="27147"/>
    <cellStyle name="Normal 9 3 2 2 7 3 2" xfId="27148"/>
    <cellStyle name="Normal 9 3 2 2 7 3 3" xfId="27149"/>
    <cellStyle name="Normal 9 3 2 2 7 4" xfId="27150"/>
    <cellStyle name="Normal 9 3 2 2 7 4 2" xfId="27151"/>
    <cellStyle name="Normal 9 3 2 2 7 4 3" xfId="27152"/>
    <cellStyle name="Normal 9 3 2 2 7 5" xfId="27153"/>
    <cellStyle name="Normal 9 3 2 2 7 6" xfId="27154"/>
    <cellStyle name="Normal 9 3 2 2 7 7" xfId="27155"/>
    <cellStyle name="Normal 9 3 2 2 7 8" xfId="27156"/>
    <cellStyle name="Normal 9 3 2 2 8" xfId="27157"/>
    <cellStyle name="Normal 9 3 2 2 8 2" xfId="27158"/>
    <cellStyle name="Normal 9 3 2 2 8 2 2" xfId="27159"/>
    <cellStyle name="Normal 9 3 2 2 8 2 2 2" xfId="27160"/>
    <cellStyle name="Normal 9 3 2 2 8 2 2 3" xfId="27161"/>
    <cellStyle name="Normal 9 3 2 2 8 2 3" xfId="27162"/>
    <cellStyle name="Normal 9 3 2 2 8 2 3 2" xfId="27163"/>
    <cellStyle name="Normal 9 3 2 2 8 2 3 3" xfId="27164"/>
    <cellStyle name="Normal 9 3 2 2 8 2 4" xfId="27165"/>
    <cellStyle name="Normal 9 3 2 2 8 2 5" xfId="27166"/>
    <cellStyle name="Normal 9 3 2 2 8 2 6" xfId="27167"/>
    <cellStyle name="Normal 9 3 2 2 8 2 7" xfId="27168"/>
    <cellStyle name="Normal 9 3 2 2 8 3" xfId="27169"/>
    <cellStyle name="Normal 9 3 2 2 8 3 2" xfId="27170"/>
    <cellStyle name="Normal 9 3 2 2 8 3 3" xfId="27171"/>
    <cellStyle name="Normal 9 3 2 2 8 4" xfId="27172"/>
    <cellStyle name="Normal 9 3 2 2 8 4 2" xfId="27173"/>
    <cellStyle name="Normal 9 3 2 2 8 4 3" xfId="27174"/>
    <cellStyle name="Normal 9 3 2 2 8 5" xfId="27175"/>
    <cellStyle name="Normal 9 3 2 2 8 6" xfId="27176"/>
    <cellStyle name="Normal 9 3 2 2 8 7" xfId="27177"/>
    <cellStyle name="Normal 9 3 2 2 8 8" xfId="27178"/>
    <cellStyle name="Normal 9 3 2 2 9" xfId="27179"/>
    <cellStyle name="Normal 9 3 2 2 9 2" xfId="27180"/>
    <cellStyle name="Normal 9 3 2 2 9 2 2" xfId="27181"/>
    <cellStyle name="Normal 9 3 2 2 9 2 3" xfId="27182"/>
    <cellStyle name="Normal 9 3 2 2 9 3" xfId="27183"/>
    <cellStyle name="Normal 9 3 2 2 9 3 2" xfId="27184"/>
    <cellStyle name="Normal 9 3 2 2 9 3 3" xfId="27185"/>
    <cellStyle name="Normal 9 3 2 2 9 4" xfId="27186"/>
    <cellStyle name="Normal 9 3 2 2 9 5" xfId="27187"/>
    <cellStyle name="Normal 9 3 2 2 9 6" xfId="27188"/>
    <cellStyle name="Normal 9 3 2 2 9 7" xfId="27189"/>
    <cellStyle name="Normal 9 3 2 20" xfId="27190"/>
    <cellStyle name="Normal 9 3 2 3" xfId="27191"/>
    <cellStyle name="Normal 9 3 2 3 10" xfId="27192"/>
    <cellStyle name="Normal 9 3 2 3 10 2" xfId="27193"/>
    <cellStyle name="Normal 9 3 2 3 10 3" xfId="27194"/>
    <cellStyle name="Normal 9 3 2 3 11" xfId="27195"/>
    <cellStyle name="Normal 9 3 2 3 11 2" xfId="27196"/>
    <cellStyle name="Normal 9 3 2 3 11 3" xfId="27197"/>
    <cellStyle name="Normal 9 3 2 3 12" xfId="27198"/>
    <cellStyle name="Normal 9 3 2 3 13" xfId="27199"/>
    <cellStyle name="Normal 9 3 2 3 14" xfId="27200"/>
    <cellStyle name="Normal 9 3 2 3 15" xfId="27201"/>
    <cellStyle name="Normal 9 3 2 3 2" xfId="27202"/>
    <cellStyle name="Normal 9 3 2 3 2 10" xfId="27203"/>
    <cellStyle name="Normal 9 3 2 3 2 11" xfId="27204"/>
    <cellStyle name="Normal 9 3 2 3 2 2" xfId="27205"/>
    <cellStyle name="Normal 9 3 2 3 2 2 2" xfId="27206"/>
    <cellStyle name="Normal 9 3 2 3 2 2 2 2" xfId="27207"/>
    <cellStyle name="Normal 9 3 2 3 2 2 2 2 2" xfId="27208"/>
    <cellStyle name="Normal 9 3 2 3 2 2 2 2 2 2" xfId="27209"/>
    <cellStyle name="Normal 9 3 2 3 2 2 2 2 2 3" xfId="27210"/>
    <cellStyle name="Normal 9 3 2 3 2 2 2 2 3" xfId="27211"/>
    <cellStyle name="Normal 9 3 2 3 2 2 2 2 3 2" xfId="27212"/>
    <cellStyle name="Normal 9 3 2 3 2 2 2 2 3 3" xfId="27213"/>
    <cellStyle name="Normal 9 3 2 3 2 2 2 2 4" xfId="27214"/>
    <cellStyle name="Normal 9 3 2 3 2 2 2 2 5" xfId="27215"/>
    <cellStyle name="Normal 9 3 2 3 2 2 2 2 6" xfId="27216"/>
    <cellStyle name="Normal 9 3 2 3 2 2 2 2 7" xfId="27217"/>
    <cellStyle name="Normal 9 3 2 3 2 2 2 3" xfId="27218"/>
    <cellStyle name="Normal 9 3 2 3 2 2 2 3 2" xfId="27219"/>
    <cellStyle name="Normal 9 3 2 3 2 2 2 3 3" xfId="27220"/>
    <cellStyle name="Normal 9 3 2 3 2 2 2 4" xfId="27221"/>
    <cellStyle name="Normal 9 3 2 3 2 2 2 4 2" xfId="27222"/>
    <cellStyle name="Normal 9 3 2 3 2 2 2 4 3" xfId="27223"/>
    <cellStyle name="Normal 9 3 2 3 2 2 2 5" xfId="27224"/>
    <cellStyle name="Normal 9 3 2 3 2 2 2 6" xfId="27225"/>
    <cellStyle name="Normal 9 3 2 3 2 2 2 7" xfId="27226"/>
    <cellStyle name="Normal 9 3 2 3 2 2 2 8" xfId="27227"/>
    <cellStyle name="Normal 9 3 2 3 2 2 3" xfId="27228"/>
    <cellStyle name="Normal 9 3 2 3 2 2 3 2" xfId="27229"/>
    <cellStyle name="Normal 9 3 2 3 2 2 3 2 2" xfId="27230"/>
    <cellStyle name="Normal 9 3 2 3 2 2 3 2 3" xfId="27231"/>
    <cellStyle name="Normal 9 3 2 3 2 2 3 3" xfId="27232"/>
    <cellStyle name="Normal 9 3 2 3 2 2 3 3 2" xfId="27233"/>
    <cellStyle name="Normal 9 3 2 3 2 2 3 3 3" xfId="27234"/>
    <cellStyle name="Normal 9 3 2 3 2 2 3 4" xfId="27235"/>
    <cellStyle name="Normal 9 3 2 3 2 2 3 5" xfId="27236"/>
    <cellStyle name="Normal 9 3 2 3 2 2 3 6" xfId="27237"/>
    <cellStyle name="Normal 9 3 2 3 2 2 3 7" xfId="27238"/>
    <cellStyle name="Normal 9 3 2 3 2 2 4" xfId="27239"/>
    <cellStyle name="Normal 9 3 2 3 2 2 4 2" xfId="27240"/>
    <cellStyle name="Normal 9 3 2 3 2 2 4 3" xfId="27241"/>
    <cellStyle name="Normal 9 3 2 3 2 2 5" xfId="27242"/>
    <cellStyle name="Normal 9 3 2 3 2 2 5 2" xfId="27243"/>
    <cellStyle name="Normal 9 3 2 3 2 2 5 3" xfId="27244"/>
    <cellStyle name="Normal 9 3 2 3 2 2 6" xfId="27245"/>
    <cellStyle name="Normal 9 3 2 3 2 2 7" xfId="27246"/>
    <cellStyle name="Normal 9 3 2 3 2 2 8" xfId="27247"/>
    <cellStyle name="Normal 9 3 2 3 2 2 9" xfId="27248"/>
    <cellStyle name="Normal 9 3 2 3 2 3" xfId="27249"/>
    <cellStyle name="Normal 9 3 2 3 2 3 2" xfId="27250"/>
    <cellStyle name="Normal 9 3 2 3 2 3 2 2" xfId="27251"/>
    <cellStyle name="Normal 9 3 2 3 2 3 2 2 2" xfId="27252"/>
    <cellStyle name="Normal 9 3 2 3 2 3 2 2 3" xfId="27253"/>
    <cellStyle name="Normal 9 3 2 3 2 3 2 3" xfId="27254"/>
    <cellStyle name="Normal 9 3 2 3 2 3 2 3 2" xfId="27255"/>
    <cellStyle name="Normal 9 3 2 3 2 3 2 3 3" xfId="27256"/>
    <cellStyle name="Normal 9 3 2 3 2 3 2 4" xfId="27257"/>
    <cellStyle name="Normal 9 3 2 3 2 3 2 5" xfId="27258"/>
    <cellStyle name="Normal 9 3 2 3 2 3 2 6" xfId="27259"/>
    <cellStyle name="Normal 9 3 2 3 2 3 2 7" xfId="27260"/>
    <cellStyle name="Normal 9 3 2 3 2 3 3" xfId="27261"/>
    <cellStyle name="Normal 9 3 2 3 2 3 3 2" xfId="27262"/>
    <cellStyle name="Normal 9 3 2 3 2 3 3 3" xfId="27263"/>
    <cellStyle name="Normal 9 3 2 3 2 3 4" xfId="27264"/>
    <cellStyle name="Normal 9 3 2 3 2 3 4 2" xfId="27265"/>
    <cellStyle name="Normal 9 3 2 3 2 3 4 3" xfId="27266"/>
    <cellStyle name="Normal 9 3 2 3 2 3 5" xfId="27267"/>
    <cellStyle name="Normal 9 3 2 3 2 3 6" xfId="27268"/>
    <cellStyle name="Normal 9 3 2 3 2 3 7" xfId="27269"/>
    <cellStyle name="Normal 9 3 2 3 2 3 8" xfId="27270"/>
    <cellStyle name="Normal 9 3 2 3 2 4" xfId="27271"/>
    <cellStyle name="Normal 9 3 2 3 2 4 2" xfId="27272"/>
    <cellStyle name="Normal 9 3 2 3 2 4 2 2" xfId="27273"/>
    <cellStyle name="Normal 9 3 2 3 2 4 2 2 2" xfId="27274"/>
    <cellStyle name="Normal 9 3 2 3 2 4 2 2 3" xfId="27275"/>
    <cellStyle name="Normal 9 3 2 3 2 4 2 3" xfId="27276"/>
    <cellStyle name="Normal 9 3 2 3 2 4 2 3 2" xfId="27277"/>
    <cellStyle name="Normal 9 3 2 3 2 4 2 3 3" xfId="27278"/>
    <cellStyle name="Normal 9 3 2 3 2 4 2 4" xfId="27279"/>
    <cellStyle name="Normal 9 3 2 3 2 4 2 5" xfId="27280"/>
    <cellStyle name="Normal 9 3 2 3 2 4 2 6" xfId="27281"/>
    <cellStyle name="Normal 9 3 2 3 2 4 2 7" xfId="27282"/>
    <cellStyle name="Normal 9 3 2 3 2 4 3" xfId="27283"/>
    <cellStyle name="Normal 9 3 2 3 2 4 3 2" xfId="27284"/>
    <cellStyle name="Normal 9 3 2 3 2 4 3 3" xfId="27285"/>
    <cellStyle name="Normal 9 3 2 3 2 4 4" xfId="27286"/>
    <cellStyle name="Normal 9 3 2 3 2 4 4 2" xfId="27287"/>
    <cellStyle name="Normal 9 3 2 3 2 4 4 3" xfId="27288"/>
    <cellStyle name="Normal 9 3 2 3 2 4 5" xfId="27289"/>
    <cellStyle name="Normal 9 3 2 3 2 4 6" xfId="27290"/>
    <cellStyle name="Normal 9 3 2 3 2 4 7" xfId="27291"/>
    <cellStyle name="Normal 9 3 2 3 2 4 8" xfId="27292"/>
    <cellStyle name="Normal 9 3 2 3 2 5" xfId="27293"/>
    <cellStyle name="Normal 9 3 2 3 2 5 2" xfId="27294"/>
    <cellStyle name="Normal 9 3 2 3 2 5 2 2" xfId="27295"/>
    <cellStyle name="Normal 9 3 2 3 2 5 2 3" xfId="27296"/>
    <cellStyle name="Normal 9 3 2 3 2 5 3" xfId="27297"/>
    <cellStyle name="Normal 9 3 2 3 2 5 3 2" xfId="27298"/>
    <cellStyle name="Normal 9 3 2 3 2 5 3 3" xfId="27299"/>
    <cellStyle name="Normal 9 3 2 3 2 5 4" xfId="27300"/>
    <cellStyle name="Normal 9 3 2 3 2 5 5" xfId="27301"/>
    <cellStyle name="Normal 9 3 2 3 2 5 6" xfId="27302"/>
    <cellStyle name="Normal 9 3 2 3 2 5 7" xfId="27303"/>
    <cellStyle name="Normal 9 3 2 3 2 6" xfId="27304"/>
    <cellStyle name="Normal 9 3 2 3 2 6 2" xfId="27305"/>
    <cellStyle name="Normal 9 3 2 3 2 6 3" xfId="27306"/>
    <cellStyle name="Normal 9 3 2 3 2 7" xfId="27307"/>
    <cellStyle name="Normal 9 3 2 3 2 7 2" xfId="27308"/>
    <cellStyle name="Normal 9 3 2 3 2 7 3" xfId="27309"/>
    <cellStyle name="Normal 9 3 2 3 2 8" xfId="27310"/>
    <cellStyle name="Normal 9 3 2 3 2 9" xfId="27311"/>
    <cellStyle name="Normal 9 3 2 3 3" xfId="27312"/>
    <cellStyle name="Normal 9 3 2 3 3 10" xfId="27313"/>
    <cellStyle name="Normal 9 3 2 3 3 11" xfId="27314"/>
    <cellStyle name="Normal 9 3 2 3 3 2" xfId="27315"/>
    <cellStyle name="Normal 9 3 2 3 3 2 2" xfId="27316"/>
    <cellStyle name="Normal 9 3 2 3 3 2 2 2" xfId="27317"/>
    <cellStyle name="Normal 9 3 2 3 3 2 2 2 2" xfId="27318"/>
    <cellStyle name="Normal 9 3 2 3 3 2 2 2 2 2" xfId="27319"/>
    <cellStyle name="Normal 9 3 2 3 3 2 2 2 2 3" xfId="27320"/>
    <cellStyle name="Normal 9 3 2 3 3 2 2 2 3" xfId="27321"/>
    <cellStyle name="Normal 9 3 2 3 3 2 2 2 3 2" xfId="27322"/>
    <cellStyle name="Normal 9 3 2 3 3 2 2 2 3 3" xfId="27323"/>
    <cellStyle name="Normal 9 3 2 3 3 2 2 2 4" xfId="27324"/>
    <cellStyle name="Normal 9 3 2 3 3 2 2 2 5" xfId="27325"/>
    <cellStyle name="Normal 9 3 2 3 3 2 2 2 6" xfId="27326"/>
    <cellStyle name="Normal 9 3 2 3 3 2 2 2 7" xfId="27327"/>
    <cellStyle name="Normal 9 3 2 3 3 2 2 3" xfId="27328"/>
    <cellStyle name="Normal 9 3 2 3 3 2 2 3 2" xfId="27329"/>
    <cellStyle name="Normal 9 3 2 3 3 2 2 3 3" xfId="27330"/>
    <cellStyle name="Normal 9 3 2 3 3 2 2 4" xfId="27331"/>
    <cellStyle name="Normal 9 3 2 3 3 2 2 4 2" xfId="27332"/>
    <cellStyle name="Normal 9 3 2 3 3 2 2 4 3" xfId="27333"/>
    <cellStyle name="Normal 9 3 2 3 3 2 2 5" xfId="27334"/>
    <cellStyle name="Normal 9 3 2 3 3 2 2 6" xfId="27335"/>
    <cellStyle name="Normal 9 3 2 3 3 2 2 7" xfId="27336"/>
    <cellStyle name="Normal 9 3 2 3 3 2 2 8" xfId="27337"/>
    <cellStyle name="Normal 9 3 2 3 3 2 3" xfId="27338"/>
    <cellStyle name="Normal 9 3 2 3 3 2 3 2" xfId="27339"/>
    <cellStyle name="Normal 9 3 2 3 3 2 3 2 2" xfId="27340"/>
    <cellStyle name="Normal 9 3 2 3 3 2 3 2 3" xfId="27341"/>
    <cellStyle name="Normal 9 3 2 3 3 2 3 3" xfId="27342"/>
    <cellStyle name="Normal 9 3 2 3 3 2 3 3 2" xfId="27343"/>
    <cellStyle name="Normal 9 3 2 3 3 2 3 3 3" xfId="27344"/>
    <cellStyle name="Normal 9 3 2 3 3 2 3 4" xfId="27345"/>
    <cellStyle name="Normal 9 3 2 3 3 2 3 5" xfId="27346"/>
    <cellStyle name="Normal 9 3 2 3 3 2 3 6" xfId="27347"/>
    <cellStyle name="Normal 9 3 2 3 3 2 3 7" xfId="27348"/>
    <cellStyle name="Normal 9 3 2 3 3 2 4" xfId="27349"/>
    <cellStyle name="Normal 9 3 2 3 3 2 4 2" xfId="27350"/>
    <cellStyle name="Normal 9 3 2 3 3 2 4 3" xfId="27351"/>
    <cellStyle name="Normal 9 3 2 3 3 2 5" xfId="27352"/>
    <cellStyle name="Normal 9 3 2 3 3 2 5 2" xfId="27353"/>
    <cellStyle name="Normal 9 3 2 3 3 2 5 3" xfId="27354"/>
    <cellStyle name="Normal 9 3 2 3 3 2 6" xfId="27355"/>
    <cellStyle name="Normal 9 3 2 3 3 2 7" xfId="27356"/>
    <cellStyle name="Normal 9 3 2 3 3 2 8" xfId="27357"/>
    <cellStyle name="Normal 9 3 2 3 3 2 9" xfId="27358"/>
    <cellStyle name="Normal 9 3 2 3 3 3" xfId="27359"/>
    <cellStyle name="Normal 9 3 2 3 3 3 2" xfId="27360"/>
    <cellStyle name="Normal 9 3 2 3 3 3 2 2" xfId="27361"/>
    <cellStyle name="Normal 9 3 2 3 3 3 2 2 2" xfId="27362"/>
    <cellStyle name="Normal 9 3 2 3 3 3 2 2 3" xfId="27363"/>
    <cellStyle name="Normal 9 3 2 3 3 3 2 3" xfId="27364"/>
    <cellStyle name="Normal 9 3 2 3 3 3 2 3 2" xfId="27365"/>
    <cellStyle name="Normal 9 3 2 3 3 3 2 3 3" xfId="27366"/>
    <cellStyle name="Normal 9 3 2 3 3 3 2 4" xfId="27367"/>
    <cellStyle name="Normal 9 3 2 3 3 3 2 5" xfId="27368"/>
    <cellStyle name="Normal 9 3 2 3 3 3 2 6" xfId="27369"/>
    <cellStyle name="Normal 9 3 2 3 3 3 2 7" xfId="27370"/>
    <cellStyle name="Normal 9 3 2 3 3 3 3" xfId="27371"/>
    <cellStyle name="Normal 9 3 2 3 3 3 3 2" xfId="27372"/>
    <cellStyle name="Normal 9 3 2 3 3 3 3 3" xfId="27373"/>
    <cellStyle name="Normal 9 3 2 3 3 3 4" xfId="27374"/>
    <cellStyle name="Normal 9 3 2 3 3 3 4 2" xfId="27375"/>
    <cellStyle name="Normal 9 3 2 3 3 3 4 3" xfId="27376"/>
    <cellStyle name="Normal 9 3 2 3 3 3 5" xfId="27377"/>
    <cellStyle name="Normal 9 3 2 3 3 3 6" xfId="27378"/>
    <cellStyle name="Normal 9 3 2 3 3 3 7" xfId="27379"/>
    <cellStyle name="Normal 9 3 2 3 3 3 8" xfId="27380"/>
    <cellStyle name="Normal 9 3 2 3 3 4" xfId="27381"/>
    <cellStyle name="Normal 9 3 2 3 3 4 2" xfId="27382"/>
    <cellStyle name="Normal 9 3 2 3 3 4 2 2" xfId="27383"/>
    <cellStyle name="Normal 9 3 2 3 3 4 2 2 2" xfId="27384"/>
    <cellStyle name="Normal 9 3 2 3 3 4 2 2 3" xfId="27385"/>
    <cellStyle name="Normal 9 3 2 3 3 4 2 3" xfId="27386"/>
    <cellStyle name="Normal 9 3 2 3 3 4 2 3 2" xfId="27387"/>
    <cellStyle name="Normal 9 3 2 3 3 4 2 3 3" xfId="27388"/>
    <cellStyle name="Normal 9 3 2 3 3 4 2 4" xfId="27389"/>
    <cellStyle name="Normal 9 3 2 3 3 4 2 5" xfId="27390"/>
    <cellStyle name="Normal 9 3 2 3 3 4 2 6" xfId="27391"/>
    <cellStyle name="Normal 9 3 2 3 3 4 2 7" xfId="27392"/>
    <cellStyle name="Normal 9 3 2 3 3 4 3" xfId="27393"/>
    <cellStyle name="Normal 9 3 2 3 3 4 3 2" xfId="27394"/>
    <cellStyle name="Normal 9 3 2 3 3 4 3 3" xfId="27395"/>
    <cellStyle name="Normal 9 3 2 3 3 4 4" xfId="27396"/>
    <cellStyle name="Normal 9 3 2 3 3 4 4 2" xfId="27397"/>
    <cellStyle name="Normal 9 3 2 3 3 4 4 3" xfId="27398"/>
    <cellStyle name="Normal 9 3 2 3 3 4 5" xfId="27399"/>
    <cellStyle name="Normal 9 3 2 3 3 4 6" xfId="27400"/>
    <cellStyle name="Normal 9 3 2 3 3 4 7" xfId="27401"/>
    <cellStyle name="Normal 9 3 2 3 3 4 8" xfId="27402"/>
    <cellStyle name="Normal 9 3 2 3 3 5" xfId="27403"/>
    <cellStyle name="Normal 9 3 2 3 3 5 2" xfId="27404"/>
    <cellStyle name="Normal 9 3 2 3 3 5 2 2" xfId="27405"/>
    <cellStyle name="Normal 9 3 2 3 3 5 2 3" xfId="27406"/>
    <cellStyle name="Normal 9 3 2 3 3 5 3" xfId="27407"/>
    <cellStyle name="Normal 9 3 2 3 3 5 3 2" xfId="27408"/>
    <cellStyle name="Normal 9 3 2 3 3 5 3 3" xfId="27409"/>
    <cellStyle name="Normal 9 3 2 3 3 5 4" xfId="27410"/>
    <cellStyle name="Normal 9 3 2 3 3 5 5" xfId="27411"/>
    <cellStyle name="Normal 9 3 2 3 3 5 6" xfId="27412"/>
    <cellStyle name="Normal 9 3 2 3 3 5 7" xfId="27413"/>
    <cellStyle name="Normal 9 3 2 3 3 6" xfId="27414"/>
    <cellStyle name="Normal 9 3 2 3 3 6 2" xfId="27415"/>
    <cellStyle name="Normal 9 3 2 3 3 6 3" xfId="27416"/>
    <cellStyle name="Normal 9 3 2 3 3 7" xfId="27417"/>
    <cellStyle name="Normal 9 3 2 3 3 7 2" xfId="27418"/>
    <cellStyle name="Normal 9 3 2 3 3 7 3" xfId="27419"/>
    <cellStyle name="Normal 9 3 2 3 3 8" xfId="27420"/>
    <cellStyle name="Normal 9 3 2 3 3 9" xfId="27421"/>
    <cellStyle name="Normal 9 3 2 3 4" xfId="27422"/>
    <cellStyle name="Normal 9 3 2 3 4 10" xfId="27423"/>
    <cellStyle name="Normal 9 3 2 3 4 11" xfId="27424"/>
    <cellStyle name="Normal 9 3 2 3 4 2" xfId="27425"/>
    <cellStyle name="Normal 9 3 2 3 4 2 2" xfId="27426"/>
    <cellStyle name="Normal 9 3 2 3 4 2 2 2" xfId="27427"/>
    <cellStyle name="Normal 9 3 2 3 4 2 2 2 2" xfId="27428"/>
    <cellStyle name="Normal 9 3 2 3 4 2 2 2 2 2" xfId="27429"/>
    <cellStyle name="Normal 9 3 2 3 4 2 2 2 2 3" xfId="27430"/>
    <cellStyle name="Normal 9 3 2 3 4 2 2 2 3" xfId="27431"/>
    <cellStyle name="Normal 9 3 2 3 4 2 2 2 3 2" xfId="27432"/>
    <cellStyle name="Normal 9 3 2 3 4 2 2 2 3 3" xfId="27433"/>
    <cellStyle name="Normal 9 3 2 3 4 2 2 2 4" xfId="27434"/>
    <cellStyle name="Normal 9 3 2 3 4 2 2 2 5" xfId="27435"/>
    <cellStyle name="Normal 9 3 2 3 4 2 2 2 6" xfId="27436"/>
    <cellStyle name="Normal 9 3 2 3 4 2 2 2 7" xfId="27437"/>
    <cellStyle name="Normal 9 3 2 3 4 2 2 3" xfId="27438"/>
    <cellStyle name="Normal 9 3 2 3 4 2 2 3 2" xfId="27439"/>
    <cellStyle name="Normal 9 3 2 3 4 2 2 3 3" xfId="27440"/>
    <cellStyle name="Normal 9 3 2 3 4 2 2 4" xfId="27441"/>
    <cellStyle name="Normal 9 3 2 3 4 2 2 4 2" xfId="27442"/>
    <cellStyle name="Normal 9 3 2 3 4 2 2 4 3" xfId="27443"/>
    <cellStyle name="Normal 9 3 2 3 4 2 2 5" xfId="27444"/>
    <cellStyle name="Normal 9 3 2 3 4 2 2 6" xfId="27445"/>
    <cellStyle name="Normal 9 3 2 3 4 2 2 7" xfId="27446"/>
    <cellStyle name="Normal 9 3 2 3 4 2 2 8" xfId="27447"/>
    <cellStyle name="Normal 9 3 2 3 4 2 3" xfId="27448"/>
    <cellStyle name="Normal 9 3 2 3 4 2 3 2" xfId="27449"/>
    <cellStyle name="Normal 9 3 2 3 4 2 3 2 2" xfId="27450"/>
    <cellStyle name="Normal 9 3 2 3 4 2 3 2 3" xfId="27451"/>
    <cellStyle name="Normal 9 3 2 3 4 2 3 3" xfId="27452"/>
    <cellStyle name="Normal 9 3 2 3 4 2 3 3 2" xfId="27453"/>
    <cellStyle name="Normal 9 3 2 3 4 2 3 3 3" xfId="27454"/>
    <cellStyle name="Normal 9 3 2 3 4 2 3 4" xfId="27455"/>
    <cellStyle name="Normal 9 3 2 3 4 2 3 5" xfId="27456"/>
    <cellStyle name="Normal 9 3 2 3 4 2 3 6" xfId="27457"/>
    <cellStyle name="Normal 9 3 2 3 4 2 3 7" xfId="27458"/>
    <cellStyle name="Normal 9 3 2 3 4 2 4" xfId="27459"/>
    <cellStyle name="Normal 9 3 2 3 4 2 4 2" xfId="27460"/>
    <cellStyle name="Normal 9 3 2 3 4 2 4 3" xfId="27461"/>
    <cellStyle name="Normal 9 3 2 3 4 2 5" xfId="27462"/>
    <cellStyle name="Normal 9 3 2 3 4 2 5 2" xfId="27463"/>
    <cellStyle name="Normal 9 3 2 3 4 2 5 3" xfId="27464"/>
    <cellStyle name="Normal 9 3 2 3 4 2 6" xfId="27465"/>
    <cellStyle name="Normal 9 3 2 3 4 2 7" xfId="27466"/>
    <cellStyle name="Normal 9 3 2 3 4 2 8" xfId="27467"/>
    <cellStyle name="Normal 9 3 2 3 4 2 9" xfId="27468"/>
    <cellStyle name="Normal 9 3 2 3 4 3" xfId="27469"/>
    <cellStyle name="Normal 9 3 2 3 4 3 2" xfId="27470"/>
    <cellStyle name="Normal 9 3 2 3 4 3 2 2" xfId="27471"/>
    <cellStyle name="Normal 9 3 2 3 4 3 2 2 2" xfId="27472"/>
    <cellStyle name="Normal 9 3 2 3 4 3 2 2 3" xfId="27473"/>
    <cellStyle name="Normal 9 3 2 3 4 3 2 3" xfId="27474"/>
    <cellStyle name="Normal 9 3 2 3 4 3 2 3 2" xfId="27475"/>
    <cellStyle name="Normal 9 3 2 3 4 3 2 3 3" xfId="27476"/>
    <cellStyle name="Normal 9 3 2 3 4 3 2 4" xfId="27477"/>
    <cellStyle name="Normal 9 3 2 3 4 3 2 5" xfId="27478"/>
    <cellStyle name="Normal 9 3 2 3 4 3 2 6" xfId="27479"/>
    <cellStyle name="Normal 9 3 2 3 4 3 2 7" xfId="27480"/>
    <cellStyle name="Normal 9 3 2 3 4 3 3" xfId="27481"/>
    <cellStyle name="Normal 9 3 2 3 4 3 3 2" xfId="27482"/>
    <cellStyle name="Normal 9 3 2 3 4 3 3 3" xfId="27483"/>
    <cellStyle name="Normal 9 3 2 3 4 3 4" xfId="27484"/>
    <cellStyle name="Normal 9 3 2 3 4 3 4 2" xfId="27485"/>
    <cellStyle name="Normal 9 3 2 3 4 3 4 3" xfId="27486"/>
    <cellStyle name="Normal 9 3 2 3 4 3 5" xfId="27487"/>
    <cellStyle name="Normal 9 3 2 3 4 3 6" xfId="27488"/>
    <cellStyle name="Normal 9 3 2 3 4 3 7" xfId="27489"/>
    <cellStyle name="Normal 9 3 2 3 4 3 8" xfId="27490"/>
    <cellStyle name="Normal 9 3 2 3 4 4" xfId="27491"/>
    <cellStyle name="Normal 9 3 2 3 4 4 2" xfId="27492"/>
    <cellStyle name="Normal 9 3 2 3 4 4 2 2" xfId="27493"/>
    <cellStyle name="Normal 9 3 2 3 4 4 2 2 2" xfId="27494"/>
    <cellStyle name="Normal 9 3 2 3 4 4 2 2 3" xfId="27495"/>
    <cellStyle name="Normal 9 3 2 3 4 4 2 3" xfId="27496"/>
    <cellStyle name="Normal 9 3 2 3 4 4 2 3 2" xfId="27497"/>
    <cellStyle name="Normal 9 3 2 3 4 4 2 3 3" xfId="27498"/>
    <cellStyle name="Normal 9 3 2 3 4 4 2 4" xfId="27499"/>
    <cellStyle name="Normal 9 3 2 3 4 4 2 5" xfId="27500"/>
    <cellStyle name="Normal 9 3 2 3 4 4 2 6" xfId="27501"/>
    <cellStyle name="Normal 9 3 2 3 4 4 2 7" xfId="27502"/>
    <cellStyle name="Normal 9 3 2 3 4 4 3" xfId="27503"/>
    <cellStyle name="Normal 9 3 2 3 4 4 3 2" xfId="27504"/>
    <cellStyle name="Normal 9 3 2 3 4 4 3 3" xfId="27505"/>
    <cellStyle name="Normal 9 3 2 3 4 4 4" xfId="27506"/>
    <cellStyle name="Normal 9 3 2 3 4 4 4 2" xfId="27507"/>
    <cellStyle name="Normal 9 3 2 3 4 4 4 3" xfId="27508"/>
    <cellStyle name="Normal 9 3 2 3 4 4 5" xfId="27509"/>
    <cellStyle name="Normal 9 3 2 3 4 4 6" xfId="27510"/>
    <cellStyle name="Normal 9 3 2 3 4 4 7" xfId="27511"/>
    <cellStyle name="Normal 9 3 2 3 4 4 8" xfId="27512"/>
    <cellStyle name="Normal 9 3 2 3 4 5" xfId="27513"/>
    <cellStyle name="Normal 9 3 2 3 4 5 2" xfId="27514"/>
    <cellStyle name="Normal 9 3 2 3 4 5 2 2" xfId="27515"/>
    <cellStyle name="Normal 9 3 2 3 4 5 2 3" xfId="27516"/>
    <cellStyle name="Normal 9 3 2 3 4 5 3" xfId="27517"/>
    <cellStyle name="Normal 9 3 2 3 4 5 3 2" xfId="27518"/>
    <cellStyle name="Normal 9 3 2 3 4 5 3 3" xfId="27519"/>
    <cellStyle name="Normal 9 3 2 3 4 5 4" xfId="27520"/>
    <cellStyle name="Normal 9 3 2 3 4 5 5" xfId="27521"/>
    <cellStyle name="Normal 9 3 2 3 4 5 6" xfId="27522"/>
    <cellStyle name="Normal 9 3 2 3 4 5 7" xfId="27523"/>
    <cellStyle name="Normal 9 3 2 3 4 6" xfId="27524"/>
    <cellStyle name="Normal 9 3 2 3 4 6 2" xfId="27525"/>
    <cellStyle name="Normal 9 3 2 3 4 6 3" xfId="27526"/>
    <cellStyle name="Normal 9 3 2 3 4 7" xfId="27527"/>
    <cellStyle name="Normal 9 3 2 3 4 7 2" xfId="27528"/>
    <cellStyle name="Normal 9 3 2 3 4 7 3" xfId="27529"/>
    <cellStyle name="Normal 9 3 2 3 4 8" xfId="27530"/>
    <cellStyle name="Normal 9 3 2 3 4 9" xfId="27531"/>
    <cellStyle name="Normal 9 3 2 3 5" xfId="27532"/>
    <cellStyle name="Normal 9 3 2 3 5 10" xfId="27533"/>
    <cellStyle name="Normal 9 3 2 3 5 11" xfId="27534"/>
    <cellStyle name="Normal 9 3 2 3 5 2" xfId="27535"/>
    <cellStyle name="Normal 9 3 2 3 5 2 2" xfId="27536"/>
    <cellStyle name="Normal 9 3 2 3 5 2 2 2" xfId="27537"/>
    <cellStyle name="Normal 9 3 2 3 5 2 2 2 2" xfId="27538"/>
    <cellStyle name="Normal 9 3 2 3 5 2 2 2 2 2" xfId="27539"/>
    <cellStyle name="Normal 9 3 2 3 5 2 2 2 2 3" xfId="27540"/>
    <cellStyle name="Normal 9 3 2 3 5 2 2 2 3" xfId="27541"/>
    <cellStyle name="Normal 9 3 2 3 5 2 2 2 3 2" xfId="27542"/>
    <cellStyle name="Normal 9 3 2 3 5 2 2 2 3 3" xfId="27543"/>
    <cellStyle name="Normal 9 3 2 3 5 2 2 2 4" xfId="27544"/>
    <cellStyle name="Normal 9 3 2 3 5 2 2 2 5" xfId="27545"/>
    <cellStyle name="Normal 9 3 2 3 5 2 2 2 6" xfId="27546"/>
    <cellStyle name="Normal 9 3 2 3 5 2 2 2 7" xfId="27547"/>
    <cellStyle name="Normal 9 3 2 3 5 2 2 3" xfId="27548"/>
    <cellStyle name="Normal 9 3 2 3 5 2 2 3 2" xfId="27549"/>
    <cellStyle name="Normal 9 3 2 3 5 2 2 3 3" xfId="27550"/>
    <cellStyle name="Normal 9 3 2 3 5 2 2 4" xfId="27551"/>
    <cellStyle name="Normal 9 3 2 3 5 2 2 4 2" xfId="27552"/>
    <cellStyle name="Normal 9 3 2 3 5 2 2 4 3" xfId="27553"/>
    <cellStyle name="Normal 9 3 2 3 5 2 2 5" xfId="27554"/>
    <cellStyle name="Normal 9 3 2 3 5 2 2 6" xfId="27555"/>
    <cellStyle name="Normal 9 3 2 3 5 2 2 7" xfId="27556"/>
    <cellStyle name="Normal 9 3 2 3 5 2 2 8" xfId="27557"/>
    <cellStyle name="Normal 9 3 2 3 5 2 3" xfId="27558"/>
    <cellStyle name="Normal 9 3 2 3 5 2 3 2" xfId="27559"/>
    <cellStyle name="Normal 9 3 2 3 5 2 3 2 2" xfId="27560"/>
    <cellStyle name="Normal 9 3 2 3 5 2 3 2 3" xfId="27561"/>
    <cellStyle name="Normal 9 3 2 3 5 2 3 3" xfId="27562"/>
    <cellStyle name="Normal 9 3 2 3 5 2 3 3 2" xfId="27563"/>
    <cellStyle name="Normal 9 3 2 3 5 2 3 3 3" xfId="27564"/>
    <cellStyle name="Normal 9 3 2 3 5 2 3 4" xfId="27565"/>
    <cellStyle name="Normal 9 3 2 3 5 2 3 5" xfId="27566"/>
    <cellStyle name="Normal 9 3 2 3 5 2 3 6" xfId="27567"/>
    <cellStyle name="Normal 9 3 2 3 5 2 3 7" xfId="27568"/>
    <cellStyle name="Normal 9 3 2 3 5 2 4" xfId="27569"/>
    <cellStyle name="Normal 9 3 2 3 5 2 4 2" xfId="27570"/>
    <cellStyle name="Normal 9 3 2 3 5 2 4 3" xfId="27571"/>
    <cellStyle name="Normal 9 3 2 3 5 2 5" xfId="27572"/>
    <cellStyle name="Normal 9 3 2 3 5 2 5 2" xfId="27573"/>
    <cellStyle name="Normal 9 3 2 3 5 2 5 3" xfId="27574"/>
    <cellStyle name="Normal 9 3 2 3 5 2 6" xfId="27575"/>
    <cellStyle name="Normal 9 3 2 3 5 2 7" xfId="27576"/>
    <cellStyle name="Normal 9 3 2 3 5 2 8" xfId="27577"/>
    <cellStyle name="Normal 9 3 2 3 5 2 9" xfId="27578"/>
    <cellStyle name="Normal 9 3 2 3 5 3" xfId="27579"/>
    <cellStyle name="Normal 9 3 2 3 5 3 2" xfId="27580"/>
    <cellStyle name="Normal 9 3 2 3 5 3 2 2" xfId="27581"/>
    <cellStyle name="Normal 9 3 2 3 5 3 2 2 2" xfId="27582"/>
    <cellStyle name="Normal 9 3 2 3 5 3 2 2 3" xfId="27583"/>
    <cellStyle name="Normal 9 3 2 3 5 3 2 3" xfId="27584"/>
    <cellStyle name="Normal 9 3 2 3 5 3 2 3 2" xfId="27585"/>
    <cellStyle name="Normal 9 3 2 3 5 3 2 3 3" xfId="27586"/>
    <cellStyle name="Normal 9 3 2 3 5 3 2 4" xfId="27587"/>
    <cellStyle name="Normal 9 3 2 3 5 3 2 5" xfId="27588"/>
    <cellStyle name="Normal 9 3 2 3 5 3 2 6" xfId="27589"/>
    <cellStyle name="Normal 9 3 2 3 5 3 2 7" xfId="27590"/>
    <cellStyle name="Normal 9 3 2 3 5 3 3" xfId="27591"/>
    <cellStyle name="Normal 9 3 2 3 5 3 3 2" xfId="27592"/>
    <cellStyle name="Normal 9 3 2 3 5 3 3 3" xfId="27593"/>
    <cellStyle name="Normal 9 3 2 3 5 3 4" xfId="27594"/>
    <cellStyle name="Normal 9 3 2 3 5 3 4 2" xfId="27595"/>
    <cellStyle name="Normal 9 3 2 3 5 3 4 3" xfId="27596"/>
    <cellStyle name="Normal 9 3 2 3 5 3 5" xfId="27597"/>
    <cellStyle name="Normal 9 3 2 3 5 3 6" xfId="27598"/>
    <cellStyle name="Normal 9 3 2 3 5 3 7" xfId="27599"/>
    <cellStyle name="Normal 9 3 2 3 5 3 8" xfId="27600"/>
    <cellStyle name="Normal 9 3 2 3 5 4" xfId="27601"/>
    <cellStyle name="Normal 9 3 2 3 5 4 2" xfId="27602"/>
    <cellStyle name="Normal 9 3 2 3 5 4 2 2" xfId="27603"/>
    <cellStyle name="Normal 9 3 2 3 5 4 2 2 2" xfId="27604"/>
    <cellStyle name="Normal 9 3 2 3 5 4 2 2 3" xfId="27605"/>
    <cellStyle name="Normal 9 3 2 3 5 4 2 3" xfId="27606"/>
    <cellStyle name="Normal 9 3 2 3 5 4 2 3 2" xfId="27607"/>
    <cellStyle name="Normal 9 3 2 3 5 4 2 3 3" xfId="27608"/>
    <cellStyle name="Normal 9 3 2 3 5 4 2 4" xfId="27609"/>
    <cellStyle name="Normal 9 3 2 3 5 4 2 5" xfId="27610"/>
    <cellStyle name="Normal 9 3 2 3 5 4 2 6" xfId="27611"/>
    <cellStyle name="Normal 9 3 2 3 5 4 2 7" xfId="27612"/>
    <cellStyle name="Normal 9 3 2 3 5 4 3" xfId="27613"/>
    <cellStyle name="Normal 9 3 2 3 5 4 3 2" xfId="27614"/>
    <cellStyle name="Normal 9 3 2 3 5 4 3 3" xfId="27615"/>
    <cellStyle name="Normal 9 3 2 3 5 4 4" xfId="27616"/>
    <cellStyle name="Normal 9 3 2 3 5 4 4 2" xfId="27617"/>
    <cellStyle name="Normal 9 3 2 3 5 4 4 3" xfId="27618"/>
    <cellStyle name="Normal 9 3 2 3 5 4 5" xfId="27619"/>
    <cellStyle name="Normal 9 3 2 3 5 4 6" xfId="27620"/>
    <cellStyle name="Normal 9 3 2 3 5 4 7" xfId="27621"/>
    <cellStyle name="Normal 9 3 2 3 5 4 8" xfId="27622"/>
    <cellStyle name="Normal 9 3 2 3 5 5" xfId="27623"/>
    <cellStyle name="Normal 9 3 2 3 5 5 2" xfId="27624"/>
    <cellStyle name="Normal 9 3 2 3 5 5 2 2" xfId="27625"/>
    <cellStyle name="Normal 9 3 2 3 5 5 2 3" xfId="27626"/>
    <cellStyle name="Normal 9 3 2 3 5 5 3" xfId="27627"/>
    <cellStyle name="Normal 9 3 2 3 5 5 3 2" xfId="27628"/>
    <cellStyle name="Normal 9 3 2 3 5 5 3 3" xfId="27629"/>
    <cellStyle name="Normal 9 3 2 3 5 5 4" xfId="27630"/>
    <cellStyle name="Normal 9 3 2 3 5 5 5" xfId="27631"/>
    <cellStyle name="Normal 9 3 2 3 5 5 6" xfId="27632"/>
    <cellStyle name="Normal 9 3 2 3 5 5 7" xfId="27633"/>
    <cellStyle name="Normal 9 3 2 3 5 6" xfId="27634"/>
    <cellStyle name="Normal 9 3 2 3 5 6 2" xfId="27635"/>
    <cellStyle name="Normal 9 3 2 3 5 6 3" xfId="27636"/>
    <cellStyle name="Normal 9 3 2 3 5 7" xfId="27637"/>
    <cellStyle name="Normal 9 3 2 3 5 7 2" xfId="27638"/>
    <cellStyle name="Normal 9 3 2 3 5 7 3" xfId="27639"/>
    <cellStyle name="Normal 9 3 2 3 5 8" xfId="27640"/>
    <cellStyle name="Normal 9 3 2 3 5 9" xfId="27641"/>
    <cellStyle name="Normal 9 3 2 3 6" xfId="27642"/>
    <cellStyle name="Normal 9 3 2 3 6 2" xfId="27643"/>
    <cellStyle name="Normal 9 3 2 3 6 2 2" xfId="27644"/>
    <cellStyle name="Normal 9 3 2 3 6 2 2 2" xfId="27645"/>
    <cellStyle name="Normal 9 3 2 3 6 2 2 2 2" xfId="27646"/>
    <cellStyle name="Normal 9 3 2 3 6 2 2 2 3" xfId="27647"/>
    <cellStyle name="Normal 9 3 2 3 6 2 2 3" xfId="27648"/>
    <cellStyle name="Normal 9 3 2 3 6 2 2 3 2" xfId="27649"/>
    <cellStyle name="Normal 9 3 2 3 6 2 2 3 3" xfId="27650"/>
    <cellStyle name="Normal 9 3 2 3 6 2 2 4" xfId="27651"/>
    <cellStyle name="Normal 9 3 2 3 6 2 2 5" xfId="27652"/>
    <cellStyle name="Normal 9 3 2 3 6 2 2 6" xfId="27653"/>
    <cellStyle name="Normal 9 3 2 3 6 2 2 7" xfId="27654"/>
    <cellStyle name="Normal 9 3 2 3 6 2 3" xfId="27655"/>
    <cellStyle name="Normal 9 3 2 3 6 2 3 2" xfId="27656"/>
    <cellStyle name="Normal 9 3 2 3 6 2 3 3" xfId="27657"/>
    <cellStyle name="Normal 9 3 2 3 6 2 4" xfId="27658"/>
    <cellStyle name="Normal 9 3 2 3 6 2 4 2" xfId="27659"/>
    <cellStyle name="Normal 9 3 2 3 6 2 4 3" xfId="27660"/>
    <cellStyle name="Normal 9 3 2 3 6 2 5" xfId="27661"/>
    <cellStyle name="Normal 9 3 2 3 6 2 6" xfId="27662"/>
    <cellStyle name="Normal 9 3 2 3 6 2 7" xfId="27663"/>
    <cellStyle name="Normal 9 3 2 3 6 2 8" xfId="27664"/>
    <cellStyle name="Normal 9 3 2 3 6 3" xfId="27665"/>
    <cellStyle name="Normal 9 3 2 3 6 3 2" xfId="27666"/>
    <cellStyle name="Normal 9 3 2 3 6 3 2 2" xfId="27667"/>
    <cellStyle name="Normal 9 3 2 3 6 3 2 3" xfId="27668"/>
    <cellStyle name="Normal 9 3 2 3 6 3 3" xfId="27669"/>
    <cellStyle name="Normal 9 3 2 3 6 3 3 2" xfId="27670"/>
    <cellStyle name="Normal 9 3 2 3 6 3 3 3" xfId="27671"/>
    <cellStyle name="Normal 9 3 2 3 6 3 4" xfId="27672"/>
    <cellStyle name="Normal 9 3 2 3 6 3 5" xfId="27673"/>
    <cellStyle name="Normal 9 3 2 3 6 3 6" xfId="27674"/>
    <cellStyle name="Normal 9 3 2 3 6 3 7" xfId="27675"/>
    <cellStyle name="Normal 9 3 2 3 6 4" xfId="27676"/>
    <cellStyle name="Normal 9 3 2 3 6 4 2" xfId="27677"/>
    <cellStyle name="Normal 9 3 2 3 6 4 3" xfId="27678"/>
    <cellStyle name="Normal 9 3 2 3 6 5" xfId="27679"/>
    <cellStyle name="Normal 9 3 2 3 6 5 2" xfId="27680"/>
    <cellStyle name="Normal 9 3 2 3 6 5 3" xfId="27681"/>
    <cellStyle name="Normal 9 3 2 3 6 6" xfId="27682"/>
    <cellStyle name="Normal 9 3 2 3 6 7" xfId="27683"/>
    <cellStyle name="Normal 9 3 2 3 6 8" xfId="27684"/>
    <cellStyle name="Normal 9 3 2 3 6 9" xfId="27685"/>
    <cellStyle name="Normal 9 3 2 3 7" xfId="27686"/>
    <cellStyle name="Normal 9 3 2 3 7 2" xfId="27687"/>
    <cellStyle name="Normal 9 3 2 3 7 2 2" xfId="27688"/>
    <cellStyle name="Normal 9 3 2 3 7 2 2 2" xfId="27689"/>
    <cellStyle name="Normal 9 3 2 3 7 2 2 3" xfId="27690"/>
    <cellStyle name="Normal 9 3 2 3 7 2 3" xfId="27691"/>
    <cellStyle name="Normal 9 3 2 3 7 2 3 2" xfId="27692"/>
    <cellStyle name="Normal 9 3 2 3 7 2 3 3" xfId="27693"/>
    <cellStyle name="Normal 9 3 2 3 7 2 4" xfId="27694"/>
    <cellStyle name="Normal 9 3 2 3 7 2 5" xfId="27695"/>
    <cellStyle name="Normal 9 3 2 3 7 2 6" xfId="27696"/>
    <cellStyle name="Normal 9 3 2 3 7 2 7" xfId="27697"/>
    <cellStyle name="Normal 9 3 2 3 7 3" xfId="27698"/>
    <cellStyle name="Normal 9 3 2 3 7 3 2" xfId="27699"/>
    <cellStyle name="Normal 9 3 2 3 7 3 3" xfId="27700"/>
    <cellStyle name="Normal 9 3 2 3 7 4" xfId="27701"/>
    <cellStyle name="Normal 9 3 2 3 7 4 2" xfId="27702"/>
    <cellStyle name="Normal 9 3 2 3 7 4 3" xfId="27703"/>
    <cellStyle name="Normal 9 3 2 3 7 5" xfId="27704"/>
    <cellStyle name="Normal 9 3 2 3 7 6" xfId="27705"/>
    <cellStyle name="Normal 9 3 2 3 7 7" xfId="27706"/>
    <cellStyle name="Normal 9 3 2 3 7 8" xfId="27707"/>
    <cellStyle name="Normal 9 3 2 3 8" xfId="27708"/>
    <cellStyle name="Normal 9 3 2 3 8 2" xfId="27709"/>
    <cellStyle name="Normal 9 3 2 3 8 2 2" xfId="27710"/>
    <cellStyle name="Normal 9 3 2 3 8 2 2 2" xfId="27711"/>
    <cellStyle name="Normal 9 3 2 3 8 2 2 3" xfId="27712"/>
    <cellStyle name="Normal 9 3 2 3 8 2 3" xfId="27713"/>
    <cellStyle name="Normal 9 3 2 3 8 2 3 2" xfId="27714"/>
    <cellStyle name="Normal 9 3 2 3 8 2 3 3" xfId="27715"/>
    <cellStyle name="Normal 9 3 2 3 8 2 4" xfId="27716"/>
    <cellStyle name="Normal 9 3 2 3 8 2 5" xfId="27717"/>
    <cellStyle name="Normal 9 3 2 3 8 2 6" xfId="27718"/>
    <cellStyle name="Normal 9 3 2 3 8 2 7" xfId="27719"/>
    <cellStyle name="Normal 9 3 2 3 8 3" xfId="27720"/>
    <cellStyle name="Normal 9 3 2 3 8 3 2" xfId="27721"/>
    <cellStyle name="Normal 9 3 2 3 8 3 3" xfId="27722"/>
    <cellStyle name="Normal 9 3 2 3 8 4" xfId="27723"/>
    <cellStyle name="Normal 9 3 2 3 8 4 2" xfId="27724"/>
    <cellStyle name="Normal 9 3 2 3 8 4 3" xfId="27725"/>
    <cellStyle name="Normal 9 3 2 3 8 5" xfId="27726"/>
    <cellStyle name="Normal 9 3 2 3 8 6" xfId="27727"/>
    <cellStyle name="Normal 9 3 2 3 8 7" xfId="27728"/>
    <cellStyle name="Normal 9 3 2 3 8 8" xfId="27729"/>
    <cellStyle name="Normal 9 3 2 3 9" xfId="27730"/>
    <cellStyle name="Normal 9 3 2 3 9 2" xfId="27731"/>
    <cellStyle name="Normal 9 3 2 3 9 2 2" xfId="27732"/>
    <cellStyle name="Normal 9 3 2 3 9 2 3" xfId="27733"/>
    <cellStyle name="Normal 9 3 2 3 9 3" xfId="27734"/>
    <cellStyle name="Normal 9 3 2 3 9 3 2" xfId="27735"/>
    <cellStyle name="Normal 9 3 2 3 9 3 3" xfId="27736"/>
    <cellStyle name="Normal 9 3 2 3 9 4" xfId="27737"/>
    <cellStyle name="Normal 9 3 2 3 9 5" xfId="27738"/>
    <cellStyle name="Normal 9 3 2 3 9 6" xfId="27739"/>
    <cellStyle name="Normal 9 3 2 3 9 7" xfId="27740"/>
    <cellStyle name="Normal 9 3 2 4" xfId="27741"/>
    <cellStyle name="Normal 9 3 2 4 10" xfId="27742"/>
    <cellStyle name="Normal 9 3 2 4 11" xfId="27743"/>
    <cellStyle name="Normal 9 3 2 4 12" xfId="27744"/>
    <cellStyle name="Normal 9 3 2 4 13" xfId="27745"/>
    <cellStyle name="Normal 9 3 2 4 2" xfId="27746"/>
    <cellStyle name="Normal 9 3 2 4 2 10" xfId="27747"/>
    <cellStyle name="Normal 9 3 2 4 2 11" xfId="27748"/>
    <cellStyle name="Normal 9 3 2 4 2 2" xfId="27749"/>
    <cellStyle name="Normal 9 3 2 4 2 2 2" xfId="27750"/>
    <cellStyle name="Normal 9 3 2 4 2 2 2 2" xfId="27751"/>
    <cellStyle name="Normal 9 3 2 4 2 2 2 2 2" xfId="27752"/>
    <cellStyle name="Normal 9 3 2 4 2 2 2 2 2 2" xfId="27753"/>
    <cellStyle name="Normal 9 3 2 4 2 2 2 2 2 3" xfId="27754"/>
    <cellStyle name="Normal 9 3 2 4 2 2 2 2 3" xfId="27755"/>
    <cellStyle name="Normal 9 3 2 4 2 2 2 2 3 2" xfId="27756"/>
    <cellStyle name="Normal 9 3 2 4 2 2 2 2 3 3" xfId="27757"/>
    <cellStyle name="Normal 9 3 2 4 2 2 2 2 4" xfId="27758"/>
    <cellStyle name="Normal 9 3 2 4 2 2 2 2 5" xfId="27759"/>
    <cellStyle name="Normal 9 3 2 4 2 2 2 2 6" xfId="27760"/>
    <cellStyle name="Normal 9 3 2 4 2 2 2 2 7" xfId="27761"/>
    <cellStyle name="Normal 9 3 2 4 2 2 2 3" xfId="27762"/>
    <cellStyle name="Normal 9 3 2 4 2 2 2 3 2" xfId="27763"/>
    <cellStyle name="Normal 9 3 2 4 2 2 2 3 3" xfId="27764"/>
    <cellStyle name="Normal 9 3 2 4 2 2 2 4" xfId="27765"/>
    <cellStyle name="Normal 9 3 2 4 2 2 2 4 2" xfId="27766"/>
    <cellStyle name="Normal 9 3 2 4 2 2 2 4 3" xfId="27767"/>
    <cellStyle name="Normal 9 3 2 4 2 2 2 5" xfId="27768"/>
    <cellStyle name="Normal 9 3 2 4 2 2 2 6" xfId="27769"/>
    <cellStyle name="Normal 9 3 2 4 2 2 2 7" xfId="27770"/>
    <cellStyle name="Normal 9 3 2 4 2 2 2 8" xfId="27771"/>
    <cellStyle name="Normal 9 3 2 4 2 2 3" xfId="27772"/>
    <cellStyle name="Normal 9 3 2 4 2 2 3 2" xfId="27773"/>
    <cellStyle name="Normal 9 3 2 4 2 2 3 2 2" xfId="27774"/>
    <cellStyle name="Normal 9 3 2 4 2 2 3 2 3" xfId="27775"/>
    <cellStyle name="Normal 9 3 2 4 2 2 3 3" xfId="27776"/>
    <cellStyle name="Normal 9 3 2 4 2 2 3 3 2" xfId="27777"/>
    <cellStyle name="Normal 9 3 2 4 2 2 3 3 3" xfId="27778"/>
    <cellStyle name="Normal 9 3 2 4 2 2 3 4" xfId="27779"/>
    <cellStyle name="Normal 9 3 2 4 2 2 3 5" xfId="27780"/>
    <cellStyle name="Normal 9 3 2 4 2 2 3 6" xfId="27781"/>
    <cellStyle name="Normal 9 3 2 4 2 2 3 7" xfId="27782"/>
    <cellStyle name="Normal 9 3 2 4 2 2 4" xfId="27783"/>
    <cellStyle name="Normal 9 3 2 4 2 2 4 2" xfId="27784"/>
    <cellStyle name="Normal 9 3 2 4 2 2 4 3" xfId="27785"/>
    <cellStyle name="Normal 9 3 2 4 2 2 5" xfId="27786"/>
    <cellStyle name="Normal 9 3 2 4 2 2 5 2" xfId="27787"/>
    <cellStyle name="Normal 9 3 2 4 2 2 5 3" xfId="27788"/>
    <cellStyle name="Normal 9 3 2 4 2 2 6" xfId="27789"/>
    <cellStyle name="Normal 9 3 2 4 2 2 7" xfId="27790"/>
    <cellStyle name="Normal 9 3 2 4 2 2 8" xfId="27791"/>
    <cellStyle name="Normal 9 3 2 4 2 2 9" xfId="27792"/>
    <cellStyle name="Normal 9 3 2 4 2 3" xfId="27793"/>
    <cellStyle name="Normal 9 3 2 4 2 3 2" xfId="27794"/>
    <cellStyle name="Normal 9 3 2 4 2 3 2 2" xfId="27795"/>
    <cellStyle name="Normal 9 3 2 4 2 3 2 2 2" xfId="27796"/>
    <cellStyle name="Normal 9 3 2 4 2 3 2 2 3" xfId="27797"/>
    <cellStyle name="Normal 9 3 2 4 2 3 2 3" xfId="27798"/>
    <cellStyle name="Normal 9 3 2 4 2 3 2 3 2" xfId="27799"/>
    <cellStyle name="Normal 9 3 2 4 2 3 2 3 3" xfId="27800"/>
    <cellStyle name="Normal 9 3 2 4 2 3 2 4" xfId="27801"/>
    <cellStyle name="Normal 9 3 2 4 2 3 2 5" xfId="27802"/>
    <cellStyle name="Normal 9 3 2 4 2 3 2 6" xfId="27803"/>
    <cellStyle name="Normal 9 3 2 4 2 3 2 7" xfId="27804"/>
    <cellStyle name="Normal 9 3 2 4 2 3 3" xfId="27805"/>
    <cellStyle name="Normal 9 3 2 4 2 3 3 2" xfId="27806"/>
    <cellStyle name="Normal 9 3 2 4 2 3 3 3" xfId="27807"/>
    <cellStyle name="Normal 9 3 2 4 2 3 4" xfId="27808"/>
    <cellStyle name="Normal 9 3 2 4 2 3 4 2" xfId="27809"/>
    <cellStyle name="Normal 9 3 2 4 2 3 4 3" xfId="27810"/>
    <cellStyle name="Normal 9 3 2 4 2 3 5" xfId="27811"/>
    <cellStyle name="Normal 9 3 2 4 2 3 6" xfId="27812"/>
    <cellStyle name="Normal 9 3 2 4 2 3 7" xfId="27813"/>
    <cellStyle name="Normal 9 3 2 4 2 3 8" xfId="27814"/>
    <cellStyle name="Normal 9 3 2 4 2 4" xfId="27815"/>
    <cellStyle name="Normal 9 3 2 4 2 4 2" xfId="27816"/>
    <cellStyle name="Normal 9 3 2 4 2 4 2 2" xfId="27817"/>
    <cellStyle name="Normal 9 3 2 4 2 4 2 2 2" xfId="27818"/>
    <cellStyle name="Normal 9 3 2 4 2 4 2 2 3" xfId="27819"/>
    <cellStyle name="Normal 9 3 2 4 2 4 2 3" xfId="27820"/>
    <cellStyle name="Normal 9 3 2 4 2 4 2 3 2" xfId="27821"/>
    <cellStyle name="Normal 9 3 2 4 2 4 2 3 3" xfId="27822"/>
    <cellStyle name="Normal 9 3 2 4 2 4 2 4" xfId="27823"/>
    <cellStyle name="Normal 9 3 2 4 2 4 2 5" xfId="27824"/>
    <cellStyle name="Normal 9 3 2 4 2 4 2 6" xfId="27825"/>
    <cellStyle name="Normal 9 3 2 4 2 4 2 7" xfId="27826"/>
    <cellStyle name="Normal 9 3 2 4 2 4 3" xfId="27827"/>
    <cellStyle name="Normal 9 3 2 4 2 4 3 2" xfId="27828"/>
    <cellStyle name="Normal 9 3 2 4 2 4 3 3" xfId="27829"/>
    <cellStyle name="Normal 9 3 2 4 2 4 4" xfId="27830"/>
    <cellStyle name="Normal 9 3 2 4 2 4 4 2" xfId="27831"/>
    <cellStyle name="Normal 9 3 2 4 2 4 4 3" xfId="27832"/>
    <cellStyle name="Normal 9 3 2 4 2 4 5" xfId="27833"/>
    <cellStyle name="Normal 9 3 2 4 2 4 6" xfId="27834"/>
    <cellStyle name="Normal 9 3 2 4 2 4 7" xfId="27835"/>
    <cellStyle name="Normal 9 3 2 4 2 4 8" xfId="27836"/>
    <cellStyle name="Normal 9 3 2 4 2 5" xfId="27837"/>
    <cellStyle name="Normal 9 3 2 4 2 5 2" xfId="27838"/>
    <cellStyle name="Normal 9 3 2 4 2 5 2 2" xfId="27839"/>
    <cellStyle name="Normal 9 3 2 4 2 5 2 3" xfId="27840"/>
    <cellStyle name="Normal 9 3 2 4 2 5 3" xfId="27841"/>
    <cellStyle name="Normal 9 3 2 4 2 5 3 2" xfId="27842"/>
    <cellStyle name="Normal 9 3 2 4 2 5 3 3" xfId="27843"/>
    <cellStyle name="Normal 9 3 2 4 2 5 4" xfId="27844"/>
    <cellStyle name="Normal 9 3 2 4 2 5 5" xfId="27845"/>
    <cellStyle name="Normal 9 3 2 4 2 5 6" xfId="27846"/>
    <cellStyle name="Normal 9 3 2 4 2 5 7" xfId="27847"/>
    <cellStyle name="Normal 9 3 2 4 2 6" xfId="27848"/>
    <cellStyle name="Normal 9 3 2 4 2 6 2" xfId="27849"/>
    <cellStyle name="Normal 9 3 2 4 2 6 3" xfId="27850"/>
    <cellStyle name="Normal 9 3 2 4 2 7" xfId="27851"/>
    <cellStyle name="Normal 9 3 2 4 2 7 2" xfId="27852"/>
    <cellStyle name="Normal 9 3 2 4 2 7 3" xfId="27853"/>
    <cellStyle name="Normal 9 3 2 4 2 8" xfId="27854"/>
    <cellStyle name="Normal 9 3 2 4 2 9" xfId="27855"/>
    <cellStyle name="Normal 9 3 2 4 3" xfId="27856"/>
    <cellStyle name="Normal 9 3 2 4 3 10" xfId="27857"/>
    <cellStyle name="Normal 9 3 2 4 3 11" xfId="27858"/>
    <cellStyle name="Normal 9 3 2 4 3 2" xfId="27859"/>
    <cellStyle name="Normal 9 3 2 4 3 2 2" xfId="27860"/>
    <cellStyle name="Normal 9 3 2 4 3 2 2 2" xfId="27861"/>
    <cellStyle name="Normal 9 3 2 4 3 2 2 2 2" xfId="27862"/>
    <cellStyle name="Normal 9 3 2 4 3 2 2 2 2 2" xfId="27863"/>
    <cellStyle name="Normal 9 3 2 4 3 2 2 2 2 3" xfId="27864"/>
    <cellStyle name="Normal 9 3 2 4 3 2 2 2 3" xfId="27865"/>
    <cellStyle name="Normal 9 3 2 4 3 2 2 2 3 2" xfId="27866"/>
    <cellStyle name="Normal 9 3 2 4 3 2 2 2 3 3" xfId="27867"/>
    <cellStyle name="Normal 9 3 2 4 3 2 2 2 4" xfId="27868"/>
    <cellStyle name="Normal 9 3 2 4 3 2 2 2 5" xfId="27869"/>
    <cellStyle name="Normal 9 3 2 4 3 2 2 2 6" xfId="27870"/>
    <cellStyle name="Normal 9 3 2 4 3 2 2 2 7" xfId="27871"/>
    <cellStyle name="Normal 9 3 2 4 3 2 2 3" xfId="27872"/>
    <cellStyle name="Normal 9 3 2 4 3 2 2 3 2" xfId="27873"/>
    <cellStyle name="Normal 9 3 2 4 3 2 2 3 3" xfId="27874"/>
    <cellStyle name="Normal 9 3 2 4 3 2 2 4" xfId="27875"/>
    <cellStyle name="Normal 9 3 2 4 3 2 2 4 2" xfId="27876"/>
    <cellStyle name="Normal 9 3 2 4 3 2 2 4 3" xfId="27877"/>
    <cellStyle name="Normal 9 3 2 4 3 2 2 5" xfId="27878"/>
    <cellStyle name="Normal 9 3 2 4 3 2 2 6" xfId="27879"/>
    <cellStyle name="Normal 9 3 2 4 3 2 2 7" xfId="27880"/>
    <cellStyle name="Normal 9 3 2 4 3 2 2 8" xfId="27881"/>
    <cellStyle name="Normal 9 3 2 4 3 2 3" xfId="27882"/>
    <cellStyle name="Normal 9 3 2 4 3 2 3 2" xfId="27883"/>
    <cellStyle name="Normal 9 3 2 4 3 2 3 2 2" xfId="27884"/>
    <cellStyle name="Normal 9 3 2 4 3 2 3 2 3" xfId="27885"/>
    <cellStyle name="Normal 9 3 2 4 3 2 3 3" xfId="27886"/>
    <cellStyle name="Normal 9 3 2 4 3 2 3 3 2" xfId="27887"/>
    <cellStyle name="Normal 9 3 2 4 3 2 3 3 3" xfId="27888"/>
    <cellStyle name="Normal 9 3 2 4 3 2 3 4" xfId="27889"/>
    <cellStyle name="Normal 9 3 2 4 3 2 3 5" xfId="27890"/>
    <cellStyle name="Normal 9 3 2 4 3 2 3 6" xfId="27891"/>
    <cellStyle name="Normal 9 3 2 4 3 2 3 7" xfId="27892"/>
    <cellStyle name="Normal 9 3 2 4 3 2 4" xfId="27893"/>
    <cellStyle name="Normal 9 3 2 4 3 2 4 2" xfId="27894"/>
    <cellStyle name="Normal 9 3 2 4 3 2 4 3" xfId="27895"/>
    <cellStyle name="Normal 9 3 2 4 3 2 5" xfId="27896"/>
    <cellStyle name="Normal 9 3 2 4 3 2 5 2" xfId="27897"/>
    <cellStyle name="Normal 9 3 2 4 3 2 5 3" xfId="27898"/>
    <cellStyle name="Normal 9 3 2 4 3 2 6" xfId="27899"/>
    <cellStyle name="Normal 9 3 2 4 3 2 7" xfId="27900"/>
    <cellStyle name="Normal 9 3 2 4 3 2 8" xfId="27901"/>
    <cellStyle name="Normal 9 3 2 4 3 2 9" xfId="27902"/>
    <cellStyle name="Normal 9 3 2 4 3 3" xfId="27903"/>
    <cellStyle name="Normal 9 3 2 4 3 3 2" xfId="27904"/>
    <cellStyle name="Normal 9 3 2 4 3 3 2 2" xfId="27905"/>
    <cellStyle name="Normal 9 3 2 4 3 3 2 2 2" xfId="27906"/>
    <cellStyle name="Normal 9 3 2 4 3 3 2 2 3" xfId="27907"/>
    <cellStyle name="Normal 9 3 2 4 3 3 2 3" xfId="27908"/>
    <cellStyle name="Normal 9 3 2 4 3 3 2 3 2" xfId="27909"/>
    <cellStyle name="Normal 9 3 2 4 3 3 2 3 3" xfId="27910"/>
    <cellStyle name="Normal 9 3 2 4 3 3 2 4" xfId="27911"/>
    <cellStyle name="Normal 9 3 2 4 3 3 2 5" xfId="27912"/>
    <cellStyle name="Normal 9 3 2 4 3 3 2 6" xfId="27913"/>
    <cellStyle name="Normal 9 3 2 4 3 3 2 7" xfId="27914"/>
    <cellStyle name="Normal 9 3 2 4 3 3 3" xfId="27915"/>
    <cellStyle name="Normal 9 3 2 4 3 3 3 2" xfId="27916"/>
    <cellStyle name="Normal 9 3 2 4 3 3 3 3" xfId="27917"/>
    <cellStyle name="Normal 9 3 2 4 3 3 4" xfId="27918"/>
    <cellStyle name="Normal 9 3 2 4 3 3 4 2" xfId="27919"/>
    <cellStyle name="Normal 9 3 2 4 3 3 4 3" xfId="27920"/>
    <cellStyle name="Normal 9 3 2 4 3 3 5" xfId="27921"/>
    <cellStyle name="Normal 9 3 2 4 3 3 6" xfId="27922"/>
    <cellStyle name="Normal 9 3 2 4 3 3 7" xfId="27923"/>
    <cellStyle name="Normal 9 3 2 4 3 3 8" xfId="27924"/>
    <cellStyle name="Normal 9 3 2 4 3 4" xfId="27925"/>
    <cellStyle name="Normal 9 3 2 4 3 4 2" xfId="27926"/>
    <cellStyle name="Normal 9 3 2 4 3 4 2 2" xfId="27927"/>
    <cellStyle name="Normal 9 3 2 4 3 4 2 2 2" xfId="27928"/>
    <cellStyle name="Normal 9 3 2 4 3 4 2 2 3" xfId="27929"/>
    <cellStyle name="Normal 9 3 2 4 3 4 2 3" xfId="27930"/>
    <cellStyle name="Normal 9 3 2 4 3 4 2 3 2" xfId="27931"/>
    <cellStyle name="Normal 9 3 2 4 3 4 2 3 3" xfId="27932"/>
    <cellStyle name="Normal 9 3 2 4 3 4 2 4" xfId="27933"/>
    <cellStyle name="Normal 9 3 2 4 3 4 2 5" xfId="27934"/>
    <cellStyle name="Normal 9 3 2 4 3 4 2 6" xfId="27935"/>
    <cellStyle name="Normal 9 3 2 4 3 4 2 7" xfId="27936"/>
    <cellStyle name="Normal 9 3 2 4 3 4 3" xfId="27937"/>
    <cellStyle name="Normal 9 3 2 4 3 4 3 2" xfId="27938"/>
    <cellStyle name="Normal 9 3 2 4 3 4 3 3" xfId="27939"/>
    <cellStyle name="Normal 9 3 2 4 3 4 4" xfId="27940"/>
    <cellStyle name="Normal 9 3 2 4 3 4 4 2" xfId="27941"/>
    <cellStyle name="Normal 9 3 2 4 3 4 4 3" xfId="27942"/>
    <cellStyle name="Normal 9 3 2 4 3 4 5" xfId="27943"/>
    <cellStyle name="Normal 9 3 2 4 3 4 6" xfId="27944"/>
    <cellStyle name="Normal 9 3 2 4 3 4 7" xfId="27945"/>
    <cellStyle name="Normal 9 3 2 4 3 4 8" xfId="27946"/>
    <cellStyle name="Normal 9 3 2 4 3 5" xfId="27947"/>
    <cellStyle name="Normal 9 3 2 4 3 5 2" xfId="27948"/>
    <cellStyle name="Normal 9 3 2 4 3 5 2 2" xfId="27949"/>
    <cellStyle name="Normal 9 3 2 4 3 5 2 3" xfId="27950"/>
    <cellStyle name="Normal 9 3 2 4 3 5 3" xfId="27951"/>
    <cellStyle name="Normal 9 3 2 4 3 5 3 2" xfId="27952"/>
    <cellStyle name="Normal 9 3 2 4 3 5 3 3" xfId="27953"/>
    <cellStyle name="Normal 9 3 2 4 3 5 4" xfId="27954"/>
    <cellStyle name="Normal 9 3 2 4 3 5 5" xfId="27955"/>
    <cellStyle name="Normal 9 3 2 4 3 5 6" xfId="27956"/>
    <cellStyle name="Normal 9 3 2 4 3 5 7" xfId="27957"/>
    <cellStyle name="Normal 9 3 2 4 3 6" xfId="27958"/>
    <cellStyle name="Normal 9 3 2 4 3 6 2" xfId="27959"/>
    <cellStyle name="Normal 9 3 2 4 3 6 3" xfId="27960"/>
    <cellStyle name="Normal 9 3 2 4 3 7" xfId="27961"/>
    <cellStyle name="Normal 9 3 2 4 3 7 2" xfId="27962"/>
    <cellStyle name="Normal 9 3 2 4 3 7 3" xfId="27963"/>
    <cellStyle name="Normal 9 3 2 4 3 8" xfId="27964"/>
    <cellStyle name="Normal 9 3 2 4 3 9" xfId="27965"/>
    <cellStyle name="Normal 9 3 2 4 4" xfId="27966"/>
    <cellStyle name="Normal 9 3 2 4 4 2" xfId="27967"/>
    <cellStyle name="Normal 9 3 2 4 4 2 2" xfId="27968"/>
    <cellStyle name="Normal 9 3 2 4 4 2 2 2" xfId="27969"/>
    <cellStyle name="Normal 9 3 2 4 4 2 2 2 2" xfId="27970"/>
    <cellStyle name="Normal 9 3 2 4 4 2 2 2 3" xfId="27971"/>
    <cellStyle name="Normal 9 3 2 4 4 2 2 3" xfId="27972"/>
    <cellStyle name="Normal 9 3 2 4 4 2 2 3 2" xfId="27973"/>
    <cellStyle name="Normal 9 3 2 4 4 2 2 3 3" xfId="27974"/>
    <cellStyle name="Normal 9 3 2 4 4 2 2 4" xfId="27975"/>
    <cellStyle name="Normal 9 3 2 4 4 2 2 5" xfId="27976"/>
    <cellStyle name="Normal 9 3 2 4 4 2 2 6" xfId="27977"/>
    <cellStyle name="Normal 9 3 2 4 4 2 2 7" xfId="27978"/>
    <cellStyle name="Normal 9 3 2 4 4 2 3" xfId="27979"/>
    <cellStyle name="Normal 9 3 2 4 4 2 3 2" xfId="27980"/>
    <cellStyle name="Normal 9 3 2 4 4 2 3 3" xfId="27981"/>
    <cellStyle name="Normal 9 3 2 4 4 2 4" xfId="27982"/>
    <cellStyle name="Normal 9 3 2 4 4 2 4 2" xfId="27983"/>
    <cellStyle name="Normal 9 3 2 4 4 2 4 3" xfId="27984"/>
    <cellStyle name="Normal 9 3 2 4 4 2 5" xfId="27985"/>
    <cellStyle name="Normal 9 3 2 4 4 2 6" xfId="27986"/>
    <cellStyle name="Normal 9 3 2 4 4 2 7" xfId="27987"/>
    <cellStyle name="Normal 9 3 2 4 4 2 8" xfId="27988"/>
    <cellStyle name="Normal 9 3 2 4 4 3" xfId="27989"/>
    <cellStyle name="Normal 9 3 2 4 4 3 2" xfId="27990"/>
    <cellStyle name="Normal 9 3 2 4 4 3 2 2" xfId="27991"/>
    <cellStyle name="Normal 9 3 2 4 4 3 2 3" xfId="27992"/>
    <cellStyle name="Normal 9 3 2 4 4 3 3" xfId="27993"/>
    <cellStyle name="Normal 9 3 2 4 4 3 3 2" xfId="27994"/>
    <cellStyle name="Normal 9 3 2 4 4 3 3 3" xfId="27995"/>
    <cellStyle name="Normal 9 3 2 4 4 3 4" xfId="27996"/>
    <cellStyle name="Normal 9 3 2 4 4 3 5" xfId="27997"/>
    <cellStyle name="Normal 9 3 2 4 4 3 6" xfId="27998"/>
    <cellStyle name="Normal 9 3 2 4 4 3 7" xfId="27999"/>
    <cellStyle name="Normal 9 3 2 4 4 4" xfId="28000"/>
    <cellStyle name="Normal 9 3 2 4 4 4 2" xfId="28001"/>
    <cellStyle name="Normal 9 3 2 4 4 4 3" xfId="28002"/>
    <cellStyle name="Normal 9 3 2 4 4 5" xfId="28003"/>
    <cellStyle name="Normal 9 3 2 4 4 5 2" xfId="28004"/>
    <cellStyle name="Normal 9 3 2 4 4 5 3" xfId="28005"/>
    <cellStyle name="Normal 9 3 2 4 4 6" xfId="28006"/>
    <cellStyle name="Normal 9 3 2 4 4 7" xfId="28007"/>
    <cellStyle name="Normal 9 3 2 4 4 8" xfId="28008"/>
    <cellStyle name="Normal 9 3 2 4 4 9" xfId="28009"/>
    <cellStyle name="Normal 9 3 2 4 5" xfId="28010"/>
    <cellStyle name="Normal 9 3 2 4 5 2" xfId="28011"/>
    <cellStyle name="Normal 9 3 2 4 5 2 2" xfId="28012"/>
    <cellStyle name="Normal 9 3 2 4 5 2 2 2" xfId="28013"/>
    <cellStyle name="Normal 9 3 2 4 5 2 2 3" xfId="28014"/>
    <cellStyle name="Normal 9 3 2 4 5 2 3" xfId="28015"/>
    <cellStyle name="Normal 9 3 2 4 5 2 3 2" xfId="28016"/>
    <cellStyle name="Normal 9 3 2 4 5 2 3 3" xfId="28017"/>
    <cellStyle name="Normal 9 3 2 4 5 2 4" xfId="28018"/>
    <cellStyle name="Normal 9 3 2 4 5 2 5" xfId="28019"/>
    <cellStyle name="Normal 9 3 2 4 5 2 6" xfId="28020"/>
    <cellStyle name="Normal 9 3 2 4 5 2 7" xfId="28021"/>
    <cellStyle name="Normal 9 3 2 4 5 3" xfId="28022"/>
    <cellStyle name="Normal 9 3 2 4 5 3 2" xfId="28023"/>
    <cellStyle name="Normal 9 3 2 4 5 3 3" xfId="28024"/>
    <cellStyle name="Normal 9 3 2 4 5 4" xfId="28025"/>
    <cellStyle name="Normal 9 3 2 4 5 4 2" xfId="28026"/>
    <cellStyle name="Normal 9 3 2 4 5 4 3" xfId="28027"/>
    <cellStyle name="Normal 9 3 2 4 5 5" xfId="28028"/>
    <cellStyle name="Normal 9 3 2 4 5 6" xfId="28029"/>
    <cellStyle name="Normal 9 3 2 4 5 7" xfId="28030"/>
    <cellStyle name="Normal 9 3 2 4 5 8" xfId="28031"/>
    <cellStyle name="Normal 9 3 2 4 6" xfId="28032"/>
    <cellStyle name="Normal 9 3 2 4 6 2" xfId="28033"/>
    <cellStyle name="Normal 9 3 2 4 6 2 2" xfId="28034"/>
    <cellStyle name="Normal 9 3 2 4 6 2 2 2" xfId="28035"/>
    <cellStyle name="Normal 9 3 2 4 6 2 2 3" xfId="28036"/>
    <cellStyle name="Normal 9 3 2 4 6 2 3" xfId="28037"/>
    <cellStyle name="Normal 9 3 2 4 6 2 3 2" xfId="28038"/>
    <cellStyle name="Normal 9 3 2 4 6 2 3 3" xfId="28039"/>
    <cellStyle name="Normal 9 3 2 4 6 2 4" xfId="28040"/>
    <cellStyle name="Normal 9 3 2 4 6 2 5" xfId="28041"/>
    <cellStyle name="Normal 9 3 2 4 6 2 6" xfId="28042"/>
    <cellStyle name="Normal 9 3 2 4 6 2 7" xfId="28043"/>
    <cellStyle name="Normal 9 3 2 4 6 3" xfId="28044"/>
    <cellStyle name="Normal 9 3 2 4 6 3 2" xfId="28045"/>
    <cellStyle name="Normal 9 3 2 4 6 3 3" xfId="28046"/>
    <cellStyle name="Normal 9 3 2 4 6 4" xfId="28047"/>
    <cellStyle name="Normal 9 3 2 4 6 4 2" xfId="28048"/>
    <cellStyle name="Normal 9 3 2 4 6 4 3" xfId="28049"/>
    <cellStyle name="Normal 9 3 2 4 6 5" xfId="28050"/>
    <cellStyle name="Normal 9 3 2 4 6 6" xfId="28051"/>
    <cellStyle name="Normal 9 3 2 4 6 7" xfId="28052"/>
    <cellStyle name="Normal 9 3 2 4 6 8" xfId="28053"/>
    <cellStyle name="Normal 9 3 2 4 7" xfId="28054"/>
    <cellStyle name="Normal 9 3 2 4 7 2" xfId="28055"/>
    <cellStyle name="Normal 9 3 2 4 7 2 2" xfId="28056"/>
    <cellStyle name="Normal 9 3 2 4 7 2 3" xfId="28057"/>
    <cellStyle name="Normal 9 3 2 4 7 3" xfId="28058"/>
    <cellStyle name="Normal 9 3 2 4 7 3 2" xfId="28059"/>
    <cellStyle name="Normal 9 3 2 4 7 3 3" xfId="28060"/>
    <cellStyle name="Normal 9 3 2 4 7 4" xfId="28061"/>
    <cellStyle name="Normal 9 3 2 4 7 5" xfId="28062"/>
    <cellStyle name="Normal 9 3 2 4 7 6" xfId="28063"/>
    <cellStyle name="Normal 9 3 2 4 7 7" xfId="28064"/>
    <cellStyle name="Normal 9 3 2 4 8" xfId="28065"/>
    <cellStyle name="Normal 9 3 2 4 8 2" xfId="28066"/>
    <cellStyle name="Normal 9 3 2 4 8 3" xfId="28067"/>
    <cellStyle name="Normal 9 3 2 4 9" xfId="28068"/>
    <cellStyle name="Normal 9 3 2 4 9 2" xfId="28069"/>
    <cellStyle name="Normal 9 3 2 4 9 3" xfId="28070"/>
    <cellStyle name="Normal 9 3 2 5" xfId="28071"/>
    <cellStyle name="Normal 9 3 2 5 10" xfId="28072"/>
    <cellStyle name="Normal 9 3 2 5 11" xfId="28073"/>
    <cellStyle name="Normal 9 3 2 5 2" xfId="28074"/>
    <cellStyle name="Normal 9 3 2 5 2 2" xfId="28075"/>
    <cellStyle name="Normal 9 3 2 5 2 2 2" xfId="28076"/>
    <cellStyle name="Normal 9 3 2 5 2 2 2 2" xfId="28077"/>
    <cellStyle name="Normal 9 3 2 5 2 2 2 2 2" xfId="28078"/>
    <cellStyle name="Normal 9 3 2 5 2 2 2 2 3" xfId="28079"/>
    <cellStyle name="Normal 9 3 2 5 2 2 2 3" xfId="28080"/>
    <cellStyle name="Normal 9 3 2 5 2 2 2 3 2" xfId="28081"/>
    <cellStyle name="Normal 9 3 2 5 2 2 2 3 3" xfId="28082"/>
    <cellStyle name="Normal 9 3 2 5 2 2 2 4" xfId="28083"/>
    <cellStyle name="Normal 9 3 2 5 2 2 2 5" xfId="28084"/>
    <cellStyle name="Normal 9 3 2 5 2 2 2 6" xfId="28085"/>
    <cellStyle name="Normal 9 3 2 5 2 2 2 7" xfId="28086"/>
    <cellStyle name="Normal 9 3 2 5 2 2 3" xfId="28087"/>
    <cellStyle name="Normal 9 3 2 5 2 2 3 2" xfId="28088"/>
    <cellStyle name="Normal 9 3 2 5 2 2 3 3" xfId="28089"/>
    <cellStyle name="Normal 9 3 2 5 2 2 4" xfId="28090"/>
    <cellStyle name="Normal 9 3 2 5 2 2 4 2" xfId="28091"/>
    <cellStyle name="Normal 9 3 2 5 2 2 4 3" xfId="28092"/>
    <cellStyle name="Normal 9 3 2 5 2 2 5" xfId="28093"/>
    <cellStyle name="Normal 9 3 2 5 2 2 6" xfId="28094"/>
    <cellStyle name="Normal 9 3 2 5 2 2 7" xfId="28095"/>
    <cellStyle name="Normal 9 3 2 5 2 2 8" xfId="28096"/>
    <cellStyle name="Normal 9 3 2 5 2 3" xfId="28097"/>
    <cellStyle name="Normal 9 3 2 5 2 3 2" xfId="28098"/>
    <cellStyle name="Normal 9 3 2 5 2 3 2 2" xfId="28099"/>
    <cellStyle name="Normal 9 3 2 5 2 3 2 3" xfId="28100"/>
    <cellStyle name="Normal 9 3 2 5 2 3 3" xfId="28101"/>
    <cellStyle name="Normal 9 3 2 5 2 3 3 2" xfId="28102"/>
    <cellStyle name="Normal 9 3 2 5 2 3 3 3" xfId="28103"/>
    <cellStyle name="Normal 9 3 2 5 2 3 4" xfId="28104"/>
    <cellStyle name="Normal 9 3 2 5 2 3 5" xfId="28105"/>
    <cellStyle name="Normal 9 3 2 5 2 3 6" xfId="28106"/>
    <cellStyle name="Normal 9 3 2 5 2 3 7" xfId="28107"/>
    <cellStyle name="Normal 9 3 2 5 2 4" xfId="28108"/>
    <cellStyle name="Normal 9 3 2 5 2 4 2" xfId="28109"/>
    <cellStyle name="Normal 9 3 2 5 2 4 3" xfId="28110"/>
    <cellStyle name="Normal 9 3 2 5 2 5" xfId="28111"/>
    <cellStyle name="Normal 9 3 2 5 2 5 2" xfId="28112"/>
    <cellStyle name="Normal 9 3 2 5 2 5 3" xfId="28113"/>
    <cellStyle name="Normal 9 3 2 5 2 6" xfId="28114"/>
    <cellStyle name="Normal 9 3 2 5 2 7" xfId="28115"/>
    <cellStyle name="Normal 9 3 2 5 2 8" xfId="28116"/>
    <cellStyle name="Normal 9 3 2 5 2 9" xfId="28117"/>
    <cellStyle name="Normal 9 3 2 5 3" xfId="28118"/>
    <cellStyle name="Normal 9 3 2 5 3 2" xfId="28119"/>
    <cellStyle name="Normal 9 3 2 5 3 2 2" xfId="28120"/>
    <cellStyle name="Normal 9 3 2 5 3 2 2 2" xfId="28121"/>
    <cellStyle name="Normal 9 3 2 5 3 2 2 3" xfId="28122"/>
    <cellStyle name="Normal 9 3 2 5 3 2 3" xfId="28123"/>
    <cellStyle name="Normal 9 3 2 5 3 2 3 2" xfId="28124"/>
    <cellStyle name="Normal 9 3 2 5 3 2 3 3" xfId="28125"/>
    <cellStyle name="Normal 9 3 2 5 3 2 4" xfId="28126"/>
    <cellStyle name="Normal 9 3 2 5 3 2 5" xfId="28127"/>
    <cellStyle name="Normal 9 3 2 5 3 2 6" xfId="28128"/>
    <cellStyle name="Normal 9 3 2 5 3 2 7" xfId="28129"/>
    <cellStyle name="Normal 9 3 2 5 3 3" xfId="28130"/>
    <cellStyle name="Normal 9 3 2 5 3 3 2" xfId="28131"/>
    <cellStyle name="Normal 9 3 2 5 3 3 3" xfId="28132"/>
    <cellStyle name="Normal 9 3 2 5 3 4" xfId="28133"/>
    <cellStyle name="Normal 9 3 2 5 3 4 2" xfId="28134"/>
    <cellStyle name="Normal 9 3 2 5 3 4 3" xfId="28135"/>
    <cellStyle name="Normal 9 3 2 5 3 5" xfId="28136"/>
    <cellStyle name="Normal 9 3 2 5 3 6" xfId="28137"/>
    <cellStyle name="Normal 9 3 2 5 3 7" xfId="28138"/>
    <cellStyle name="Normal 9 3 2 5 3 8" xfId="28139"/>
    <cellStyle name="Normal 9 3 2 5 4" xfId="28140"/>
    <cellStyle name="Normal 9 3 2 5 4 2" xfId="28141"/>
    <cellStyle name="Normal 9 3 2 5 4 2 2" xfId="28142"/>
    <cellStyle name="Normal 9 3 2 5 4 2 2 2" xfId="28143"/>
    <cellStyle name="Normal 9 3 2 5 4 2 2 3" xfId="28144"/>
    <cellStyle name="Normal 9 3 2 5 4 2 3" xfId="28145"/>
    <cellStyle name="Normal 9 3 2 5 4 2 3 2" xfId="28146"/>
    <cellStyle name="Normal 9 3 2 5 4 2 3 3" xfId="28147"/>
    <cellStyle name="Normal 9 3 2 5 4 2 4" xfId="28148"/>
    <cellStyle name="Normal 9 3 2 5 4 2 5" xfId="28149"/>
    <cellStyle name="Normal 9 3 2 5 4 2 6" xfId="28150"/>
    <cellStyle name="Normal 9 3 2 5 4 2 7" xfId="28151"/>
    <cellStyle name="Normal 9 3 2 5 4 3" xfId="28152"/>
    <cellStyle name="Normal 9 3 2 5 4 3 2" xfId="28153"/>
    <cellStyle name="Normal 9 3 2 5 4 3 3" xfId="28154"/>
    <cellStyle name="Normal 9 3 2 5 4 4" xfId="28155"/>
    <cellStyle name="Normal 9 3 2 5 4 4 2" xfId="28156"/>
    <cellStyle name="Normal 9 3 2 5 4 4 3" xfId="28157"/>
    <cellStyle name="Normal 9 3 2 5 4 5" xfId="28158"/>
    <cellStyle name="Normal 9 3 2 5 4 6" xfId="28159"/>
    <cellStyle name="Normal 9 3 2 5 4 7" xfId="28160"/>
    <cellStyle name="Normal 9 3 2 5 4 8" xfId="28161"/>
    <cellStyle name="Normal 9 3 2 5 5" xfId="28162"/>
    <cellStyle name="Normal 9 3 2 5 5 2" xfId="28163"/>
    <cellStyle name="Normal 9 3 2 5 5 2 2" xfId="28164"/>
    <cellStyle name="Normal 9 3 2 5 5 2 3" xfId="28165"/>
    <cellStyle name="Normal 9 3 2 5 5 3" xfId="28166"/>
    <cellStyle name="Normal 9 3 2 5 5 3 2" xfId="28167"/>
    <cellStyle name="Normal 9 3 2 5 5 3 3" xfId="28168"/>
    <cellStyle name="Normal 9 3 2 5 5 4" xfId="28169"/>
    <cellStyle name="Normal 9 3 2 5 5 5" xfId="28170"/>
    <cellStyle name="Normal 9 3 2 5 5 6" xfId="28171"/>
    <cellStyle name="Normal 9 3 2 5 5 7" xfId="28172"/>
    <cellStyle name="Normal 9 3 2 5 6" xfId="28173"/>
    <cellStyle name="Normal 9 3 2 5 6 2" xfId="28174"/>
    <cellStyle name="Normal 9 3 2 5 6 3" xfId="28175"/>
    <cellStyle name="Normal 9 3 2 5 7" xfId="28176"/>
    <cellStyle name="Normal 9 3 2 5 7 2" xfId="28177"/>
    <cellStyle name="Normal 9 3 2 5 7 3" xfId="28178"/>
    <cellStyle name="Normal 9 3 2 5 8" xfId="28179"/>
    <cellStyle name="Normal 9 3 2 5 9" xfId="28180"/>
    <cellStyle name="Normal 9 3 2 6" xfId="28181"/>
    <cellStyle name="Normal 9 3 2 6 10" xfId="28182"/>
    <cellStyle name="Normal 9 3 2 6 11" xfId="28183"/>
    <cellStyle name="Normal 9 3 2 6 2" xfId="28184"/>
    <cellStyle name="Normal 9 3 2 6 2 2" xfId="28185"/>
    <cellStyle name="Normal 9 3 2 6 2 2 2" xfId="28186"/>
    <cellStyle name="Normal 9 3 2 6 2 2 2 2" xfId="28187"/>
    <cellStyle name="Normal 9 3 2 6 2 2 2 2 2" xfId="28188"/>
    <cellStyle name="Normal 9 3 2 6 2 2 2 2 3" xfId="28189"/>
    <cellStyle name="Normal 9 3 2 6 2 2 2 3" xfId="28190"/>
    <cellStyle name="Normal 9 3 2 6 2 2 2 3 2" xfId="28191"/>
    <cellStyle name="Normal 9 3 2 6 2 2 2 3 3" xfId="28192"/>
    <cellStyle name="Normal 9 3 2 6 2 2 2 4" xfId="28193"/>
    <cellStyle name="Normal 9 3 2 6 2 2 2 5" xfId="28194"/>
    <cellStyle name="Normal 9 3 2 6 2 2 2 6" xfId="28195"/>
    <cellStyle name="Normal 9 3 2 6 2 2 2 7" xfId="28196"/>
    <cellStyle name="Normal 9 3 2 6 2 2 3" xfId="28197"/>
    <cellStyle name="Normal 9 3 2 6 2 2 3 2" xfId="28198"/>
    <cellStyle name="Normal 9 3 2 6 2 2 3 3" xfId="28199"/>
    <cellStyle name="Normal 9 3 2 6 2 2 4" xfId="28200"/>
    <cellStyle name="Normal 9 3 2 6 2 2 4 2" xfId="28201"/>
    <cellStyle name="Normal 9 3 2 6 2 2 4 3" xfId="28202"/>
    <cellStyle name="Normal 9 3 2 6 2 2 5" xfId="28203"/>
    <cellStyle name="Normal 9 3 2 6 2 2 6" xfId="28204"/>
    <cellStyle name="Normal 9 3 2 6 2 2 7" xfId="28205"/>
    <cellStyle name="Normal 9 3 2 6 2 2 8" xfId="28206"/>
    <cellStyle name="Normal 9 3 2 6 2 3" xfId="28207"/>
    <cellStyle name="Normal 9 3 2 6 2 3 2" xfId="28208"/>
    <cellStyle name="Normal 9 3 2 6 2 3 2 2" xfId="28209"/>
    <cellStyle name="Normal 9 3 2 6 2 3 2 3" xfId="28210"/>
    <cellStyle name="Normal 9 3 2 6 2 3 3" xfId="28211"/>
    <cellStyle name="Normal 9 3 2 6 2 3 3 2" xfId="28212"/>
    <cellStyle name="Normal 9 3 2 6 2 3 3 3" xfId="28213"/>
    <cellStyle name="Normal 9 3 2 6 2 3 4" xfId="28214"/>
    <cellStyle name="Normal 9 3 2 6 2 3 5" xfId="28215"/>
    <cellStyle name="Normal 9 3 2 6 2 3 6" xfId="28216"/>
    <cellStyle name="Normal 9 3 2 6 2 3 7" xfId="28217"/>
    <cellStyle name="Normal 9 3 2 6 2 4" xfId="28218"/>
    <cellStyle name="Normal 9 3 2 6 2 4 2" xfId="28219"/>
    <cellStyle name="Normal 9 3 2 6 2 4 3" xfId="28220"/>
    <cellStyle name="Normal 9 3 2 6 2 5" xfId="28221"/>
    <cellStyle name="Normal 9 3 2 6 2 5 2" xfId="28222"/>
    <cellStyle name="Normal 9 3 2 6 2 5 3" xfId="28223"/>
    <cellStyle name="Normal 9 3 2 6 2 6" xfId="28224"/>
    <cellStyle name="Normal 9 3 2 6 2 7" xfId="28225"/>
    <cellStyle name="Normal 9 3 2 6 2 8" xfId="28226"/>
    <cellStyle name="Normal 9 3 2 6 2 9" xfId="28227"/>
    <cellStyle name="Normal 9 3 2 6 3" xfId="28228"/>
    <cellStyle name="Normal 9 3 2 6 3 2" xfId="28229"/>
    <cellStyle name="Normal 9 3 2 6 3 2 2" xfId="28230"/>
    <cellStyle name="Normal 9 3 2 6 3 2 2 2" xfId="28231"/>
    <cellStyle name="Normal 9 3 2 6 3 2 2 3" xfId="28232"/>
    <cellStyle name="Normal 9 3 2 6 3 2 3" xfId="28233"/>
    <cellStyle name="Normal 9 3 2 6 3 2 3 2" xfId="28234"/>
    <cellStyle name="Normal 9 3 2 6 3 2 3 3" xfId="28235"/>
    <cellStyle name="Normal 9 3 2 6 3 2 4" xfId="28236"/>
    <cellStyle name="Normal 9 3 2 6 3 2 5" xfId="28237"/>
    <cellStyle name="Normal 9 3 2 6 3 2 6" xfId="28238"/>
    <cellStyle name="Normal 9 3 2 6 3 2 7" xfId="28239"/>
    <cellStyle name="Normal 9 3 2 6 3 3" xfId="28240"/>
    <cellStyle name="Normal 9 3 2 6 3 3 2" xfId="28241"/>
    <cellStyle name="Normal 9 3 2 6 3 3 3" xfId="28242"/>
    <cellStyle name="Normal 9 3 2 6 3 4" xfId="28243"/>
    <cellStyle name="Normal 9 3 2 6 3 4 2" xfId="28244"/>
    <cellStyle name="Normal 9 3 2 6 3 4 3" xfId="28245"/>
    <cellStyle name="Normal 9 3 2 6 3 5" xfId="28246"/>
    <cellStyle name="Normal 9 3 2 6 3 6" xfId="28247"/>
    <cellStyle name="Normal 9 3 2 6 3 7" xfId="28248"/>
    <cellStyle name="Normal 9 3 2 6 3 8" xfId="28249"/>
    <cellStyle name="Normal 9 3 2 6 4" xfId="28250"/>
    <cellStyle name="Normal 9 3 2 6 4 2" xfId="28251"/>
    <cellStyle name="Normal 9 3 2 6 4 2 2" xfId="28252"/>
    <cellStyle name="Normal 9 3 2 6 4 2 2 2" xfId="28253"/>
    <cellStyle name="Normal 9 3 2 6 4 2 2 3" xfId="28254"/>
    <cellStyle name="Normal 9 3 2 6 4 2 3" xfId="28255"/>
    <cellStyle name="Normal 9 3 2 6 4 2 3 2" xfId="28256"/>
    <cellStyle name="Normal 9 3 2 6 4 2 3 3" xfId="28257"/>
    <cellStyle name="Normal 9 3 2 6 4 2 4" xfId="28258"/>
    <cellStyle name="Normal 9 3 2 6 4 2 5" xfId="28259"/>
    <cellStyle name="Normal 9 3 2 6 4 2 6" xfId="28260"/>
    <cellStyle name="Normal 9 3 2 6 4 2 7" xfId="28261"/>
    <cellStyle name="Normal 9 3 2 6 4 3" xfId="28262"/>
    <cellStyle name="Normal 9 3 2 6 4 3 2" xfId="28263"/>
    <cellStyle name="Normal 9 3 2 6 4 3 3" xfId="28264"/>
    <cellStyle name="Normal 9 3 2 6 4 4" xfId="28265"/>
    <cellStyle name="Normal 9 3 2 6 4 4 2" xfId="28266"/>
    <cellStyle name="Normal 9 3 2 6 4 4 3" xfId="28267"/>
    <cellStyle name="Normal 9 3 2 6 4 5" xfId="28268"/>
    <cellStyle name="Normal 9 3 2 6 4 6" xfId="28269"/>
    <cellStyle name="Normal 9 3 2 6 4 7" xfId="28270"/>
    <cellStyle name="Normal 9 3 2 6 4 8" xfId="28271"/>
    <cellStyle name="Normal 9 3 2 6 5" xfId="28272"/>
    <cellStyle name="Normal 9 3 2 6 5 2" xfId="28273"/>
    <cellStyle name="Normal 9 3 2 6 5 2 2" xfId="28274"/>
    <cellStyle name="Normal 9 3 2 6 5 2 3" xfId="28275"/>
    <cellStyle name="Normal 9 3 2 6 5 3" xfId="28276"/>
    <cellStyle name="Normal 9 3 2 6 5 3 2" xfId="28277"/>
    <cellStyle name="Normal 9 3 2 6 5 3 3" xfId="28278"/>
    <cellStyle name="Normal 9 3 2 6 5 4" xfId="28279"/>
    <cellStyle name="Normal 9 3 2 6 5 5" xfId="28280"/>
    <cellStyle name="Normal 9 3 2 6 5 6" xfId="28281"/>
    <cellStyle name="Normal 9 3 2 6 5 7" xfId="28282"/>
    <cellStyle name="Normal 9 3 2 6 6" xfId="28283"/>
    <cellStyle name="Normal 9 3 2 6 6 2" xfId="28284"/>
    <cellStyle name="Normal 9 3 2 6 6 3" xfId="28285"/>
    <cellStyle name="Normal 9 3 2 6 7" xfId="28286"/>
    <cellStyle name="Normal 9 3 2 6 7 2" xfId="28287"/>
    <cellStyle name="Normal 9 3 2 6 7 3" xfId="28288"/>
    <cellStyle name="Normal 9 3 2 6 8" xfId="28289"/>
    <cellStyle name="Normal 9 3 2 6 9" xfId="28290"/>
    <cellStyle name="Normal 9 3 2 7" xfId="28291"/>
    <cellStyle name="Normal 9 3 2 7 10" xfId="28292"/>
    <cellStyle name="Normal 9 3 2 7 11" xfId="28293"/>
    <cellStyle name="Normal 9 3 2 7 2" xfId="28294"/>
    <cellStyle name="Normal 9 3 2 7 2 2" xfId="28295"/>
    <cellStyle name="Normal 9 3 2 7 2 2 2" xfId="28296"/>
    <cellStyle name="Normal 9 3 2 7 2 2 2 2" xfId="28297"/>
    <cellStyle name="Normal 9 3 2 7 2 2 2 2 2" xfId="28298"/>
    <cellStyle name="Normal 9 3 2 7 2 2 2 2 3" xfId="28299"/>
    <cellStyle name="Normal 9 3 2 7 2 2 2 3" xfId="28300"/>
    <cellStyle name="Normal 9 3 2 7 2 2 2 3 2" xfId="28301"/>
    <cellStyle name="Normal 9 3 2 7 2 2 2 3 3" xfId="28302"/>
    <cellStyle name="Normal 9 3 2 7 2 2 2 4" xfId="28303"/>
    <cellStyle name="Normal 9 3 2 7 2 2 2 5" xfId="28304"/>
    <cellStyle name="Normal 9 3 2 7 2 2 2 6" xfId="28305"/>
    <cellStyle name="Normal 9 3 2 7 2 2 2 7" xfId="28306"/>
    <cellStyle name="Normal 9 3 2 7 2 2 3" xfId="28307"/>
    <cellStyle name="Normal 9 3 2 7 2 2 3 2" xfId="28308"/>
    <cellStyle name="Normal 9 3 2 7 2 2 3 3" xfId="28309"/>
    <cellStyle name="Normal 9 3 2 7 2 2 4" xfId="28310"/>
    <cellStyle name="Normal 9 3 2 7 2 2 4 2" xfId="28311"/>
    <cellStyle name="Normal 9 3 2 7 2 2 4 3" xfId="28312"/>
    <cellStyle name="Normal 9 3 2 7 2 2 5" xfId="28313"/>
    <cellStyle name="Normal 9 3 2 7 2 2 6" xfId="28314"/>
    <cellStyle name="Normal 9 3 2 7 2 2 7" xfId="28315"/>
    <cellStyle name="Normal 9 3 2 7 2 2 8" xfId="28316"/>
    <cellStyle name="Normal 9 3 2 7 2 3" xfId="28317"/>
    <cellStyle name="Normal 9 3 2 7 2 3 2" xfId="28318"/>
    <cellStyle name="Normal 9 3 2 7 2 3 2 2" xfId="28319"/>
    <cellStyle name="Normal 9 3 2 7 2 3 2 3" xfId="28320"/>
    <cellStyle name="Normal 9 3 2 7 2 3 3" xfId="28321"/>
    <cellStyle name="Normal 9 3 2 7 2 3 3 2" xfId="28322"/>
    <cellStyle name="Normal 9 3 2 7 2 3 3 3" xfId="28323"/>
    <cellStyle name="Normal 9 3 2 7 2 3 4" xfId="28324"/>
    <cellStyle name="Normal 9 3 2 7 2 3 5" xfId="28325"/>
    <cellStyle name="Normal 9 3 2 7 2 3 6" xfId="28326"/>
    <cellStyle name="Normal 9 3 2 7 2 3 7" xfId="28327"/>
    <cellStyle name="Normal 9 3 2 7 2 4" xfId="28328"/>
    <cellStyle name="Normal 9 3 2 7 2 4 2" xfId="28329"/>
    <cellStyle name="Normal 9 3 2 7 2 4 3" xfId="28330"/>
    <cellStyle name="Normal 9 3 2 7 2 5" xfId="28331"/>
    <cellStyle name="Normal 9 3 2 7 2 5 2" xfId="28332"/>
    <cellStyle name="Normal 9 3 2 7 2 5 3" xfId="28333"/>
    <cellStyle name="Normal 9 3 2 7 2 6" xfId="28334"/>
    <cellStyle name="Normal 9 3 2 7 2 7" xfId="28335"/>
    <cellStyle name="Normal 9 3 2 7 2 8" xfId="28336"/>
    <cellStyle name="Normal 9 3 2 7 2 9" xfId="28337"/>
    <cellStyle name="Normal 9 3 2 7 3" xfId="28338"/>
    <cellStyle name="Normal 9 3 2 7 3 2" xfId="28339"/>
    <cellStyle name="Normal 9 3 2 7 3 2 2" xfId="28340"/>
    <cellStyle name="Normal 9 3 2 7 3 2 2 2" xfId="28341"/>
    <cellStyle name="Normal 9 3 2 7 3 2 2 3" xfId="28342"/>
    <cellStyle name="Normal 9 3 2 7 3 2 3" xfId="28343"/>
    <cellStyle name="Normal 9 3 2 7 3 2 3 2" xfId="28344"/>
    <cellStyle name="Normal 9 3 2 7 3 2 3 3" xfId="28345"/>
    <cellStyle name="Normal 9 3 2 7 3 2 4" xfId="28346"/>
    <cellStyle name="Normal 9 3 2 7 3 2 5" xfId="28347"/>
    <cellStyle name="Normal 9 3 2 7 3 2 6" xfId="28348"/>
    <cellStyle name="Normal 9 3 2 7 3 2 7" xfId="28349"/>
    <cellStyle name="Normal 9 3 2 7 3 3" xfId="28350"/>
    <cellStyle name="Normal 9 3 2 7 3 3 2" xfId="28351"/>
    <cellStyle name="Normal 9 3 2 7 3 3 3" xfId="28352"/>
    <cellStyle name="Normal 9 3 2 7 3 4" xfId="28353"/>
    <cellStyle name="Normal 9 3 2 7 3 4 2" xfId="28354"/>
    <cellStyle name="Normal 9 3 2 7 3 4 3" xfId="28355"/>
    <cellStyle name="Normal 9 3 2 7 3 5" xfId="28356"/>
    <cellStyle name="Normal 9 3 2 7 3 6" xfId="28357"/>
    <cellStyle name="Normal 9 3 2 7 3 7" xfId="28358"/>
    <cellStyle name="Normal 9 3 2 7 3 8" xfId="28359"/>
    <cellStyle name="Normal 9 3 2 7 4" xfId="28360"/>
    <cellStyle name="Normal 9 3 2 7 4 2" xfId="28361"/>
    <cellStyle name="Normal 9 3 2 7 4 2 2" xfId="28362"/>
    <cellStyle name="Normal 9 3 2 7 4 2 2 2" xfId="28363"/>
    <cellStyle name="Normal 9 3 2 7 4 2 2 3" xfId="28364"/>
    <cellStyle name="Normal 9 3 2 7 4 2 3" xfId="28365"/>
    <cellStyle name="Normal 9 3 2 7 4 2 3 2" xfId="28366"/>
    <cellStyle name="Normal 9 3 2 7 4 2 3 3" xfId="28367"/>
    <cellStyle name="Normal 9 3 2 7 4 2 4" xfId="28368"/>
    <cellStyle name="Normal 9 3 2 7 4 2 5" xfId="28369"/>
    <cellStyle name="Normal 9 3 2 7 4 2 6" xfId="28370"/>
    <cellStyle name="Normal 9 3 2 7 4 2 7" xfId="28371"/>
    <cellStyle name="Normal 9 3 2 7 4 3" xfId="28372"/>
    <cellStyle name="Normal 9 3 2 7 4 3 2" xfId="28373"/>
    <cellStyle name="Normal 9 3 2 7 4 3 3" xfId="28374"/>
    <cellStyle name="Normal 9 3 2 7 4 4" xfId="28375"/>
    <cellStyle name="Normal 9 3 2 7 4 4 2" xfId="28376"/>
    <cellStyle name="Normal 9 3 2 7 4 4 3" xfId="28377"/>
    <cellStyle name="Normal 9 3 2 7 4 5" xfId="28378"/>
    <cellStyle name="Normal 9 3 2 7 4 6" xfId="28379"/>
    <cellStyle name="Normal 9 3 2 7 4 7" xfId="28380"/>
    <cellStyle name="Normal 9 3 2 7 4 8" xfId="28381"/>
    <cellStyle name="Normal 9 3 2 7 5" xfId="28382"/>
    <cellStyle name="Normal 9 3 2 7 5 2" xfId="28383"/>
    <cellStyle name="Normal 9 3 2 7 5 2 2" xfId="28384"/>
    <cellStyle name="Normal 9 3 2 7 5 2 3" xfId="28385"/>
    <cellStyle name="Normal 9 3 2 7 5 3" xfId="28386"/>
    <cellStyle name="Normal 9 3 2 7 5 3 2" xfId="28387"/>
    <cellStyle name="Normal 9 3 2 7 5 3 3" xfId="28388"/>
    <cellStyle name="Normal 9 3 2 7 5 4" xfId="28389"/>
    <cellStyle name="Normal 9 3 2 7 5 5" xfId="28390"/>
    <cellStyle name="Normal 9 3 2 7 5 6" xfId="28391"/>
    <cellStyle name="Normal 9 3 2 7 5 7" xfId="28392"/>
    <cellStyle name="Normal 9 3 2 7 6" xfId="28393"/>
    <cellStyle name="Normal 9 3 2 7 6 2" xfId="28394"/>
    <cellStyle name="Normal 9 3 2 7 6 3" xfId="28395"/>
    <cellStyle name="Normal 9 3 2 7 7" xfId="28396"/>
    <cellStyle name="Normal 9 3 2 7 7 2" xfId="28397"/>
    <cellStyle name="Normal 9 3 2 7 7 3" xfId="28398"/>
    <cellStyle name="Normal 9 3 2 7 8" xfId="28399"/>
    <cellStyle name="Normal 9 3 2 7 9" xfId="28400"/>
    <cellStyle name="Normal 9 3 2 8" xfId="28401"/>
    <cellStyle name="Normal 9 3 2 8 10" xfId="28402"/>
    <cellStyle name="Normal 9 3 2 8 11" xfId="28403"/>
    <cellStyle name="Normal 9 3 2 8 2" xfId="28404"/>
    <cellStyle name="Normal 9 3 2 8 2 2" xfId="28405"/>
    <cellStyle name="Normal 9 3 2 8 2 2 2" xfId="28406"/>
    <cellStyle name="Normal 9 3 2 8 2 2 2 2" xfId="28407"/>
    <cellStyle name="Normal 9 3 2 8 2 2 2 2 2" xfId="28408"/>
    <cellStyle name="Normal 9 3 2 8 2 2 2 2 3" xfId="28409"/>
    <cellStyle name="Normal 9 3 2 8 2 2 2 3" xfId="28410"/>
    <cellStyle name="Normal 9 3 2 8 2 2 2 3 2" xfId="28411"/>
    <cellStyle name="Normal 9 3 2 8 2 2 2 3 3" xfId="28412"/>
    <cellStyle name="Normal 9 3 2 8 2 2 2 4" xfId="28413"/>
    <cellStyle name="Normal 9 3 2 8 2 2 2 5" xfId="28414"/>
    <cellStyle name="Normal 9 3 2 8 2 2 2 6" xfId="28415"/>
    <cellStyle name="Normal 9 3 2 8 2 2 2 7" xfId="28416"/>
    <cellStyle name="Normal 9 3 2 8 2 2 3" xfId="28417"/>
    <cellStyle name="Normal 9 3 2 8 2 2 3 2" xfId="28418"/>
    <cellStyle name="Normal 9 3 2 8 2 2 3 3" xfId="28419"/>
    <cellStyle name="Normal 9 3 2 8 2 2 4" xfId="28420"/>
    <cellStyle name="Normal 9 3 2 8 2 2 4 2" xfId="28421"/>
    <cellStyle name="Normal 9 3 2 8 2 2 4 3" xfId="28422"/>
    <cellStyle name="Normal 9 3 2 8 2 2 5" xfId="28423"/>
    <cellStyle name="Normal 9 3 2 8 2 2 6" xfId="28424"/>
    <cellStyle name="Normal 9 3 2 8 2 2 7" xfId="28425"/>
    <cellStyle name="Normal 9 3 2 8 2 2 8" xfId="28426"/>
    <cellStyle name="Normal 9 3 2 8 2 3" xfId="28427"/>
    <cellStyle name="Normal 9 3 2 8 2 3 2" xfId="28428"/>
    <cellStyle name="Normal 9 3 2 8 2 3 2 2" xfId="28429"/>
    <cellStyle name="Normal 9 3 2 8 2 3 2 3" xfId="28430"/>
    <cellStyle name="Normal 9 3 2 8 2 3 3" xfId="28431"/>
    <cellStyle name="Normal 9 3 2 8 2 3 3 2" xfId="28432"/>
    <cellStyle name="Normal 9 3 2 8 2 3 3 3" xfId="28433"/>
    <cellStyle name="Normal 9 3 2 8 2 3 4" xfId="28434"/>
    <cellStyle name="Normal 9 3 2 8 2 3 5" xfId="28435"/>
    <cellStyle name="Normal 9 3 2 8 2 3 6" xfId="28436"/>
    <cellStyle name="Normal 9 3 2 8 2 3 7" xfId="28437"/>
    <cellStyle name="Normal 9 3 2 8 2 4" xfId="28438"/>
    <cellStyle name="Normal 9 3 2 8 2 4 2" xfId="28439"/>
    <cellStyle name="Normal 9 3 2 8 2 4 3" xfId="28440"/>
    <cellStyle name="Normal 9 3 2 8 2 5" xfId="28441"/>
    <cellStyle name="Normal 9 3 2 8 2 5 2" xfId="28442"/>
    <cellStyle name="Normal 9 3 2 8 2 5 3" xfId="28443"/>
    <cellStyle name="Normal 9 3 2 8 2 6" xfId="28444"/>
    <cellStyle name="Normal 9 3 2 8 2 7" xfId="28445"/>
    <cellStyle name="Normal 9 3 2 8 2 8" xfId="28446"/>
    <cellStyle name="Normal 9 3 2 8 2 9" xfId="28447"/>
    <cellStyle name="Normal 9 3 2 8 3" xfId="28448"/>
    <cellStyle name="Normal 9 3 2 8 3 2" xfId="28449"/>
    <cellStyle name="Normal 9 3 2 8 3 2 2" xfId="28450"/>
    <cellStyle name="Normal 9 3 2 8 3 2 2 2" xfId="28451"/>
    <cellStyle name="Normal 9 3 2 8 3 2 2 3" xfId="28452"/>
    <cellStyle name="Normal 9 3 2 8 3 2 3" xfId="28453"/>
    <cellStyle name="Normal 9 3 2 8 3 2 3 2" xfId="28454"/>
    <cellStyle name="Normal 9 3 2 8 3 2 3 3" xfId="28455"/>
    <cellStyle name="Normal 9 3 2 8 3 2 4" xfId="28456"/>
    <cellStyle name="Normal 9 3 2 8 3 2 5" xfId="28457"/>
    <cellStyle name="Normal 9 3 2 8 3 2 6" xfId="28458"/>
    <cellStyle name="Normal 9 3 2 8 3 2 7" xfId="28459"/>
    <cellStyle name="Normal 9 3 2 8 3 3" xfId="28460"/>
    <cellStyle name="Normal 9 3 2 8 3 3 2" xfId="28461"/>
    <cellStyle name="Normal 9 3 2 8 3 3 3" xfId="28462"/>
    <cellStyle name="Normal 9 3 2 8 3 4" xfId="28463"/>
    <cellStyle name="Normal 9 3 2 8 3 4 2" xfId="28464"/>
    <cellStyle name="Normal 9 3 2 8 3 4 3" xfId="28465"/>
    <cellStyle name="Normal 9 3 2 8 3 5" xfId="28466"/>
    <cellStyle name="Normal 9 3 2 8 3 6" xfId="28467"/>
    <cellStyle name="Normal 9 3 2 8 3 7" xfId="28468"/>
    <cellStyle name="Normal 9 3 2 8 3 8" xfId="28469"/>
    <cellStyle name="Normal 9 3 2 8 4" xfId="28470"/>
    <cellStyle name="Normal 9 3 2 8 4 2" xfId="28471"/>
    <cellStyle name="Normal 9 3 2 8 4 2 2" xfId="28472"/>
    <cellStyle name="Normal 9 3 2 8 4 2 2 2" xfId="28473"/>
    <cellStyle name="Normal 9 3 2 8 4 2 2 3" xfId="28474"/>
    <cellStyle name="Normal 9 3 2 8 4 2 3" xfId="28475"/>
    <cellStyle name="Normal 9 3 2 8 4 2 3 2" xfId="28476"/>
    <cellStyle name="Normal 9 3 2 8 4 2 3 3" xfId="28477"/>
    <cellStyle name="Normal 9 3 2 8 4 2 4" xfId="28478"/>
    <cellStyle name="Normal 9 3 2 8 4 2 5" xfId="28479"/>
    <cellStyle name="Normal 9 3 2 8 4 2 6" xfId="28480"/>
    <cellStyle name="Normal 9 3 2 8 4 2 7" xfId="28481"/>
    <cellStyle name="Normal 9 3 2 8 4 3" xfId="28482"/>
    <cellStyle name="Normal 9 3 2 8 4 3 2" xfId="28483"/>
    <cellStyle name="Normal 9 3 2 8 4 3 3" xfId="28484"/>
    <cellStyle name="Normal 9 3 2 8 4 4" xfId="28485"/>
    <cellStyle name="Normal 9 3 2 8 4 4 2" xfId="28486"/>
    <cellStyle name="Normal 9 3 2 8 4 4 3" xfId="28487"/>
    <cellStyle name="Normal 9 3 2 8 4 5" xfId="28488"/>
    <cellStyle name="Normal 9 3 2 8 4 6" xfId="28489"/>
    <cellStyle name="Normal 9 3 2 8 4 7" xfId="28490"/>
    <cellStyle name="Normal 9 3 2 8 4 8" xfId="28491"/>
    <cellStyle name="Normal 9 3 2 8 5" xfId="28492"/>
    <cellStyle name="Normal 9 3 2 8 5 2" xfId="28493"/>
    <cellStyle name="Normal 9 3 2 8 5 2 2" xfId="28494"/>
    <cellStyle name="Normal 9 3 2 8 5 2 3" xfId="28495"/>
    <cellStyle name="Normal 9 3 2 8 5 3" xfId="28496"/>
    <cellStyle name="Normal 9 3 2 8 5 3 2" xfId="28497"/>
    <cellStyle name="Normal 9 3 2 8 5 3 3" xfId="28498"/>
    <cellStyle name="Normal 9 3 2 8 5 4" xfId="28499"/>
    <cellStyle name="Normal 9 3 2 8 5 5" xfId="28500"/>
    <cellStyle name="Normal 9 3 2 8 5 6" xfId="28501"/>
    <cellStyle name="Normal 9 3 2 8 5 7" xfId="28502"/>
    <cellStyle name="Normal 9 3 2 8 6" xfId="28503"/>
    <cellStyle name="Normal 9 3 2 8 6 2" xfId="28504"/>
    <cellStyle name="Normal 9 3 2 8 6 3" xfId="28505"/>
    <cellStyle name="Normal 9 3 2 8 7" xfId="28506"/>
    <cellStyle name="Normal 9 3 2 8 7 2" xfId="28507"/>
    <cellStyle name="Normal 9 3 2 8 7 3" xfId="28508"/>
    <cellStyle name="Normal 9 3 2 8 8" xfId="28509"/>
    <cellStyle name="Normal 9 3 2 8 9" xfId="28510"/>
    <cellStyle name="Normal 9 3 2 9" xfId="28511"/>
    <cellStyle name="Normal 9 3 2 9 2" xfId="28512"/>
    <cellStyle name="Normal 9 3 2 9 2 2" xfId="28513"/>
    <cellStyle name="Normal 9 3 2 9 2 2 2" xfId="28514"/>
    <cellStyle name="Normal 9 3 2 9 2 2 2 2" xfId="28515"/>
    <cellStyle name="Normal 9 3 2 9 2 2 2 3" xfId="28516"/>
    <cellStyle name="Normal 9 3 2 9 2 2 3" xfId="28517"/>
    <cellStyle name="Normal 9 3 2 9 2 2 3 2" xfId="28518"/>
    <cellStyle name="Normal 9 3 2 9 2 2 3 3" xfId="28519"/>
    <cellStyle name="Normal 9 3 2 9 2 2 4" xfId="28520"/>
    <cellStyle name="Normal 9 3 2 9 2 2 5" xfId="28521"/>
    <cellStyle name="Normal 9 3 2 9 2 2 6" xfId="28522"/>
    <cellStyle name="Normal 9 3 2 9 2 2 7" xfId="28523"/>
    <cellStyle name="Normal 9 3 2 9 2 3" xfId="28524"/>
    <cellStyle name="Normal 9 3 2 9 2 3 2" xfId="28525"/>
    <cellStyle name="Normal 9 3 2 9 2 3 3" xfId="28526"/>
    <cellStyle name="Normal 9 3 2 9 2 4" xfId="28527"/>
    <cellStyle name="Normal 9 3 2 9 2 4 2" xfId="28528"/>
    <cellStyle name="Normal 9 3 2 9 2 4 3" xfId="28529"/>
    <cellStyle name="Normal 9 3 2 9 2 5" xfId="28530"/>
    <cellStyle name="Normal 9 3 2 9 2 6" xfId="28531"/>
    <cellStyle name="Normal 9 3 2 9 2 7" xfId="28532"/>
    <cellStyle name="Normal 9 3 2 9 2 8" xfId="28533"/>
    <cellStyle name="Normal 9 3 2 9 3" xfId="28534"/>
    <cellStyle name="Normal 9 3 2 9 3 2" xfId="28535"/>
    <cellStyle name="Normal 9 3 2 9 3 2 2" xfId="28536"/>
    <cellStyle name="Normal 9 3 2 9 3 2 3" xfId="28537"/>
    <cellStyle name="Normal 9 3 2 9 3 3" xfId="28538"/>
    <cellStyle name="Normal 9 3 2 9 3 3 2" xfId="28539"/>
    <cellStyle name="Normal 9 3 2 9 3 3 3" xfId="28540"/>
    <cellStyle name="Normal 9 3 2 9 3 4" xfId="28541"/>
    <cellStyle name="Normal 9 3 2 9 3 5" xfId="28542"/>
    <cellStyle name="Normal 9 3 2 9 3 6" xfId="28543"/>
    <cellStyle name="Normal 9 3 2 9 3 7" xfId="28544"/>
    <cellStyle name="Normal 9 3 2 9 4" xfId="28545"/>
    <cellStyle name="Normal 9 3 2 9 4 2" xfId="28546"/>
    <cellStyle name="Normal 9 3 2 9 4 3" xfId="28547"/>
    <cellStyle name="Normal 9 3 2 9 5" xfId="28548"/>
    <cellStyle name="Normal 9 3 2 9 5 2" xfId="28549"/>
    <cellStyle name="Normal 9 3 2 9 5 3" xfId="28550"/>
    <cellStyle name="Normal 9 3 2 9 6" xfId="28551"/>
    <cellStyle name="Normal 9 3 2 9 7" xfId="28552"/>
    <cellStyle name="Normal 9 3 2 9 8" xfId="28553"/>
    <cellStyle name="Normal 9 3 2 9 9" xfId="28554"/>
    <cellStyle name="Normal 9 3 20" xfId="28555"/>
    <cellStyle name="Normal 9 3 21" xfId="28556"/>
    <cellStyle name="Normal 9 3 3" xfId="28557"/>
    <cellStyle name="Normal 9 3 3 10" xfId="28558"/>
    <cellStyle name="Normal 9 3 3 10 2" xfId="28559"/>
    <cellStyle name="Normal 9 3 3 11" xfId="28560"/>
    <cellStyle name="Normal 9 3 3 11 2" xfId="28561"/>
    <cellStyle name="Normal 9 3 3 11 3" xfId="28562"/>
    <cellStyle name="Normal 9 3 3 12" xfId="28563"/>
    <cellStyle name="Normal 9 3 3 12 2" xfId="28564"/>
    <cellStyle name="Normal 9 3 3 12 3" xfId="28565"/>
    <cellStyle name="Normal 9 3 3 13" xfId="28566"/>
    <cellStyle name="Normal 9 3 3 14" xfId="28567"/>
    <cellStyle name="Normal 9 3 3 15" xfId="28568"/>
    <cellStyle name="Normal 9 3 3 16" xfId="28569"/>
    <cellStyle name="Normal 9 3 3 2" xfId="28570"/>
    <cellStyle name="Normal 9 3 3 2 10" xfId="28571"/>
    <cellStyle name="Normal 9 3 3 2 11" xfId="28572"/>
    <cellStyle name="Normal 9 3 3 2 2" xfId="28573"/>
    <cellStyle name="Normal 9 3 3 2 2 2" xfId="28574"/>
    <cellStyle name="Normal 9 3 3 2 2 2 2" xfId="28575"/>
    <cellStyle name="Normal 9 3 3 2 2 2 2 2" xfId="28576"/>
    <cellStyle name="Normal 9 3 3 2 2 2 2 2 2" xfId="28577"/>
    <cellStyle name="Normal 9 3 3 2 2 2 2 2 3" xfId="28578"/>
    <cellStyle name="Normal 9 3 3 2 2 2 2 3" xfId="28579"/>
    <cellStyle name="Normal 9 3 3 2 2 2 2 3 2" xfId="28580"/>
    <cellStyle name="Normal 9 3 3 2 2 2 2 3 3" xfId="28581"/>
    <cellStyle name="Normal 9 3 3 2 2 2 2 4" xfId="28582"/>
    <cellStyle name="Normal 9 3 3 2 2 2 2 5" xfId="28583"/>
    <cellStyle name="Normal 9 3 3 2 2 2 2 6" xfId="28584"/>
    <cellStyle name="Normal 9 3 3 2 2 2 2 7" xfId="28585"/>
    <cellStyle name="Normal 9 3 3 2 2 2 3" xfId="28586"/>
    <cellStyle name="Normal 9 3 3 2 2 2 3 2" xfId="28587"/>
    <cellStyle name="Normal 9 3 3 2 2 2 3 3" xfId="28588"/>
    <cellStyle name="Normal 9 3 3 2 2 2 4" xfId="28589"/>
    <cellStyle name="Normal 9 3 3 2 2 2 4 2" xfId="28590"/>
    <cellStyle name="Normal 9 3 3 2 2 2 4 3" xfId="28591"/>
    <cellStyle name="Normal 9 3 3 2 2 2 5" xfId="28592"/>
    <cellStyle name="Normal 9 3 3 2 2 2 6" xfId="28593"/>
    <cellStyle name="Normal 9 3 3 2 2 2 7" xfId="28594"/>
    <cellStyle name="Normal 9 3 3 2 2 2 8" xfId="28595"/>
    <cellStyle name="Normal 9 3 3 2 2 3" xfId="28596"/>
    <cellStyle name="Normal 9 3 3 2 2 3 2" xfId="28597"/>
    <cellStyle name="Normal 9 3 3 2 2 3 2 2" xfId="28598"/>
    <cellStyle name="Normal 9 3 3 2 2 3 2 3" xfId="28599"/>
    <cellStyle name="Normal 9 3 3 2 2 3 3" xfId="28600"/>
    <cellStyle name="Normal 9 3 3 2 2 3 3 2" xfId="28601"/>
    <cellStyle name="Normal 9 3 3 2 2 3 3 3" xfId="28602"/>
    <cellStyle name="Normal 9 3 3 2 2 3 4" xfId="28603"/>
    <cellStyle name="Normal 9 3 3 2 2 3 5" xfId="28604"/>
    <cellStyle name="Normal 9 3 3 2 2 3 6" xfId="28605"/>
    <cellStyle name="Normal 9 3 3 2 2 3 7" xfId="28606"/>
    <cellStyle name="Normal 9 3 3 2 2 4" xfId="28607"/>
    <cellStyle name="Normal 9 3 3 2 2 4 2" xfId="28608"/>
    <cellStyle name="Normal 9 3 3 2 2 4 3" xfId="28609"/>
    <cellStyle name="Normal 9 3 3 2 2 5" xfId="28610"/>
    <cellStyle name="Normal 9 3 3 2 2 5 2" xfId="28611"/>
    <cellStyle name="Normal 9 3 3 2 2 5 3" xfId="28612"/>
    <cellStyle name="Normal 9 3 3 2 2 6" xfId="28613"/>
    <cellStyle name="Normal 9 3 3 2 2 7" xfId="28614"/>
    <cellStyle name="Normal 9 3 3 2 2 8" xfId="28615"/>
    <cellStyle name="Normal 9 3 3 2 2 9" xfId="28616"/>
    <cellStyle name="Normal 9 3 3 2 3" xfId="28617"/>
    <cellStyle name="Normal 9 3 3 2 3 2" xfId="28618"/>
    <cellStyle name="Normal 9 3 3 2 3 2 2" xfId="28619"/>
    <cellStyle name="Normal 9 3 3 2 3 2 2 2" xfId="28620"/>
    <cellStyle name="Normal 9 3 3 2 3 2 2 3" xfId="28621"/>
    <cellStyle name="Normal 9 3 3 2 3 2 3" xfId="28622"/>
    <cellStyle name="Normal 9 3 3 2 3 2 3 2" xfId="28623"/>
    <cellStyle name="Normal 9 3 3 2 3 2 3 3" xfId="28624"/>
    <cellStyle name="Normal 9 3 3 2 3 2 4" xfId="28625"/>
    <cellStyle name="Normal 9 3 3 2 3 2 5" xfId="28626"/>
    <cellStyle name="Normal 9 3 3 2 3 2 6" xfId="28627"/>
    <cellStyle name="Normal 9 3 3 2 3 2 7" xfId="28628"/>
    <cellStyle name="Normal 9 3 3 2 3 3" xfId="28629"/>
    <cellStyle name="Normal 9 3 3 2 3 3 2" xfId="28630"/>
    <cellStyle name="Normal 9 3 3 2 3 3 3" xfId="28631"/>
    <cellStyle name="Normal 9 3 3 2 3 4" xfId="28632"/>
    <cellStyle name="Normal 9 3 3 2 3 4 2" xfId="28633"/>
    <cellStyle name="Normal 9 3 3 2 3 4 3" xfId="28634"/>
    <cellStyle name="Normal 9 3 3 2 3 5" xfId="28635"/>
    <cellStyle name="Normal 9 3 3 2 3 6" xfId="28636"/>
    <cellStyle name="Normal 9 3 3 2 3 7" xfId="28637"/>
    <cellStyle name="Normal 9 3 3 2 3 8" xfId="28638"/>
    <cellStyle name="Normal 9 3 3 2 4" xfId="28639"/>
    <cellStyle name="Normal 9 3 3 2 4 2" xfId="28640"/>
    <cellStyle name="Normal 9 3 3 2 4 2 2" xfId="28641"/>
    <cellStyle name="Normal 9 3 3 2 4 2 2 2" xfId="28642"/>
    <cellStyle name="Normal 9 3 3 2 4 2 2 3" xfId="28643"/>
    <cellStyle name="Normal 9 3 3 2 4 2 3" xfId="28644"/>
    <cellStyle name="Normal 9 3 3 2 4 2 3 2" xfId="28645"/>
    <cellStyle name="Normal 9 3 3 2 4 2 3 3" xfId="28646"/>
    <cellStyle name="Normal 9 3 3 2 4 2 4" xfId="28647"/>
    <cellStyle name="Normal 9 3 3 2 4 2 5" xfId="28648"/>
    <cellStyle name="Normal 9 3 3 2 4 2 6" xfId="28649"/>
    <cellStyle name="Normal 9 3 3 2 4 2 7" xfId="28650"/>
    <cellStyle name="Normal 9 3 3 2 4 3" xfId="28651"/>
    <cellStyle name="Normal 9 3 3 2 4 3 2" xfId="28652"/>
    <cellStyle name="Normal 9 3 3 2 4 3 3" xfId="28653"/>
    <cellStyle name="Normal 9 3 3 2 4 4" xfId="28654"/>
    <cellStyle name="Normal 9 3 3 2 4 4 2" xfId="28655"/>
    <cellStyle name="Normal 9 3 3 2 4 4 3" xfId="28656"/>
    <cellStyle name="Normal 9 3 3 2 4 5" xfId="28657"/>
    <cellStyle name="Normal 9 3 3 2 4 6" xfId="28658"/>
    <cellStyle name="Normal 9 3 3 2 4 7" xfId="28659"/>
    <cellStyle name="Normal 9 3 3 2 4 8" xfId="28660"/>
    <cellStyle name="Normal 9 3 3 2 5" xfId="28661"/>
    <cellStyle name="Normal 9 3 3 2 5 2" xfId="28662"/>
    <cellStyle name="Normal 9 3 3 2 5 2 2" xfId="28663"/>
    <cellStyle name="Normal 9 3 3 2 5 2 3" xfId="28664"/>
    <cellStyle name="Normal 9 3 3 2 5 3" xfId="28665"/>
    <cellStyle name="Normal 9 3 3 2 5 3 2" xfId="28666"/>
    <cellStyle name="Normal 9 3 3 2 5 3 3" xfId="28667"/>
    <cellStyle name="Normal 9 3 3 2 5 4" xfId="28668"/>
    <cellStyle name="Normal 9 3 3 2 5 5" xfId="28669"/>
    <cellStyle name="Normal 9 3 3 2 5 6" xfId="28670"/>
    <cellStyle name="Normal 9 3 3 2 5 7" xfId="28671"/>
    <cellStyle name="Normal 9 3 3 2 6" xfId="28672"/>
    <cellStyle name="Normal 9 3 3 2 6 2" xfId="28673"/>
    <cellStyle name="Normal 9 3 3 2 6 3" xfId="28674"/>
    <cellStyle name="Normal 9 3 3 2 7" xfId="28675"/>
    <cellStyle name="Normal 9 3 3 2 7 2" xfId="28676"/>
    <cellStyle name="Normal 9 3 3 2 7 3" xfId="28677"/>
    <cellStyle name="Normal 9 3 3 2 8" xfId="28678"/>
    <cellStyle name="Normal 9 3 3 2 9" xfId="28679"/>
    <cellStyle name="Normal 9 3 3 3" xfId="28680"/>
    <cellStyle name="Normal 9 3 3 3 10" xfId="28681"/>
    <cellStyle name="Normal 9 3 3 3 11" xfId="28682"/>
    <cellStyle name="Normal 9 3 3 3 2" xfId="28683"/>
    <cellStyle name="Normal 9 3 3 3 2 2" xfId="28684"/>
    <cellStyle name="Normal 9 3 3 3 2 2 2" xfId="28685"/>
    <cellStyle name="Normal 9 3 3 3 2 2 2 2" xfId="28686"/>
    <cellStyle name="Normal 9 3 3 3 2 2 2 2 2" xfId="28687"/>
    <cellStyle name="Normal 9 3 3 3 2 2 2 2 3" xfId="28688"/>
    <cellStyle name="Normal 9 3 3 3 2 2 2 3" xfId="28689"/>
    <cellStyle name="Normal 9 3 3 3 2 2 2 3 2" xfId="28690"/>
    <cellStyle name="Normal 9 3 3 3 2 2 2 3 3" xfId="28691"/>
    <cellStyle name="Normal 9 3 3 3 2 2 2 4" xfId="28692"/>
    <cellStyle name="Normal 9 3 3 3 2 2 2 5" xfId="28693"/>
    <cellStyle name="Normal 9 3 3 3 2 2 2 6" xfId="28694"/>
    <cellStyle name="Normal 9 3 3 3 2 2 2 7" xfId="28695"/>
    <cellStyle name="Normal 9 3 3 3 2 2 3" xfId="28696"/>
    <cellStyle name="Normal 9 3 3 3 2 2 3 2" xfId="28697"/>
    <cellStyle name="Normal 9 3 3 3 2 2 3 3" xfId="28698"/>
    <cellStyle name="Normal 9 3 3 3 2 2 4" xfId="28699"/>
    <cellStyle name="Normal 9 3 3 3 2 2 4 2" xfId="28700"/>
    <cellStyle name="Normal 9 3 3 3 2 2 4 3" xfId="28701"/>
    <cellStyle name="Normal 9 3 3 3 2 2 5" xfId="28702"/>
    <cellStyle name="Normal 9 3 3 3 2 2 6" xfId="28703"/>
    <cellStyle name="Normal 9 3 3 3 2 2 7" xfId="28704"/>
    <cellStyle name="Normal 9 3 3 3 2 2 8" xfId="28705"/>
    <cellStyle name="Normal 9 3 3 3 2 3" xfId="28706"/>
    <cellStyle name="Normal 9 3 3 3 2 3 2" xfId="28707"/>
    <cellStyle name="Normal 9 3 3 3 2 3 2 2" xfId="28708"/>
    <cellStyle name="Normal 9 3 3 3 2 3 2 3" xfId="28709"/>
    <cellStyle name="Normal 9 3 3 3 2 3 3" xfId="28710"/>
    <cellStyle name="Normal 9 3 3 3 2 3 3 2" xfId="28711"/>
    <cellStyle name="Normal 9 3 3 3 2 3 3 3" xfId="28712"/>
    <cellStyle name="Normal 9 3 3 3 2 3 4" xfId="28713"/>
    <cellStyle name="Normal 9 3 3 3 2 3 5" xfId="28714"/>
    <cellStyle name="Normal 9 3 3 3 2 3 6" xfId="28715"/>
    <cellStyle name="Normal 9 3 3 3 2 3 7" xfId="28716"/>
    <cellStyle name="Normal 9 3 3 3 2 4" xfId="28717"/>
    <cellStyle name="Normal 9 3 3 3 2 4 2" xfId="28718"/>
    <cellStyle name="Normal 9 3 3 3 2 4 3" xfId="28719"/>
    <cellStyle name="Normal 9 3 3 3 2 5" xfId="28720"/>
    <cellStyle name="Normal 9 3 3 3 2 5 2" xfId="28721"/>
    <cellStyle name="Normal 9 3 3 3 2 5 3" xfId="28722"/>
    <cellStyle name="Normal 9 3 3 3 2 6" xfId="28723"/>
    <cellStyle name="Normal 9 3 3 3 2 7" xfId="28724"/>
    <cellStyle name="Normal 9 3 3 3 2 8" xfId="28725"/>
    <cellStyle name="Normal 9 3 3 3 2 9" xfId="28726"/>
    <cellStyle name="Normal 9 3 3 3 3" xfId="28727"/>
    <cellStyle name="Normal 9 3 3 3 3 2" xfId="28728"/>
    <cellStyle name="Normal 9 3 3 3 3 2 2" xfId="28729"/>
    <cellStyle name="Normal 9 3 3 3 3 2 2 2" xfId="28730"/>
    <cellStyle name="Normal 9 3 3 3 3 2 2 3" xfId="28731"/>
    <cellStyle name="Normal 9 3 3 3 3 2 3" xfId="28732"/>
    <cellStyle name="Normal 9 3 3 3 3 2 3 2" xfId="28733"/>
    <cellStyle name="Normal 9 3 3 3 3 2 3 3" xfId="28734"/>
    <cellStyle name="Normal 9 3 3 3 3 2 4" xfId="28735"/>
    <cellStyle name="Normal 9 3 3 3 3 2 5" xfId="28736"/>
    <cellStyle name="Normal 9 3 3 3 3 2 6" xfId="28737"/>
    <cellStyle name="Normal 9 3 3 3 3 2 7" xfId="28738"/>
    <cellStyle name="Normal 9 3 3 3 3 3" xfId="28739"/>
    <cellStyle name="Normal 9 3 3 3 3 3 2" xfId="28740"/>
    <cellStyle name="Normal 9 3 3 3 3 3 3" xfId="28741"/>
    <cellStyle name="Normal 9 3 3 3 3 4" xfId="28742"/>
    <cellStyle name="Normal 9 3 3 3 3 4 2" xfId="28743"/>
    <cellStyle name="Normal 9 3 3 3 3 4 3" xfId="28744"/>
    <cellStyle name="Normal 9 3 3 3 3 5" xfId="28745"/>
    <cellStyle name="Normal 9 3 3 3 3 6" xfId="28746"/>
    <cellStyle name="Normal 9 3 3 3 3 7" xfId="28747"/>
    <cellStyle name="Normal 9 3 3 3 3 8" xfId="28748"/>
    <cellStyle name="Normal 9 3 3 3 4" xfId="28749"/>
    <cellStyle name="Normal 9 3 3 3 4 2" xfId="28750"/>
    <cellStyle name="Normal 9 3 3 3 4 2 2" xfId="28751"/>
    <cellStyle name="Normal 9 3 3 3 4 2 2 2" xfId="28752"/>
    <cellStyle name="Normal 9 3 3 3 4 2 2 3" xfId="28753"/>
    <cellStyle name="Normal 9 3 3 3 4 2 3" xfId="28754"/>
    <cellStyle name="Normal 9 3 3 3 4 2 3 2" xfId="28755"/>
    <cellStyle name="Normal 9 3 3 3 4 2 3 3" xfId="28756"/>
    <cellStyle name="Normal 9 3 3 3 4 2 4" xfId="28757"/>
    <cellStyle name="Normal 9 3 3 3 4 2 5" xfId="28758"/>
    <cellStyle name="Normal 9 3 3 3 4 2 6" xfId="28759"/>
    <cellStyle name="Normal 9 3 3 3 4 2 7" xfId="28760"/>
    <cellStyle name="Normal 9 3 3 3 4 3" xfId="28761"/>
    <cellStyle name="Normal 9 3 3 3 4 3 2" xfId="28762"/>
    <cellStyle name="Normal 9 3 3 3 4 3 3" xfId="28763"/>
    <cellStyle name="Normal 9 3 3 3 4 4" xfId="28764"/>
    <cellStyle name="Normal 9 3 3 3 4 4 2" xfId="28765"/>
    <cellStyle name="Normal 9 3 3 3 4 4 3" xfId="28766"/>
    <cellStyle name="Normal 9 3 3 3 4 5" xfId="28767"/>
    <cellStyle name="Normal 9 3 3 3 4 6" xfId="28768"/>
    <cellStyle name="Normal 9 3 3 3 4 7" xfId="28769"/>
    <cellStyle name="Normal 9 3 3 3 4 8" xfId="28770"/>
    <cellStyle name="Normal 9 3 3 3 5" xfId="28771"/>
    <cellStyle name="Normal 9 3 3 3 5 2" xfId="28772"/>
    <cellStyle name="Normal 9 3 3 3 5 2 2" xfId="28773"/>
    <cellStyle name="Normal 9 3 3 3 5 2 3" xfId="28774"/>
    <cellStyle name="Normal 9 3 3 3 5 3" xfId="28775"/>
    <cellStyle name="Normal 9 3 3 3 5 3 2" xfId="28776"/>
    <cellStyle name="Normal 9 3 3 3 5 3 3" xfId="28777"/>
    <cellStyle name="Normal 9 3 3 3 5 4" xfId="28778"/>
    <cellStyle name="Normal 9 3 3 3 5 5" xfId="28779"/>
    <cellStyle name="Normal 9 3 3 3 5 6" xfId="28780"/>
    <cellStyle name="Normal 9 3 3 3 5 7" xfId="28781"/>
    <cellStyle name="Normal 9 3 3 3 6" xfId="28782"/>
    <cellStyle name="Normal 9 3 3 3 6 2" xfId="28783"/>
    <cellStyle name="Normal 9 3 3 3 6 3" xfId="28784"/>
    <cellStyle name="Normal 9 3 3 3 7" xfId="28785"/>
    <cellStyle name="Normal 9 3 3 3 7 2" xfId="28786"/>
    <cellStyle name="Normal 9 3 3 3 7 3" xfId="28787"/>
    <cellStyle name="Normal 9 3 3 3 8" xfId="28788"/>
    <cellStyle name="Normal 9 3 3 3 9" xfId="28789"/>
    <cellStyle name="Normal 9 3 3 4" xfId="28790"/>
    <cellStyle name="Normal 9 3 3 4 10" xfId="28791"/>
    <cellStyle name="Normal 9 3 3 4 11" xfId="28792"/>
    <cellStyle name="Normal 9 3 3 4 2" xfId="28793"/>
    <cellStyle name="Normal 9 3 3 4 2 2" xfId="28794"/>
    <cellStyle name="Normal 9 3 3 4 2 2 2" xfId="28795"/>
    <cellStyle name="Normal 9 3 3 4 2 2 2 2" xfId="28796"/>
    <cellStyle name="Normal 9 3 3 4 2 2 2 2 2" xfId="28797"/>
    <cellStyle name="Normal 9 3 3 4 2 2 2 2 3" xfId="28798"/>
    <cellStyle name="Normal 9 3 3 4 2 2 2 3" xfId="28799"/>
    <cellStyle name="Normal 9 3 3 4 2 2 2 3 2" xfId="28800"/>
    <cellStyle name="Normal 9 3 3 4 2 2 2 3 3" xfId="28801"/>
    <cellStyle name="Normal 9 3 3 4 2 2 2 4" xfId="28802"/>
    <cellStyle name="Normal 9 3 3 4 2 2 2 5" xfId="28803"/>
    <cellStyle name="Normal 9 3 3 4 2 2 2 6" xfId="28804"/>
    <cellStyle name="Normal 9 3 3 4 2 2 2 7" xfId="28805"/>
    <cellStyle name="Normal 9 3 3 4 2 2 3" xfId="28806"/>
    <cellStyle name="Normal 9 3 3 4 2 2 3 2" xfId="28807"/>
    <cellStyle name="Normal 9 3 3 4 2 2 3 3" xfId="28808"/>
    <cellStyle name="Normal 9 3 3 4 2 2 4" xfId="28809"/>
    <cellStyle name="Normal 9 3 3 4 2 2 4 2" xfId="28810"/>
    <cellStyle name="Normal 9 3 3 4 2 2 4 3" xfId="28811"/>
    <cellStyle name="Normal 9 3 3 4 2 2 5" xfId="28812"/>
    <cellStyle name="Normal 9 3 3 4 2 2 6" xfId="28813"/>
    <cellStyle name="Normal 9 3 3 4 2 2 7" xfId="28814"/>
    <cellStyle name="Normal 9 3 3 4 2 2 8" xfId="28815"/>
    <cellStyle name="Normal 9 3 3 4 2 3" xfId="28816"/>
    <cellStyle name="Normal 9 3 3 4 2 3 2" xfId="28817"/>
    <cellStyle name="Normal 9 3 3 4 2 3 2 2" xfId="28818"/>
    <cellStyle name="Normal 9 3 3 4 2 3 2 3" xfId="28819"/>
    <cellStyle name="Normal 9 3 3 4 2 3 3" xfId="28820"/>
    <cellStyle name="Normal 9 3 3 4 2 3 3 2" xfId="28821"/>
    <cellStyle name="Normal 9 3 3 4 2 3 3 3" xfId="28822"/>
    <cellStyle name="Normal 9 3 3 4 2 3 4" xfId="28823"/>
    <cellStyle name="Normal 9 3 3 4 2 3 5" xfId="28824"/>
    <cellStyle name="Normal 9 3 3 4 2 3 6" xfId="28825"/>
    <cellStyle name="Normal 9 3 3 4 2 3 7" xfId="28826"/>
    <cellStyle name="Normal 9 3 3 4 2 4" xfId="28827"/>
    <cellStyle name="Normal 9 3 3 4 2 4 2" xfId="28828"/>
    <cellStyle name="Normal 9 3 3 4 2 4 3" xfId="28829"/>
    <cellStyle name="Normal 9 3 3 4 2 5" xfId="28830"/>
    <cellStyle name="Normal 9 3 3 4 2 5 2" xfId="28831"/>
    <cellStyle name="Normal 9 3 3 4 2 5 3" xfId="28832"/>
    <cellStyle name="Normal 9 3 3 4 2 6" xfId="28833"/>
    <cellStyle name="Normal 9 3 3 4 2 7" xfId="28834"/>
    <cellStyle name="Normal 9 3 3 4 2 8" xfId="28835"/>
    <cellStyle name="Normal 9 3 3 4 2 9" xfId="28836"/>
    <cellStyle name="Normal 9 3 3 4 3" xfId="28837"/>
    <cellStyle name="Normal 9 3 3 4 3 2" xfId="28838"/>
    <cellStyle name="Normal 9 3 3 4 3 2 2" xfId="28839"/>
    <cellStyle name="Normal 9 3 3 4 3 2 2 2" xfId="28840"/>
    <cellStyle name="Normal 9 3 3 4 3 2 2 3" xfId="28841"/>
    <cellStyle name="Normal 9 3 3 4 3 2 3" xfId="28842"/>
    <cellStyle name="Normal 9 3 3 4 3 2 3 2" xfId="28843"/>
    <cellStyle name="Normal 9 3 3 4 3 2 3 3" xfId="28844"/>
    <cellStyle name="Normal 9 3 3 4 3 2 4" xfId="28845"/>
    <cellStyle name="Normal 9 3 3 4 3 2 5" xfId="28846"/>
    <cellStyle name="Normal 9 3 3 4 3 2 6" xfId="28847"/>
    <cellStyle name="Normal 9 3 3 4 3 2 7" xfId="28848"/>
    <cellStyle name="Normal 9 3 3 4 3 3" xfId="28849"/>
    <cellStyle name="Normal 9 3 3 4 3 3 2" xfId="28850"/>
    <cellStyle name="Normal 9 3 3 4 3 3 3" xfId="28851"/>
    <cellStyle name="Normal 9 3 3 4 3 4" xfId="28852"/>
    <cellStyle name="Normal 9 3 3 4 3 4 2" xfId="28853"/>
    <cellStyle name="Normal 9 3 3 4 3 4 3" xfId="28854"/>
    <cellStyle name="Normal 9 3 3 4 3 5" xfId="28855"/>
    <cellStyle name="Normal 9 3 3 4 3 6" xfId="28856"/>
    <cellStyle name="Normal 9 3 3 4 3 7" xfId="28857"/>
    <cellStyle name="Normal 9 3 3 4 3 8" xfId="28858"/>
    <cellStyle name="Normal 9 3 3 4 4" xfId="28859"/>
    <cellStyle name="Normal 9 3 3 4 4 2" xfId="28860"/>
    <cellStyle name="Normal 9 3 3 4 4 2 2" xfId="28861"/>
    <cellStyle name="Normal 9 3 3 4 4 2 2 2" xfId="28862"/>
    <cellStyle name="Normal 9 3 3 4 4 2 2 3" xfId="28863"/>
    <cellStyle name="Normal 9 3 3 4 4 2 3" xfId="28864"/>
    <cellStyle name="Normal 9 3 3 4 4 2 3 2" xfId="28865"/>
    <cellStyle name="Normal 9 3 3 4 4 2 3 3" xfId="28866"/>
    <cellStyle name="Normal 9 3 3 4 4 2 4" xfId="28867"/>
    <cellStyle name="Normal 9 3 3 4 4 2 5" xfId="28868"/>
    <cellStyle name="Normal 9 3 3 4 4 2 6" xfId="28869"/>
    <cellStyle name="Normal 9 3 3 4 4 2 7" xfId="28870"/>
    <cellStyle name="Normal 9 3 3 4 4 3" xfId="28871"/>
    <cellStyle name="Normal 9 3 3 4 4 3 2" xfId="28872"/>
    <cellStyle name="Normal 9 3 3 4 4 3 3" xfId="28873"/>
    <cellStyle name="Normal 9 3 3 4 4 4" xfId="28874"/>
    <cellStyle name="Normal 9 3 3 4 4 4 2" xfId="28875"/>
    <cellStyle name="Normal 9 3 3 4 4 4 3" xfId="28876"/>
    <cellStyle name="Normal 9 3 3 4 4 5" xfId="28877"/>
    <cellStyle name="Normal 9 3 3 4 4 6" xfId="28878"/>
    <cellStyle name="Normal 9 3 3 4 4 7" xfId="28879"/>
    <cellStyle name="Normal 9 3 3 4 4 8" xfId="28880"/>
    <cellStyle name="Normal 9 3 3 4 5" xfId="28881"/>
    <cellStyle name="Normal 9 3 3 4 5 2" xfId="28882"/>
    <cellStyle name="Normal 9 3 3 4 5 2 2" xfId="28883"/>
    <cellStyle name="Normal 9 3 3 4 5 2 3" xfId="28884"/>
    <cellStyle name="Normal 9 3 3 4 5 3" xfId="28885"/>
    <cellStyle name="Normal 9 3 3 4 5 3 2" xfId="28886"/>
    <cellStyle name="Normal 9 3 3 4 5 3 3" xfId="28887"/>
    <cellStyle name="Normal 9 3 3 4 5 4" xfId="28888"/>
    <cellStyle name="Normal 9 3 3 4 5 5" xfId="28889"/>
    <cellStyle name="Normal 9 3 3 4 5 6" xfId="28890"/>
    <cellStyle name="Normal 9 3 3 4 5 7" xfId="28891"/>
    <cellStyle name="Normal 9 3 3 4 6" xfId="28892"/>
    <cellStyle name="Normal 9 3 3 4 6 2" xfId="28893"/>
    <cellStyle name="Normal 9 3 3 4 6 3" xfId="28894"/>
    <cellStyle name="Normal 9 3 3 4 7" xfId="28895"/>
    <cellStyle name="Normal 9 3 3 4 7 2" xfId="28896"/>
    <cellStyle name="Normal 9 3 3 4 7 3" xfId="28897"/>
    <cellStyle name="Normal 9 3 3 4 8" xfId="28898"/>
    <cellStyle name="Normal 9 3 3 4 9" xfId="28899"/>
    <cellStyle name="Normal 9 3 3 5" xfId="28900"/>
    <cellStyle name="Normal 9 3 3 5 10" xfId="28901"/>
    <cellStyle name="Normal 9 3 3 5 11" xfId="28902"/>
    <cellStyle name="Normal 9 3 3 5 2" xfId="28903"/>
    <cellStyle name="Normal 9 3 3 5 2 2" xfId="28904"/>
    <cellStyle name="Normal 9 3 3 5 2 2 2" xfId="28905"/>
    <cellStyle name="Normal 9 3 3 5 2 2 2 2" xfId="28906"/>
    <cellStyle name="Normal 9 3 3 5 2 2 2 2 2" xfId="28907"/>
    <cellStyle name="Normal 9 3 3 5 2 2 2 2 3" xfId="28908"/>
    <cellStyle name="Normal 9 3 3 5 2 2 2 3" xfId="28909"/>
    <cellStyle name="Normal 9 3 3 5 2 2 2 3 2" xfId="28910"/>
    <cellStyle name="Normal 9 3 3 5 2 2 2 3 3" xfId="28911"/>
    <cellStyle name="Normal 9 3 3 5 2 2 2 4" xfId="28912"/>
    <cellStyle name="Normal 9 3 3 5 2 2 2 5" xfId="28913"/>
    <cellStyle name="Normal 9 3 3 5 2 2 2 6" xfId="28914"/>
    <cellStyle name="Normal 9 3 3 5 2 2 2 7" xfId="28915"/>
    <cellStyle name="Normal 9 3 3 5 2 2 3" xfId="28916"/>
    <cellStyle name="Normal 9 3 3 5 2 2 3 2" xfId="28917"/>
    <cellStyle name="Normal 9 3 3 5 2 2 3 3" xfId="28918"/>
    <cellStyle name="Normal 9 3 3 5 2 2 4" xfId="28919"/>
    <cellStyle name="Normal 9 3 3 5 2 2 4 2" xfId="28920"/>
    <cellStyle name="Normal 9 3 3 5 2 2 4 3" xfId="28921"/>
    <cellStyle name="Normal 9 3 3 5 2 2 5" xfId="28922"/>
    <cellStyle name="Normal 9 3 3 5 2 2 6" xfId="28923"/>
    <cellStyle name="Normal 9 3 3 5 2 2 7" xfId="28924"/>
    <cellStyle name="Normal 9 3 3 5 2 2 8" xfId="28925"/>
    <cellStyle name="Normal 9 3 3 5 2 3" xfId="28926"/>
    <cellStyle name="Normal 9 3 3 5 2 3 2" xfId="28927"/>
    <cellStyle name="Normal 9 3 3 5 2 3 2 2" xfId="28928"/>
    <cellStyle name="Normal 9 3 3 5 2 3 2 3" xfId="28929"/>
    <cellStyle name="Normal 9 3 3 5 2 3 3" xfId="28930"/>
    <cellStyle name="Normal 9 3 3 5 2 3 3 2" xfId="28931"/>
    <cellStyle name="Normal 9 3 3 5 2 3 3 3" xfId="28932"/>
    <cellStyle name="Normal 9 3 3 5 2 3 4" xfId="28933"/>
    <cellStyle name="Normal 9 3 3 5 2 3 5" xfId="28934"/>
    <cellStyle name="Normal 9 3 3 5 2 3 6" xfId="28935"/>
    <cellStyle name="Normal 9 3 3 5 2 3 7" xfId="28936"/>
    <cellStyle name="Normal 9 3 3 5 2 4" xfId="28937"/>
    <cellStyle name="Normal 9 3 3 5 2 4 2" xfId="28938"/>
    <cellStyle name="Normal 9 3 3 5 2 4 3" xfId="28939"/>
    <cellStyle name="Normal 9 3 3 5 2 5" xfId="28940"/>
    <cellStyle name="Normal 9 3 3 5 2 5 2" xfId="28941"/>
    <cellStyle name="Normal 9 3 3 5 2 5 3" xfId="28942"/>
    <cellStyle name="Normal 9 3 3 5 2 6" xfId="28943"/>
    <cellStyle name="Normal 9 3 3 5 2 7" xfId="28944"/>
    <cellStyle name="Normal 9 3 3 5 2 8" xfId="28945"/>
    <cellStyle name="Normal 9 3 3 5 2 9" xfId="28946"/>
    <cellStyle name="Normal 9 3 3 5 3" xfId="28947"/>
    <cellStyle name="Normal 9 3 3 5 3 2" xfId="28948"/>
    <cellStyle name="Normal 9 3 3 5 3 2 2" xfId="28949"/>
    <cellStyle name="Normal 9 3 3 5 3 2 2 2" xfId="28950"/>
    <cellStyle name="Normal 9 3 3 5 3 2 2 3" xfId="28951"/>
    <cellStyle name="Normal 9 3 3 5 3 2 3" xfId="28952"/>
    <cellStyle name="Normal 9 3 3 5 3 2 3 2" xfId="28953"/>
    <cellStyle name="Normal 9 3 3 5 3 2 3 3" xfId="28954"/>
    <cellStyle name="Normal 9 3 3 5 3 2 4" xfId="28955"/>
    <cellStyle name="Normal 9 3 3 5 3 2 5" xfId="28956"/>
    <cellStyle name="Normal 9 3 3 5 3 2 6" xfId="28957"/>
    <cellStyle name="Normal 9 3 3 5 3 2 7" xfId="28958"/>
    <cellStyle name="Normal 9 3 3 5 3 3" xfId="28959"/>
    <cellStyle name="Normal 9 3 3 5 3 3 2" xfId="28960"/>
    <cellStyle name="Normal 9 3 3 5 3 3 3" xfId="28961"/>
    <cellStyle name="Normal 9 3 3 5 3 4" xfId="28962"/>
    <cellStyle name="Normal 9 3 3 5 3 4 2" xfId="28963"/>
    <cellStyle name="Normal 9 3 3 5 3 4 3" xfId="28964"/>
    <cellStyle name="Normal 9 3 3 5 3 5" xfId="28965"/>
    <cellStyle name="Normal 9 3 3 5 3 6" xfId="28966"/>
    <cellStyle name="Normal 9 3 3 5 3 7" xfId="28967"/>
    <cellStyle name="Normal 9 3 3 5 3 8" xfId="28968"/>
    <cellStyle name="Normal 9 3 3 5 4" xfId="28969"/>
    <cellStyle name="Normal 9 3 3 5 4 2" xfId="28970"/>
    <cellStyle name="Normal 9 3 3 5 4 2 2" xfId="28971"/>
    <cellStyle name="Normal 9 3 3 5 4 2 2 2" xfId="28972"/>
    <cellStyle name="Normal 9 3 3 5 4 2 2 3" xfId="28973"/>
    <cellStyle name="Normal 9 3 3 5 4 2 3" xfId="28974"/>
    <cellStyle name="Normal 9 3 3 5 4 2 3 2" xfId="28975"/>
    <cellStyle name="Normal 9 3 3 5 4 2 3 3" xfId="28976"/>
    <cellStyle name="Normal 9 3 3 5 4 2 4" xfId="28977"/>
    <cellStyle name="Normal 9 3 3 5 4 2 5" xfId="28978"/>
    <cellStyle name="Normal 9 3 3 5 4 2 6" xfId="28979"/>
    <cellStyle name="Normal 9 3 3 5 4 2 7" xfId="28980"/>
    <cellStyle name="Normal 9 3 3 5 4 3" xfId="28981"/>
    <cellStyle name="Normal 9 3 3 5 4 3 2" xfId="28982"/>
    <cellStyle name="Normal 9 3 3 5 4 3 3" xfId="28983"/>
    <cellStyle name="Normal 9 3 3 5 4 4" xfId="28984"/>
    <cellStyle name="Normal 9 3 3 5 4 4 2" xfId="28985"/>
    <cellStyle name="Normal 9 3 3 5 4 4 3" xfId="28986"/>
    <cellStyle name="Normal 9 3 3 5 4 5" xfId="28987"/>
    <cellStyle name="Normal 9 3 3 5 4 6" xfId="28988"/>
    <cellStyle name="Normal 9 3 3 5 4 7" xfId="28989"/>
    <cellStyle name="Normal 9 3 3 5 4 8" xfId="28990"/>
    <cellStyle name="Normal 9 3 3 5 5" xfId="28991"/>
    <cellStyle name="Normal 9 3 3 5 5 2" xfId="28992"/>
    <cellStyle name="Normal 9 3 3 5 5 2 2" xfId="28993"/>
    <cellStyle name="Normal 9 3 3 5 5 2 3" xfId="28994"/>
    <cellStyle name="Normal 9 3 3 5 5 3" xfId="28995"/>
    <cellStyle name="Normal 9 3 3 5 5 3 2" xfId="28996"/>
    <cellStyle name="Normal 9 3 3 5 5 3 3" xfId="28997"/>
    <cellStyle name="Normal 9 3 3 5 5 4" xfId="28998"/>
    <cellStyle name="Normal 9 3 3 5 5 5" xfId="28999"/>
    <cellStyle name="Normal 9 3 3 5 5 6" xfId="29000"/>
    <cellStyle name="Normal 9 3 3 5 5 7" xfId="29001"/>
    <cellStyle name="Normal 9 3 3 5 6" xfId="29002"/>
    <cellStyle name="Normal 9 3 3 5 6 2" xfId="29003"/>
    <cellStyle name="Normal 9 3 3 5 6 3" xfId="29004"/>
    <cellStyle name="Normal 9 3 3 5 7" xfId="29005"/>
    <cellStyle name="Normal 9 3 3 5 7 2" xfId="29006"/>
    <cellStyle name="Normal 9 3 3 5 7 3" xfId="29007"/>
    <cellStyle name="Normal 9 3 3 5 8" xfId="29008"/>
    <cellStyle name="Normal 9 3 3 5 9" xfId="29009"/>
    <cellStyle name="Normal 9 3 3 6" xfId="29010"/>
    <cellStyle name="Normal 9 3 3 6 2" xfId="29011"/>
    <cellStyle name="Normal 9 3 3 6 2 2" xfId="29012"/>
    <cellStyle name="Normal 9 3 3 6 2 2 2" xfId="29013"/>
    <cellStyle name="Normal 9 3 3 6 2 2 2 2" xfId="29014"/>
    <cellStyle name="Normal 9 3 3 6 2 2 2 3" xfId="29015"/>
    <cellStyle name="Normal 9 3 3 6 2 2 3" xfId="29016"/>
    <cellStyle name="Normal 9 3 3 6 2 2 3 2" xfId="29017"/>
    <cellStyle name="Normal 9 3 3 6 2 2 3 3" xfId="29018"/>
    <cellStyle name="Normal 9 3 3 6 2 2 4" xfId="29019"/>
    <cellStyle name="Normal 9 3 3 6 2 2 5" xfId="29020"/>
    <cellStyle name="Normal 9 3 3 6 2 2 6" xfId="29021"/>
    <cellStyle name="Normal 9 3 3 6 2 2 7" xfId="29022"/>
    <cellStyle name="Normal 9 3 3 6 2 3" xfId="29023"/>
    <cellStyle name="Normal 9 3 3 6 2 3 2" xfId="29024"/>
    <cellStyle name="Normal 9 3 3 6 2 3 3" xfId="29025"/>
    <cellStyle name="Normal 9 3 3 6 2 4" xfId="29026"/>
    <cellStyle name="Normal 9 3 3 6 2 4 2" xfId="29027"/>
    <cellStyle name="Normal 9 3 3 6 2 4 3" xfId="29028"/>
    <cellStyle name="Normal 9 3 3 6 2 5" xfId="29029"/>
    <cellStyle name="Normal 9 3 3 6 2 6" xfId="29030"/>
    <cellStyle name="Normal 9 3 3 6 2 7" xfId="29031"/>
    <cellStyle name="Normal 9 3 3 6 2 8" xfId="29032"/>
    <cellStyle name="Normal 9 3 3 6 3" xfId="29033"/>
    <cellStyle name="Normal 9 3 3 6 3 2" xfId="29034"/>
    <cellStyle name="Normal 9 3 3 6 3 2 2" xfId="29035"/>
    <cellStyle name="Normal 9 3 3 6 3 2 3" xfId="29036"/>
    <cellStyle name="Normal 9 3 3 6 3 3" xfId="29037"/>
    <cellStyle name="Normal 9 3 3 6 3 3 2" xfId="29038"/>
    <cellStyle name="Normal 9 3 3 6 3 3 3" xfId="29039"/>
    <cellStyle name="Normal 9 3 3 6 3 4" xfId="29040"/>
    <cellStyle name="Normal 9 3 3 6 3 5" xfId="29041"/>
    <cellStyle name="Normal 9 3 3 6 3 6" xfId="29042"/>
    <cellStyle name="Normal 9 3 3 6 3 7" xfId="29043"/>
    <cellStyle name="Normal 9 3 3 6 4" xfId="29044"/>
    <cellStyle name="Normal 9 3 3 6 4 2" xfId="29045"/>
    <cellStyle name="Normal 9 3 3 6 4 3" xfId="29046"/>
    <cellStyle name="Normal 9 3 3 6 5" xfId="29047"/>
    <cellStyle name="Normal 9 3 3 6 5 2" xfId="29048"/>
    <cellStyle name="Normal 9 3 3 6 5 3" xfId="29049"/>
    <cellStyle name="Normal 9 3 3 6 6" xfId="29050"/>
    <cellStyle name="Normal 9 3 3 6 7" xfId="29051"/>
    <cellStyle name="Normal 9 3 3 6 8" xfId="29052"/>
    <cellStyle name="Normal 9 3 3 6 9" xfId="29053"/>
    <cellStyle name="Normal 9 3 3 7" xfId="29054"/>
    <cellStyle name="Normal 9 3 3 7 2" xfId="29055"/>
    <cellStyle name="Normal 9 3 3 7 2 2" xfId="29056"/>
    <cellStyle name="Normal 9 3 3 7 2 2 2" xfId="29057"/>
    <cellStyle name="Normal 9 3 3 7 2 2 3" xfId="29058"/>
    <cellStyle name="Normal 9 3 3 7 2 3" xfId="29059"/>
    <cellStyle name="Normal 9 3 3 7 2 3 2" xfId="29060"/>
    <cellStyle name="Normal 9 3 3 7 2 3 3" xfId="29061"/>
    <cellStyle name="Normal 9 3 3 7 2 4" xfId="29062"/>
    <cellStyle name="Normal 9 3 3 7 2 5" xfId="29063"/>
    <cellStyle name="Normal 9 3 3 7 2 6" xfId="29064"/>
    <cellStyle name="Normal 9 3 3 7 2 7" xfId="29065"/>
    <cellStyle name="Normal 9 3 3 7 3" xfId="29066"/>
    <cellStyle name="Normal 9 3 3 7 3 2" xfId="29067"/>
    <cellStyle name="Normal 9 3 3 7 3 3" xfId="29068"/>
    <cellStyle name="Normal 9 3 3 7 4" xfId="29069"/>
    <cellStyle name="Normal 9 3 3 7 4 2" xfId="29070"/>
    <cellStyle name="Normal 9 3 3 7 4 3" xfId="29071"/>
    <cellStyle name="Normal 9 3 3 7 5" xfId="29072"/>
    <cellStyle name="Normal 9 3 3 7 6" xfId="29073"/>
    <cellStyle name="Normal 9 3 3 7 7" xfId="29074"/>
    <cellStyle name="Normal 9 3 3 7 8" xfId="29075"/>
    <cellStyle name="Normal 9 3 3 8" xfId="29076"/>
    <cellStyle name="Normal 9 3 3 8 2" xfId="29077"/>
    <cellStyle name="Normal 9 3 3 8 2 2" xfId="29078"/>
    <cellStyle name="Normal 9 3 3 8 2 2 2" xfId="29079"/>
    <cellStyle name="Normal 9 3 3 8 2 2 3" xfId="29080"/>
    <cellStyle name="Normal 9 3 3 8 2 3" xfId="29081"/>
    <cellStyle name="Normal 9 3 3 8 2 3 2" xfId="29082"/>
    <cellStyle name="Normal 9 3 3 8 2 3 3" xfId="29083"/>
    <cellStyle name="Normal 9 3 3 8 2 4" xfId="29084"/>
    <cellStyle name="Normal 9 3 3 8 2 5" xfId="29085"/>
    <cellStyle name="Normal 9 3 3 8 2 6" xfId="29086"/>
    <cellStyle name="Normal 9 3 3 8 2 7" xfId="29087"/>
    <cellStyle name="Normal 9 3 3 8 3" xfId="29088"/>
    <cellStyle name="Normal 9 3 3 8 3 2" xfId="29089"/>
    <cellStyle name="Normal 9 3 3 8 3 3" xfId="29090"/>
    <cellStyle name="Normal 9 3 3 8 4" xfId="29091"/>
    <cellStyle name="Normal 9 3 3 8 4 2" xfId="29092"/>
    <cellStyle name="Normal 9 3 3 8 4 3" xfId="29093"/>
    <cellStyle name="Normal 9 3 3 8 5" xfId="29094"/>
    <cellStyle name="Normal 9 3 3 8 6" xfId="29095"/>
    <cellStyle name="Normal 9 3 3 8 7" xfId="29096"/>
    <cellStyle name="Normal 9 3 3 8 8" xfId="29097"/>
    <cellStyle name="Normal 9 3 3 9" xfId="29098"/>
    <cellStyle name="Normal 9 3 3 9 2" xfId="29099"/>
    <cellStyle name="Normal 9 3 3 9 2 2" xfId="29100"/>
    <cellStyle name="Normal 9 3 3 9 2 3" xfId="29101"/>
    <cellStyle name="Normal 9 3 3 9 3" xfId="29102"/>
    <cellStyle name="Normal 9 3 3 9 3 2" xfId="29103"/>
    <cellStyle name="Normal 9 3 3 9 3 3" xfId="29104"/>
    <cellStyle name="Normal 9 3 3 9 4" xfId="29105"/>
    <cellStyle name="Normal 9 3 3 9 5" xfId="29106"/>
    <cellStyle name="Normal 9 3 3 9 6" xfId="29107"/>
    <cellStyle name="Normal 9 3 3 9 7" xfId="29108"/>
    <cellStyle name="Normal 9 3 4" xfId="29109"/>
    <cellStyle name="Normal 9 3 4 10" xfId="29110"/>
    <cellStyle name="Normal 9 3 4 10 2" xfId="29111"/>
    <cellStyle name="Normal 9 3 4 11" xfId="29112"/>
    <cellStyle name="Normal 9 3 4 11 2" xfId="29113"/>
    <cellStyle name="Normal 9 3 4 11 3" xfId="29114"/>
    <cellStyle name="Normal 9 3 4 12" xfId="29115"/>
    <cellStyle name="Normal 9 3 4 12 2" xfId="29116"/>
    <cellStyle name="Normal 9 3 4 12 3" xfId="29117"/>
    <cellStyle name="Normal 9 3 4 13" xfId="29118"/>
    <cellStyle name="Normal 9 3 4 14" xfId="29119"/>
    <cellStyle name="Normal 9 3 4 15" xfId="29120"/>
    <cellStyle name="Normal 9 3 4 16" xfId="29121"/>
    <cellStyle name="Normal 9 3 4 2" xfId="29122"/>
    <cellStyle name="Normal 9 3 4 2 10" xfId="29123"/>
    <cellStyle name="Normal 9 3 4 2 11" xfId="29124"/>
    <cellStyle name="Normal 9 3 4 2 2" xfId="29125"/>
    <cellStyle name="Normal 9 3 4 2 2 2" xfId="29126"/>
    <cellStyle name="Normal 9 3 4 2 2 2 2" xfId="29127"/>
    <cellStyle name="Normal 9 3 4 2 2 2 2 2" xfId="29128"/>
    <cellStyle name="Normal 9 3 4 2 2 2 2 2 2" xfId="29129"/>
    <cellStyle name="Normal 9 3 4 2 2 2 2 2 3" xfId="29130"/>
    <cellStyle name="Normal 9 3 4 2 2 2 2 3" xfId="29131"/>
    <cellStyle name="Normal 9 3 4 2 2 2 2 3 2" xfId="29132"/>
    <cellStyle name="Normal 9 3 4 2 2 2 2 3 3" xfId="29133"/>
    <cellStyle name="Normal 9 3 4 2 2 2 2 4" xfId="29134"/>
    <cellStyle name="Normal 9 3 4 2 2 2 2 5" xfId="29135"/>
    <cellStyle name="Normal 9 3 4 2 2 2 2 6" xfId="29136"/>
    <cellStyle name="Normal 9 3 4 2 2 2 2 7" xfId="29137"/>
    <cellStyle name="Normal 9 3 4 2 2 2 3" xfId="29138"/>
    <cellStyle name="Normal 9 3 4 2 2 2 3 2" xfId="29139"/>
    <cellStyle name="Normal 9 3 4 2 2 2 3 3" xfId="29140"/>
    <cellStyle name="Normal 9 3 4 2 2 2 4" xfId="29141"/>
    <cellStyle name="Normal 9 3 4 2 2 2 4 2" xfId="29142"/>
    <cellStyle name="Normal 9 3 4 2 2 2 4 3" xfId="29143"/>
    <cellStyle name="Normal 9 3 4 2 2 2 5" xfId="29144"/>
    <cellStyle name="Normal 9 3 4 2 2 2 6" xfId="29145"/>
    <cellStyle name="Normal 9 3 4 2 2 2 7" xfId="29146"/>
    <cellStyle name="Normal 9 3 4 2 2 2 8" xfId="29147"/>
    <cellStyle name="Normal 9 3 4 2 2 3" xfId="29148"/>
    <cellStyle name="Normal 9 3 4 2 2 3 2" xfId="29149"/>
    <cellStyle name="Normal 9 3 4 2 2 3 2 2" xfId="29150"/>
    <cellStyle name="Normal 9 3 4 2 2 3 2 3" xfId="29151"/>
    <cellStyle name="Normal 9 3 4 2 2 3 3" xfId="29152"/>
    <cellStyle name="Normal 9 3 4 2 2 3 3 2" xfId="29153"/>
    <cellStyle name="Normal 9 3 4 2 2 3 3 3" xfId="29154"/>
    <cellStyle name="Normal 9 3 4 2 2 3 4" xfId="29155"/>
    <cellStyle name="Normal 9 3 4 2 2 3 5" xfId="29156"/>
    <cellStyle name="Normal 9 3 4 2 2 3 6" xfId="29157"/>
    <cellStyle name="Normal 9 3 4 2 2 3 7" xfId="29158"/>
    <cellStyle name="Normal 9 3 4 2 2 4" xfId="29159"/>
    <cellStyle name="Normal 9 3 4 2 2 4 2" xfId="29160"/>
    <cellStyle name="Normal 9 3 4 2 2 4 3" xfId="29161"/>
    <cellStyle name="Normal 9 3 4 2 2 5" xfId="29162"/>
    <cellStyle name="Normal 9 3 4 2 2 5 2" xfId="29163"/>
    <cellStyle name="Normal 9 3 4 2 2 5 3" xfId="29164"/>
    <cellStyle name="Normal 9 3 4 2 2 6" xfId="29165"/>
    <cellStyle name="Normal 9 3 4 2 2 7" xfId="29166"/>
    <cellStyle name="Normal 9 3 4 2 2 8" xfId="29167"/>
    <cellStyle name="Normal 9 3 4 2 2 9" xfId="29168"/>
    <cellStyle name="Normal 9 3 4 2 3" xfId="29169"/>
    <cellStyle name="Normal 9 3 4 2 3 2" xfId="29170"/>
    <cellStyle name="Normal 9 3 4 2 3 2 2" xfId="29171"/>
    <cellStyle name="Normal 9 3 4 2 3 2 2 2" xfId="29172"/>
    <cellStyle name="Normal 9 3 4 2 3 2 2 3" xfId="29173"/>
    <cellStyle name="Normal 9 3 4 2 3 2 3" xfId="29174"/>
    <cellStyle name="Normal 9 3 4 2 3 2 3 2" xfId="29175"/>
    <cellStyle name="Normal 9 3 4 2 3 2 3 3" xfId="29176"/>
    <cellStyle name="Normal 9 3 4 2 3 2 4" xfId="29177"/>
    <cellStyle name="Normal 9 3 4 2 3 2 5" xfId="29178"/>
    <cellStyle name="Normal 9 3 4 2 3 2 6" xfId="29179"/>
    <cellStyle name="Normal 9 3 4 2 3 2 7" xfId="29180"/>
    <cellStyle name="Normal 9 3 4 2 3 3" xfId="29181"/>
    <cellStyle name="Normal 9 3 4 2 3 3 2" xfId="29182"/>
    <cellStyle name="Normal 9 3 4 2 3 3 3" xfId="29183"/>
    <cellStyle name="Normal 9 3 4 2 3 4" xfId="29184"/>
    <cellStyle name="Normal 9 3 4 2 3 4 2" xfId="29185"/>
    <cellStyle name="Normal 9 3 4 2 3 4 3" xfId="29186"/>
    <cellStyle name="Normal 9 3 4 2 3 5" xfId="29187"/>
    <cellStyle name="Normal 9 3 4 2 3 6" xfId="29188"/>
    <cellStyle name="Normal 9 3 4 2 3 7" xfId="29189"/>
    <cellStyle name="Normal 9 3 4 2 3 8" xfId="29190"/>
    <cellStyle name="Normal 9 3 4 2 4" xfId="29191"/>
    <cellStyle name="Normal 9 3 4 2 4 2" xfId="29192"/>
    <cellStyle name="Normal 9 3 4 2 4 2 2" xfId="29193"/>
    <cellStyle name="Normal 9 3 4 2 4 2 2 2" xfId="29194"/>
    <cellStyle name="Normal 9 3 4 2 4 2 2 3" xfId="29195"/>
    <cellStyle name="Normal 9 3 4 2 4 2 3" xfId="29196"/>
    <cellStyle name="Normal 9 3 4 2 4 2 3 2" xfId="29197"/>
    <cellStyle name="Normal 9 3 4 2 4 2 3 3" xfId="29198"/>
    <cellStyle name="Normal 9 3 4 2 4 2 4" xfId="29199"/>
    <cellStyle name="Normal 9 3 4 2 4 2 5" xfId="29200"/>
    <cellStyle name="Normal 9 3 4 2 4 2 6" xfId="29201"/>
    <cellStyle name="Normal 9 3 4 2 4 2 7" xfId="29202"/>
    <cellStyle name="Normal 9 3 4 2 4 3" xfId="29203"/>
    <cellStyle name="Normal 9 3 4 2 4 3 2" xfId="29204"/>
    <cellStyle name="Normal 9 3 4 2 4 3 3" xfId="29205"/>
    <cellStyle name="Normal 9 3 4 2 4 4" xfId="29206"/>
    <cellStyle name="Normal 9 3 4 2 4 4 2" xfId="29207"/>
    <cellStyle name="Normal 9 3 4 2 4 4 3" xfId="29208"/>
    <cellStyle name="Normal 9 3 4 2 4 5" xfId="29209"/>
    <cellStyle name="Normal 9 3 4 2 4 6" xfId="29210"/>
    <cellStyle name="Normal 9 3 4 2 4 7" xfId="29211"/>
    <cellStyle name="Normal 9 3 4 2 4 8" xfId="29212"/>
    <cellStyle name="Normal 9 3 4 2 5" xfId="29213"/>
    <cellStyle name="Normal 9 3 4 2 5 2" xfId="29214"/>
    <cellStyle name="Normal 9 3 4 2 5 2 2" xfId="29215"/>
    <cellStyle name="Normal 9 3 4 2 5 2 3" xfId="29216"/>
    <cellStyle name="Normal 9 3 4 2 5 3" xfId="29217"/>
    <cellStyle name="Normal 9 3 4 2 5 3 2" xfId="29218"/>
    <cellStyle name="Normal 9 3 4 2 5 3 3" xfId="29219"/>
    <cellStyle name="Normal 9 3 4 2 5 4" xfId="29220"/>
    <cellStyle name="Normal 9 3 4 2 5 5" xfId="29221"/>
    <cellStyle name="Normal 9 3 4 2 5 6" xfId="29222"/>
    <cellStyle name="Normal 9 3 4 2 5 7" xfId="29223"/>
    <cellStyle name="Normal 9 3 4 2 6" xfId="29224"/>
    <cellStyle name="Normal 9 3 4 2 6 2" xfId="29225"/>
    <cellStyle name="Normal 9 3 4 2 6 3" xfId="29226"/>
    <cellStyle name="Normal 9 3 4 2 7" xfId="29227"/>
    <cellStyle name="Normal 9 3 4 2 7 2" xfId="29228"/>
    <cellStyle name="Normal 9 3 4 2 7 3" xfId="29229"/>
    <cellStyle name="Normal 9 3 4 2 8" xfId="29230"/>
    <cellStyle name="Normal 9 3 4 2 9" xfId="29231"/>
    <cellStyle name="Normal 9 3 4 3" xfId="29232"/>
    <cellStyle name="Normal 9 3 4 3 10" xfId="29233"/>
    <cellStyle name="Normal 9 3 4 3 11" xfId="29234"/>
    <cellStyle name="Normal 9 3 4 3 2" xfId="29235"/>
    <cellStyle name="Normal 9 3 4 3 2 2" xfId="29236"/>
    <cellStyle name="Normal 9 3 4 3 2 2 2" xfId="29237"/>
    <cellStyle name="Normal 9 3 4 3 2 2 2 2" xfId="29238"/>
    <cellStyle name="Normal 9 3 4 3 2 2 2 2 2" xfId="29239"/>
    <cellStyle name="Normal 9 3 4 3 2 2 2 2 3" xfId="29240"/>
    <cellStyle name="Normal 9 3 4 3 2 2 2 3" xfId="29241"/>
    <cellStyle name="Normal 9 3 4 3 2 2 2 3 2" xfId="29242"/>
    <cellStyle name="Normal 9 3 4 3 2 2 2 3 3" xfId="29243"/>
    <cellStyle name="Normal 9 3 4 3 2 2 2 4" xfId="29244"/>
    <cellStyle name="Normal 9 3 4 3 2 2 2 5" xfId="29245"/>
    <cellStyle name="Normal 9 3 4 3 2 2 2 6" xfId="29246"/>
    <cellStyle name="Normal 9 3 4 3 2 2 2 7" xfId="29247"/>
    <cellStyle name="Normal 9 3 4 3 2 2 3" xfId="29248"/>
    <cellStyle name="Normal 9 3 4 3 2 2 3 2" xfId="29249"/>
    <cellStyle name="Normal 9 3 4 3 2 2 3 3" xfId="29250"/>
    <cellStyle name="Normal 9 3 4 3 2 2 4" xfId="29251"/>
    <cellStyle name="Normal 9 3 4 3 2 2 4 2" xfId="29252"/>
    <cellStyle name="Normal 9 3 4 3 2 2 4 3" xfId="29253"/>
    <cellStyle name="Normal 9 3 4 3 2 2 5" xfId="29254"/>
    <cellStyle name="Normal 9 3 4 3 2 2 6" xfId="29255"/>
    <cellStyle name="Normal 9 3 4 3 2 2 7" xfId="29256"/>
    <cellStyle name="Normal 9 3 4 3 2 2 8" xfId="29257"/>
    <cellStyle name="Normal 9 3 4 3 2 3" xfId="29258"/>
    <cellStyle name="Normal 9 3 4 3 2 3 2" xfId="29259"/>
    <cellStyle name="Normal 9 3 4 3 2 3 2 2" xfId="29260"/>
    <cellStyle name="Normal 9 3 4 3 2 3 2 3" xfId="29261"/>
    <cellStyle name="Normal 9 3 4 3 2 3 3" xfId="29262"/>
    <cellStyle name="Normal 9 3 4 3 2 3 3 2" xfId="29263"/>
    <cellStyle name="Normal 9 3 4 3 2 3 3 3" xfId="29264"/>
    <cellStyle name="Normal 9 3 4 3 2 3 4" xfId="29265"/>
    <cellStyle name="Normal 9 3 4 3 2 3 5" xfId="29266"/>
    <cellStyle name="Normal 9 3 4 3 2 3 6" xfId="29267"/>
    <cellStyle name="Normal 9 3 4 3 2 3 7" xfId="29268"/>
    <cellStyle name="Normal 9 3 4 3 2 4" xfId="29269"/>
    <cellStyle name="Normal 9 3 4 3 2 4 2" xfId="29270"/>
    <cellStyle name="Normal 9 3 4 3 2 4 3" xfId="29271"/>
    <cellStyle name="Normal 9 3 4 3 2 5" xfId="29272"/>
    <cellStyle name="Normal 9 3 4 3 2 5 2" xfId="29273"/>
    <cellStyle name="Normal 9 3 4 3 2 5 3" xfId="29274"/>
    <cellStyle name="Normal 9 3 4 3 2 6" xfId="29275"/>
    <cellStyle name="Normal 9 3 4 3 2 7" xfId="29276"/>
    <cellStyle name="Normal 9 3 4 3 2 8" xfId="29277"/>
    <cellStyle name="Normal 9 3 4 3 2 9" xfId="29278"/>
    <cellStyle name="Normal 9 3 4 3 3" xfId="29279"/>
    <cellStyle name="Normal 9 3 4 3 3 2" xfId="29280"/>
    <cellStyle name="Normal 9 3 4 3 3 2 2" xfId="29281"/>
    <cellStyle name="Normal 9 3 4 3 3 2 2 2" xfId="29282"/>
    <cellStyle name="Normal 9 3 4 3 3 2 2 3" xfId="29283"/>
    <cellStyle name="Normal 9 3 4 3 3 2 3" xfId="29284"/>
    <cellStyle name="Normal 9 3 4 3 3 2 3 2" xfId="29285"/>
    <cellStyle name="Normal 9 3 4 3 3 2 3 3" xfId="29286"/>
    <cellStyle name="Normal 9 3 4 3 3 2 4" xfId="29287"/>
    <cellStyle name="Normal 9 3 4 3 3 2 5" xfId="29288"/>
    <cellStyle name="Normal 9 3 4 3 3 2 6" xfId="29289"/>
    <cellStyle name="Normal 9 3 4 3 3 2 7" xfId="29290"/>
    <cellStyle name="Normal 9 3 4 3 3 3" xfId="29291"/>
    <cellStyle name="Normal 9 3 4 3 3 3 2" xfId="29292"/>
    <cellStyle name="Normal 9 3 4 3 3 3 3" xfId="29293"/>
    <cellStyle name="Normal 9 3 4 3 3 4" xfId="29294"/>
    <cellStyle name="Normal 9 3 4 3 3 4 2" xfId="29295"/>
    <cellStyle name="Normal 9 3 4 3 3 4 3" xfId="29296"/>
    <cellStyle name="Normal 9 3 4 3 3 5" xfId="29297"/>
    <cellStyle name="Normal 9 3 4 3 3 6" xfId="29298"/>
    <cellStyle name="Normal 9 3 4 3 3 7" xfId="29299"/>
    <cellStyle name="Normal 9 3 4 3 3 8" xfId="29300"/>
    <cellStyle name="Normal 9 3 4 3 4" xfId="29301"/>
    <cellStyle name="Normal 9 3 4 3 4 2" xfId="29302"/>
    <cellStyle name="Normal 9 3 4 3 4 2 2" xfId="29303"/>
    <cellStyle name="Normal 9 3 4 3 4 2 2 2" xfId="29304"/>
    <cellStyle name="Normal 9 3 4 3 4 2 2 3" xfId="29305"/>
    <cellStyle name="Normal 9 3 4 3 4 2 3" xfId="29306"/>
    <cellStyle name="Normal 9 3 4 3 4 2 3 2" xfId="29307"/>
    <cellStyle name="Normal 9 3 4 3 4 2 3 3" xfId="29308"/>
    <cellStyle name="Normal 9 3 4 3 4 2 4" xfId="29309"/>
    <cellStyle name="Normal 9 3 4 3 4 2 5" xfId="29310"/>
    <cellStyle name="Normal 9 3 4 3 4 2 6" xfId="29311"/>
    <cellStyle name="Normal 9 3 4 3 4 2 7" xfId="29312"/>
    <cellStyle name="Normal 9 3 4 3 4 3" xfId="29313"/>
    <cellStyle name="Normal 9 3 4 3 4 3 2" xfId="29314"/>
    <cellStyle name="Normal 9 3 4 3 4 3 3" xfId="29315"/>
    <cellStyle name="Normal 9 3 4 3 4 4" xfId="29316"/>
    <cellStyle name="Normal 9 3 4 3 4 4 2" xfId="29317"/>
    <cellStyle name="Normal 9 3 4 3 4 4 3" xfId="29318"/>
    <cellStyle name="Normal 9 3 4 3 4 5" xfId="29319"/>
    <cellStyle name="Normal 9 3 4 3 4 6" xfId="29320"/>
    <cellStyle name="Normal 9 3 4 3 4 7" xfId="29321"/>
    <cellStyle name="Normal 9 3 4 3 4 8" xfId="29322"/>
    <cellStyle name="Normal 9 3 4 3 5" xfId="29323"/>
    <cellStyle name="Normal 9 3 4 3 5 2" xfId="29324"/>
    <cellStyle name="Normal 9 3 4 3 5 2 2" xfId="29325"/>
    <cellStyle name="Normal 9 3 4 3 5 2 3" xfId="29326"/>
    <cellStyle name="Normal 9 3 4 3 5 3" xfId="29327"/>
    <cellStyle name="Normal 9 3 4 3 5 3 2" xfId="29328"/>
    <cellStyle name="Normal 9 3 4 3 5 3 3" xfId="29329"/>
    <cellStyle name="Normal 9 3 4 3 5 4" xfId="29330"/>
    <cellStyle name="Normal 9 3 4 3 5 5" xfId="29331"/>
    <cellStyle name="Normal 9 3 4 3 5 6" xfId="29332"/>
    <cellStyle name="Normal 9 3 4 3 5 7" xfId="29333"/>
    <cellStyle name="Normal 9 3 4 3 6" xfId="29334"/>
    <cellStyle name="Normal 9 3 4 3 6 2" xfId="29335"/>
    <cellStyle name="Normal 9 3 4 3 6 3" xfId="29336"/>
    <cellStyle name="Normal 9 3 4 3 7" xfId="29337"/>
    <cellStyle name="Normal 9 3 4 3 7 2" xfId="29338"/>
    <cellStyle name="Normal 9 3 4 3 7 3" xfId="29339"/>
    <cellStyle name="Normal 9 3 4 3 8" xfId="29340"/>
    <cellStyle name="Normal 9 3 4 3 9" xfId="29341"/>
    <cellStyle name="Normal 9 3 4 4" xfId="29342"/>
    <cellStyle name="Normal 9 3 4 4 10" xfId="29343"/>
    <cellStyle name="Normal 9 3 4 4 11" xfId="29344"/>
    <cellStyle name="Normal 9 3 4 4 2" xfId="29345"/>
    <cellStyle name="Normal 9 3 4 4 2 2" xfId="29346"/>
    <cellStyle name="Normal 9 3 4 4 2 2 2" xfId="29347"/>
    <cellStyle name="Normal 9 3 4 4 2 2 2 2" xfId="29348"/>
    <cellStyle name="Normal 9 3 4 4 2 2 2 2 2" xfId="29349"/>
    <cellStyle name="Normal 9 3 4 4 2 2 2 2 3" xfId="29350"/>
    <cellStyle name="Normal 9 3 4 4 2 2 2 3" xfId="29351"/>
    <cellStyle name="Normal 9 3 4 4 2 2 2 3 2" xfId="29352"/>
    <cellStyle name="Normal 9 3 4 4 2 2 2 3 3" xfId="29353"/>
    <cellStyle name="Normal 9 3 4 4 2 2 2 4" xfId="29354"/>
    <cellStyle name="Normal 9 3 4 4 2 2 2 5" xfId="29355"/>
    <cellStyle name="Normal 9 3 4 4 2 2 2 6" xfId="29356"/>
    <cellStyle name="Normal 9 3 4 4 2 2 2 7" xfId="29357"/>
    <cellStyle name="Normal 9 3 4 4 2 2 3" xfId="29358"/>
    <cellStyle name="Normal 9 3 4 4 2 2 3 2" xfId="29359"/>
    <cellStyle name="Normal 9 3 4 4 2 2 3 3" xfId="29360"/>
    <cellStyle name="Normal 9 3 4 4 2 2 4" xfId="29361"/>
    <cellStyle name="Normal 9 3 4 4 2 2 4 2" xfId="29362"/>
    <cellStyle name="Normal 9 3 4 4 2 2 4 3" xfId="29363"/>
    <cellStyle name="Normal 9 3 4 4 2 2 5" xfId="29364"/>
    <cellStyle name="Normal 9 3 4 4 2 2 6" xfId="29365"/>
    <cellStyle name="Normal 9 3 4 4 2 2 7" xfId="29366"/>
    <cellStyle name="Normal 9 3 4 4 2 2 8" xfId="29367"/>
    <cellStyle name="Normal 9 3 4 4 2 3" xfId="29368"/>
    <cellStyle name="Normal 9 3 4 4 2 3 2" xfId="29369"/>
    <cellStyle name="Normal 9 3 4 4 2 3 2 2" xfId="29370"/>
    <cellStyle name="Normal 9 3 4 4 2 3 2 3" xfId="29371"/>
    <cellStyle name="Normal 9 3 4 4 2 3 3" xfId="29372"/>
    <cellStyle name="Normal 9 3 4 4 2 3 3 2" xfId="29373"/>
    <cellStyle name="Normal 9 3 4 4 2 3 3 3" xfId="29374"/>
    <cellStyle name="Normal 9 3 4 4 2 3 4" xfId="29375"/>
    <cellStyle name="Normal 9 3 4 4 2 3 5" xfId="29376"/>
    <cellStyle name="Normal 9 3 4 4 2 3 6" xfId="29377"/>
    <cellStyle name="Normal 9 3 4 4 2 3 7" xfId="29378"/>
    <cellStyle name="Normal 9 3 4 4 2 4" xfId="29379"/>
    <cellStyle name="Normal 9 3 4 4 2 4 2" xfId="29380"/>
    <cellStyle name="Normal 9 3 4 4 2 4 3" xfId="29381"/>
    <cellStyle name="Normal 9 3 4 4 2 5" xfId="29382"/>
    <cellStyle name="Normal 9 3 4 4 2 5 2" xfId="29383"/>
    <cellStyle name="Normal 9 3 4 4 2 5 3" xfId="29384"/>
    <cellStyle name="Normal 9 3 4 4 2 6" xfId="29385"/>
    <cellStyle name="Normal 9 3 4 4 2 7" xfId="29386"/>
    <cellStyle name="Normal 9 3 4 4 2 8" xfId="29387"/>
    <cellStyle name="Normal 9 3 4 4 2 9" xfId="29388"/>
    <cellStyle name="Normal 9 3 4 4 3" xfId="29389"/>
    <cellStyle name="Normal 9 3 4 4 3 2" xfId="29390"/>
    <cellStyle name="Normal 9 3 4 4 3 2 2" xfId="29391"/>
    <cellStyle name="Normal 9 3 4 4 3 2 2 2" xfId="29392"/>
    <cellStyle name="Normal 9 3 4 4 3 2 2 3" xfId="29393"/>
    <cellStyle name="Normal 9 3 4 4 3 2 3" xfId="29394"/>
    <cellStyle name="Normal 9 3 4 4 3 2 3 2" xfId="29395"/>
    <cellStyle name="Normal 9 3 4 4 3 2 3 3" xfId="29396"/>
    <cellStyle name="Normal 9 3 4 4 3 2 4" xfId="29397"/>
    <cellStyle name="Normal 9 3 4 4 3 2 5" xfId="29398"/>
    <cellStyle name="Normal 9 3 4 4 3 2 6" xfId="29399"/>
    <cellStyle name="Normal 9 3 4 4 3 2 7" xfId="29400"/>
    <cellStyle name="Normal 9 3 4 4 3 3" xfId="29401"/>
    <cellStyle name="Normal 9 3 4 4 3 3 2" xfId="29402"/>
    <cellStyle name="Normal 9 3 4 4 3 3 3" xfId="29403"/>
    <cellStyle name="Normal 9 3 4 4 3 4" xfId="29404"/>
    <cellStyle name="Normal 9 3 4 4 3 4 2" xfId="29405"/>
    <cellStyle name="Normal 9 3 4 4 3 4 3" xfId="29406"/>
    <cellStyle name="Normal 9 3 4 4 3 5" xfId="29407"/>
    <cellStyle name="Normal 9 3 4 4 3 6" xfId="29408"/>
    <cellStyle name="Normal 9 3 4 4 3 7" xfId="29409"/>
    <cellStyle name="Normal 9 3 4 4 3 8" xfId="29410"/>
    <cellStyle name="Normal 9 3 4 4 4" xfId="29411"/>
    <cellStyle name="Normal 9 3 4 4 4 2" xfId="29412"/>
    <cellStyle name="Normal 9 3 4 4 4 2 2" xfId="29413"/>
    <cellStyle name="Normal 9 3 4 4 4 2 2 2" xfId="29414"/>
    <cellStyle name="Normal 9 3 4 4 4 2 2 3" xfId="29415"/>
    <cellStyle name="Normal 9 3 4 4 4 2 3" xfId="29416"/>
    <cellStyle name="Normal 9 3 4 4 4 2 3 2" xfId="29417"/>
    <cellStyle name="Normal 9 3 4 4 4 2 3 3" xfId="29418"/>
    <cellStyle name="Normal 9 3 4 4 4 2 4" xfId="29419"/>
    <cellStyle name="Normal 9 3 4 4 4 2 5" xfId="29420"/>
    <cellStyle name="Normal 9 3 4 4 4 2 6" xfId="29421"/>
    <cellStyle name="Normal 9 3 4 4 4 2 7" xfId="29422"/>
    <cellStyle name="Normal 9 3 4 4 4 3" xfId="29423"/>
    <cellStyle name="Normal 9 3 4 4 4 3 2" xfId="29424"/>
    <cellStyle name="Normal 9 3 4 4 4 3 3" xfId="29425"/>
    <cellStyle name="Normal 9 3 4 4 4 4" xfId="29426"/>
    <cellStyle name="Normal 9 3 4 4 4 4 2" xfId="29427"/>
    <cellStyle name="Normal 9 3 4 4 4 4 3" xfId="29428"/>
    <cellStyle name="Normal 9 3 4 4 4 5" xfId="29429"/>
    <cellStyle name="Normal 9 3 4 4 4 6" xfId="29430"/>
    <cellStyle name="Normal 9 3 4 4 4 7" xfId="29431"/>
    <cellStyle name="Normal 9 3 4 4 4 8" xfId="29432"/>
    <cellStyle name="Normal 9 3 4 4 5" xfId="29433"/>
    <cellStyle name="Normal 9 3 4 4 5 2" xfId="29434"/>
    <cellStyle name="Normal 9 3 4 4 5 2 2" xfId="29435"/>
    <cellStyle name="Normal 9 3 4 4 5 2 3" xfId="29436"/>
    <cellStyle name="Normal 9 3 4 4 5 3" xfId="29437"/>
    <cellStyle name="Normal 9 3 4 4 5 3 2" xfId="29438"/>
    <cellStyle name="Normal 9 3 4 4 5 3 3" xfId="29439"/>
    <cellStyle name="Normal 9 3 4 4 5 4" xfId="29440"/>
    <cellStyle name="Normal 9 3 4 4 5 5" xfId="29441"/>
    <cellStyle name="Normal 9 3 4 4 5 6" xfId="29442"/>
    <cellStyle name="Normal 9 3 4 4 5 7" xfId="29443"/>
    <cellStyle name="Normal 9 3 4 4 6" xfId="29444"/>
    <cellStyle name="Normal 9 3 4 4 6 2" xfId="29445"/>
    <cellStyle name="Normal 9 3 4 4 6 3" xfId="29446"/>
    <cellStyle name="Normal 9 3 4 4 7" xfId="29447"/>
    <cellStyle name="Normal 9 3 4 4 7 2" xfId="29448"/>
    <cellStyle name="Normal 9 3 4 4 7 3" xfId="29449"/>
    <cellStyle name="Normal 9 3 4 4 8" xfId="29450"/>
    <cellStyle name="Normal 9 3 4 4 9" xfId="29451"/>
    <cellStyle name="Normal 9 3 4 5" xfId="29452"/>
    <cellStyle name="Normal 9 3 4 5 10" xfId="29453"/>
    <cellStyle name="Normal 9 3 4 5 11" xfId="29454"/>
    <cellStyle name="Normal 9 3 4 5 2" xfId="29455"/>
    <cellStyle name="Normal 9 3 4 5 2 2" xfId="29456"/>
    <cellStyle name="Normal 9 3 4 5 2 2 2" xfId="29457"/>
    <cellStyle name="Normal 9 3 4 5 2 2 2 2" xfId="29458"/>
    <cellStyle name="Normal 9 3 4 5 2 2 2 2 2" xfId="29459"/>
    <cellStyle name="Normal 9 3 4 5 2 2 2 2 3" xfId="29460"/>
    <cellStyle name="Normal 9 3 4 5 2 2 2 3" xfId="29461"/>
    <cellStyle name="Normal 9 3 4 5 2 2 2 3 2" xfId="29462"/>
    <cellStyle name="Normal 9 3 4 5 2 2 2 3 3" xfId="29463"/>
    <cellStyle name="Normal 9 3 4 5 2 2 2 4" xfId="29464"/>
    <cellStyle name="Normal 9 3 4 5 2 2 2 5" xfId="29465"/>
    <cellStyle name="Normal 9 3 4 5 2 2 2 6" xfId="29466"/>
    <cellStyle name="Normal 9 3 4 5 2 2 2 7" xfId="29467"/>
    <cellStyle name="Normal 9 3 4 5 2 2 3" xfId="29468"/>
    <cellStyle name="Normal 9 3 4 5 2 2 3 2" xfId="29469"/>
    <cellStyle name="Normal 9 3 4 5 2 2 3 3" xfId="29470"/>
    <cellStyle name="Normal 9 3 4 5 2 2 4" xfId="29471"/>
    <cellStyle name="Normal 9 3 4 5 2 2 4 2" xfId="29472"/>
    <cellStyle name="Normal 9 3 4 5 2 2 4 3" xfId="29473"/>
    <cellStyle name="Normal 9 3 4 5 2 2 5" xfId="29474"/>
    <cellStyle name="Normal 9 3 4 5 2 2 6" xfId="29475"/>
    <cellStyle name="Normal 9 3 4 5 2 2 7" xfId="29476"/>
    <cellStyle name="Normal 9 3 4 5 2 2 8" xfId="29477"/>
    <cellStyle name="Normal 9 3 4 5 2 3" xfId="29478"/>
    <cellStyle name="Normal 9 3 4 5 2 3 2" xfId="29479"/>
    <cellStyle name="Normal 9 3 4 5 2 3 2 2" xfId="29480"/>
    <cellStyle name="Normal 9 3 4 5 2 3 2 3" xfId="29481"/>
    <cellStyle name="Normal 9 3 4 5 2 3 3" xfId="29482"/>
    <cellStyle name="Normal 9 3 4 5 2 3 3 2" xfId="29483"/>
    <cellStyle name="Normal 9 3 4 5 2 3 3 3" xfId="29484"/>
    <cellStyle name="Normal 9 3 4 5 2 3 4" xfId="29485"/>
    <cellStyle name="Normal 9 3 4 5 2 3 5" xfId="29486"/>
    <cellStyle name="Normal 9 3 4 5 2 3 6" xfId="29487"/>
    <cellStyle name="Normal 9 3 4 5 2 3 7" xfId="29488"/>
    <cellStyle name="Normal 9 3 4 5 2 4" xfId="29489"/>
    <cellStyle name="Normal 9 3 4 5 2 4 2" xfId="29490"/>
    <cellStyle name="Normal 9 3 4 5 2 4 3" xfId="29491"/>
    <cellStyle name="Normal 9 3 4 5 2 5" xfId="29492"/>
    <cellStyle name="Normal 9 3 4 5 2 5 2" xfId="29493"/>
    <cellStyle name="Normal 9 3 4 5 2 5 3" xfId="29494"/>
    <cellStyle name="Normal 9 3 4 5 2 6" xfId="29495"/>
    <cellStyle name="Normal 9 3 4 5 2 7" xfId="29496"/>
    <cellStyle name="Normal 9 3 4 5 2 8" xfId="29497"/>
    <cellStyle name="Normal 9 3 4 5 2 9" xfId="29498"/>
    <cellStyle name="Normal 9 3 4 5 3" xfId="29499"/>
    <cellStyle name="Normal 9 3 4 5 3 2" xfId="29500"/>
    <cellStyle name="Normal 9 3 4 5 3 2 2" xfId="29501"/>
    <cellStyle name="Normal 9 3 4 5 3 2 2 2" xfId="29502"/>
    <cellStyle name="Normal 9 3 4 5 3 2 2 3" xfId="29503"/>
    <cellStyle name="Normal 9 3 4 5 3 2 3" xfId="29504"/>
    <cellStyle name="Normal 9 3 4 5 3 2 3 2" xfId="29505"/>
    <cellStyle name="Normal 9 3 4 5 3 2 3 3" xfId="29506"/>
    <cellStyle name="Normal 9 3 4 5 3 2 4" xfId="29507"/>
    <cellStyle name="Normal 9 3 4 5 3 2 5" xfId="29508"/>
    <cellStyle name="Normal 9 3 4 5 3 2 6" xfId="29509"/>
    <cellStyle name="Normal 9 3 4 5 3 2 7" xfId="29510"/>
    <cellStyle name="Normal 9 3 4 5 3 3" xfId="29511"/>
    <cellStyle name="Normal 9 3 4 5 3 3 2" xfId="29512"/>
    <cellStyle name="Normal 9 3 4 5 3 3 3" xfId="29513"/>
    <cellStyle name="Normal 9 3 4 5 3 4" xfId="29514"/>
    <cellStyle name="Normal 9 3 4 5 3 4 2" xfId="29515"/>
    <cellStyle name="Normal 9 3 4 5 3 4 3" xfId="29516"/>
    <cellStyle name="Normal 9 3 4 5 3 5" xfId="29517"/>
    <cellStyle name="Normal 9 3 4 5 3 6" xfId="29518"/>
    <cellStyle name="Normal 9 3 4 5 3 7" xfId="29519"/>
    <cellStyle name="Normal 9 3 4 5 3 8" xfId="29520"/>
    <cellStyle name="Normal 9 3 4 5 4" xfId="29521"/>
    <cellStyle name="Normal 9 3 4 5 4 2" xfId="29522"/>
    <cellStyle name="Normal 9 3 4 5 4 2 2" xfId="29523"/>
    <cellStyle name="Normal 9 3 4 5 4 2 2 2" xfId="29524"/>
    <cellStyle name="Normal 9 3 4 5 4 2 2 3" xfId="29525"/>
    <cellStyle name="Normal 9 3 4 5 4 2 3" xfId="29526"/>
    <cellStyle name="Normal 9 3 4 5 4 2 3 2" xfId="29527"/>
    <cellStyle name="Normal 9 3 4 5 4 2 3 3" xfId="29528"/>
    <cellStyle name="Normal 9 3 4 5 4 2 4" xfId="29529"/>
    <cellStyle name="Normal 9 3 4 5 4 2 5" xfId="29530"/>
    <cellStyle name="Normal 9 3 4 5 4 2 6" xfId="29531"/>
    <cellStyle name="Normal 9 3 4 5 4 2 7" xfId="29532"/>
    <cellStyle name="Normal 9 3 4 5 4 3" xfId="29533"/>
    <cellStyle name="Normal 9 3 4 5 4 3 2" xfId="29534"/>
    <cellStyle name="Normal 9 3 4 5 4 3 3" xfId="29535"/>
    <cellStyle name="Normal 9 3 4 5 4 4" xfId="29536"/>
    <cellStyle name="Normal 9 3 4 5 4 4 2" xfId="29537"/>
    <cellStyle name="Normal 9 3 4 5 4 4 3" xfId="29538"/>
    <cellStyle name="Normal 9 3 4 5 4 5" xfId="29539"/>
    <cellStyle name="Normal 9 3 4 5 4 6" xfId="29540"/>
    <cellStyle name="Normal 9 3 4 5 4 7" xfId="29541"/>
    <cellStyle name="Normal 9 3 4 5 4 8" xfId="29542"/>
    <cellStyle name="Normal 9 3 4 5 5" xfId="29543"/>
    <cellStyle name="Normal 9 3 4 5 5 2" xfId="29544"/>
    <cellStyle name="Normal 9 3 4 5 5 2 2" xfId="29545"/>
    <cellStyle name="Normal 9 3 4 5 5 2 3" xfId="29546"/>
    <cellStyle name="Normal 9 3 4 5 5 3" xfId="29547"/>
    <cellStyle name="Normal 9 3 4 5 5 3 2" xfId="29548"/>
    <cellStyle name="Normal 9 3 4 5 5 3 3" xfId="29549"/>
    <cellStyle name="Normal 9 3 4 5 5 4" xfId="29550"/>
    <cellStyle name="Normal 9 3 4 5 5 5" xfId="29551"/>
    <cellStyle name="Normal 9 3 4 5 5 6" xfId="29552"/>
    <cellStyle name="Normal 9 3 4 5 5 7" xfId="29553"/>
    <cellStyle name="Normal 9 3 4 5 6" xfId="29554"/>
    <cellStyle name="Normal 9 3 4 5 6 2" xfId="29555"/>
    <cellStyle name="Normal 9 3 4 5 6 3" xfId="29556"/>
    <cellStyle name="Normal 9 3 4 5 7" xfId="29557"/>
    <cellStyle name="Normal 9 3 4 5 7 2" xfId="29558"/>
    <cellStyle name="Normal 9 3 4 5 7 3" xfId="29559"/>
    <cellStyle name="Normal 9 3 4 5 8" xfId="29560"/>
    <cellStyle name="Normal 9 3 4 5 9" xfId="29561"/>
    <cellStyle name="Normal 9 3 4 6" xfId="29562"/>
    <cellStyle name="Normal 9 3 4 6 2" xfId="29563"/>
    <cellStyle name="Normal 9 3 4 6 2 2" xfId="29564"/>
    <cellStyle name="Normal 9 3 4 6 2 2 2" xfId="29565"/>
    <cellStyle name="Normal 9 3 4 6 2 2 2 2" xfId="29566"/>
    <cellStyle name="Normal 9 3 4 6 2 2 2 3" xfId="29567"/>
    <cellStyle name="Normal 9 3 4 6 2 2 3" xfId="29568"/>
    <cellStyle name="Normal 9 3 4 6 2 2 3 2" xfId="29569"/>
    <cellStyle name="Normal 9 3 4 6 2 2 3 3" xfId="29570"/>
    <cellStyle name="Normal 9 3 4 6 2 2 4" xfId="29571"/>
    <cellStyle name="Normal 9 3 4 6 2 2 5" xfId="29572"/>
    <cellStyle name="Normal 9 3 4 6 2 2 6" xfId="29573"/>
    <cellStyle name="Normal 9 3 4 6 2 2 7" xfId="29574"/>
    <cellStyle name="Normal 9 3 4 6 2 3" xfId="29575"/>
    <cellStyle name="Normal 9 3 4 6 2 3 2" xfId="29576"/>
    <cellStyle name="Normal 9 3 4 6 2 3 3" xfId="29577"/>
    <cellStyle name="Normal 9 3 4 6 2 4" xfId="29578"/>
    <cellStyle name="Normal 9 3 4 6 2 4 2" xfId="29579"/>
    <cellStyle name="Normal 9 3 4 6 2 4 3" xfId="29580"/>
    <cellStyle name="Normal 9 3 4 6 2 5" xfId="29581"/>
    <cellStyle name="Normal 9 3 4 6 2 6" xfId="29582"/>
    <cellStyle name="Normal 9 3 4 6 2 7" xfId="29583"/>
    <cellStyle name="Normal 9 3 4 6 2 8" xfId="29584"/>
    <cellStyle name="Normal 9 3 4 6 3" xfId="29585"/>
    <cellStyle name="Normal 9 3 4 6 3 2" xfId="29586"/>
    <cellStyle name="Normal 9 3 4 6 3 2 2" xfId="29587"/>
    <cellStyle name="Normal 9 3 4 6 3 2 3" xfId="29588"/>
    <cellStyle name="Normal 9 3 4 6 3 3" xfId="29589"/>
    <cellStyle name="Normal 9 3 4 6 3 3 2" xfId="29590"/>
    <cellStyle name="Normal 9 3 4 6 3 3 3" xfId="29591"/>
    <cellStyle name="Normal 9 3 4 6 3 4" xfId="29592"/>
    <cellStyle name="Normal 9 3 4 6 3 5" xfId="29593"/>
    <cellStyle name="Normal 9 3 4 6 3 6" xfId="29594"/>
    <cellStyle name="Normal 9 3 4 6 3 7" xfId="29595"/>
    <cellStyle name="Normal 9 3 4 6 4" xfId="29596"/>
    <cellStyle name="Normal 9 3 4 6 4 2" xfId="29597"/>
    <cellStyle name="Normal 9 3 4 6 4 3" xfId="29598"/>
    <cellStyle name="Normal 9 3 4 6 5" xfId="29599"/>
    <cellStyle name="Normal 9 3 4 6 5 2" xfId="29600"/>
    <cellStyle name="Normal 9 3 4 6 5 3" xfId="29601"/>
    <cellStyle name="Normal 9 3 4 6 6" xfId="29602"/>
    <cellStyle name="Normal 9 3 4 6 7" xfId="29603"/>
    <cellStyle name="Normal 9 3 4 6 8" xfId="29604"/>
    <cellStyle name="Normal 9 3 4 6 9" xfId="29605"/>
    <cellStyle name="Normal 9 3 4 7" xfId="29606"/>
    <cellStyle name="Normal 9 3 4 7 2" xfId="29607"/>
    <cellStyle name="Normal 9 3 4 7 2 2" xfId="29608"/>
    <cellStyle name="Normal 9 3 4 7 2 2 2" xfId="29609"/>
    <cellStyle name="Normal 9 3 4 7 2 2 3" xfId="29610"/>
    <cellStyle name="Normal 9 3 4 7 2 3" xfId="29611"/>
    <cellStyle name="Normal 9 3 4 7 2 3 2" xfId="29612"/>
    <cellStyle name="Normal 9 3 4 7 2 3 3" xfId="29613"/>
    <cellStyle name="Normal 9 3 4 7 2 4" xfId="29614"/>
    <cellStyle name="Normal 9 3 4 7 2 5" xfId="29615"/>
    <cellStyle name="Normal 9 3 4 7 2 6" xfId="29616"/>
    <cellStyle name="Normal 9 3 4 7 2 7" xfId="29617"/>
    <cellStyle name="Normal 9 3 4 7 3" xfId="29618"/>
    <cellStyle name="Normal 9 3 4 7 3 2" xfId="29619"/>
    <cellStyle name="Normal 9 3 4 7 3 3" xfId="29620"/>
    <cellStyle name="Normal 9 3 4 7 4" xfId="29621"/>
    <cellStyle name="Normal 9 3 4 7 4 2" xfId="29622"/>
    <cellStyle name="Normal 9 3 4 7 4 3" xfId="29623"/>
    <cellStyle name="Normal 9 3 4 7 5" xfId="29624"/>
    <cellStyle name="Normal 9 3 4 7 6" xfId="29625"/>
    <cellStyle name="Normal 9 3 4 7 7" xfId="29626"/>
    <cellStyle name="Normal 9 3 4 7 8" xfId="29627"/>
    <cellStyle name="Normal 9 3 4 8" xfId="29628"/>
    <cellStyle name="Normal 9 3 4 8 2" xfId="29629"/>
    <cellStyle name="Normal 9 3 4 8 2 2" xfId="29630"/>
    <cellStyle name="Normal 9 3 4 8 2 2 2" xfId="29631"/>
    <cellStyle name="Normal 9 3 4 8 2 2 3" xfId="29632"/>
    <cellStyle name="Normal 9 3 4 8 2 3" xfId="29633"/>
    <cellStyle name="Normal 9 3 4 8 2 3 2" xfId="29634"/>
    <cellStyle name="Normal 9 3 4 8 2 3 3" xfId="29635"/>
    <cellStyle name="Normal 9 3 4 8 2 4" xfId="29636"/>
    <cellStyle name="Normal 9 3 4 8 2 5" xfId="29637"/>
    <cellStyle name="Normal 9 3 4 8 2 6" xfId="29638"/>
    <cellStyle name="Normal 9 3 4 8 2 7" xfId="29639"/>
    <cellStyle name="Normal 9 3 4 8 3" xfId="29640"/>
    <cellStyle name="Normal 9 3 4 8 3 2" xfId="29641"/>
    <cellStyle name="Normal 9 3 4 8 3 3" xfId="29642"/>
    <cellStyle name="Normal 9 3 4 8 4" xfId="29643"/>
    <cellStyle name="Normal 9 3 4 8 4 2" xfId="29644"/>
    <cellStyle name="Normal 9 3 4 8 4 3" xfId="29645"/>
    <cellStyle name="Normal 9 3 4 8 5" xfId="29646"/>
    <cellStyle name="Normal 9 3 4 8 6" xfId="29647"/>
    <cellStyle name="Normal 9 3 4 8 7" xfId="29648"/>
    <cellStyle name="Normal 9 3 4 8 8" xfId="29649"/>
    <cellStyle name="Normal 9 3 4 9" xfId="29650"/>
    <cellStyle name="Normal 9 3 4 9 2" xfId="29651"/>
    <cellStyle name="Normal 9 3 4 9 2 2" xfId="29652"/>
    <cellStyle name="Normal 9 3 4 9 2 3" xfId="29653"/>
    <cellStyle name="Normal 9 3 4 9 3" xfId="29654"/>
    <cellStyle name="Normal 9 3 4 9 3 2" xfId="29655"/>
    <cellStyle name="Normal 9 3 4 9 3 3" xfId="29656"/>
    <cellStyle name="Normal 9 3 4 9 4" xfId="29657"/>
    <cellStyle name="Normal 9 3 4 9 5" xfId="29658"/>
    <cellStyle name="Normal 9 3 4 9 6" xfId="29659"/>
    <cellStyle name="Normal 9 3 4 9 7" xfId="29660"/>
    <cellStyle name="Normal 9 3 5" xfId="29661"/>
    <cellStyle name="Normal 9 3 5 10" xfId="29662"/>
    <cellStyle name="Normal 9 3 5 10 2" xfId="29663"/>
    <cellStyle name="Normal 9 3 5 10 3" xfId="29664"/>
    <cellStyle name="Normal 9 3 5 11" xfId="29665"/>
    <cellStyle name="Normal 9 3 5 12" xfId="29666"/>
    <cellStyle name="Normal 9 3 5 13" xfId="29667"/>
    <cellStyle name="Normal 9 3 5 14" xfId="29668"/>
    <cellStyle name="Normal 9 3 5 2" xfId="29669"/>
    <cellStyle name="Normal 9 3 5 2 10" xfId="29670"/>
    <cellStyle name="Normal 9 3 5 2 11" xfId="29671"/>
    <cellStyle name="Normal 9 3 5 2 2" xfId="29672"/>
    <cellStyle name="Normal 9 3 5 2 2 2" xfId="29673"/>
    <cellStyle name="Normal 9 3 5 2 2 2 2" xfId="29674"/>
    <cellStyle name="Normal 9 3 5 2 2 2 2 2" xfId="29675"/>
    <cellStyle name="Normal 9 3 5 2 2 2 2 2 2" xfId="29676"/>
    <cellStyle name="Normal 9 3 5 2 2 2 2 2 3" xfId="29677"/>
    <cellStyle name="Normal 9 3 5 2 2 2 2 3" xfId="29678"/>
    <cellStyle name="Normal 9 3 5 2 2 2 2 3 2" xfId="29679"/>
    <cellStyle name="Normal 9 3 5 2 2 2 2 3 3" xfId="29680"/>
    <cellStyle name="Normal 9 3 5 2 2 2 2 4" xfId="29681"/>
    <cellStyle name="Normal 9 3 5 2 2 2 2 5" xfId="29682"/>
    <cellStyle name="Normal 9 3 5 2 2 2 2 6" xfId="29683"/>
    <cellStyle name="Normal 9 3 5 2 2 2 2 7" xfId="29684"/>
    <cellStyle name="Normal 9 3 5 2 2 2 3" xfId="29685"/>
    <cellStyle name="Normal 9 3 5 2 2 2 3 2" xfId="29686"/>
    <cellStyle name="Normal 9 3 5 2 2 2 3 3" xfId="29687"/>
    <cellStyle name="Normal 9 3 5 2 2 2 4" xfId="29688"/>
    <cellStyle name="Normal 9 3 5 2 2 2 4 2" xfId="29689"/>
    <cellStyle name="Normal 9 3 5 2 2 2 4 3" xfId="29690"/>
    <cellStyle name="Normal 9 3 5 2 2 2 5" xfId="29691"/>
    <cellStyle name="Normal 9 3 5 2 2 2 6" xfId="29692"/>
    <cellStyle name="Normal 9 3 5 2 2 2 7" xfId="29693"/>
    <cellStyle name="Normal 9 3 5 2 2 2 8" xfId="29694"/>
    <cellStyle name="Normal 9 3 5 2 2 3" xfId="29695"/>
    <cellStyle name="Normal 9 3 5 2 2 3 2" xfId="29696"/>
    <cellStyle name="Normal 9 3 5 2 2 3 2 2" xfId="29697"/>
    <cellStyle name="Normal 9 3 5 2 2 3 2 3" xfId="29698"/>
    <cellStyle name="Normal 9 3 5 2 2 3 3" xfId="29699"/>
    <cellStyle name="Normal 9 3 5 2 2 3 3 2" xfId="29700"/>
    <cellStyle name="Normal 9 3 5 2 2 3 3 3" xfId="29701"/>
    <cellStyle name="Normal 9 3 5 2 2 3 4" xfId="29702"/>
    <cellStyle name="Normal 9 3 5 2 2 3 5" xfId="29703"/>
    <cellStyle name="Normal 9 3 5 2 2 3 6" xfId="29704"/>
    <cellStyle name="Normal 9 3 5 2 2 3 7" xfId="29705"/>
    <cellStyle name="Normal 9 3 5 2 2 4" xfId="29706"/>
    <cellStyle name="Normal 9 3 5 2 2 4 2" xfId="29707"/>
    <cellStyle name="Normal 9 3 5 2 2 4 3" xfId="29708"/>
    <cellStyle name="Normal 9 3 5 2 2 5" xfId="29709"/>
    <cellStyle name="Normal 9 3 5 2 2 5 2" xfId="29710"/>
    <cellStyle name="Normal 9 3 5 2 2 5 3" xfId="29711"/>
    <cellStyle name="Normal 9 3 5 2 2 6" xfId="29712"/>
    <cellStyle name="Normal 9 3 5 2 2 7" xfId="29713"/>
    <cellStyle name="Normal 9 3 5 2 2 8" xfId="29714"/>
    <cellStyle name="Normal 9 3 5 2 2 9" xfId="29715"/>
    <cellStyle name="Normal 9 3 5 2 3" xfId="29716"/>
    <cellStyle name="Normal 9 3 5 2 3 2" xfId="29717"/>
    <cellStyle name="Normal 9 3 5 2 3 2 2" xfId="29718"/>
    <cellStyle name="Normal 9 3 5 2 3 2 2 2" xfId="29719"/>
    <cellStyle name="Normal 9 3 5 2 3 2 2 3" xfId="29720"/>
    <cellStyle name="Normal 9 3 5 2 3 2 3" xfId="29721"/>
    <cellStyle name="Normal 9 3 5 2 3 2 3 2" xfId="29722"/>
    <cellStyle name="Normal 9 3 5 2 3 2 3 3" xfId="29723"/>
    <cellStyle name="Normal 9 3 5 2 3 2 4" xfId="29724"/>
    <cellStyle name="Normal 9 3 5 2 3 2 5" xfId="29725"/>
    <cellStyle name="Normal 9 3 5 2 3 2 6" xfId="29726"/>
    <cellStyle name="Normal 9 3 5 2 3 2 7" xfId="29727"/>
    <cellStyle name="Normal 9 3 5 2 3 3" xfId="29728"/>
    <cellStyle name="Normal 9 3 5 2 3 3 2" xfId="29729"/>
    <cellStyle name="Normal 9 3 5 2 3 3 3" xfId="29730"/>
    <cellStyle name="Normal 9 3 5 2 3 4" xfId="29731"/>
    <cellStyle name="Normal 9 3 5 2 3 4 2" xfId="29732"/>
    <cellStyle name="Normal 9 3 5 2 3 4 3" xfId="29733"/>
    <cellStyle name="Normal 9 3 5 2 3 5" xfId="29734"/>
    <cellStyle name="Normal 9 3 5 2 3 6" xfId="29735"/>
    <cellStyle name="Normal 9 3 5 2 3 7" xfId="29736"/>
    <cellStyle name="Normal 9 3 5 2 3 8" xfId="29737"/>
    <cellStyle name="Normal 9 3 5 2 4" xfId="29738"/>
    <cellStyle name="Normal 9 3 5 2 4 2" xfId="29739"/>
    <cellStyle name="Normal 9 3 5 2 4 2 2" xfId="29740"/>
    <cellStyle name="Normal 9 3 5 2 4 2 2 2" xfId="29741"/>
    <cellStyle name="Normal 9 3 5 2 4 2 2 3" xfId="29742"/>
    <cellStyle name="Normal 9 3 5 2 4 2 3" xfId="29743"/>
    <cellStyle name="Normal 9 3 5 2 4 2 3 2" xfId="29744"/>
    <cellStyle name="Normal 9 3 5 2 4 2 3 3" xfId="29745"/>
    <cellStyle name="Normal 9 3 5 2 4 2 4" xfId="29746"/>
    <cellStyle name="Normal 9 3 5 2 4 2 5" xfId="29747"/>
    <cellStyle name="Normal 9 3 5 2 4 2 6" xfId="29748"/>
    <cellStyle name="Normal 9 3 5 2 4 2 7" xfId="29749"/>
    <cellStyle name="Normal 9 3 5 2 4 3" xfId="29750"/>
    <cellStyle name="Normal 9 3 5 2 4 3 2" xfId="29751"/>
    <cellStyle name="Normal 9 3 5 2 4 3 3" xfId="29752"/>
    <cellStyle name="Normal 9 3 5 2 4 4" xfId="29753"/>
    <cellStyle name="Normal 9 3 5 2 4 4 2" xfId="29754"/>
    <cellStyle name="Normal 9 3 5 2 4 4 3" xfId="29755"/>
    <cellStyle name="Normal 9 3 5 2 4 5" xfId="29756"/>
    <cellStyle name="Normal 9 3 5 2 4 6" xfId="29757"/>
    <cellStyle name="Normal 9 3 5 2 4 7" xfId="29758"/>
    <cellStyle name="Normal 9 3 5 2 4 8" xfId="29759"/>
    <cellStyle name="Normal 9 3 5 2 5" xfId="29760"/>
    <cellStyle name="Normal 9 3 5 2 5 2" xfId="29761"/>
    <cellStyle name="Normal 9 3 5 2 5 2 2" xfId="29762"/>
    <cellStyle name="Normal 9 3 5 2 5 2 3" xfId="29763"/>
    <cellStyle name="Normal 9 3 5 2 5 3" xfId="29764"/>
    <cellStyle name="Normal 9 3 5 2 5 3 2" xfId="29765"/>
    <cellStyle name="Normal 9 3 5 2 5 3 3" xfId="29766"/>
    <cellStyle name="Normal 9 3 5 2 5 4" xfId="29767"/>
    <cellStyle name="Normal 9 3 5 2 5 5" xfId="29768"/>
    <cellStyle name="Normal 9 3 5 2 5 6" xfId="29769"/>
    <cellStyle name="Normal 9 3 5 2 5 7" xfId="29770"/>
    <cellStyle name="Normal 9 3 5 2 6" xfId="29771"/>
    <cellStyle name="Normal 9 3 5 2 6 2" xfId="29772"/>
    <cellStyle name="Normal 9 3 5 2 6 3" xfId="29773"/>
    <cellStyle name="Normal 9 3 5 2 7" xfId="29774"/>
    <cellStyle name="Normal 9 3 5 2 7 2" xfId="29775"/>
    <cellStyle name="Normal 9 3 5 2 7 3" xfId="29776"/>
    <cellStyle name="Normal 9 3 5 2 8" xfId="29777"/>
    <cellStyle name="Normal 9 3 5 2 9" xfId="29778"/>
    <cellStyle name="Normal 9 3 5 3" xfId="29779"/>
    <cellStyle name="Normal 9 3 5 3 10" xfId="29780"/>
    <cellStyle name="Normal 9 3 5 3 11" xfId="29781"/>
    <cellStyle name="Normal 9 3 5 3 2" xfId="29782"/>
    <cellStyle name="Normal 9 3 5 3 2 2" xfId="29783"/>
    <cellStyle name="Normal 9 3 5 3 2 2 2" xfId="29784"/>
    <cellStyle name="Normal 9 3 5 3 2 2 2 2" xfId="29785"/>
    <cellStyle name="Normal 9 3 5 3 2 2 2 2 2" xfId="29786"/>
    <cellStyle name="Normal 9 3 5 3 2 2 2 2 3" xfId="29787"/>
    <cellStyle name="Normal 9 3 5 3 2 2 2 3" xfId="29788"/>
    <cellStyle name="Normal 9 3 5 3 2 2 2 3 2" xfId="29789"/>
    <cellStyle name="Normal 9 3 5 3 2 2 2 3 3" xfId="29790"/>
    <cellStyle name="Normal 9 3 5 3 2 2 2 4" xfId="29791"/>
    <cellStyle name="Normal 9 3 5 3 2 2 2 5" xfId="29792"/>
    <cellStyle name="Normal 9 3 5 3 2 2 2 6" xfId="29793"/>
    <cellStyle name="Normal 9 3 5 3 2 2 2 7" xfId="29794"/>
    <cellStyle name="Normal 9 3 5 3 2 2 3" xfId="29795"/>
    <cellStyle name="Normal 9 3 5 3 2 2 3 2" xfId="29796"/>
    <cellStyle name="Normal 9 3 5 3 2 2 3 3" xfId="29797"/>
    <cellStyle name="Normal 9 3 5 3 2 2 4" xfId="29798"/>
    <cellStyle name="Normal 9 3 5 3 2 2 4 2" xfId="29799"/>
    <cellStyle name="Normal 9 3 5 3 2 2 4 3" xfId="29800"/>
    <cellStyle name="Normal 9 3 5 3 2 2 5" xfId="29801"/>
    <cellStyle name="Normal 9 3 5 3 2 2 6" xfId="29802"/>
    <cellStyle name="Normal 9 3 5 3 2 2 7" xfId="29803"/>
    <cellStyle name="Normal 9 3 5 3 2 2 8" xfId="29804"/>
    <cellStyle name="Normal 9 3 5 3 2 3" xfId="29805"/>
    <cellStyle name="Normal 9 3 5 3 2 3 2" xfId="29806"/>
    <cellStyle name="Normal 9 3 5 3 2 3 2 2" xfId="29807"/>
    <cellStyle name="Normal 9 3 5 3 2 3 2 3" xfId="29808"/>
    <cellStyle name="Normal 9 3 5 3 2 3 3" xfId="29809"/>
    <cellStyle name="Normal 9 3 5 3 2 3 3 2" xfId="29810"/>
    <cellStyle name="Normal 9 3 5 3 2 3 3 3" xfId="29811"/>
    <cellStyle name="Normal 9 3 5 3 2 3 4" xfId="29812"/>
    <cellStyle name="Normal 9 3 5 3 2 3 5" xfId="29813"/>
    <cellStyle name="Normal 9 3 5 3 2 3 6" xfId="29814"/>
    <cellStyle name="Normal 9 3 5 3 2 3 7" xfId="29815"/>
    <cellStyle name="Normal 9 3 5 3 2 4" xfId="29816"/>
    <cellStyle name="Normal 9 3 5 3 2 4 2" xfId="29817"/>
    <cellStyle name="Normal 9 3 5 3 2 4 3" xfId="29818"/>
    <cellStyle name="Normal 9 3 5 3 2 5" xfId="29819"/>
    <cellStyle name="Normal 9 3 5 3 2 5 2" xfId="29820"/>
    <cellStyle name="Normal 9 3 5 3 2 5 3" xfId="29821"/>
    <cellStyle name="Normal 9 3 5 3 2 6" xfId="29822"/>
    <cellStyle name="Normal 9 3 5 3 2 7" xfId="29823"/>
    <cellStyle name="Normal 9 3 5 3 2 8" xfId="29824"/>
    <cellStyle name="Normal 9 3 5 3 2 9" xfId="29825"/>
    <cellStyle name="Normal 9 3 5 3 3" xfId="29826"/>
    <cellStyle name="Normal 9 3 5 3 3 2" xfId="29827"/>
    <cellStyle name="Normal 9 3 5 3 3 2 2" xfId="29828"/>
    <cellStyle name="Normal 9 3 5 3 3 2 2 2" xfId="29829"/>
    <cellStyle name="Normal 9 3 5 3 3 2 2 3" xfId="29830"/>
    <cellStyle name="Normal 9 3 5 3 3 2 3" xfId="29831"/>
    <cellStyle name="Normal 9 3 5 3 3 2 3 2" xfId="29832"/>
    <cellStyle name="Normal 9 3 5 3 3 2 3 3" xfId="29833"/>
    <cellStyle name="Normal 9 3 5 3 3 2 4" xfId="29834"/>
    <cellStyle name="Normal 9 3 5 3 3 2 5" xfId="29835"/>
    <cellStyle name="Normal 9 3 5 3 3 2 6" xfId="29836"/>
    <cellStyle name="Normal 9 3 5 3 3 2 7" xfId="29837"/>
    <cellStyle name="Normal 9 3 5 3 3 3" xfId="29838"/>
    <cellStyle name="Normal 9 3 5 3 3 3 2" xfId="29839"/>
    <cellStyle name="Normal 9 3 5 3 3 3 3" xfId="29840"/>
    <cellStyle name="Normal 9 3 5 3 3 4" xfId="29841"/>
    <cellStyle name="Normal 9 3 5 3 3 4 2" xfId="29842"/>
    <cellStyle name="Normal 9 3 5 3 3 4 3" xfId="29843"/>
    <cellStyle name="Normal 9 3 5 3 3 5" xfId="29844"/>
    <cellStyle name="Normal 9 3 5 3 3 6" xfId="29845"/>
    <cellStyle name="Normal 9 3 5 3 3 7" xfId="29846"/>
    <cellStyle name="Normal 9 3 5 3 3 8" xfId="29847"/>
    <cellStyle name="Normal 9 3 5 3 4" xfId="29848"/>
    <cellStyle name="Normal 9 3 5 3 4 2" xfId="29849"/>
    <cellStyle name="Normal 9 3 5 3 4 2 2" xfId="29850"/>
    <cellStyle name="Normal 9 3 5 3 4 2 2 2" xfId="29851"/>
    <cellStyle name="Normal 9 3 5 3 4 2 2 3" xfId="29852"/>
    <cellStyle name="Normal 9 3 5 3 4 2 3" xfId="29853"/>
    <cellStyle name="Normal 9 3 5 3 4 2 3 2" xfId="29854"/>
    <cellStyle name="Normal 9 3 5 3 4 2 3 3" xfId="29855"/>
    <cellStyle name="Normal 9 3 5 3 4 2 4" xfId="29856"/>
    <cellStyle name="Normal 9 3 5 3 4 2 5" xfId="29857"/>
    <cellStyle name="Normal 9 3 5 3 4 2 6" xfId="29858"/>
    <cellStyle name="Normal 9 3 5 3 4 2 7" xfId="29859"/>
    <cellStyle name="Normal 9 3 5 3 4 3" xfId="29860"/>
    <cellStyle name="Normal 9 3 5 3 4 3 2" xfId="29861"/>
    <cellStyle name="Normal 9 3 5 3 4 3 3" xfId="29862"/>
    <cellStyle name="Normal 9 3 5 3 4 4" xfId="29863"/>
    <cellStyle name="Normal 9 3 5 3 4 4 2" xfId="29864"/>
    <cellStyle name="Normal 9 3 5 3 4 4 3" xfId="29865"/>
    <cellStyle name="Normal 9 3 5 3 4 5" xfId="29866"/>
    <cellStyle name="Normal 9 3 5 3 4 6" xfId="29867"/>
    <cellStyle name="Normal 9 3 5 3 4 7" xfId="29868"/>
    <cellStyle name="Normal 9 3 5 3 4 8" xfId="29869"/>
    <cellStyle name="Normal 9 3 5 3 5" xfId="29870"/>
    <cellStyle name="Normal 9 3 5 3 5 2" xfId="29871"/>
    <cellStyle name="Normal 9 3 5 3 5 2 2" xfId="29872"/>
    <cellStyle name="Normal 9 3 5 3 5 2 3" xfId="29873"/>
    <cellStyle name="Normal 9 3 5 3 5 3" xfId="29874"/>
    <cellStyle name="Normal 9 3 5 3 5 3 2" xfId="29875"/>
    <cellStyle name="Normal 9 3 5 3 5 3 3" xfId="29876"/>
    <cellStyle name="Normal 9 3 5 3 5 4" xfId="29877"/>
    <cellStyle name="Normal 9 3 5 3 5 5" xfId="29878"/>
    <cellStyle name="Normal 9 3 5 3 5 6" xfId="29879"/>
    <cellStyle name="Normal 9 3 5 3 5 7" xfId="29880"/>
    <cellStyle name="Normal 9 3 5 3 6" xfId="29881"/>
    <cellStyle name="Normal 9 3 5 3 6 2" xfId="29882"/>
    <cellStyle name="Normal 9 3 5 3 6 3" xfId="29883"/>
    <cellStyle name="Normal 9 3 5 3 7" xfId="29884"/>
    <cellStyle name="Normal 9 3 5 3 7 2" xfId="29885"/>
    <cellStyle name="Normal 9 3 5 3 7 3" xfId="29886"/>
    <cellStyle name="Normal 9 3 5 3 8" xfId="29887"/>
    <cellStyle name="Normal 9 3 5 3 9" xfId="29888"/>
    <cellStyle name="Normal 9 3 5 4" xfId="29889"/>
    <cellStyle name="Normal 9 3 5 4 2" xfId="29890"/>
    <cellStyle name="Normal 9 3 5 4 2 2" xfId="29891"/>
    <cellStyle name="Normal 9 3 5 4 2 2 2" xfId="29892"/>
    <cellStyle name="Normal 9 3 5 4 2 2 2 2" xfId="29893"/>
    <cellStyle name="Normal 9 3 5 4 2 2 2 3" xfId="29894"/>
    <cellStyle name="Normal 9 3 5 4 2 2 3" xfId="29895"/>
    <cellStyle name="Normal 9 3 5 4 2 2 3 2" xfId="29896"/>
    <cellStyle name="Normal 9 3 5 4 2 2 3 3" xfId="29897"/>
    <cellStyle name="Normal 9 3 5 4 2 2 4" xfId="29898"/>
    <cellStyle name="Normal 9 3 5 4 2 2 5" xfId="29899"/>
    <cellStyle name="Normal 9 3 5 4 2 2 6" xfId="29900"/>
    <cellStyle name="Normal 9 3 5 4 2 2 7" xfId="29901"/>
    <cellStyle name="Normal 9 3 5 4 2 3" xfId="29902"/>
    <cellStyle name="Normal 9 3 5 4 2 3 2" xfId="29903"/>
    <cellStyle name="Normal 9 3 5 4 2 3 3" xfId="29904"/>
    <cellStyle name="Normal 9 3 5 4 2 4" xfId="29905"/>
    <cellStyle name="Normal 9 3 5 4 2 4 2" xfId="29906"/>
    <cellStyle name="Normal 9 3 5 4 2 4 3" xfId="29907"/>
    <cellStyle name="Normal 9 3 5 4 2 5" xfId="29908"/>
    <cellStyle name="Normal 9 3 5 4 2 6" xfId="29909"/>
    <cellStyle name="Normal 9 3 5 4 2 7" xfId="29910"/>
    <cellStyle name="Normal 9 3 5 4 2 8" xfId="29911"/>
    <cellStyle name="Normal 9 3 5 4 3" xfId="29912"/>
    <cellStyle name="Normal 9 3 5 4 3 2" xfId="29913"/>
    <cellStyle name="Normal 9 3 5 4 3 2 2" xfId="29914"/>
    <cellStyle name="Normal 9 3 5 4 3 2 3" xfId="29915"/>
    <cellStyle name="Normal 9 3 5 4 3 3" xfId="29916"/>
    <cellStyle name="Normal 9 3 5 4 3 3 2" xfId="29917"/>
    <cellStyle name="Normal 9 3 5 4 3 3 3" xfId="29918"/>
    <cellStyle name="Normal 9 3 5 4 3 4" xfId="29919"/>
    <cellStyle name="Normal 9 3 5 4 3 5" xfId="29920"/>
    <cellStyle name="Normal 9 3 5 4 3 6" xfId="29921"/>
    <cellStyle name="Normal 9 3 5 4 3 7" xfId="29922"/>
    <cellStyle name="Normal 9 3 5 4 4" xfId="29923"/>
    <cellStyle name="Normal 9 3 5 4 4 2" xfId="29924"/>
    <cellStyle name="Normal 9 3 5 4 4 3" xfId="29925"/>
    <cellStyle name="Normal 9 3 5 4 5" xfId="29926"/>
    <cellStyle name="Normal 9 3 5 4 5 2" xfId="29927"/>
    <cellStyle name="Normal 9 3 5 4 5 3" xfId="29928"/>
    <cellStyle name="Normal 9 3 5 4 6" xfId="29929"/>
    <cellStyle name="Normal 9 3 5 4 7" xfId="29930"/>
    <cellStyle name="Normal 9 3 5 4 8" xfId="29931"/>
    <cellStyle name="Normal 9 3 5 4 9" xfId="29932"/>
    <cellStyle name="Normal 9 3 5 5" xfId="29933"/>
    <cellStyle name="Normal 9 3 5 5 2" xfId="29934"/>
    <cellStyle name="Normal 9 3 5 5 2 2" xfId="29935"/>
    <cellStyle name="Normal 9 3 5 5 2 2 2" xfId="29936"/>
    <cellStyle name="Normal 9 3 5 5 2 2 3" xfId="29937"/>
    <cellStyle name="Normal 9 3 5 5 2 3" xfId="29938"/>
    <cellStyle name="Normal 9 3 5 5 2 3 2" xfId="29939"/>
    <cellStyle name="Normal 9 3 5 5 2 3 3" xfId="29940"/>
    <cellStyle name="Normal 9 3 5 5 2 4" xfId="29941"/>
    <cellStyle name="Normal 9 3 5 5 2 5" xfId="29942"/>
    <cellStyle name="Normal 9 3 5 5 2 6" xfId="29943"/>
    <cellStyle name="Normal 9 3 5 5 2 7" xfId="29944"/>
    <cellStyle name="Normal 9 3 5 5 3" xfId="29945"/>
    <cellStyle name="Normal 9 3 5 5 3 2" xfId="29946"/>
    <cellStyle name="Normal 9 3 5 5 3 3" xfId="29947"/>
    <cellStyle name="Normal 9 3 5 5 4" xfId="29948"/>
    <cellStyle name="Normal 9 3 5 5 4 2" xfId="29949"/>
    <cellStyle name="Normal 9 3 5 5 4 3" xfId="29950"/>
    <cellStyle name="Normal 9 3 5 5 5" xfId="29951"/>
    <cellStyle name="Normal 9 3 5 5 6" xfId="29952"/>
    <cellStyle name="Normal 9 3 5 5 7" xfId="29953"/>
    <cellStyle name="Normal 9 3 5 5 8" xfId="29954"/>
    <cellStyle name="Normal 9 3 5 6" xfId="29955"/>
    <cellStyle name="Normal 9 3 5 6 2" xfId="29956"/>
    <cellStyle name="Normal 9 3 5 6 2 2" xfId="29957"/>
    <cellStyle name="Normal 9 3 5 6 2 2 2" xfId="29958"/>
    <cellStyle name="Normal 9 3 5 6 2 2 3" xfId="29959"/>
    <cellStyle name="Normal 9 3 5 6 2 3" xfId="29960"/>
    <cellStyle name="Normal 9 3 5 6 2 3 2" xfId="29961"/>
    <cellStyle name="Normal 9 3 5 6 2 3 3" xfId="29962"/>
    <cellStyle name="Normal 9 3 5 6 2 4" xfId="29963"/>
    <cellStyle name="Normal 9 3 5 6 2 5" xfId="29964"/>
    <cellStyle name="Normal 9 3 5 6 2 6" xfId="29965"/>
    <cellStyle name="Normal 9 3 5 6 2 7" xfId="29966"/>
    <cellStyle name="Normal 9 3 5 6 3" xfId="29967"/>
    <cellStyle name="Normal 9 3 5 6 3 2" xfId="29968"/>
    <cellStyle name="Normal 9 3 5 6 3 3" xfId="29969"/>
    <cellStyle name="Normal 9 3 5 6 4" xfId="29970"/>
    <cellStyle name="Normal 9 3 5 6 4 2" xfId="29971"/>
    <cellStyle name="Normal 9 3 5 6 4 3" xfId="29972"/>
    <cellStyle name="Normal 9 3 5 6 5" xfId="29973"/>
    <cellStyle name="Normal 9 3 5 6 6" xfId="29974"/>
    <cellStyle name="Normal 9 3 5 6 7" xfId="29975"/>
    <cellStyle name="Normal 9 3 5 6 8" xfId="29976"/>
    <cellStyle name="Normal 9 3 5 7" xfId="29977"/>
    <cellStyle name="Normal 9 3 5 7 2" xfId="29978"/>
    <cellStyle name="Normal 9 3 5 7 2 2" xfId="29979"/>
    <cellStyle name="Normal 9 3 5 7 2 3" xfId="29980"/>
    <cellStyle name="Normal 9 3 5 7 3" xfId="29981"/>
    <cellStyle name="Normal 9 3 5 7 3 2" xfId="29982"/>
    <cellStyle name="Normal 9 3 5 7 3 3" xfId="29983"/>
    <cellStyle name="Normal 9 3 5 7 4" xfId="29984"/>
    <cellStyle name="Normal 9 3 5 7 5" xfId="29985"/>
    <cellStyle name="Normal 9 3 5 7 6" xfId="29986"/>
    <cellStyle name="Normal 9 3 5 7 7" xfId="29987"/>
    <cellStyle name="Normal 9 3 5 8" xfId="29988"/>
    <cellStyle name="Normal 9 3 5 8 2" xfId="29989"/>
    <cellStyle name="Normal 9 3 5 9" xfId="29990"/>
    <cellStyle name="Normal 9 3 5 9 2" xfId="29991"/>
    <cellStyle name="Normal 9 3 5 9 3" xfId="29992"/>
    <cellStyle name="Normal 9 3 6" xfId="29993"/>
    <cellStyle name="Normal 9 3 6 10" xfId="29994"/>
    <cellStyle name="Normal 9 3 6 11" xfId="29995"/>
    <cellStyle name="Normal 9 3 6 12" xfId="29996"/>
    <cellStyle name="Normal 9 3 6 2" xfId="29997"/>
    <cellStyle name="Normal 9 3 6 2 2" xfId="29998"/>
    <cellStyle name="Normal 9 3 6 2 2 2" xfId="29999"/>
    <cellStyle name="Normal 9 3 6 2 2 2 2" xfId="30000"/>
    <cellStyle name="Normal 9 3 6 2 2 2 2 2" xfId="30001"/>
    <cellStyle name="Normal 9 3 6 2 2 2 2 3" xfId="30002"/>
    <cellStyle name="Normal 9 3 6 2 2 2 3" xfId="30003"/>
    <cellStyle name="Normal 9 3 6 2 2 2 3 2" xfId="30004"/>
    <cellStyle name="Normal 9 3 6 2 2 2 3 3" xfId="30005"/>
    <cellStyle name="Normal 9 3 6 2 2 2 4" xfId="30006"/>
    <cellStyle name="Normal 9 3 6 2 2 2 5" xfId="30007"/>
    <cellStyle name="Normal 9 3 6 2 2 2 6" xfId="30008"/>
    <cellStyle name="Normal 9 3 6 2 2 2 7" xfId="30009"/>
    <cellStyle name="Normal 9 3 6 2 2 3" xfId="30010"/>
    <cellStyle name="Normal 9 3 6 2 2 3 2" xfId="30011"/>
    <cellStyle name="Normal 9 3 6 2 2 3 3" xfId="30012"/>
    <cellStyle name="Normal 9 3 6 2 2 4" xfId="30013"/>
    <cellStyle name="Normal 9 3 6 2 2 4 2" xfId="30014"/>
    <cellStyle name="Normal 9 3 6 2 2 4 3" xfId="30015"/>
    <cellStyle name="Normal 9 3 6 2 2 5" xfId="30016"/>
    <cellStyle name="Normal 9 3 6 2 2 6" xfId="30017"/>
    <cellStyle name="Normal 9 3 6 2 2 7" xfId="30018"/>
    <cellStyle name="Normal 9 3 6 2 2 8" xfId="30019"/>
    <cellStyle name="Normal 9 3 6 2 3" xfId="30020"/>
    <cellStyle name="Normal 9 3 6 2 3 2" xfId="30021"/>
    <cellStyle name="Normal 9 3 6 2 3 2 2" xfId="30022"/>
    <cellStyle name="Normal 9 3 6 2 3 2 3" xfId="30023"/>
    <cellStyle name="Normal 9 3 6 2 3 3" xfId="30024"/>
    <cellStyle name="Normal 9 3 6 2 3 3 2" xfId="30025"/>
    <cellStyle name="Normal 9 3 6 2 3 3 3" xfId="30026"/>
    <cellStyle name="Normal 9 3 6 2 3 4" xfId="30027"/>
    <cellStyle name="Normal 9 3 6 2 3 5" xfId="30028"/>
    <cellStyle name="Normal 9 3 6 2 3 6" xfId="30029"/>
    <cellStyle name="Normal 9 3 6 2 3 7" xfId="30030"/>
    <cellStyle name="Normal 9 3 6 2 4" xfId="30031"/>
    <cellStyle name="Normal 9 3 6 2 4 2" xfId="30032"/>
    <cellStyle name="Normal 9 3 6 2 4 3" xfId="30033"/>
    <cellStyle name="Normal 9 3 6 2 5" xfId="30034"/>
    <cellStyle name="Normal 9 3 6 2 5 2" xfId="30035"/>
    <cellStyle name="Normal 9 3 6 2 5 3" xfId="30036"/>
    <cellStyle name="Normal 9 3 6 2 6" xfId="30037"/>
    <cellStyle name="Normal 9 3 6 2 7" xfId="30038"/>
    <cellStyle name="Normal 9 3 6 2 8" xfId="30039"/>
    <cellStyle name="Normal 9 3 6 2 9" xfId="30040"/>
    <cellStyle name="Normal 9 3 6 3" xfId="30041"/>
    <cellStyle name="Normal 9 3 6 3 2" xfId="30042"/>
    <cellStyle name="Normal 9 3 6 3 2 2" xfId="30043"/>
    <cellStyle name="Normal 9 3 6 3 2 2 2" xfId="30044"/>
    <cellStyle name="Normal 9 3 6 3 2 2 3" xfId="30045"/>
    <cellStyle name="Normal 9 3 6 3 2 3" xfId="30046"/>
    <cellStyle name="Normal 9 3 6 3 2 3 2" xfId="30047"/>
    <cellStyle name="Normal 9 3 6 3 2 3 3" xfId="30048"/>
    <cellStyle name="Normal 9 3 6 3 2 4" xfId="30049"/>
    <cellStyle name="Normal 9 3 6 3 2 5" xfId="30050"/>
    <cellStyle name="Normal 9 3 6 3 2 6" xfId="30051"/>
    <cellStyle name="Normal 9 3 6 3 2 7" xfId="30052"/>
    <cellStyle name="Normal 9 3 6 3 3" xfId="30053"/>
    <cellStyle name="Normal 9 3 6 3 3 2" xfId="30054"/>
    <cellStyle name="Normal 9 3 6 3 3 3" xfId="30055"/>
    <cellStyle name="Normal 9 3 6 3 4" xfId="30056"/>
    <cellStyle name="Normal 9 3 6 3 4 2" xfId="30057"/>
    <cellStyle name="Normal 9 3 6 3 4 3" xfId="30058"/>
    <cellStyle name="Normal 9 3 6 3 5" xfId="30059"/>
    <cellStyle name="Normal 9 3 6 3 6" xfId="30060"/>
    <cellStyle name="Normal 9 3 6 3 7" xfId="30061"/>
    <cellStyle name="Normal 9 3 6 3 8" xfId="30062"/>
    <cellStyle name="Normal 9 3 6 4" xfId="30063"/>
    <cellStyle name="Normal 9 3 6 4 2" xfId="30064"/>
    <cellStyle name="Normal 9 3 6 4 2 2" xfId="30065"/>
    <cellStyle name="Normal 9 3 6 4 2 2 2" xfId="30066"/>
    <cellStyle name="Normal 9 3 6 4 2 2 3" xfId="30067"/>
    <cellStyle name="Normal 9 3 6 4 2 3" xfId="30068"/>
    <cellStyle name="Normal 9 3 6 4 2 3 2" xfId="30069"/>
    <cellStyle name="Normal 9 3 6 4 2 3 3" xfId="30070"/>
    <cellStyle name="Normal 9 3 6 4 2 4" xfId="30071"/>
    <cellStyle name="Normal 9 3 6 4 2 5" xfId="30072"/>
    <cellStyle name="Normal 9 3 6 4 2 6" xfId="30073"/>
    <cellStyle name="Normal 9 3 6 4 2 7" xfId="30074"/>
    <cellStyle name="Normal 9 3 6 4 3" xfId="30075"/>
    <cellStyle name="Normal 9 3 6 4 3 2" xfId="30076"/>
    <cellStyle name="Normal 9 3 6 4 3 3" xfId="30077"/>
    <cellStyle name="Normal 9 3 6 4 4" xfId="30078"/>
    <cellStyle name="Normal 9 3 6 4 4 2" xfId="30079"/>
    <cellStyle name="Normal 9 3 6 4 4 3" xfId="30080"/>
    <cellStyle name="Normal 9 3 6 4 5" xfId="30081"/>
    <cellStyle name="Normal 9 3 6 4 6" xfId="30082"/>
    <cellStyle name="Normal 9 3 6 4 7" xfId="30083"/>
    <cellStyle name="Normal 9 3 6 4 8" xfId="30084"/>
    <cellStyle name="Normal 9 3 6 5" xfId="30085"/>
    <cellStyle name="Normal 9 3 6 5 2" xfId="30086"/>
    <cellStyle name="Normal 9 3 6 5 2 2" xfId="30087"/>
    <cellStyle name="Normal 9 3 6 5 2 3" xfId="30088"/>
    <cellStyle name="Normal 9 3 6 5 3" xfId="30089"/>
    <cellStyle name="Normal 9 3 6 5 3 2" xfId="30090"/>
    <cellStyle name="Normal 9 3 6 5 3 3" xfId="30091"/>
    <cellStyle name="Normal 9 3 6 5 4" xfId="30092"/>
    <cellStyle name="Normal 9 3 6 5 5" xfId="30093"/>
    <cellStyle name="Normal 9 3 6 5 6" xfId="30094"/>
    <cellStyle name="Normal 9 3 6 5 7" xfId="30095"/>
    <cellStyle name="Normal 9 3 6 6" xfId="30096"/>
    <cellStyle name="Normal 9 3 6 6 2" xfId="30097"/>
    <cellStyle name="Normal 9 3 6 7" xfId="30098"/>
    <cellStyle name="Normal 9 3 6 7 2" xfId="30099"/>
    <cellStyle name="Normal 9 3 6 7 3" xfId="30100"/>
    <cellStyle name="Normal 9 3 6 8" xfId="30101"/>
    <cellStyle name="Normal 9 3 6 8 2" xfId="30102"/>
    <cellStyle name="Normal 9 3 6 8 3" xfId="30103"/>
    <cellStyle name="Normal 9 3 6 9" xfId="30104"/>
    <cellStyle name="Normal 9 3 7" xfId="30105"/>
    <cellStyle name="Normal 9 3 7 10" xfId="30106"/>
    <cellStyle name="Normal 9 3 7 11" xfId="30107"/>
    <cellStyle name="Normal 9 3 7 12" xfId="30108"/>
    <cellStyle name="Normal 9 3 7 2" xfId="30109"/>
    <cellStyle name="Normal 9 3 7 2 2" xfId="30110"/>
    <cellStyle name="Normal 9 3 7 2 2 2" xfId="30111"/>
    <cellStyle name="Normal 9 3 7 2 2 2 2" xfId="30112"/>
    <cellStyle name="Normal 9 3 7 2 2 2 2 2" xfId="30113"/>
    <cellStyle name="Normal 9 3 7 2 2 2 2 3" xfId="30114"/>
    <cellStyle name="Normal 9 3 7 2 2 2 3" xfId="30115"/>
    <cellStyle name="Normal 9 3 7 2 2 2 3 2" xfId="30116"/>
    <cellStyle name="Normal 9 3 7 2 2 2 3 3" xfId="30117"/>
    <cellStyle name="Normal 9 3 7 2 2 2 4" xfId="30118"/>
    <cellStyle name="Normal 9 3 7 2 2 2 5" xfId="30119"/>
    <cellStyle name="Normal 9 3 7 2 2 2 6" xfId="30120"/>
    <cellStyle name="Normal 9 3 7 2 2 2 7" xfId="30121"/>
    <cellStyle name="Normal 9 3 7 2 2 3" xfId="30122"/>
    <cellStyle name="Normal 9 3 7 2 2 3 2" xfId="30123"/>
    <cellStyle name="Normal 9 3 7 2 2 3 3" xfId="30124"/>
    <cellStyle name="Normal 9 3 7 2 2 4" xfId="30125"/>
    <cellStyle name="Normal 9 3 7 2 2 4 2" xfId="30126"/>
    <cellStyle name="Normal 9 3 7 2 2 4 3" xfId="30127"/>
    <cellStyle name="Normal 9 3 7 2 2 5" xfId="30128"/>
    <cellStyle name="Normal 9 3 7 2 2 6" xfId="30129"/>
    <cellStyle name="Normal 9 3 7 2 2 7" xfId="30130"/>
    <cellStyle name="Normal 9 3 7 2 2 8" xfId="30131"/>
    <cellStyle name="Normal 9 3 7 2 3" xfId="30132"/>
    <cellStyle name="Normal 9 3 7 2 3 2" xfId="30133"/>
    <cellStyle name="Normal 9 3 7 2 3 2 2" xfId="30134"/>
    <cellStyle name="Normal 9 3 7 2 3 2 3" xfId="30135"/>
    <cellStyle name="Normal 9 3 7 2 3 3" xfId="30136"/>
    <cellStyle name="Normal 9 3 7 2 3 3 2" xfId="30137"/>
    <cellStyle name="Normal 9 3 7 2 3 3 3" xfId="30138"/>
    <cellStyle name="Normal 9 3 7 2 3 4" xfId="30139"/>
    <cellStyle name="Normal 9 3 7 2 3 5" xfId="30140"/>
    <cellStyle name="Normal 9 3 7 2 3 6" xfId="30141"/>
    <cellStyle name="Normal 9 3 7 2 3 7" xfId="30142"/>
    <cellStyle name="Normal 9 3 7 2 4" xfId="30143"/>
    <cellStyle name="Normal 9 3 7 2 4 2" xfId="30144"/>
    <cellStyle name="Normal 9 3 7 2 4 3" xfId="30145"/>
    <cellStyle name="Normal 9 3 7 2 5" xfId="30146"/>
    <cellStyle name="Normal 9 3 7 2 5 2" xfId="30147"/>
    <cellStyle name="Normal 9 3 7 2 5 3" xfId="30148"/>
    <cellStyle name="Normal 9 3 7 2 6" xfId="30149"/>
    <cellStyle name="Normal 9 3 7 2 7" xfId="30150"/>
    <cellStyle name="Normal 9 3 7 2 8" xfId="30151"/>
    <cellStyle name="Normal 9 3 7 2 9" xfId="30152"/>
    <cellStyle name="Normal 9 3 7 3" xfId="30153"/>
    <cellStyle name="Normal 9 3 7 3 2" xfId="30154"/>
    <cellStyle name="Normal 9 3 7 3 2 2" xfId="30155"/>
    <cellStyle name="Normal 9 3 7 3 2 2 2" xfId="30156"/>
    <cellStyle name="Normal 9 3 7 3 2 2 3" xfId="30157"/>
    <cellStyle name="Normal 9 3 7 3 2 3" xfId="30158"/>
    <cellStyle name="Normal 9 3 7 3 2 3 2" xfId="30159"/>
    <cellStyle name="Normal 9 3 7 3 2 3 3" xfId="30160"/>
    <cellStyle name="Normal 9 3 7 3 2 4" xfId="30161"/>
    <cellStyle name="Normal 9 3 7 3 2 5" xfId="30162"/>
    <cellStyle name="Normal 9 3 7 3 2 6" xfId="30163"/>
    <cellStyle name="Normal 9 3 7 3 2 7" xfId="30164"/>
    <cellStyle name="Normal 9 3 7 3 3" xfId="30165"/>
    <cellStyle name="Normal 9 3 7 3 3 2" xfId="30166"/>
    <cellStyle name="Normal 9 3 7 3 3 3" xfId="30167"/>
    <cellStyle name="Normal 9 3 7 3 4" xfId="30168"/>
    <cellStyle name="Normal 9 3 7 3 4 2" xfId="30169"/>
    <cellStyle name="Normal 9 3 7 3 4 3" xfId="30170"/>
    <cellStyle name="Normal 9 3 7 3 5" xfId="30171"/>
    <cellStyle name="Normal 9 3 7 3 6" xfId="30172"/>
    <cellStyle name="Normal 9 3 7 3 7" xfId="30173"/>
    <cellStyle name="Normal 9 3 7 3 8" xfId="30174"/>
    <cellStyle name="Normal 9 3 7 4" xfId="30175"/>
    <cellStyle name="Normal 9 3 7 4 2" xfId="30176"/>
    <cellStyle name="Normal 9 3 7 4 2 2" xfId="30177"/>
    <cellStyle name="Normal 9 3 7 4 2 2 2" xfId="30178"/>
    <cellStyle name="Normal 9 3 7 4 2 2 3" xfId="30179"/>
    <cellStyle name="Normal 9 3 7 4 2 3" xfId="30180"/>
    <cellStyle name="Normal 9 3 7 4 2 3 2" xfId="30181"/>
    <cellStyle name="Normal 9 3 7 4 2 3 3" xfId="30182"/>
    <cellStyle name="Normal 9 3 7 4 2 4" xfId="30183"/>
    <cellStyle name="Normal 9 3 7 4 2 5" xfId="30184"/>
    <cellStyle name="Normal 9 3 7 4 2 6" xfId="30185"/>
    <cellStyle name="Normal 9 3 7 4 2 7" xfId="30186"/>
    <cellStyle name="Normal 9 3 7 4 3" xfId="30187"/>
    <cellStyle name="Normal 9 3 7 4 3 2" xfId="30188"/>
    <cellStyle name="Normal 9 3 7 4 3 3" xfId="30189"/>
    <cellStyle name="Normal 9 3 7 4 4" xfId="30190"/>
    <cellStyle name="Normal 9 3 7 4 4 2" xfId="30191"/>
    <cellStyle name="Normal 9 3 7 4 4 3" xfId="30192"/>
    <cellStyle name="Normal 9 3 7 4 5" xfId="30193"/>
    <cellStyle name="Normal 9 3 7 4 6" xfId="30194"/>
    <cellStyle name="Normal 9 3 7 4 7" xfId="30195"/>
    <cellStyle name="Normal 9 3 7 4 8" xfId="30196"/>
    <cellStyle name="Normal 9 3 7 5" xfId="30197"/>
    <cellStyle name="Normal 9 3 7 5 2" xfId="30198"/>
    <cellStyle name="Normal 9 3 7 5 2 2" xfId="30199"/>
    <cellStyle name="Normal 9 3 7 5 2 3" xfId="30200"/>
    <cellStyle name="Normal 9 3 7 5 3" xfId="30201"/>
    <cellStyle name="Normal 9 3 7 5 3 2" xfId="30202"/>
    <cellStyle name="Normal 9 3 7 5 3 3" xfId="30203"/>
    <cellStyle name="Normal 9 3 7 5 4" xfId="30204"/>
    <cellStyle name="Normal 9 3 7 5 5" xfId="30205"/>
    <cellStyle name="Normal 9 3 7 5 6" xfId="30206"/>
    <cellStyle name="Normal 9 3 7 5 7" xfId="30207"/>
    <cellStyle name="Normal 9 3 7 6" xfId="30208"/>
    <cellStyle name="Normal 9 3 7 6 2" xfId="30209"/>
    <cellStyle name="Normal 9 3 7 7" xfId="30210"/>
    <cellStyle name="Normal 9 3 7 7 2" xfId="30211"/>
    <cellStyle name="Normal 9 3 7 7 3" xfId="30212"/>
    <cellStyle name="Normal 9 3 7 8" xfId="30213"/>
    <cellStyle name="Normal 9 3 7 8 2" xfId="30214"/>
    <cellStyle name="Normal 9 3 7 8 3" xfId="30215"/>
    <cellStyle name="Normal 9 3 7 9" xfId="30216"/>
    <cellStyle name="Normal 9 3 8" xfId="30217"/>
    <cellStyle name="Normal 9 3 8 10" xfId="30218"/>
    <cellStyle name="Normal 9 3 8 11" xfId="30219"/>
    <cellStyle name="Normal 9 3 8 12" xfId="30220"/>
    <cellStyle name="Normal 9 3 8 2" xfId="30221"/>
    <cellStyle name="Normal 9 3 8 2 2" xfId="30222"/>
    <cellStyle name="Normal 9 3 8 2 2 2" xfId="30223"/>
    <cellStyle name="Normal 9 3 8 2 2 2 2" xfId="30224"/>
    <cellStyle name="Normal 9 3 8 2 2 2 2 2" xfId="30225"/>
    <cellStyle name="Normal 9 3 8 2 2 2 2 3" xfId="30226"/>
    <cellStyle name="Normal 9 3 8 2 2 2 3" xfId="30227"/>
    <cellStyle name="Normal 9 3 8 2 2 2 3 2" xfId="30228"/>
    <cellStyle name="Normal 9 3 8 2 2 2 3 3" xfId="30229"/>
    <cellStyle name="Normal 9 3 8 2 2 2 4" xfId="30230"/>
    <cellStyle name="Normal 9 3 8 2 2 2 5" xfId="30231"/>
    <cellStyle name="Normal 9 3 8 2 2 2 6" xfId="30232"/>
    <cellStyle name="Normal 9 3 8 2 2 2 7" xfId="30233"/>
    <cellStyle name="Normal 9 3 8 2 2 3" xfId="30234"/>
    <cellStyle name="Normal 9 3 8 2 2 3 2" xfId="30235"/>
    <cellStyle name="Normal 9 3 8 2 2 3 3" xfId="30236"/>
    <cellStyle name="Normal 9 3 8 2 2 4" xfId="30237"/>
    <cellStyle name="Normal 9 3 8 2 2 4 2" xfId="30238"/>
    <cellStyle name="Normal 9 3 8 2 2 4 3" xfId="30239"/>
    <cellStyle name="Normal 9 3 8 2 2 5" xfId="30240"/>
    <cellStyle name="Normal 9 3 8 2 2 6" xfId="30241"/>
    <cellStyle name="Normal 9 3 8 2 2 7" xfId="30242"/>
    <cellStyle name="Normal 9 3 8 2 2 8" xfId="30243"/>
    <cellStyle name="Normal 9 3 8 2 3" xfId="30244"/>
    <cellStyle name="Normal 9 3 8 2 3 2" xfId="30245"/>
    <cellStyle name="Normal 9 3 8 2 3 2 2" xfId="30246"/>
    <cellStyle name="Normal 9 3 8 2 3 2 3" xfId="30247"/>
    <cellStyle name="Normal 9 3 8 2 3 3" xfId="30248"/>
    <cellStyle name="Normal 9 3 8 2 3 3 2" xfId="30249"/>
    <cellStyle name="Normal 9 3 8 2 3 3 3" xfId="30250"/>
    <cellStyle name="Normal 9 3 8 2 3 4" xfId="30251"/>
    <cellStyle name="Normal 9 3 8 2 3 5" xfId="30252"/>
    <cellStyle name="Normal 9 3 8 2 3 6" xfId="30253"/>
    <cellStyle name="Normal 9 3 8 2 3 7" xfId="30254"/>
    <cellStyle name="Normal 9 3 8 2 4" xfId="30255"/>
    <cellStyle name="Normal 9 3 8 2 4 2" xfId="30256"/>
    <cellStyle name="Normal 9 3 8 2 4 3" xfId="30257"/>
    <cellStyle name="Normal 9 3 8 2 5" xfId="30258"/>
    <cellStyle name="Normal 9 3 8 2 5 2" xfId="30259"/>
    <cellStyle name="Normal 9 3 8 2 5 3" xfId="30260"/>
    <cellStyle name="Normal 9 3 8 2 6" xfId="30261"/>
    <cellStyle name="Normal 9 3 8 2 7" xfId="30262"/>
    <cellStyle name="Normal 9 3 8 2 8" xfId="30263"/>
    <cellStyle name="Normal 9 3 8 2 9" xfId="30264"/>
    <cellStyle name="Normal 9 3 8 3" xfId="30265"/>
    <cellStyle name="Normal 9 3 8 3 2" xfId="30266"/>
    <cellStyle name="Normal 9 3 8 3 2 2" xfId="30267"/>
    <cellStyle name="Normal 9 3 8 3 2 2 2" xfId="30268"/>
    <cellStyle name="Normal 9 3 8 3 2 2 3" xfId="30269"/>
    <cellStyle name="Normal 9 3 8 3 2 3" xfId="30270"/>
    <cellStyle name="Normal 9 3 8 3 2 3 2" xfId="30271"/>
    <cellStyle name="Normal 9 3 8 3 2 3 3" xfId="30272"/>
    <cellStyle name="Normal 9 3 8 3 2 4" xfId="30273"/>
    <cellStyle name="Normal 9 3 8 3 2 5" xfId="30274"/>
    <cellStyle name="Normal 9 3 8 3 2 6" xfId="30275"/>
    <cellStyle name="Normal 9 3 8 3 2 7" xfId="30276"/>
    <cellStyle name="Normal 9 3 8 3 3" xfId="30277"/>
    <cellStyle name="Normal 9 3 8 3 3 2" xfId="30278"/>
    <cellStyle name="Normal 9 3 8 3 3 3" xfId="30279"/>
    <cellStyle name="Normal 9 3 8 3 4" xfId="30280"/>
    <cellStyle name="Normal 9 3 8 3 4 2" xfId="30281"/>
    <cellStyle name="Normal 9 3 8 3 4 3" xfId="30282"/>
    <cellStyle name="Normal 9 3 8 3 5" xfId="30283"/>
    <cellStyle name="Normal 9 3 8 3 6" xfId="30284"/>
    <cellStyle name="Normal 9 3 8 3 7" xfId="30285"/>
    <cellStyle name="Normal 9 3 8 3 8" xfId="30286"/>
    <cellStyle name="Normal 9 3 8 4" xfId="30287"/>
    <cellStyle name="Normal 9 3 8 4 2" xfId="30288"/>
    <cellStyle name="Normal 9 3 8 4 2 2" xfId="30289"/>
    <cellStyle name="Normal 9 3 8 4 2 2 2" xfId="30290"/>
    <cellStyle name="Normal 9 3 8 4 2 2 3" xfId="30291"/>
    <cellStyle name="Normal 9 3 8 4 2 3" xfId="30292"/>
    <cellStyle name="Normal 9 3 8 4 2 3 2" xfId="30293"/>
    <cellStyle name="Normal 9 3 8 4 2 3 3" xfId="30294"/>
    <cellStyle name="Normal 9 3 8 4 2 4" xfId="30295"/>
    <cellStyle name="Normal 9 3 8 4 2 5" xfId="30296"/>
    <cellStyle name="Normal 9 3 8 4 2 6" xfId="30297"/>
    <cellStyle name="Normal 9 3 8 4 2 7" xfId="30298"/>
    <cellStyle name="Normal 9 3 8 4 3" xfId="30299"/>
    <cellStyle name="Normal 9 3 8 4 3 2" xfId="30300"/>
    <cellStyle name="Normal 9 3 8 4 3 3" xfId="30301"/>
    <cellStyle name="Normal 9 3 8 4 4" xfId="30302"/>
    <cellStyle name="Normal 9 3 8 4 4 2" xfId="30303"/>
    <cellStyle name="Normal 9 3 8 4 4 3" xfId="30304"/>
    <cellStyle name="Normal 9 3 8 4 5" xfId="30305"/>
    <cellStyle name="Normal 9 3 8 4 6" xfId="30306"/>
    <cellStyle name="Normal 9 3 8 4 7" xfId="30307"/>
    <cellStyle name="Normal 9 3 8 4 8" xfId="30308"/>
    <cellStyle name="Normal 9 3 8 5" xfId="30309"/>
    <cellStyle name="Normal 9 3 8 5 2" xfId="30310"/>
    <cellStyle name="Normal 9 3 8 5 2 2" xfId="30311"/>
    <cellStyle name="Normal 9 3 8 5 2 3" xfId="30312"/>
    <cellStyle name="Normal 9 3 8 5 3" xfId="30313"/>
    <cellStyle name="Normal 9 3 8 5 3 2" xfId="30314"/>
    <cellStyle name="Normal 9 3 8 5 3 3" xfId="30315"/>
    <cellStyle name="Normal 9 3 8 5 4" xfId="30316"/>
    <cellStyle name="Normal 9 3 8 5 5" xfId="30317"/>
    <cellStyle name="Normal 9 3 8 5 6" xfId="30318"/>
    <cellStyle name="Normal 9 3 8 5 7" xfId="30319"/>
    <cellStyle name="Normal 9 3 8 6" xfId="30320"/>
    <cellStyle name="Normal 9 3 8 6 2" xfId="30321"/>
    <cellStyle name="Normal 9 3 8 7" xfId="30322"/>
    <cellStyle name="Normal 9 3 8 7 2" xfId="30323"/>
    <cellStyle name="Normal 9 3 8 7 3" xfId="30324"/>
    <cellStyle name="Normal 9 3 8 8" xfId="30325"/>
    <cellStyle name="Normal 9 3 8 8 2" xfId="30326"/>
    <cellStyle name="Normal 9 3 8 8 3" xfId="30327"/>
    <cellStyle name="Normal 9 3 8 9" xfId="30328"/>
    <cellStyle name="Normal 9 3 9" xfId="30329"/>
    <cellStyle name="Normal 9 3 9 10" xfId="30330"/>
    <cellStyle name="Normal 9 3 9 11" xfId="30331"/>
    <cellStyle name="Normal 9 3 9 2" xfId="30332"/>
    <cellStyle name="Normal 9 3 9 2 2" xfId="30333"/>
    <cellStyle name="Normal 9 3 9 2 2 2" xfId="30334"/>
    <cellStyle name="Normal 9 3 9 2 2 2 2" xfId="30335"/>
    <cellStyle name="Normal 9 3 9 2 2 2 2 2" xfId="30336"/>
    <cellStyle name="Normal 9 3 9 2 2 2 2 3" xfId="30337"/>
    <cellStyle name="Normal 9 3 9 2 2 2 3" xfId="30338"/>
    <cellStyle name="Normal 9 3 9 2 2 2 3 2" xfId="30339"/>
    <cellStyle name="Normal 9 3 9 2 2 2 3 3" xfId="30340"/>
    <cellStyle name="Normal 9 3 9 2 2 2 4" xfId="30341"/>
    <cellStyle name="Normal 9 3 9 2 2 2 5" xfId="30342"/>
    <cellStyle name="Normal 9 3 9 2 2 2 6" xfId="30343"/>
    <cellStyle name="Normal 9 3 9 2 2 2 7" xfId="30344"/>
    <cellStyle name="Normal 9 3 9 2 2 3" xfId="30345"/>
    <cellStyle name="Normal 9 3 9 2 2 3 2" xfId="30346"/>
    <cellStyle name="Normal 9 3 9 2 2 3 3" xfId="30347"/>
    <cellStyle name="Normal 9 3 9 2 2 4" xfId="30348"/>
    <cellStyle name="Normal 9 3 9 2 2 4 2" xfId="30349"/>
    <cellStyle name="Normal 9 3 9 2 2 4 3" xfId="30350"/>
    <cellStyle name="Normal 9 3 9 2 2 5" xfId="30351"/>
    <cellStyle name="Normal 9 3 9 2 2 6" xfId="30352"/>
    <cellStyle name="Normal 9 3 9 2 2 7" xfId="30353"/>
    <cellStyle name="Normal 9 3 9 2 2 8" xfId="30354"/>
    <cellStyle name="Normal 9 3 9 2 3" xfId="30355"/>
    <cellStyle name="Normal 9 3 9 2 3 2" xfId="30356"/>
    <cellStyle name="Normal 9 3 9 2 3 2 2" xfId="30357"/>
    <cellStyle name="Normal 9 3 9 2 3 2 3" xfId="30358"/>
    <cellStyle name="Normal 9 3 9 2 3 3" xfId="30359"/>
    <cellStyle name="Normal 9 3 9 2 3 3 2" xfId="30360"/>
    <cellStyle name="Normal 9 3 9 2 3 3 3" xfId="30361"/>
    <cellStyle name="Normal 9 3 9 2 3 4" xfId="30362"/>
    <cellStyle name="Normal 9 3 9 2 3 5" xfId="30363"/>
    <cellStyle name="Normal 9 3 9 2 3 6" xfId="30364"/>
    <cellStyle name="Normal 9 3 9 2 3 7" xfId="30365"/>
    <cellStyle name="Normal 9 3 9 2 4" xfId="30366"/>
    <cellStyle name="Normal 9 3 9 2 4 2" xfId="30367"/>
    <cellStyle name="Normal 9 3 9 2 4 3" xfId="30368"/>
    <cellStyle name="Normal 9 3 9 2 5" xfId="30369"/>
    <cellStyle name="Normal 9 3 9 2 5 2" xfId="30370"/>
    <cellStyle name="Normal 9 3 9 2 5 3" xfId="30371"/>
    <cellStyle name="Normal 9 3 9 2 6" xfId="30372"/>
    <cellStyle name="Normal 9 3 9 2 7" xfId="30373"/>
    <cellStyle name="Normal 9 3 9 2 8" xfId="30374"/>
    <cellStyle name="Normal 9 3 9 2 9" xfId="30375"/>
    <cellStyle name="Normal 9 3 9 3" xfId="30376"/>
    <cellStyle name="Normal 9 3 9 3 2" xfId="30377"/>
    <cellStyle name="Normal 9 3 9 3 2 2" xfId="30378"/>
    <cellStyle name="Normal 9 3 9 3 2 2 2" xfId="30379"/>
    <cellStyle name="Normal 9 3 9 3 2 2 3" xfId="30380"/>
    <cellStyle name="Normal 9 3 9 3 2 3" xfId="30381"/>
    <cellStyle name="Normal 9 3 9 3 2 3 2" xfId="30382"/>
    <cellStyle name="Normal 9 3 9 3 2 3 3" xfId="30383"/>
    <cellStyle name="Normal 9 3 9 3 2 4" xfId="30384"/>
    <cellStyle name="Normal 9 3 9 3 2 5" xfId="30385"/>
    <cellStyle name="Normal 9 3 9 3 2 6" xfId="30386"/>
    <cellStyle name="Normal 9 3 9 3 2 7" xfId="30387"/>
    <cellStyle name="Normal 9 3 9 3 3" xfId="30388"/>
    <cellStyle name="Normal 9 3 9 3 3 2" xfId="30389"/>
    <cellStyle name="Normal 9 3 9 3 3 3" xfId="30390"/>
    <cellStyle name="Normal 9 3 9 3 4" xfId="30391"/>
    <cellStyle name="Normal 9 3 9 3 4 2" xfId="30392"/>
    <cellStyle name="Normal 9 3 9 3 4 3" xfId="30393"/>
    <cellStyle name="Normal 9 3 9 3 5" xfId="30394"/>
    <cellStyle name="Normal 9 3 9 3 6" xfId="30395"/>
    <cellStyle name="Normal 9 3 9 3 7" xfId="30396"/>
    <cellStyle name="Normal 9 3 9 3 8" xfId="30397"/>
    <cellStyle name="Normal 9 3 9 4" xfId="30398"/>
    <cellStyle name="Normal 9 3 9 4 2" xfId="30399"/>
    <cellStyle name="Normal 9 3 9 4 2 2" xfId="30400"/>
    <cellStyle name="Normal 9 3 9 4 2 2 2" xfId="30401"/>
    <cellStyle name="Normal 9 3 9 4 2 2 3" xfId="30402"/>
    <cellStyle name="Normal 9 3 9 4 2 3" xfId="30403"/>
    <cellStyle name="Normal 9 3 9 4 2 3 2" xfId="30404"/>
    <cellStyle name="Normal 9 3 9 4 2 3 3" xfId="30405"/>
    <cellStyle name="Normal 9 3 9 4 2 4" xfId="30406"/>
    <cellStyle name="Normal 9 3 9 4 2 5" xfId="30407"/>
    <cellStyle name="Normal 9 3 9 4 2 6" xfId="30408"/>
    <cellStyle name="Normal 9 3 9 4 2 7" xfId="30409"/>
    <cellStyle name="Normal 9 3 9 4 3" xfId="30410"/>
    <cellStyle name="Normal 9 3 9 4 3 2" xfId="30411"/>
    <cellStyle name="Normal 9 3 9 4 3 3" xfId="30412"/>
    <cellStyle name="Normal 9 3 9 4 4" xfId="30413"/>
    <cellStyle name="Normal 9 3 9 4 4 2" xfId="30414"/>
    <cellStyle name="Normal 9 3 9 4 4 3" xfId="30415"/>
    <cellStyle name="Normal 9 3 9 4 5" xfId="30416"/>
    <cellStyle name="Normal 9 3 9 4 6" xfId="30417"/>
    <cellStyle name="Normal 9 3 9 4 7" xfId="30418"/>
    <cellStyle name="Normal 9 3 9 4 8" xfId="30419"/>
    <cellStyle name="Normal 9 3 9 5" xfId="30420"/>
    <cellStyle name="Normal 9 3 9 5 2" xfId="30421"/>
    <cellStyle name="Normal 9 3 9 5 2 2" xfId="30422"/>
    <cellStyle name="Normal 9 3 9 5 2 3" xfId="30423"/>
    <cellStyle name="Normal 9 3 9 5 3" xfId="30424"/>
    <cellStyle name="Normal 9 3 9 5 3 2" xfId="30425"/>
    <cellStyle name="Normal 9 3 9 5 3 3" xfId="30426"/>
    <cellStyle name="Normal 9 3 9 5 4" xfId="30427"/>
    <cellStyle name="Normal 9 3 9 5 5" xfId="30428"/>
    <cellStyle name="Normal 9 3 9 5 6" xfId="30429"/>
    <cellStyle name="Normal 9 3 9 5 7" xfId="30430"/>
    <cellStyle name="Normal 9 3 9 6" xfId="30431"/>
    <cellStyle name="Normal 9 3 9 6 2" xfId="30432"/>
    <cellStyle name="Normal 9 3 9 6 3" xfId="30433"/>
    <cellStyle name="Normal 9 3 9 7" xfId="30434"/>
    <cellStyle name="Normal 9 3 9 7 2" xfId="30435"/>
    <cellStyle name="Normal 9 3 9 7 3" xfId="30436"/>
    <cellStyle name="Normal 9 3 9 8" xfId="30437"/>
    <cellStyle name="Normal 9 3 9 9" xfId="30438"/>
    <cellStyle name="Normal 9 3_Achampally-Gattubuthkur-Ganga-CRR" xfId="30439"/>
    <cellStyle name="Normal 9 4" xfId="30440"/>
    <cellStyle name="Normal 9 4 10" xfId="30441"/>
    <cellStyle name="Normal 9 4 11" xfId="30442"/>
    <cellStyle name="Normal 9 4 12" xfId="30443"/>
    <cellStyle name="Normal 9 4 13" xfId="30444"/>
    <cellStyle name="Normal 9 4 14" xfId="30445"/>
    <cellStyle name="Normal 9 4 15" xfId="30446"/>
    <cellStyle name="Normal 9 4 16" xfId="30447"/>
    <cellStyle name="Normal 9 4 17" xfId="30448"/>
    <cellStyle name="Normal 9 4 18" xfId="30449"/>
    <cellStyle name="Normal 9 4 2" xfId="30450"/>
    <cellStyle name="Normal 9 4 2 2" xfId="30451"/>
    <cellStyle name="Normal 9 4 2 3" xfId="30452"/>
    <cellStyle name="Normal 9 4 3" xfId="30453"/>
    <cellStyle name="Normal 9 4 3 2" xfId="30454"/>
    <cellStyle name="Normal 9 4 3 3" xfId="30455"/>
    <cellStyle name="Normal 9 4 4" xfId="30456"/>
    <cellStyle name="Normal 9 4 4 2" xfId="30457"/>
    <cellStyle name="Normal 9 4 4 3" xfId="30458"/>
    <cellStyle name="Normal 9 4 5" xfId="30459"/>
    <cellStyle name="Normal 9 4 5 2" xfId="30460"/>
    <cellStyle name="Normal 9 4 5 3" xfId="30461"/>
    <cellStyle name="Normal 9 4 6" xfId="30462"/>
    <cellStyle name="Normal 9 4 6 2" xfId="30463"/>
    <cellStyle name="Normal 9 4 6 3" xfId="30464"/>
    <cellStyle name="Normal 9 4 7" xfId="30465"/>
    <cellStyle name="Normal 9 4 7 2" xfId="30466"/>
    <cellStyle name="Normal 9 4 8" xfId="30467"/>
    <cellStyle name="Normal 9 4 8 2" xfId="30468"/>
    <cellStyle name="Normal 9 4 9" xfId="30469"/>
    <cellStyle name="Normal 9 5" xfId="30470"/>
    <cellStyle name="Normal 9 5 10" xfId="30471"/>
    <cellStyle name="Normal 9 5 11" xfId="30472"/>
    <cellStyle name="Normal 9 5 12" xfId="30473"/>
    <cellStyle name="Normal 9 5 13" xfId="30474"/>
    <cellStyle name="Normal 9 5 14" xfId="30475"/>
    <cellStyle name="Normal 9 5 15" xfId="30476"/>
    <cellStyle name="Normal 9 5 16" xfId="30477"/>
    <cellStyle name="Normal 9 5 17" xfId="30478"/>
    <cellStyle name="Normal 9 5 18" xfId="30479"/>
    <cellStyle name="Normal 9 5 2" xfId="30480"/>
    <cellStyle name="Normal 9 5 2 2" xfId="30481"/>
    <cellStyle name="Normal 9 5 2 3" xfId="30482"/>
    <cellStyle name="Normal 9 5 3" xfId="30483"/>
    <cellStyle name="Normal 9 5 3 2" xfId="30484"/>
    <cellStyle name="Normal 9 5 3 3" xfId="30485"/>
    <cellStyle name="Normal 9 5 4" xfId="30486"/>
    <cellStyle name="Normal 9 5 4 2" xfId="30487"/>
    <cellStyle name="Normal 9 5 4 3" xfId="30488"/>
    <cellStyle name="Normal 9 5 5" xfId="30489"/>
    <cellStyle name="Normal 9 5 5 2" xfId="30490"/>
    <cellStyle name="Normal 9 5 5 3" xfId="30491"/>
    <cellStyle name="Normal 9 5 6" xfId="30492"/>
    <cellStyle name="Normal 9 5 6 2" xfId="30493"/>
    <cellStyle name="Normal 9 5 6 3" xfId="30494"/>
    <cellStyle name="Normal 9 5 7" xfId="30495"/>
    <cellStyle name="Normal 9 5 7 2" xfId="30496"/>
    <cellStyle name="Normal 9 5 8" xfId="30497"/>
    <cellStyle name="Normal 9 5 8 2" xfId="30498"/>
    <cellStyle name="Normal 9 5 9" xfId="30499"/>
    <cellStyle name="Normal 9 6" xfId="30500"/>
    <cellStyle name="Normal 9 6 10" xfId="30501"/>
    <cellStyle name="Normal 9 6 11" xfId="30502"/>
    <cellStyle name="Normal 9 6 12" xfId="30503"/>
    <cellStyle name="Normal 9 6 13" xfId="30504"/>
    <cellStyle name="Normal 9 6 14" xfId="30505"/>
    <cellStyle name="Normal 9 6 15" xfId="30506"/>
    <cellStyle name="Normal 9 6 16" xfId="30507"/>
    <cellStyle name="Normal 9 6 17" xfId="30508"/>
    <cellStyle name="Normal 9 6 18" xfId="30509"/>
    <cellStyle name="Normal 9 6 2" xfId="30510"/>
    <cellStyle name="Normal 9 6 2 2" xfId="30511"/>
    <cellStyle name="Normal 9 6 2 3" xfId="30512"/>
    <cellStyle name="Normal 9 6 3" xfId="30513"/>
    <cellStyle name="Normal 9 6 3 2" xfId="30514"/>
    <cellStyle name="Normal 9 6 3 3" xfId="30515"/>
    <cellStyle name="Normal 9 6 4" xfId="30516"/>
    <cellStyle name="Normal 9 6 4 2" xfId="30517"/>
    <cellStyle name="Normal 9 6 4 3" xfId="30518"/>
    <cellStyle name="Normal 9 6 5" xfId="30519"/>
    <cellStyle name="Normal 9 6 5 2" xfId="30520"/>
    <cellStyle name="Normal 9 6 5 3" xfId="30521"/>
    <cellStyle name="Normal 9 6 6" xfId="30522"/>
    <cellStyle name="Normal 9 6 6 2" xfId="30523"/>
    <cellStyle name="Normal 9 6 6 3" xfId="30524"/>
    <cellStyle name="Normal 9 6 7" xfId="30525"/>
    <cellStyle name="Normal 9 6 7 2" xfId="30526"/>
    <cellStyle name="Normal 9 6 8" xfId="30527"/>
    <cellStyle name="Normal 9 6 8 2" xfId="30528"/>
    <cellStyle name="Normal 9 6 9" xfId="30529"/>
    <cellStyle name="Normal 9 7" xfId="30530"/>
    <cellStyle name="Normal 9 7 10" xfId="30531"/>
    <cellStyle name="Normal 9 7 11" xfId="30532"/>
    <cellStyle name="Normal 9 7 12" xfId="30533"/>
    <cellStyle name="Normal 9 7 13" xfId="30534"/>
    <cellStyle name="Normal 9 7 14" xfId="30535"/>
    <cellStyle name="Normal 9 7 15" xfId="30536"/>
    <cellStyle name="Normal 9 7 16" xfId="30537"/>
    <cellStyle name="Normal 9 7 17" xfId="30538"/>
    <cellStyle name="Normal 9 7 18" xfId="30539"/>
    <cellStyle name="Normal 9 7 2" xfId="30540"/>
    <cellStyle name="Normal 9 7 2 2" xfId="30541"/>
    <cellStyle name="Normal 9 7 2 3" xfId="30542"/>
    <cellStyle name="Normal 9 7 3" xfId="30543"/>
    <cellStyle name="Normal 9 7 3 2" xfId="30544"/>
    <cellStyle name="Normal 9 7 3 3" xfId="30545"/>
    <cellStyle name="Normal 9 7 4" xfId="30546"/>
    <cellStyle name="Normal 9 7 4 2" xfId="30547"/>
    <cellStyle name="Normal 9 7 4 3" xfId="30548"/>
    <cellStyle name="Normal 9 7 5" xfId="30549"/>
    <cellStyle name="Normal 9 7 5 2" xfId="30550"/>
    <cellStyle name="Normal 9 7 5 3" xfId="30551"/>
    <cellStyle name="Normal 9 7 6" xfId="30552"/>
    <cellStyle name="Normal 9 7 6 2" xfId="30553"/>
    <cellStyle name="Normal 9 7 6 3" xfId="30554"/>
    <cellStyle name="Normal 9 7 7" xfId="30555"/>
    <cellStyle name="Normal 9 7 7 2" xfId="30556"/>
    <cellStyle name="Normal 9 7 8" xfId="30557"/>
    <cellStyle name="Normal 9 7 8 2" xfId="30558"/>
    <cellStyle name="Normal 9 7 9" xfId="30559"/>
    <cellStyle name="Normal 9 8" xfId="30560"/>
    <cellStyle name="Normal 9 8 10" xfId="30561"/>
    <cellStyle name="Normal 9 8 11" xfId="30562"/>
    <cellStyle name="Normal 9 8 12" xfId="30563"/>
    <cellStyle name="Normal 9 8 13" xfId="30564"/>
    <cellStyle name="Normal 9 8 14" xfId="30565"/>
    <cellStyle name="Normal 9 8 15" xfId="30566"/>
    <cellStyle name="Normal 9 8 16" xfId="30567"/>
    <cellStyle name="Normal 9 8 17" xfId="30568"/>
    <cellStyle name="Normal 9 8 18" xfId="30569"/>
    <cellStyle name="Normal 9 8 2" xfId="30570"/>
    <cellStyle name="Normal 9 8 2 2" xfId="30571"/>
    <cellStyle name="Normal 9 8 2 3" xfId="30572"/>
    <cellStyle name="Normal 9 8 3" xfId="30573"/>
    <cellStyle name="Normal 9 8 3 2" xfId="30574"/>
    <cellStyle name="Normal 9 8 3 3" xfId="30575"/>
    <cellStyle name="Normal 9 8 4" xfId="30576"/>
    <cellStyle name="Normal 9 8 4 2" xfId="30577"/>
    <cellStyle name="Normal 9 8 4 3" xfId="30578"/>
    <cellStyle name="Normal 9 8 5" xfId="30579"/>
    <cellStyle name="Normal 9 8 5 2" xfId="30580"/>
    <cellStyle name="Normal 9 8 5 3" xfId="30581"/>
    <cellStyle name="Normal 9 8 6" xfId="30582"/>
    <cellStyle name="Normal 9 8 6 2" xfId="30583"/>
    <cellStyle name="Normal 9 8 6 3" xfId="30584"/>
    <cellStyle name="Normal 9 8 7" xfId="30585"/>
    <cellStyle name="Normal 9 8 7 2" xfId="30586"/>
    <cellStyle name="Normal 9 8 8" xfId="30587"/>
    <cellStyle name="Normal 9 8 8 2" xfId="30588"/>
    <cellStyle name="Normal 9 8 9" xfId="30589"/>
    <cellStyle name="Normal 9 9" xfId="30590"/>
    <cellStyle name="Normal 9 9 10" xfId="30591"/>
    <cellStyle name="Normal 9 9 11" xfId="30592"/>
    <cellStyle name="Normal 9 9 12" xfId="30593"/>
    <cellStyle name="Normal 9 9 13" xfId="30594"/>
    <cellStyle name="Normal 9 9 14" xfId="30595"/>
    <cellStyle name="Normal 9 9 15" xfId="30596"/>
    <cellStyle name="Normal 9 9 16" xfId="30597"/>
    <cellStyle name="Normal 9 9 17" xfId="30598"/>
    <cellStyle name="Normal 9 9 18" xfId="30599"/>
    <cellStyle name="Normal 9 9 2" xfId="30600"/>
    <cellStyle name="Normal 9 9 2 2" xfId="30601"/>
    <cellStyle name="Normal 9 9 2 3" xfId="30602"/>
    <cellStyle name="Normal 9 9 3" xfId="30603"/>
    <cellStyle name="Normal 9 9 3 2" xfId="30604"/>
    <cellStyle name="Normal 9 9 3 3" xfId="30605"/>
    <cellStyle name="Normal 9 9 4" xfId="30606"/>
    <cellStyle name="Normal 9 9 4 2" xfId="30607"/>
    <cellStyle name="Normal 9 9 4 3" xfId="30608"/>
    <cellStyle name="Normal 9 9 5" xfId="30609"/>
    <cellStyle name="Normal 9 9 5 2" xfId="30610"/>
    <cellStyle name="Normal 9 9 5 3" xfId="30611"/>
    <cellStyle name="Normal 9 9 6" xfId="30612"/>
    <cellStyle name="Normal 9 9 6 2" xfId="30613"/>
    <cellStyle name="Normal 9 9 6 3" xfId="30614"/>
    <cellStyle name="Normal 9 9 7" xfId="30615"/>
    <cellStyle name="Normal 9 9 7 2" xfId="30616"/>
    <cellStyle name="Normal 9 9 8" xfId="30617"/>
    <cellStyle name="Normal 9 9 8 2" xfId="30618"/>
    <cellStyle name="Normal 9 9 9" xfId="30619"/>
    <cellStyle name="Normal 9_126  NAGANOOL TO GADDAMPALLY  - 82.50  LAKHS" xfId="30620"/>
    <cellStyle name="Normal 90" xfId="30621"/>
    <cellStyle name="Normal 90 2" xfId="30622"/>
    <cellStyle name="Normal 90 3" xfId="30623"/>
    <cellStyle name="Normal 91" xfId="30624"/>
    <cellStyle name="Normal 92" xfId="30625"/>
    <cellStyle name="Normal 93" xfId="30626"/>
    <cellStyle name="Normal 94" xfId="30627"/>
    <cellStyle name="Normal 95" xfId="30628"/>
    <cellStyle name="Normal_Data" xfId="30629"/>
    <cellStyle name="Normal_Gudipalli (Chennur-RIDF-13)" xfId="30630"/>
    <cellStyle name="Normal_Kallepally-Gunturpalli (Bejjenki)6m-2v" xfId="30631"/>
    <cellStyle name="Normal_lead_Kondepi" xfId="30632"/>
    <cellStyle name="Normal_lead_Kondepi 2" xfId="30633"/>
    <cellStyle name="Normal_model note for PH-X works 2" xfId="30634"/>
    <cellStyle name="Normal_model note for PH-X works 2 2" xfId="30635"/>
    <cellStyle name="Normal_MTC" xfId="30636"/>
    <cellStyle name="Normal_Nenneal to Kushnepalli (Chennur)" xfId="30637"/>
    <cellStyle name="Normal_NP3 pipe variation" xfId="30638"/>
    <cellStyle name="Normal_phaseVI_CC__Kullupadu-Tajangi to Locheli" xfId="30639"/>
    <cellStyle name="Normal_PMGSY Model Est 06.09.10" xfId="30640"/>
    <cellStyle name="Normal_PMGSY_CGG_DATA_MODEL_2010_11" xfId="30641"/>
    <cellStyle name="Normal_PMGSY_CGG_DATA_MODEL_2010_11-temp" xfId="30642"/>
    <cellStyle name="Normal_PMGSY_CGG_DATA_MODEL_2010_11-temp-2" xfId="30643"/>
    <cellStyle name="Normal_PMGSY_CGG_DATA_MODEL_2010_11-temp-2 2" xfId="30644"/>
    <cellStyle name="Normal_PMGSY_CGG_DATA_MODEL_2010_11-temp-2 3" xfId="30645"/>
    <cellStyle name="Normal_Reach-II(10.850 to 21.850)" xfId="30646"/>
    <cellStyle name="Normal_RIDF XVI PH -II Shedule of Papakkapalli" xfId="30647"/>
    <cellStyle name="Normal_Road Furniture Data(9-12)" xfId="30648"/>
    <cellStyle name="Normal_Sch-DS_Road_to_Thammadapalli_-PKSM" xfId="30649"/>
    <cellStyle name="Normal_Sch-Mentepally to Nachahalli via Raghavendranagar" xfId="30650"/>
    <cellStyle name="Normal_Sheet1" xfId="30651"/>
    <cellStyle name="Normal_Srikakulam &amp; Vizianagaram-26.11.05" xfId="30652"/>
    <cellStyle name="Normal_Waghapur" xfId="30653"/>
    <cellStyle name="Normal_Waghapur 2" xfId="30654"/>
    <cellStyle name="Normal_xx" xfId="30655"/>
    <cellStyle name="Normal_xx 6" xfId="30656"/>
    <cellStyle name="Note 10" xfId="30657"/>
    <cellStyle name="Note 11" xfId="30658"/>
    <cellStyle name="Note 12" xfId="30659"/>
    <cellStyle name="Note 13" xfId="30660"/>
    <cellStyle name="Note 14" xfId="30661"/>
    <cellStyle name="Note 15" xfId="30662"/>
    <cellStyle name="Note 16" xfId="30663"/>
    <cellStyle name="Note 17" xfId="30664"/>
    <cellStyle name="Note 18" xfId="30665"/>
    <cellStyle name="Note 2" xfId="30666"/>
    <cellStyle name="Note 2 10" xfId="30667"/>
    <cellStyle name="Note 2 10 10" xfId="30668"/>
    <cellStyle name="Note 2 10 11" xfId="30669"/>
    <cellStyle name="Note 2 10 12" xfId="30670"/>
    <cellStyle name="Note 2 10 13" xfId="30671"/>
    <cellStyle name="Note 2 10 14" xfId="30672"/>
    <cellStyle name="Note 2 10 15" xfId="30673"/>
    <cellStyle name="Note 2 10 16" xfId="30674"/>
    <cellStyle name="Note 2 10 17" xfId="30675"/>
    <cellStyle name="Note 2 10 18" xfId="30676"/>
    <cellStyle name="Note 2 10 2" xfId="30677"/>
    <cellStyle name="Note 2 10 2 2" xfId="30678"/>
    <cellStyle name="Note 2 10 2 2 2" xfId="30679"/>
    <cellStyle name="Note 2 10 2 3" xfId="30680"/>
    <cellStyle name="Note 2 10 2 4" xfId="30681"/>
    <cellStyle name="Note 2 10 2 5" xfId="30682"/>
    <cellStyle name="Note 2 10 3" xfId="30683"/>
    <cellStyle name="Note 2 10 3 2" xfId="30684"/>
    <cellStyle name="Note 2 10 3 2 2" xfId="30685"/>
    <cellStyle name="Note 2 10 3 3" xfId="30686"/>
    <cellStyle name="Note 2 10 3 4" xfId="30687"/>
    <cellStyle name="Note 2 10 3 5" xfId="30688"/>
    <cellStyle name="Note 2 10 4" xfId="30689"/>
    <cellStyle name="Note 2 10 4 2" xfId="30690"/>
    <cellStyle name="Note 2 10 4 2 2" xfId="30691"/>
    <cellStyle name="Note 2 10 4 3" xfId="30692"/>
    <cellStyle name="Note 2 10 4 4" xfId="30693"/>
    <cellStyle name="Note 2 10 4 5" xfId="30694"/>
    <cellStyle name="Note 2 10 5" xfId="30695"/>
    <cellStyle name="Note 2 10 5 2" xfId="30696"/>
    <cellStyle name="Note 2 10 5 2 2" xfId="30697"/>
    <cellStyle name="Note 2 10 5 3" xfId="30698"/>
    <cellStyle name="Note 2 10 5 4" xfId="30699"/>
    <cellStyle name="Note 2 10 5 5" xfId="30700"/>
    <cellStyle name="Note 2 10 6" xfId="30701"/>
    <cellStyle name="Note 2 10 6 2" xfId="30702"/>
    <cellStyle name="Note 2 10 6 2 2" xfId="30703"/>
    <cellStyle name="Note 2 10 6 3" xfId="30704"/>
    <cellStyle name="Note 2 10 6 4" xfId="30705"/>
    <cellStyle name="Note 2 10 6 5" xfId="30706"/>
    <cellStyle name="Note 2 10 7" xfId="30707"/>
    <cellStyle name="Note 2 10 7 2" xfId="30708"/>
    <cellStyle name="Note 2 10 8" xfId="30709"/>
    <cellStyle name="Note 2 10 8 2" xfId="30710"/>
    <cellStyle name="Note 2 10 9" xfId="30711"/>
    <cellStyle name="Note 2 11" xfId="30712"/>
    <cellStyle name="Note 2 11 2" xfId="30713"/>
    <cellStyle name="Note 2 11 2 2" xfId="30714"/>
    <cellStyle name="Note 2 11 3" xfId="30715"/>
    <cellStyle name="Note 2 11 4" xfId="30716"/>
    <cellStyle name="Note 2 11 5" xfId="30717"/>
    <cellStyle name="Note 2 12" xfId="30718"/>
    <cellStyle name="Note 2 12 2" xfId="30719"/>
    <cellStyle name="Note 2 12 2 2" xfId="30720"/>
    <cellStyle name="Note 2 12 3" xfId="30721"/>
    <cellStyle name="Note 2 12 4" xfId="30722"/>
    <cellStyle name="Note 2 12 5" xfId="30723"/>
    <cellStyle name="Note 2 13" xfId="30724"/>
    <cellStyle name="Note 2 13 2" xfId="30725"/>
    <cellStyle name="Note 2 13 2 2" xfId="30726"/>
    <cellStyle name="Note 2 13 3" xfId="30727"/>
    <cellStyle name="Note 2 13 4" xfId="30728"/>
    <cellStyle name="Note 2 13 5" xfId="30729"/>
    <cellStyle name="Note 2 14" xfId="30730"/>
    <cellStyle name="Note 2 14 2" xfId="30731"/>
    <cellStyle name="Note 2 14 2 2" xfId="30732"/>
    <cellStyle name="Note 2 14 3" xfId="30733"/>
    <cellStyle name="Note 2 14 4" xfId="30734"/>
    <cellStyle name="Note 2 14 5" xfId="30735"/>
    <cellStyle name="Note 2 15" xfId="30736"/>
    <cellStyle name="Note 2 15 2" xfId="30737"/>
    <cellStyle name="Note 2 15 2 2" xfId="30738"/>
    <cellStyle name="Note 2 15 3" xfId="30739"/>
    <cellStyle name="Note 2 15 4" xfId="30740"/>
    <cellStyle name="Note 2 15 5" xfId="30741"/>
    <cellStyle name="Note 2 16" xfId="30742"/>
    <cellStyle name="Note 2 16 2" xfId="30743"/>
    <cellStyle name="Note 2 17" xfId="30744"/>
    <cellStyle name="Note 2 17 2" xfId="30745"/>
    <cellStyle name="Note 2 18" xfId="30746"/>
    <cellStyle name="Note 2 19" xfId="30747"/>
    <cellStyle name="Note 2 2" xfId="30748"/>
    <cellStyle name="Note 2 2 10" xfId="30749"/>
    <cellStyle name="Note 2 2 11" xfId="30750"/>
    <cellStyle name="Note 2 2 12" xfId="30751"/>
    <cellStyle name="Note 2 2 13" xfId="30752"/>
    <cellStyle name="Note 2 2 14" xfId="30753"/>
    <cellStyle name="Note 2 2 15" xfId="30754"/>
    <cellStyle name="Note 2 2 16" xfId="30755"/>
    <cellStyle name="Note 2 2 17" xfId="30756"/>
    <cellStyle name="Note 2 2 18" xfId="30757"/>
    <cellStyle name="Note 2 2 2" xfId="30758"/>
    <cellStyle name="Note 2 2 2 2" xfId="30759"/>
    <cellStyle name="Note 2 2 2 2 2" xfId="30760"/>
    <cellStyle name="Note 2 2 2 3" xfId="30761"/>
    <cellStyle name="Note 2 2 2 4" xfId="30762"/>
    <cellStyle name="Note 2 2 2 5" xfId="30763"/>
    <cellStyle name="Note 2 2 3" xfId="30764"/>
    <cellStyle name="Note 2 2 3 2" xfId="30765"/>
    <cellStyle name="Note 2 2 3 2 2" xfId="30766"/>
    <cellStyle name="Note 2 2 3 3" xfId="30767"/>
    <cellStyle name="Note 2 2 3 4" xfId="30768"/>
    <cellStyle name="Note 2 2 3 5" xfId="30769"/>
    <cellStyle name="Note 2 2 4" xfId="30770"/>
    <cellStyle name="Note 2 2 4 2" xfId="30771"/>
    <cellStyle name="Note 2 2 4 2 2" xfId="30772"/>
    <cellStyle name="Note 2 2 4 3" xfId="30773"/>
    <cellStyle name="Note 2 2 4 4" xfId="30774"/>
    <cellStyle name="Note 2 2 4 5" xfId="30775"/>
    <cellStyle name="Note 2 2 5" xfId="30776"/>
    <cellStyle name="Note 2 2 5 2" xfId="30777"/>
    <cellStyle name="Note 2 2 5 2 2" xfId="30778"/>
    <cellStyle name="Note 2 2 5 3" xfId="30779"/>
    <cellStyle name="Note 2 2 5 4" xfId="30780"/>
    <cellStyle name="Note 2 2 5 5" xfId="30781"/>
    <cellStyle name="Note 2 2 6" xfId="30782"/>
    <cellStyle name="Note 2 2 6 2" xfId="30783"/>
    <cellStyle name="Note 2 2 6 2 2" xfId="30784"/>
    <cellStyle name="Note 2 2 6 3" xfId="30785"/>
    <cellStyle name="Note 2 2 6 4" xfId="30786"/>
    <cellStyle name="Note 2 2 6 5" xfId="30787"/>
    <cellStyle name="Note 2 2 7" xfId="30788"/>
    <cellStyle name="Note 2 2 7 2" xfId="30789"/>
    <cellStyle name="Note 2 2 8" xfId="30790"/>
    <cellStyle name="Note 2 2 8 2" xfId="30791"/>
    <cellStyle name="Note 2 2 9" xfId="30792"/>
    <cellStyle name="Note 2 2 9 2" xfId="30793"/>
    <cellStyle name="Note 2 20" xfId="30794"/>
    <cellStyle name="Note 2 21" xfId="30795"/>
    <cellStyle name="Note 2 22" xfId="30796"/>
    <cellStyle name="Note 2 23" xfId="30797"/>
    <cellStyle name="Note 2 24" xfId="30798"/>
    <cellStyle name="Note 2 25" xfId="30799"/>
    <cellStyle name="Note 2 26" xfId="30800"/>
    <cellStyle name="Note 2 27" xfId="30801"/>
    <cellStyle name="Note 2 3" xfId="30802"/>
    <cellStyle name="Note 2 3 10" xfId="30803"/>
    <cellStyle name="Note 2 3 11" xfId="30804"/>
    <cellStyle name="Note 2 3 12" xfId="30805"/>
    <cellStyle name="Note 2 3 13" xfId="30806"/>
    <cellStyle name="Note 2 3 14" xfId="30807"/>
    <cellStyle name="Note 2 3 15" xfId="30808"/>
    <cellStyle name="Note 2 3 16" xfId="30809"/>
    <cellStyle name="Note 2 3 17" xfId="30810"/>
    <cellStyle name="Note 2 3 18" xfId="30811"/>
    <cellStyle name="Note 2 3 2" xfId="30812"/>
    <cellStyle name="Note 2 3 2 2" xfId="30813"/>
    <cellStyle name="Note 2 3 2 2 2" xfId="30814"/>
    <cellStyle name="Note 2 3 2 3" xfId="30815"/>
    <cellStyle name="Note 2 3 2 4" xfId="30816"/>
    <cellStyle name="Note 2 3 2 5" xfId="30817"/>
    <cellStyle name="Note 2 3 3" xfId="30818"/>
    <cellStyle name="Note 2 3 3 2" xfId="30819"/>
    <cellStyle name="Note 2 3 3 2 2" xfId="30820"/>
    <cellStyle name="Note 2 3 3 3" xfId="30821"/>
    <cellStyle name="Note 2 3 3 4" xfId="30822"/>
    <cellStyle name="Note 2 3 3 5" xfId="30823"/>
    <cellStyle name="Note 2 3 4" xfId="30824"/>
    <cellStyle name="Note 2 3 4 2" xfId="30825"/>
    <cellStyle name="Note 2 3 4 2 2" xfId="30826"/>
    <cellStyle name="Note 2 3 4 3" xfId="30827"/>
    <cellStyle name="Note 2 3 4 4" xfId="30828"/>
    <cellStyle name="Note 2 3 4 5" xfId="30829"/>
    <cellStyle name="Note 2 3 5" xfId="30830"/>
    <cellStyle name="Note 2 3 5 2" xfId="30831"/>
    <cellStyle name="Note 2 3 5 2 2" xfId="30832"/>
    <cellStyle name="Note 2 3 5 3" xfId="30833"/>
    <cellStyle name="Note 2 3 5 4" xfId="30834"/>
    <cellStyle name="Note 2 3 5 5" xfId="30835"/>
    <cellStyle name="Note 2 3 6" xfId="30836"/>
    <cellStyle name="Note 2 3 6 2" xfId="30837"/>
    <cellStyle name="Note 2 3 6 2 2" xfId="30838"/>
    <cellStyle name="Note 2 3 6 3" xfId="30839"/>
    <cellStyle name="Note 2 3 6 4" xfId="30840"/>
    <cellStyle name="Note 2 3 6 5" xfId="30841"/>
    <cellStyle name="Note 2 3 7" xfId="30842"/>
    <cellStyle name="Note 2 3 7 2" xfId="30843"/>
    <cellStyle name="Note 2 3 8" xfId="30844"/>
    <cellStyle name="Note 2 3 8 2" xfId="30845"/>
    <cellStyle name="Note 2 3 9" xfId="30846"/>
    <cellStyle name="Note 2 3 9 2" xfId="30847"/>
    <cellStyle name="Note 2 4" xfId="30848"/>
    <cellStyle name="Note 2 4 10" xfId="30849"/>
    <cellStyle name="Note 2 4 11" xfId="30850"/>
    <cellStyle name="Note 2 4 12" xfId="30851"/>
    <cellStyle name="Note 2 4 13" xfId="30852"/>
    <cellStyle name="Note 2 4 14" xfId="30853"/>
    <cellStyle name="Note 2 4 15" xfId="30854"/>
    <cellStyle name="Note 2 4 16" xfId="30855"/>
    <cellStyle name="Note 2 4 17" xfId="30856"/>
    <cellStyle name="Note 2 4 18" xfId="30857"/>
    <cellStyle name="Note 2 4 2" xfId="30858"/>
    <cellStyle name="Note 2 4 2 2" xfId="30859"/>
    <cellStyle name="Note 2 4 2 2 2" xfId="30860"/>
    <cellStyle name="Note 2 4 2 3" xfId="30861"/>
    <cellStyle name="Note 2 4 2 4" xfId="30862"/>
    <cellStyle name="Note 2 4 2 5" xfId="30863"/>
    <cellStyle name="Note 2 4 3" xfId="30864"/>
    <cellStyle name="Note 2 4 3 2" xfId="30865"/>
    <cellStyle name="Note 2 4 3 2 2" xfId="30866"/>
    <cellStyle name="Note 2 4 3 3" xfId="30867"/>
    <cellStyle name="Note 2 4 3 4" xfId="30868"/>
    <cellStyle name="Note 2 4 3 5" xfId="30869"/>
    <cellStyle name="Note 2 4 4" xfId="30870"/>
    <cellStyle name="Note 2 4 4 2" xfId="30871"/>
    <cellStyle name="Note 2 4 4 2 2" xfId="30872"/>
    <cellStyle name="Note 2 4 4 3" xfId="30873"/>
    <cellStyle name="Note 2 4 4 4" xfId="30874"/>
    <cellStyle name="Note 2 4 4 5" xfId="30875"/>
    <cellStyle name="Note 2 4 5" xfId="30876"/>
    <cellStyle name="Note 2 4 5 2" xfId="30877"/>
    <cellStyle name="Note 2 4 5 2 2" xfId="30878"/>
    <cellStyle name="Note 2 4 5 3" xfId="30879"/>
    <cellStyle name="Note 2 4 5 4" xfId="30880"/>
    <cellStyle name="Note 2 4 5 5" xfId="30881"/>
    <cellStyle name="Note 2 4 6" xfId="30882"/>
    <cellStyle name="Note 2 4 6 2" xfId="30883"/>
    <cellStyle name="Note 2 4 6 2 2" xfId="30884"/>
    <cellStyle name="Note 2 4 6 3" xfId="30885"/>
    <cellStyle name="Note 2 4 6 4" xfId="30886"/>
    <cellStyle name="Note 2 4 6 5" xfId="30887"/>
    <cellStyle name="Note 2 4 7" xfId="30888"/>
    <cellStyle name="Note 2 4 7 2" xfId="30889"/>
    <cellStyle name="Note 2 4 8" xfId="30890"/>
    <cellStyle name="Note 2 4 8 2" xfId="30891"/>
    <cellStyle name="Note 2 4 9" xfId="30892"/>
    <cellStyle name="Note 2 4 9 2" xfId="30893"/>
    <cellStyle name="Note 2 5" xfId="30894"/>
    <cellStyle name="Note 2 5 10" xfId="30895"/>
    <cellStyle name="Note 2 5 11" xfId="30896"/>
    <cellStyle name="Note 2 5 12" xfId="30897"/>
    <cellStyle name="Note 2 5 13" xfId="30898"/>
    <cellStyle name="Note 2 5 14" xfId="30899"/>
    <cellStyle name="Note 2 5 15" xfId="30900"/>
    <cellStyle name="Note 2 5 16" xfId="30901"/>
    <cellStyle name="Note 2 5 17" xfId="30902"/>
    <cellStyle name="Note 2 5 18" xfId="30903"/>
    <cellStyle name="Note 2 5 2" xfId="30904"/>
    <cellStyle name="Note 2 5 2 2" xfId="30905"/>
    <cellStyle name="Note 2 5 2 2 2" xfId="30906"/>
    <cellStyle name="Note 2 5 2 3" xfId="30907"/>
    <cellStyle name="Note 2 5 2 4" xfId="30908"/>
    <cellStyle name="Note 2 5 2 5" xfId="30909"/>
    <cellStyle name="Note 2 5 3" xfId="30910"/>
    <cellStyle name="Note 2 5 3 2" xfId="30911"/>
    <cellStyle name="Note 2 5 3 2 2" xfId="30912"/>
    <cellStyle name="Note 2 5 3 3" xfId="30913"/>
    <cellStyle name="Note 2 5 3 4" xfId="30914"/>
    <cellStyle name="Note 2 5 3 5" xfId="30915"/>
    <cellStyle name="Note 2 5 4" xfId="30916"/>
    <cellStyle name="Note 2 5 4 2" xfId="30917"/>
    <cellStyle name="Note 2 5 4 2 2" xfId="30918"/>
    <cellStyle name="Note 2 5 4 3" xfId="30919"/>
    <cellStyle name="Note 2 5 4 4" xfId="30920"/>
    <cellStyle name="Note 2 5 4 5" xfId="30921"/>
    <cellStyle name="Note 2 5 5" xfId="30922"/>
    <cellStyle name="Note 2 5 5 2" xfId="30923"/>
    <cellStyle name="Note 2 5 5 2 2" xfId="30924"/>
    <cellStyle name="Note 2 5 5 3" xfId="30925"/>
    <cellStyle name="Note 2 5 5 4" xfId="30926"/>
    <cellStyle name="Note 2 5 5 5" xfId="30927"/>
    <cellStyle name="Note 2 5 6" xfId="30928"/>
    <cellStyle name="Note 2 5 6 2" xfId="30929"/>
    <cellStyle name="Note 2 5 6 2 2" xfId="30930"/>
    <cellStyle name="Note 2 5 6 3" xfId="30931"/>
    <cellStyle name="Note 2 5 6 4" xfId="30932"/>
    <cellStyle name="Note 2 5 6 5" xfId="30933"/>
    <cellStyle name="Note 2 5 7" xfId="30934"/>
    <cellStyle name="Note 2 5 7 2" xfId="30935"/>
    <cellStyle name="Note 2 5 8" xfId="30936"/>
    <cellStyle name="Note 2 5 8 2" xfId="30937"/>
    <cellStyle name="Note 2 5 9" xfId="30938"/>
    <cellStyle name="Note 2 5 9 2" xfId="30939"/>
    <cellStyle name="Note 2 6" xfId="30940"/>
    <cellStyle name="Note 2 6 10" xfId="30941"/>
    <cellStyle name="Note 2 6 11" xfId="30942"/>
    <cellStyle name="Note 2 6 12" xfId="30943"/>
    <cellStyle name="Note 2 6 13" xfId="30944"/>
    <cellStyle name="Note 2 6 14" xfId="30945"/>
    <cellStyle name="Note 2 6 15" xfId="30946"/>
    <cellStyle name="Note 2 6 16" xfId="30947"/>
    <cellStyle name="Note 2 6 17" xfId="30948"/>
    <cellStyle name="Note 2 6 18" xfId="30949"/>
    <cellStyle name="Note 2 6 2" xfId="30950"/>
    <cellStyle name="Note 2 6 2 2" xfId="30951"/>
    <cellStyle name="Note 2 6 2 2 2" xfId="30952"/>
    <cellStyle name="Note 2 6 2 3" xfId="30953"/>
    <cellStyle name="Note 2 6 2 4" xfId="30954"/>
    <cellStyle name="Note 2 6 2 5" xfId="30955"/>
    <cellStyle name="Note 2 6 3" xfId="30956"/>
    <cellStyle name="Note 2 6 3 2" xfId="30957"/>
    <cellStyle name="Note 2 6 3 2 2" xfId="30958"/>
    <cellStyle name="Note 2 6 3 3" xfId="30959"/>
    <cellStyle name="Note 2 6 3 4" xfId="30960"/>
    <cellStyle name="Note 2 6 3 5" xfId="30961"/>
    <cellStyle name="Note 2 6 4" xfId="30962"/>
    <cellStyle name="Note 2 6 4 2" xfId="30963"/>
    <cellStyle name="Note 2 6 4 2 2" xfId="30964"/>
    <cellStyle name="Note 2 6 4 3" xfId="30965"/>
    <cellStyle name="Note 2 6 4 4" xfId="30966"/>
    <cellStyle name="Note 2 6 4 5" xfId="30967"/>
    <cellStyle name="Note 2 6 5" xfId="30968"/>
    <cellStyle name="Note 2 6 5 2" xfId="30969"/>
    <cellStyle name="Note 2 6 5 2 2" xfId="30970"/>
    <cellStyle name="Note 2 6 5 3" xfId="30971"/>
    <cellStyle name="Note 2 6 5 4" xfId="30972"/>
    <cellStyle name="Note 2 6 5 5" xfId="30973"/>
    <cellStyle name="Note 2 6 6" xfId="30974"/>
    <cellStyle name="Note 2 6 6 2" xfId="30975"/>
    <cellStyle name="Note 2 6 6 2 2" xfId="30976"/>
    <cellStyle name="Note 2 6 6 3" xfId="30977"/>
    <cellStyle name="Note 2 6 6 4" xfId="30978"/>
    <cellStyle name="Note 2 6 6 5" xfId="30979"/>
    <cellStyle name="Note 2 6 7" xfId="30980"/>
    <cellStyle name="Note 2 6 7 2" xfId="30981"/>
    <cellStyle name="Note 2 6 8" xfId="30982"/>
    <cellStyle name="Note 2 6 8 2" xfId="30983"/>
    <cellStyle name="Note 2 6 9" xfId="30984"/>
    <cellStyle name="Note 2 6 9 2" xfId="30985"/>
    <cellStyle name="Note 2 7" xfId="30986"/>
    <cellStyle name="Note 2 7 10" xfId="30987"/>
    <cellStyle name="Note 2 7 11" xfId="30988"/>
    <cellStyle name="Note 2 7 12" xfId="30989"/>
    <cellStyle name="Note 2 7 13" xfId="30990"/>
    <cellStyle name="Note 2 7 14" xfId="30991"/>
    <cellStyle name="Note 2 7 15" xfId="30992"/>
    <cellStyle name="Note 2 7 16" xfId="30993"/>
    <cellStyle name="Note 2 7 17" xfId="30994"/>
    <cellStyle name="Note 2 7 18" xfId="30995"/>
    <cellStyle name="Note 2 7 2" xfId="30996"/>
    <cellStyle name="Note 2 7 2 2" xfId="30997"/>
    <cellStyle name="Note 2 7 2 2 2" xfId="30998"/>
    <cellStyle name="Note 2 7 2 3" xfId="30999"/>
    <cellStyle name="Note 2 7 2 4" xfId="31000"/>
    <cellStyle name="Note 2 7 2 5" xfId="31001"/>
    <cellStyle name="Note 2 7 3" xfId="31002"/>
    <cellStyle name="Note 2 7 3 2" xfId="31003"/>
    <cellStyle name="Note 2 7 3 2 2" xfId="31004"/>
    <cellStyle name="Note 2 7 3 3" xfId="31005"/>
    <cellStyle name="Note 2 7 3 4" xfId="31006"/>
    <cellStyle name="Note 2 7 3 5" xfId="31007"/>
    <cellStyle name="Note 2 7 4" xfId="31008"/>
    <cellStyle name="Note 2 7 4 2" xfId="31009"/>
    <cellStyle name="Note 2 7 4 2 2" xfId="31010"/>
    <cellStyle name="Note 2 7 4 3" xfId="31011"/>
    <cellStyle name="Note 2 7 4 4" xfId="31012"/>
    <cellStyle name="Note 2 7 4 5" xfId="31013"/>
    <cellStyle name="Note 2 7 5" xfId="31014"/>
    <cellStyle name="Note 2 7 5 2" xfId="31015"/>
    <cellStyle name="Note 2 7 5 2 2" xfId="31016"/>
    <cellStyle name="Note 2 7 5 3" xfId="31017"/>
    <cellStyle name="Note 2 7 5 4" xfId="31018"/>
    <cellStyle name="Note 2 7 5 5" xfId="31019"/>
    <cellStyle name="Note 2 7 6" xfId="31020"/>
    <cellStyle name="Note 2 7 6 2" xfId="31021"/>
    <cellStyle name="Note 2 7 6 2 2" xfId="31022"/>
    <cellStyle name="Note 2 7 6 3" xfId="31023"/>
    <cellStyle name="Note 2 7 6 4" xfId="31024"/>
    <cellStyle name="Note 2 7 6 5" xfId="31025"/>
    <cellStyle name="Note 2 7 7" xfId="31026"/>
    <cellStyle name="Note 2 7 7 2" xfId="31027"/>
    <cellStyle name="Note 2 7 8" xfId="31028"/>
    <cellStyle name="Note 2 7 8 2" xfId="31029"/>
    <cellStyle name="Note 2 7 9" xfId="31030"/>
    <cellStyle name="Note 2 7 9 2" xfId="31031"/>
    <cellStyle name="Note 2 8" xfId="31032"/>
    <cellStyle name="Note 2 8 10" xfId="31033"/>
    <cellStyle name="Note 2 8 11" xfId="31034"/>
    <cellStyle name="Note 2 8 12" xfId="31035"/>
    <cellStyle name="Note 2 8 13" xfId="31036"/>
    <cellStyle name="Note 2 8 14" xfId="31037"/>
    <cellStyle name="Note 2 8 15" xfId="31038"/>
    <cellStyle name="Note 2 8 16" xfId="31039"/>
    <cellStyle name="Note 2 8 17" xfId="31040"/>
    <cellStyle name="Note 2 8 18" xfId="31041"/>
    <cellStyle name="Note 2 8 2" xfId="31042"/>
    <cellStyle name="Note 2 8 2 2" xfId="31043"/>
    <cellStyle name="Note 2 8 2 2 2" xfId="31044"/>
    <cellStyle name="Note 2 8 2 3" xfId="31045"/>
    <cellStyle name="Note 2 8 2 4" xfId="31046"/>
    <cellStyle name="Note 2 8 2 5" xfId="31047"/>
    <cellStyle name="Note 2 8 3" xfId="31048"/>
    <cellStyle name="Note 2 8 3 2" xfId="31049"/>
    <cellStyle name="Note 2 8 3 2 2" xfId="31050"/>
    <cellStyle name="Note 2 8 3 3" xfId="31051"/>
    <cellStyle name="Note 2 8 3 4" xfId="31052"/>
    <cellStyle name="Note 2 8 3 5" xfId="31053"/>
    <cellStyle name="Note 2 8 4" xfId="31054"/>
    <cellStyle name="Note 2 8 4 2" xfId="31055"/>
    <cellStyle name="Note 2 8 4 2 2" xfId="31056"/>
    <cellStyle name="Note 2 8 4 3" xfId="31057"/>
    <cellStyle name="Note 2 8 4 4" xfId="31058"/>
    <cellStyle name="Note 2 8 4 5" xfId="31059"/>
    <cellStyle name="Note 2 8 5" xfId="31060"/>
    <cellStyle name="Note 2 8 5 2" xfId="31061"/>
    <cellStyle name="Note 2 8 5 2 2" xfId="31062"/>
    <cellStyle name="Note 2 8 5 3" xfId="31063"/>
    <cellStyle name="Note 2 8 5 4" xfId="31064"/>
    <cellStyle name="Note 2 8 5 5" xfId="31065"/>
    <cellStyle name="Note 2 8 6" xfId="31066"/>
    <cellStyle name="Note 2 8 6 2" xfId="31067"/>
    <cellStyle name="Note 2 8 6 2 2" xfId="31068"/>
    <cellStyle name="Note 2 8 6 3" xfId="31069"/>
    <cellStyle name="Note 2 8 6 4" xfId="31070"/>
    <cellStyle name="Note 2 8 6 5" xfId="31071"/>
    <cellStyle name="Note 2 8 7" xfId="31072"/>
    <cellStyle name="Note 2 8 7 2" xfId="31073"/>
    <cellStyle name="Note 2 8 8" xfId="31074"/>
    <cellStyle name="Note 2 8 8 2" xfId="31075"/>
    <cellStyle name="Note 2 8 9" xfId="31076"/>
    <cellStyle name="Note 2 8 9 2" xfId="31077"/>
    <cellStyle name="Note 2 9" xfId="31078"/>
    <cellStyle name="Note 2 9 10" xfId="31079"/>
    <cellStyle name="Note 2 9 11" xfId="31080"/>
    <cellStyle name="Note 2 9 12" xfId="31081"/>
    <cellStyle name="Note 2 9 13" xfId="31082"/>
    <cellStyle name="Note 2 9 14" xfId="31083"/>
    <cellStyle name="Note 2 9 15" xfId="31084"/>
    <cellStyle name="Note 2 9 16" xfId="31085"/>
    <cellStyle name="Note 2 9 17" xfId="31086"/>
    <cellStyle name="Note 2 9 18" xfId="31087"/>
    <cellStyle name="Note 2 9 2" xfId="31088"/>
    <cellStyle name="Note 2 9 2 2" xfId="31089"/>
    <cellStyle name="Note 2 9 2 2 2" xfId="31090"/>
    <cellStyle name="Note 2 9 2 3" xfId="31091"/>
    <cellStyle name="Note 2 9 2 4" xfId="31092"/>
    <cellStyle name="Note 2 9 2 5" xfId="31093"/>
    <cellStyle name="Note 2 9 3" xfId="31094"/>
    <cellStyle name="Note 2 9 3 2" xfId="31095"/>
    <cellStyle name="Note 2 9 3 2 2" xfId="31096"/>
    <cellStyle name="Note 2 9 3 3" xfId="31097"/>
    <cellStyle name="Note 2 9 3 4" xfId="31098"/>
    <cellStyle name="Note 2 9 3 5" xfId="31099"/>
    <cellStyle name="Note 2 9 4" xfId="31100"/>
    <cellStyle name="Note 2 9 4 2" xfId="31101"/>
    <cellStyle name="Note 2 9 4 2 2" xfId="31102"/>
    <cellStyle name="Note 2 9 4 3" xfId="31103"/>
    <cellStyle name="Note 2 9 4 4" xfId="31104"/>
    <cellStyle name="Note 2 9 4 5" xfId="31105"/>
    <cellStyle name="Note 2 9 5" xfId="31106"/>
    <cellStyle name="Note 2 9 5 2" xfId="31107"/>
    <cellStyle name="Note 2 9 5 2 2" xfId="31108"/>
    <cellStyle name="Note 2 9 5 3" xfId="31109"/>
    <cellStyle name="Note 2 9 5 4" xfId="31110"/>
    <cellStyle name="Note 2 9 5 5" xfId="31111"/>
    <cellStyle name="Note 2 9 6" xfId="31112"/>
    <cellStyle name="Note 2 9 6 2" xfId="31113"/>
    <cellStyle name="Note 2 9 6 2 2" xfId="31114"/>
    <cellStyle name="Note 2 9 6 3" xfId="31115"/>
    <cellStyle name="Note 2 9 6 4" xfId="31116"/>
    <cellStyle name="Note 2 9 6 5" xfId="31117"/>
    <cellStyle name="Note 2 9 7" xfId="31118"/>
    <cellStyle name="Note 2 9 7 2" xfId="31119"/>
    <cellStyle name="Note 2 9 8" xfId="31120"/>
    <cellStyle name="Note 2 9 8 2" xfId="31121"/>
    <cellStyle name="Note 2 9 9" xfId="31122"/>
    <cellStyle name="Note 2 9 9 2" xfId="31123"/>
    <cellStyle name="Note 2_Bandalingampally (Ypet-wd)" xfId="31124"/>
    <cellStyle name="Note 3" xfId="31125"/>
    <cellStyle name="Note 3 2" xfId="31126"/>
    <cellStyle name="Note 3 2 2" xfId="31127"/>
    <cellStyle name="Note 3 3" xfId="31128"/>
    <cellStyle name="Note 3 4" xfId="31129"/>
    <cellStyle name="Note 3 5" xfId="31130"/>
    <cellStyle name="Note 4" xfId="31131"/>
    <cellStyle name="Note 4 2" xfId="31132"/>
    <cellStyle name="Note 4 2 2" xfId="31133"/>
    <cellStyle name="Note 4 3" xfId="31134"/>
    <cellStyle name="Note 4 4" xfId="31135"/>
    <cellStyle name="Note 4 5" xfId="31136"/>
    <cellStyle name="Note 5" xfId="31137"/>
    <cellStyle name="Note 5 2" xfId="31138"/>
    <cellStyle name="Note 5 2 2" xfId="31139"/>
    <cellStyle name="Note 5 3" xfId="31140"/>
    <cellStyle name="Note 5 4" xfId="31141"/>
    <cellStyle name="Note 5 5" xfId="31142"/>
    <cellStyle name="Note 6" xfId="31143"/>
    <cellStyle name="Note 6 2" xfId="31144"/>
    <cellStyle name="Note 6 2 2" xfId="31145"/>
    <cellStyle name="Note 6 3" xfId="31146"/>
    <cellStyle name="Note 6 4" xfId="31147"/>
    <cellStyle name="Note 6 5" xfId="31148"/>
    <cellStyle name="Note 7" xfId="31149"/>
    <cellStyle name="Note 7 2" xfId="31150"/>
    <cellStyle name="Note 7 2 2" xfId="31151"/>
    <cellStyle name="Note 7 2 3" xfId="31152"/>
    <cellStyle name="Note 7 2 4" xfId="31153"/>
    <cellStyle name="Note 7 3" xfId="31154"/>
    <cellStyle name="Note 7 3 2" xfId="31155"/>
    <cellStyle name="Note 7 4" xfId="31156"/>
    <cellStyle name="Note 7 5" xfId="31157"/>
    <cellStyle name="Note 7 6" xfId="31158"/>
    <cellStyle name="Note 8" xfId="31159"/>
    <cellStyle name="Note 8 2" xfId="31160"/>
    <cellStyle name="Note 9" xfId="31161"/>
    <cellStyle name="Note 9 2" xfId="31162"/>
    <cellStyle name="Output 2" xfId="31163"/>
    <cellStyle name="Output 2 2" xfId="31164"/>
    <cellStyle name="Output 2 2 2" xfId="31165"/>
    <cellStyle name="Output 2 2 2 2" xfId="31166"/>
    <cellStyle name="Output 2 2 3" xfId="31167"/>
    <cellStyle name="Output 2 2 4" xfId="31168"/>
    <cellStyle name="Output 2 2 5" xfId="31169"/>
    <cellStyle name="Output 2 3" xfId="31170"/>
    <cellStyle name="Output 2 3 2" xfId="31171"/>
    <cellStyle name="Output 2 3 2 2" xfId="31172"/>
    <cellStyle name="Output 2 3 3" xfId="31173"/>
    <cellStyle name="Output 2 3 4" xfId="31174"/>
    <cellStyle name="Output 2 3 5" xfId="31175"/>
    <cellStyle name="Output 2 4" xfId="31176"/>
    <cellStyle name="Output 2 4 2" xfId="31177"/>
    <cellStyle name="Output 2 5" xfId="31178"/>
    <cellStyle name="Output 2 6" xfId="31179"/>
    <cellStyle name="Output 2 7" xfId="31180"/>
    <cellStyle name="Output 3" xfId="31181"/>
    <cellStyle name="Output 3 2" xfId="31182"/>
    <cellStyle name="Output 3 2 2" xfId="31183"/>
    <cellStyle name="Output 3 3" xfId="31184"/>
    <cellStyle name="Output 3 4" xfId="31185"/>
    <cellStyle name="Output 3 5" xfId="31186"/>
    <cellStyle name="Output 4" xfId="31187"/>
    <cellStyle name="Output 4 2" xfId="31188"/>
    <cellStyle name="Output 4 3" xfId="31189"/>
    <cellStyle name="Output 4 4" xfId="31190"/>
    <cellStyle name="Output 5" xfId="31191"/>
    <cellStyle name="Output 5 2" xfId="31192"/>
    <cellStyle name="Output 5 3" xfId="31193"/>
    <cellStyle name="Output 5 4" xfId="31194"/>
    <cellStyle name="Output 6" xfId="31195"/>
    <cellStyle name="Output 6 2" xfId="31196"/>
    <cellStyle name="Percent" xfId="2" builtinId="5"/>
    <cellStyle name="Percent [2]" xfId="31197"/>
    <cellStyle name="Percent [2] 10" xfId="31198"/>
    <cellStyle name="Percent [2] 11" xfId="31199"/>
    <cellStyle name="Percent [2] 12" xfId="31200"/>
    <cellStyle name="Percent [2] 13" xfId="31201"/>
    <cellStyle name="Percent [2] 14" xfId="31202"/>
    <cellStyle name="Percent [2] 15" xfId="31203"/>
    <cellStyle name="Percent [2] 16" xfId="31204"/>
    <cellStyle name="Percent [2] 17" xfId="31205"/>
    <cellStyle name="Percent [2] 18" xfId="31206"/>
    <cellStyle name="Percent [2] 2" xfId="31207"/>
    <cellStyle name="Percent [2] 2 2" xfId="31208"/>
    <cellStyle name="Percent [2] 2 2 2" xfId="31209"/>
    <cellStyle name="Percent [2] 2 3" xfId="31210"/>
    <cellStyle name="Percent [2] 2 4" xfId="31211"/>
    <cellStyle name="Percent [2] 2 5" xfId="31212"/>
    <cellStyle name="Percent [2] 3" xfId="31213"/>
    <cellStyle name="Percent [2] 3 2" xfId="31214"/>
    <cellStyle name="Percent [2] 3 2 2" xfId="31215"/>
    <cellStyle name="Percent [2] 3 3" xfId="31216"/>
    <cellStyle name="Percent [2] 3 4" xfId="31217"/>
    <cellStyle name="Percent [2] 3 5" xfId="31218"/>
    <cellStyle name="Percent [2] 4" xfId="31219"/>
    <cellStyle name="Percent [2] 4 2" xfId="31220"/>
    <cellStyle name="Percent [2] 4 2 2" xfId="31221"/>
    <cellStyle name="Percent [2] 4 2 3" xfId="31222"/>
    <cellStyle name="Percent [2] 4 2 4" xfId="31223"/>
    <cellStyle name="Percent [2] 4 3" xfId="31224"/>
    <cellStyle name="Percent [2] 4 3 2" xfId="31225"/>
    <cellStyle name="Percent [2] 4 4" xfId="31226"/>
    <cellStyle name="Percent [2] 4 5" xfId="31227"/>
    <cellStyle name="Percent [2] 4 6" xfId="31228"/>
    <cellStyle name="Percent [2] 5" xfId="31229"/>
    <cellStyle name="Percent [2] 5 2" xfId="31230"/>
    <cellStyle name="Percent [2] 5 2 2" xfId="31231"/>
    <cellStyle name="Percent [2] 5 3" xfId="31232"/>
    <cellStyle name="Percent [2] 5 4" xfId="31233"/>
    <cellStyle name="Percent [2] 5 5" xfId="31234"/>
    <cellStyle name="Percent [2] 6" xfId="31235"/>
    <cellStyle name="Percent [2] 6 2" xfId="31236"/>
    <cellStyle name="Percent [2] 6 2 2" xfId="31237"/>
    <cellStyle name="Percent [2] 6 3" xfId="31238"/>
    <cellStyle name="Percent [2] 6 4" xfId="31239"/>
    <cellStyle name="Percent [2] 6 5" xfId="31240"/>
    <cellStyle name="Percent [2] 7" xfId="31241"/>
    <cellStyle name="Percent [2] 7 2" xfId="31242"/>
    <cellStyle name="Percent [2] 8" xfId="31243"/>
    <cellStyle name="Percent [2] 8 2" xfId="31244"/>
    <cellStyle name="Percent [2] 9" xfId="31245"/>
    <cellStyle name="Percent [2] 9 2" xfId="31246"/>
    <cellStyle name="Percent 10" xfId="31247"/>
    <cellStyle name="Percent 10 2" xfId="31248"/>
    <cellStyle name="Percent 10 2 10" xfId="31249"/>
    <cellStyle name="Percent 10 2 11" xfId="31250"/>
    <cellStyle name="Percent 10 2 12" xfId="31251"/>
    <cellStyle name="Percent 10 2 13" xfId="31252"/>
    <cellStyle name="Percent 10 2 14" xfId="31253"/>
    <cellStyle name="Percent 10 2 15" xfId="31254"/>
    <cellStyle name="Percent 10 2 16" xfId="31255"/>
    <cellStyle name="Percent 10 2 17" xfId="31256"/>
    <cellStyle name="Percent 10 2 18" xfId="31257"/>
    <cellStyle name="Percent 10 2 2" xfId="31258"/>
    <cellStyle name="Percent 10 2 2 2" xfId="31259"/>
    <cellStyle name="Percent 10 2 2 2 2" xfId="31260"/>
    <cellStyle name="Percent 10 2 2 3" xfId="31261"/>
    <cellStyle name="Percent 10 2 2 4" xfId="31262"/>
    <cellStyle name="Percent 10 2 2 5" xfId="31263"/>
    <cellStyle name="Percent 10 2 3" xfId="31264"/>
    <cellStyle name="Percent 10 2 3 2" xfId="31265"/>
    <cellStyle name="Percent 10 2 3 2 2" xfId="31266"/>
    <cellStyle name="Percent 10 2 3 3" xfId="31267"/>
    <cellStyle name="Percent 10 2 3 4" xfId="31268"/>
    <cellStyle name="Percent 10 2 3 5" xfId="31269"/>
    <cellStyle name="Percent 10 2 4" xfId="31270"/>
    <cellStyle name="Percent 10 2 4 2" xfId="31271"/>
    <cellStyle name="Percent 10 2 4 2 2" xfId="31272"/>
    <cellStyle name="Percent 10 2 4 3" xfId="31273"/>
    <cellStyle name="Percent 10 2 4 4" xfId="31274"/>
    <cellStyle name="Percent 10 2 4 5" xfId="31275"/>
    <cellStyle name="Percent 10 2 5" xfId="31276"/>
    <cellStyle name="Percent 10 2 5 2" xfId="31277"/>
    <cellStyle name="Percent 10 2 5 2 2" xfId="31278"/>
    <cellStyle name="Percent 10 2 5 3" xfId="31279"/>
    <cellStyle name="Percent 10 2 5 4" xfId="31280"/>
    <cellStyle name="Percent 10 2 5 5" xfId="31281"/>
    <cellStyle name="Percent 10 2 6" xfId="31282"/>
    <cellStyle name="Percent 10 2 6 2" xfId="31283"/>
    <cellStyle name="Percent 10 2 6 2 2" xfId="31284"/>
    <cellStyle name="Percent 10 2 6 3" xfId="31285"/>
    <cellStyle name="Percent 10 2 6 4" xfId="31286"/>
    <cellStyle name="Percent 10 2 6 5" xfId="31287"/>
    <cellStyle name="Percent 10 2 7" xfId="31288"/>
    <cellStyle name="Percent 10 2 7 2" xfId="31289"/>
    <cellStyle name="Percent 10 2 8" xfId="31290"/>
    <cellStyle name="Percent 10 2 8 2" xfId="31291"/>
    <cellStyle name="Percent 10 2 9" xfId="31292"/>
    <cellStyle name="Percent 10 2 9 2" xfId="31293"/>
    <cellStyle name="Percent 10 3" xfId="31294"/>
    <cellStyle name="Percent 10 4" xfId="31295"/>
    <cellStyle name="Percent 10 5" xfId="31296"/>
    <cellStyle name="Percent 11" xfId="31297"/>
    <cellStyle name="Percent 11 2" xfId="31298"/>
    <cellStyle name="Percent 11 2 2" xfId="31299"/>
    <cellStyle name="Percent 11 2 3" xfId="31300"/>
    <cellStyle name="Percent 11 2 4" xfId="31301"/>
    <cellStyle name="Percent 11 3" xfId="31302"/>
    <cellStyle name="Percent 11 4" xfId="31303"/>
    <cellStyle name="Percent 11 5" xfId="31304"/>
    <cellStyle name="Percent 12" xfId="31305"/>
    <cellStyle name="Percent 12 2" xfId="31306"/>
    <cellStyle name="Percent 12 2 2" xfId="31307"/>
    <cellStyle name="Percent 12 2 3" xfId="31308"/>
    <cellStyle name="Percent 12 2 4" xfId="31309"/>
    <cellStyle name="Percent 12 3" xfId="31310"/>
    <cellStyle name="Percent 12 4" xfId="31311"/>
    <cellStyle name="Percent 12 5" xfId="31312"/>
    <cellStyle name="Percent 13" xfId="31313"/>
    <cellStyle name="Percent 13 2" xfId="31314"/>
    <cellStyle name="Percent 13 2 2" xfId="31315"/>
    <cellStyle name="Percent 13 2 3" xfId="31316"/>
    <cellStyle name="Percent 13 2 4" xfId="31317"/>
    <cellStyle name="Percent 13 3" xfId="31318"/>
    <cellStyle name="Percent 13 4" xfId="31319"/>
    <cellStyle name="Percent 13 5" xfId="31320"/>
    <cellStyle name="Percent 14" xfId="31321"/>
    <cellStyle name="Percent 14 10" xfId="31322"/>
    <cellStyle name="Percent 14 11" xfId="31323"/>
    <cellStyle name="Percent 14 12" xfId="31324"/>
    <cellStyle name="Percent 14 13" xfId="31325"/>
    <cellStyle name="Percent 14 14" xfId="31326"/>
    <cellStyle name="Percent 14 15" xfId="31327"/>
    <cellStyle name="Percent 14 16" xfId="31328"/>
    <cellStyle name="Percent 14 17" xfId="31329"/>
    <cellStyle name="Percent 14 18" xfId="31330"/>
    <cellStyle name="Percent 14 2" xfId="31331"/>
    <cellStyle name="Percent 14 2 2" xfId="31332"/>
    <cellStyle name="Percent 14 2 2 2" xfId="31333"/>
    <cellStyle name="Percent 14 2 3" xfId="31334"/>
    <cellStyle name="Percent 14 2 4" xfId="31335"/>
    <cellStyle name="Percent 14 2 5" xfId="31336"/>
    <cellStyle name="Percent 14 3" xfId="31337"/>
    <cellStyle name="Percent 14 3 2" xfId="31338"/>
    <cellStyle name="Percent 14 3 2 2" xfId="31339"/>
    <cellStyle name="Percent 14 3 3" xfId="31340"/>
    <cellStyle name="Percent 14 3 4" xfId="31341"/>
    <cellStyle name="Percent 14 3 5" xfId="31342"/>
    <cellStyle name="Percent 14 4" xfId="31343"/>
    <cellStyle name="Percent 14 4 2" xfId="31344"/>
    <cellStyle name="Percent 14 4 2 2" xfId="31345"/>
    <cellStyle name="Percent 14 4 3" xfId="31346"/>
    <cellStyle name="Percent 14 4 4" xfId="31347"/>
    <cellStyle name="Percent 14 4 5" xfId="31348"/>
    <cellStyle name="Percent 14 5" xfId="31349"/>
    <cellStyle name="Percent 14 5 2" xfId="31350"/>
    <cellStyle name="Percent 14 5 2 2" xfId="31351"/>
    <cellStyle name="Percent 14 5 3" xfId="31352"/>
    <cellStyle name="Percent 14 5 4" xfId="31353"/>
    <cellStyle name="Percent 14 5 5" xfId="31354"/>
    <cellStyle name="Percent 14 6" xfId="31355"/>
    <cellStyle name="Percent 14 6 2" xfId="31356"/>
    <cellStyle name="Percent 14 6 2 2" xfId="31357"/>
    <cellStyle name="Percent 14 6 3" xfId="31358"/>
    <cellStyle name="Percent 14 6 4" xfId="31359"/>
    <cellStyle name="Percent 14 6 5" xfId="31360"/>
    <cellStyle name="Percent 14 7" xfId="31361"/>
    <cellStyle name="Percent 14 7 2" xfId="31362"/>
    <cellStyle name="Percent 14 8" xfId="31363"/>
    <cellStyle name="Percent 14 8 2" xfId="31364"/>
    <cellStyle name="Percent 14 9" xfId="31365"/>
    <cellStyle name="Percent 14 9 2" xfId="31366"/>
    <cellStyle name="Percent 15" xfId="31367"/>
    <cellStyle name="Percent 15 2" xfId="31368"/>
    <cellStyle name="Percent 15 3" xfId="31369"/>
    <cellStyle name="Percent 15 4" xfId="31370"/>
    <cellStyle name="Percent 16" xfId="31371"/>
    <cellStyle name="Percent 16 2" xfId="31372"/>
    <cellStyle name="Percent 16 2 2" xfId="31373"/>
    <cellStyle name="Percent 16 2 3" xfId="31374"/>
    <cellStyle name="Percent 16 2 4" xfId="31375"/>
    <cellStyle name="Percent 16 3" xfId="31376"/>
    <cellStyle name="Percent 16 4" xfId="31377"/>
    <cellStyle name="Percent 16 5" xfId="31378"/>
    <cellStyle name="Percent 17" xfId="31379"/>
    <cellStyle name="Percent 17 2" xfId="31380"/>
    <cellStyle name="Percent 17 2 2" xfId="31381"/>
    <cellStyle name="Percent 17 2 3" xfId="31382"/>
    <cellStyle name="Percent 17 2 4" xfId="31383"/>
    <cellStyle name="Percent 17 3" xfId="31384"/>
    <cellStyle name="Percent 17 4" xfId="31385"/>
    <cellStyle name="Percent 17 5" xfId="31386"/>
    <cellStyle name="Percent 18" xfId="31387"/>
    <cellStyle name="Percent 18 2" xfId="31388"/>
    <cellStyle name="Percent 18 2 2" xfId="31389"/>
    <cellStyle name="Percent 18 2 3" xfId="31390"/>
    <cellStyle name="Percent 18 2 4" xfId="31391"/>
    <cellStyle name="Percent 18 3" xfId="31392"/>
    <cellStyle name="Percent 18 4" xfId="31393"/>
    <cellStyle name="Percent 18 5" xfId="31394"/>
    <cellStyle name="Percent 19" xfId="31395"/>
    <cellStyle name="Percent 19 2" xfId="31396"/>
    <cellStyle name="Percent 19 2 2" xfId="31397"/>
    <cellStyle name="Percent 19 2 3" xfId="31398"/>
    <cellStyle name="Percent 19 2 4" xfId="31399"/>
    <cellStyle name="Percent 19 3" xfId="31400"/>
    <cellStyle name="Percent 19 4" xfId="31401"/>
    <cellStyle name="Percent 19 5" xfId="31402"/>
    <cellStyle name="Percent 2" xfId="31403"/>
    <cellStyle name="Percent 2 10" xfId="31404"/>
    <cellStyle name="Percent 2 10 2" xfId="31405"/>
    <cellStyle name="Percent 2 11" xfId="31406"/>
    <cellStyle name="Percent 2 11 2" xfId="31407"/>
    <cellStyle name="Percent 2 12" xfId="31408"/>
    <cellStyle name="Percent 2 12 2" xfId="31409"/>
    <cellStyle name="Percent 2 13" xfId="31410"/>
    <cellStyle name="Percent 2 14" xfId="31411"/>
    <cellStyle name="Percent 2 15" xfId="31412"/>
    <cellStyle name="Percent 2 16" xfId="31413"/>
    <cellStyle name="Percent 2 17" xfId="31414"/>
    <cellStyle name="Percent 2 18" xfId="31415"/>
    <cellStyle name="Percent 2 19" xfId="31416"/>
    <cellStyle name="Percent 2 2" xfId="31417"/>
    <cellStyle name="Percent 2 2 2" xfId="31418"/>
    <cellStyle name="Percent 2 2 2 2" xfId="31419"/>
    <cellStyle name="Percent 2 2 2 2 2" xfId="31420"/>
    <cellStyle name="Percent 2 2 2 3" xfId="31421"/>
    <cellStyle name="Percent 2 2 2 4" xfId="31422"/>
    <cellStyle name="Percent 2 2 2 5" xfId="31423"/>
    <cellStyle name="Percent 2 2 3" xfId="31424"/>
    <cellStyle name="Percent 2 2 3 2" xfId="31425"/>
    <cellStyle name="Percent 2 2 3 2 2" xfId="31426"/>
    <cellStyle name="Percent 2 2 3 3" xfId="31427"/>
    <cellStyle name="Percent 2 2 3 4" xfId="31428"/>
    <cellStyle name="Percent 2 2 3 5" xfId="31429"/>
    <cellStyle name="Percent 2 2 4" xfId="31430"/>
    <cellStyle name="Percent 2 2 4 2" xfId="31431"/>
    <cellStyle name="Percent 2 2 4 3" xfId="31432"/>
    <cellStyle name="Percent 2 2 4 4" xfId="31433"/>
    <cellStyle name="Percent 2 2 5" xfId="31434"/>
    <cellStyle name="Percent 2 2 5 2" xfId="31435"/>
    <cellStyle name="Percent 2 2 6" xfId="31436"/>
    <cellStyle name="Percent 2 2 7" xfId="31437"/>
    <cellStyle name="Percent 2 2 8" xfId="31438"/>
    <cellStyle name="Percent 2 20" xfId="31439"/>
    <cellStyle name="Percent 2 21" xfId="31440"/>
    <cellStyle name="Percent 2 3" xfId="31441"/>
    <cellStyle name="Percent 2 3 2" xfId="31442"/>
    <cellStyle name="Percent 2 3 2 2" xfId="31443"/>
    <cellStyle name="Percent 2 3 2 2 2" xfId="31444"/>
    <cellStyle name="Percent 2 3 2 3" xfId="31445"/>
    <cellStyle name="Percent 2 3 2 4" xfId="31446"/>
    <cellStyle name="Percent 2 3 2 5" xfId="31447"/>
    <cellStyle name="Percent 2 3 3" xfId="31448"/>
    <cellStyle name="Percent 2 3 3 2" xfId="31449"/>
    <cellStyle name="Percent 2 3 3 2 2" xfId="31450"/>
    <cellStyle name="Percent 2 3 3 3" xfId="31451"/>
    <cellStyle name="Percent 2 3 3 4" xfId="31452"/>
    <cellStyle name="Percent 2 3 3 5" xfId="31453"/>
    <cellStyle name="Percent 2 3 4" xfId="31454"/>
    <cellStyle name="Percent 2 3 4 2" xfId="31455"/>
    <cellStyle name="Percent 2 3 5" xfId="31456"/>
    <cellStyle name="Percent 2 3 6" xfId="31457"/>
    <cellStyle name="Percent 2 3 7" xfId="31458"/>
    <cellStyle name="Percent 2 4" xfId="31459"/>
    <cellStyle name="Percent 2 4 2" xfId="31460"/>
    <cellStyle name="Percent 2 4 2 2" xfId="31461"/>
    <cellStyle name="Percent 2 4 3" xfId="31462"/>
    <cellStyle name="Percent 2 4 4" xfId="31463"/>
    <cellStyle name="Percent 2 4 5" xfId="31464"/>
    <cellStyle name="Percent 2 5" xfId="31465"/>
    <cellStyle name="Percent 2 5 2" xfId="31466"/>
    <cellStyle name="Percent 2 5 2 2" xfId="31467"/>
    <cellStyle name="Percent 2 5 3" xfId="31468"/>
    <cellStyle name="Percent 2 5 4" xfId="31469"/>
    <cellStyle name="Percent 2 5 5" xfId="31470"/>
    <cellStyle name="Percent 2 6" xfId="31471"/>
    <cellStyle name="Percent 2 6 2" xfId="31472"/>
    <cellStyle name="Percent 2 6 2 2" xfId="31473"/>
    <cellStyle name="Percent 2 6 3" xfId="31474"/>
    <cellStyle name="Percent 2 6 4" xfId="31475"/>
    <cellStyle name="Percent 2 6 5" xfId="31476"/>
    <cellStyle name="Percent 2 7" xfId="31477"/>
    <cellStyle name="Percent 2 7 2" xfId="31478"/>
    <cellStyle name="Percent 2 7 2 2" xfId="31479"/>
    <cellStyle name="Percent 2 7 3" xfId="31480"/>
    <cellStyle name="Percent 2 7 4" xfId="31481"/>
    <cellStyle name="Percent 2 7 5" xfId="31482"/>
    <cellStyle name="Percent 2 8" xfId="31483"/>
    <cellStyle name="Percent 2 8 2" xfId="31484"/>
    <cellStyle name="Percent 2 8 2 2" xfId="31485"/>
    <cellStyle name="Percent 2 8 3" xfId="31486"/>
    <cellStyle name="Percent 2 8 4" xfId="31487"/>
    <cellStyle name="Percent 2 8 5" xfId="31488"/>
    <cellStyle name="Percent 2 9" xfId="31489"/>
    <cellStyle name="Percent 2 9 2" xfId="31490"/>
    <cellStyle name="Percent 2 9 2 2" xfId="31491"/>
    <cellStyle name="Percent 2 9 3" xfId="31492"/>
    <cellStyle name="Percent 2 9 4" xfId="31493"/>
    <cellStyle name="Percent 2 9 5" xfId="31494"/>
    <cellStyle name="Percent 20" xfId="31495"/>
    <cellStyle name="Percent 20 2" xfId="31496"/>
    <cellStyle name="Percent 20 2 2" xfId="31497"/>
    <cellStyle name="Percent 20 2 3" xfId="31498"/>
    <cellStyle name="Percent 20 2 4" xfId="31499"/>
    <cellStyle name="Percent 20 3" xfId="31500"/>
    <cellStyle name="Percent 20 4" xfId="31501"/>
    <cellStyle name="Percent 20 5" xfId="31502"/>
    <cellStyle name="Percent 21" xfId="31503"/>
    <cellStyle name="Percent 21 2" xfId="31504"/>
    <cellStyle name="Percent 21 3" xfId="31505"/>
    <cellStyle name="Percent 21 4" xfId="31506"/>
    <cellStyle name="Percent 22" xfId="31507"/>
    <cellStyle name="Percent 22 2" xfId="31508"/>
    <cellStyle name="Percent 22 3" xfId="31509"/>
    <cellStyle name="Percent 22 4" xfId="31510"/>
    <cellStyle name="Percent 23" xfId="31511"/>
    <cellStyle name="Percent 23 2" xfId="31512"/>
    <cellStyle name="Percent 23 3" xfId="31513"/>
    <cellStyle name="Percent 23 4" xfId="31514"/>
    <cellStyle name="Percent 24" xfId="31515"/>
    <cellStyle name="Percent 24 2" xfId="31516"/>
    <cellStyle name="Percent 24 3" xfId="31517"/>
    <cellStyle name="Percent 24 4" xfId="31518"/>
    <cellStyle name="Percent 25" xfId="31519"/>
    <cellStyle name="Percent 25 2" xfId="31520"/>
    <cellStyle name="Percent 25 3" xfId="31521"/>
    <cellStyle name="Percent 25 4" xfId="31522"/>
    <cellStyle name="Percent 26" xfId="31523"/>
    <cellStyle name="Percent 26 2" xfId="31524"/>
    <cellStyle name="Percent 26 3" xfId="31525"/>
    <cellStyle name="Percent 26 4" xfId="31526"/>
    <cellStyle name="Percent 27" xfId="31527"/>
    <cellStyle name="Percent 27 2" xfId="31528"/>
    <cellStyle name="Percent 27 3" xfId="31529"/>
    <cellStyle name="Percent 27 4" xfId="31530"/>
    <cellStyle name="Percent 28" xfId="31531"/>
    <cellStyle name="Percent 28 2" xfId="31532"/>
    <cellStyle name="Percent 29" xfId="31533"/>
    <cellStyle name="Percent 29 2" xfId="31534"/>
    <cellStyle name="Percent 3" xfId="31535"/>
    <cellStyle name="Percent 3 10" xfId="31536"/>
    <cellStyle name="Percent 3 10 10" xfId="31537"/>
    <cellStyle name="Percent 3 10 11" xfId="31538"/>
    <cellStyle name="Percent 3 10 12" xfId="31539"/>
    <cellStyle name="Percent 3 10 13" xfId="31540"/>
    <cellStyle name="Percent 3 10 14" xfId="31541"/>
    <cellStyle name="Percent 3 10 15" xfId="31542"/>
    <cellStyle name="Percent 3 10 16" xfId="31543"/>
    <cellStyle name="Percent 3 10 17" xfId="31544"/>
    <cellStyle name="Percent 3 10 18" xfId="31545"/>
    <cellStyle name="Percent 3 10 2" xfId="31546"/>
    <cellStyle name="Percent 3 10 2 2" xfId="31547"/>
    <cellStyle name="Percent 3 10 2 2 2" xfId="31548"/>
    <cellStyle name="Percent 3 10 2 3" xfId="31549"/>
    <cellStyle name="Percent 3 10 2 4" xfId="31550"/>
    <cellStyle name="Percent 3 10 2 5" xfId="31551"/>
    <cellStyle name="Percent 3 10 3" xfId="31552"/>
    <cellStyle name="Percent 3 10 3 2" xfId="31553"/>
    <cellStyle name="Percent 3 10 3 2 2" xfId="31554"/>
    <cellStyle name="Percent 3 10 3 3" xfId="31555"/>
    <cellStyle name="Percent 3 10 3 4" xfId="31556"/>
    <cellStyle name="Percent 3 10 3 5" xfId="31557"/>
    <cellStyle name="Percent 3 10 4" xfId="31558"/>
    <cellStyle name="Percent 3 10 4 2" xfId="31559"/>
    <cellStyle name="Percent 3 10 4 2 2" xfId="31560"/>
    <cellStyle name="Percent 3 10 4 3" xfId="31561"/>
    <cellStyle name="Percent 3 10 4 4" xfId="31562"/>
    <cellStyle name="Percent 3 10 4 5" xfId="31563"/>
    <cellStyle name="Percent 3 10 5" xfId="31564"/>
    <cellStyle name="Percent 3 10 5 2" xfId="31565"/>
    <cellStyle name="Percent 3 10 5 2 2" xfId="31566"/>
    <cellStyle name="Percent 3 10 5 3" xfId="31567"/>
    <cellStyle name="Percent 3 10 5 4" xfId="31568"/>
    <cellStyle name="Percent 3 10 5 5" xfId="31569"/>
    <cellStyle name="Percent 3 10 6" xfId="31570"/>
    <cellStyle name="Percent 3 10 6 2" xfId="31571"/>
    <cellStyle name="Percent 3 10 6 2 2" xfId="31572"/>
    <cellStyle name="Percent 3 10 6 3" xfId="31573"/>
    <cellStyle name="Percent 3 10 6 4" xfId="31574"/>
    <cellStyle name="Percent 3 10 6 5" xfId="31575"/>
    <cellStyle name="Percent 3 10 7" xfId="31576"/>
    <cellStyle name="Percent 3 10 7 2" xfId="31577"/>
    <cellStyle name="Percent 3 10 8" xfId="31578"/>
    <cellStyle name="Percent 3 10 8 2" xfId="31579"/>
    <cellStyle name="Percent 3 10 9" xfId="31580"/>
    <cellStyle name="Percent 3 10 9 2" xfId="31581"/>
    <cellStyle name="Percent 3 11" xfId="31582"/>
    <cellStyle name="Percent 3 11 2" xfId="31583"/>
    <cellStyle name="Percent 3 11 2 2" xfId="31584"/>
    <cellStyle name="Percent 3 11 3" xfId="31585"/>
    <cellStyle name="Percent 3 11 4" xfId="31586"/>
    <cellStyle name="Percent 3 11 5" xfId="31587"/>
    <cellStyle name="Percent 3 12" xfId="31588"/>
    <cellStyle name="Percent 3 12 2" xfId="31589"/>
    <cellStyle name="Percent 3 12 2 2" xfId="31590"/>
    <cellStyle name="Percent 3 12 3" xfId="31591"/>
    <cellStyle name="Percent 3 12 4" xfId="31592"/>
    <cellStyle name="Percent 3 12 5" xfId="31593"/>
    <cellStyle name="Percent 3 13" xfId="31594"/>
    <cellStyle name="Percent 3 13 2" xfId="31595"/>
    <cellStyle name="Percent 3 13 2 2" xfId="31596"/>
    <cellStyle name="Percent 3 13 3" xfId="31597"/>
    <cellStyle name="Percent 3 13 4" xfId="31598"/>
    <cellStyle name="Percent 3 13 5" xfId="31599"/>
    <cellStyle name="Percent 3 14" xfId="31600"/>
    <cellStyle name="Percent 3 14 2" xfId="31601"/>
    <cellStyle name="Percent 3 14 2 2" xfId="31602"/>
    <cellStyle name="Percent 3 14 3" xfId="31603"/>
    <cellStyle name="Percent 3 14 4" xfId="31604"/>
    <cellStyle name="Percent 3 14 5" xfId="31605"/>
    <cellStyle name="Percent 3 15" xfId="31606"/>
    <cellStyle name="Percent 3 15 2" xfId="31607"/>
    <cellStyle name="Percent 3 15 2 2" xfId="31608"/>
    <cellStyle name="Percent 3 15 3" xfId="31609"/>
    <cellStyle name="Percent 3 15 4" xfId="31610"/>
    <cellStyle name="Percent 3 15 5" xfId="31611"/>
    <cellStyle name="Percent 3 16" xfId="31612"/>
    <cellStyle name="Percent 3 16 2" xfId="31613"/>
    <cellStyle name="Percent 3 17" xfId="31614"/>
    <cellStyle name="Percent 3 17 2" xfId="31615"/>
    <cellStyle name="Percent 3 18" xfId="31616"/>
    <cellStyle name="Percent 3 18 2" xfId="31617"/>
    <cellStyle name="Percent 3 19" xfId="31618"/>
    <cellStyle name="Percent 3 2" xfId="31619"/>
    <cellStyle name="Percent 3 2 10" xfId="31620"/>
    <cellStyle name="Percent 3 2 11" xfId="31621"/>
    <cellStyle name="Percent 3 2 12" xfId="31622"/>
    <cellStyle name="Percent 3 2 13" xfId="31623"/>
    <cellStyle name="Percent 3 2 14" xfId="31624"/>
    <cellStyle name="Percent 3 2 15" xfId="31625"/>
    <cellStyle name="Percent 3 2 16" xfId="31626"/>
    <cellStyle name="Percent 3 2 17" xfId="31627"/>
    <cellStyle name="Percent 3 2 18" xfId="31628"/>
    <cellStyle name="Percent 3 2 2" xfId="31629"/>
    <cellStyle name="Percent 3 2 2 2" xfId="31630"/>
    <cellStyle name="Percent 3 2 2 2 2" xfId="31631"/>
    <cellStyle name="Percent 3 2 2 3" xfId="31632"/>
    <cellStyle name="Percent 3 2 2 4" xfId="31633"/>
    <cellStyle name="Percent 3 2 2 5" xfId="31634"/>
    <cellStyle name="Percent 3 2 3" xfId="31635"/>
    <cellStyle name="Percent 3 2 3 2" xfId="31636"/>
    <cellStyle name="Percent 3 2 3 2 2" xfId="31637"/>
    <cellStyle name="Percent 3 2 3 3" xfId="31638"/>
    <cellStyle name="Percent 3 2 3 4" xfId="31639"/>
    <cellStyle name="Percent 3 2 3 5" xfId="31640"/>
    <cellStyle name="Percent 3 2 4" xfId="31641"/>
    <cellStyle name="Percent 3 2 4 2" xfId="31642"/>
    <cellStyle name="Percent 3 2 4 2 2" xfId="31643"/>
    <cellStyle name="Percent 3 2 4 3" xfId="31644"/>
    <cellStyle name="Percent 3 2 4 4" xfId="31645"/>
    <cellStyle name="Percent 3 2 4 5" xfId="31646"/>
    <cellStyle name="Percent 3 2 5" xfId="31647"/>
    <cellStyle name="Percent 3 2 5 2" xfId="31648"/>
    <cellStyle name="Percent 3 2 5 2 2" xfId="31649"/>
    <cellStyle name="Percent 3 2 5 3" xfId="31650"/>
    <cellStyle name="Percent 3 2 5 4" xfId="31651"/>
    <cellStyle name="Percent 3 2 5 5" xfId="31652"/>
    <cellStyle name="Percent 3 2 6" xfId="31653"/>
    <cellStyle name="Percent 3 2 6 2" xfId="31654"/>
    <cellStyle name="Percent 3 2 6 2 2" xfId="31655"/>
    <cellStyle name="Percent 3 2 6 3" xfId="31656"/>
    <cellStyle name="Percent 3 2 6 4" xfId="31657"/>
    <cellStyle name="Percent 3 2 6 5" xfId="31658"/>
    <cellStyle name="Percent 3 2 7" xfId="31659"/>
    <cellStyle name="Percent 3 2 7 2" xfId="31660"/>
    <cellStyle name="Percent 3 2 8" xfId="31661"/>
    <cellStyle name="Percent 3 2 8 2" xfId="31662"/>
    <cellStyle name="Percent 3 2 9" xfId="31663"/>
    <cellStyle name="Percent 3 2 9 2" xfId="31664"/>
    <cellStyle name="Percent 3 20" xfId="31665"/>
    <cellStyle name="Percent 3 21" xfId="31666"/>
    <cellStyle name="Percent 3 22" xfId="31667"/>
    <cellStyle name="Percent 3 23" xfId="31668"/>
    <cellStyle name="Percent 3 24" xfId="31669"/>
    <cellStyle name="Percent 3 25" xfId="31670"/>
    <cellStyle name="Percent 3 26" xfId="31671"/>
    <cellStyle name="Percent 3 27" xfId="31672"/>
    <cellStyle name="Percent 3 3" xfId="31673"/>
    <cellStyle name="Percent 3 3 10" xfId="31674"/>
    <cellStyle name="Percent 3 3 11" xfId="31675"/>
    <cellStyle name="Percent 3 3 12" xfId="31676"/>
    <cellStyle name="Percent 3 3 13" xfId="31677"/>
    <cellStyle name="Percent 3 3 14" xfId="31678"/>
    <cellStyle name="Percent 3 3 15" xfId="31679"/>
    <cellStyle name="Percent 3 3 16" xfId="31680"/>
    <cellStyle name="Percent 3 3 17" xfId="31681"/>
    <cellStyle name="Percent 3 3 18" xfId="31682"/>
    <cellStyle name="Percent 3 3 2" xfId="31683"/>
    <cellStyle name="Percent 3 3 2 2" xfId="31684"/>
    <cellStyle name="Percent 3 3 2 2 2" xfId="31685"/>
    <cellStyle name="Percent 3 3 2 3" xfId="31686"/>
    <cellStyle name="Percent 3 3 2 4" xfId="31687"/>
    <cellStyle name="Percent 3 3 2 5" xfId="31688"/>
    <cellStyle name="Percent 3 3 3" xfId="31689"/>
    <cellStyle name="Percent 3 3 3 2" xfId="31690"/>
    <cellStyle name="Percent 3 3 3 2 2" xfId="31691"/>
    <cellStyle name="Percent 3 3 3 3" xfId="31692"/>
    <cellStyle name="Percent 3 3 3 4" xfId="31693"/>
    <cellStyle name="Percent 3 3 3 5" xfId="31694"/>
    <cellStyle name="Percent 3 3 4" xfId="31695"/>
    <cellStyle name="Percent 3 3 4 2" xfId="31696"/>
    <cellStyle name="Percent 3 3 4 2 2" xfId="31697"/>
    <cellStyle name="Percent 3 3 4 3" xfId="31698"/>
    <cellStyle name="Percent 3 3 4 4" xfId="31699"/>
    <cellStyle name="Percent 3 3 4 5" xfId="31700"/>
    <cellStyle name="Percent 3 3 5" xfId="31701"/>
    <cellStyle name="Percent 3 3 5 2" xfId="31702"/>
    <cellStyle name="Percent 3 3 5 2 2" xfId="31703"/>
    <cellStyle name="Percent 3 3 5 3" xfId="31704"/>
    <cellStyle name="Percent 3 3 5 4" xfId="31705"/>
    <cellStyle name="Percent 3 3 5 5" xfId="31706"/>
    <cellStyle name="Percent 3 3 6" xfId="31707"/>
    <cellStyle name="Percent 3 3 6 2" xfId="31708"/>
    <cellStyle name="Percent 3 3 6 2 2" xfId="31709"/>
    <cellStyle name="Percent 3 3 6 3" xfId="31710"/>
    <cellStyle name="Percent 3 3 6 4" xfId="31711"/>
    <cellStyle name="Percent 3 3 6 5" xfId="31712"/>
    <cellStyle name="Percent 3 3 7" xfId="31713"/>
    <cellStyle name="Percent 3 3 7 2" xfId="31714"/>
    <cellStyle name="Percent 3 3 8" xfId="31715"/>
    <cellStyle name="Percent 3 3 8 2" xfId="31716"/>
    <cellStyle name="Percent 3 3 9" xfId="31717"/>
    <cellStyle name="Percent 3 3 9 2" xfId="31718"/>
    <cellStyle name="Percent 3 4" xfId="31719"/>
    <cellStyle name="Percent 3 4 10" xfId="31720"/>
    <cellStyle name="Percent 3 4 11" xfId="31721"/>
    <cellStyle name="Percent 3 4 12" xfId="31722"/>
    <cellStyle name="Percent 3 4 13" xfId="31723"/>
    <cellStyle name="Percent 3 4 14" xfId="31724"/>
    <cellStyle name="Percent 3 4 15" xfId="31725"/>
    <cellStyle name="Percent 3 4 16" xfId="31726"/>
    <cellStyle name="Percent 3 4 17" xfId="31727"/>
    <cellStyle name="Percent 3 4 18" xfId="31728"/>
    <cellStyle name="Percent 3 4 2" xfId="31729"/>
    <cellStyle name="Percent 3 4 2 2" xfId="31730"/>
    <cellStyle name="Percent 3 4 2 2 2" xfId="31731"/>
    <cellStyle name="Percent 3 4 2 3" xfId="31732"/>
    <cellStyle name="Percent 3 4 2 4" xfId="31733"/>
    <cellStyle name="Percent 3 4 2 5" xfId="31734"/>
    <cellStyle name="Percent 3 4 3" xfId="31735"/>
    <cellStyle name="Percent 3 4 3 2" xfId="31736"/>
    <cellStyle name="Percent 3 4 3 2 2" xfId="31737"/>
    <cellStyle name="Percent 3 4 3 3" xfId="31738"/>
    <cellStyle name="Percent 3 4 3 4" xfId="31739"/>
    <cellStyle name="Percent 3 4 3 5" xfId="31740"/>
    <cellStyle name="Percent 3 4 4" xfId="31741"/>
    <cellStyle name="Percent 3 4 4 2" xfId="31742"/>
    <cellStyle name="Percent 3 4 4 2 2" xfId="31743"/>
    <cellStyle name="Percent 3 4 4 3" xfId="31744"/>
    <cellStyle name="Percent 3 4 4 4" xfId="31745"/>
    <cellStyle name="Percent 3 4 4 5" xfId="31746"/>
    <cellStyle name="Percent 3 4 5" xfId="31747"/>
    <cellStyle name="Percent 3 4 5 2" xfId="31748"/>
    <cellStyle name="Percent 3 4 5 2 2" xfId="31749"/>
    <cellStyle name="Percent 3 4 5 3" xfId="31750"/>
    <cellStyle name="Percent 3 4 5 4" xfId="31751"/>
    <cellStyle name="Percent 3 4 5 5" xfId="31752"/>
    <cellStyle name="Percent 3 4 6" xfId="31753"/>
    <cellStyle name="Percent 3 4 6 2" xfId="31754"/>
    <cellStyle name="Percent 3 4 6 2 2" xfId="31755"/>
    <cellStyle name="Percent 3 4 6 3" xfId="31756"/>
    <cellStyle name="Percent 3 4 6 4" xfId="31757"/>
    <cellStyle name="Percent 3 4 6 5" xfId="31758"/>
    <cellStyle name="Percent 3 4 7" xfId="31759"/>
    <cellStyle name="Percent 3 4 7 2" xfId="31760"/>
    <cellStyle name="Percent 3 4 8" xfId="31761"/>
    <cellStyle name="Percent 3 4 8 2" xfId="31762"/>
    <cellStyle name="Percent 3 4 9" xfId="31763"/>
    <cellStyle name="Percent 3 4 9 2" xfId="31764"/>
    <cellStyle name="Percent 3 5" xfId="31765"/>
    <cellStyle name="Percent 3 5 10" xfId="31766"/>
    <cellStyle name="Percent 3 5 11" xfId="31767"/>
    <cellStyle name="Percent 3 5 12" xfId="31768"/>
    <cellStyle name="Percent 3 5 13" xfId="31769"/>
    <cellStyle name="Percent 3 5 14" xfId="31770"/>
    <cellStyle name="Percent 3 5 15" xfId="31771"/>
    <cellStyle name="Percent 3 5 16" xfId="31772"/>
    <cellStyle name="Percent 3 5 17" xfId="31773"/>
    <cellStyle name="Percent 3 5 18" xfId="31774"/>
    <cellStyle name="Percent 3 5 2" xfId="31775"/>
    <cellStyle name="Percent 3 5 2 2" xfId="31776"/>
    <cellStyle name="Percent 3 5 2 2 2" xfId="31777"/>
    <cellStyle name="Percent 3 5 2 3" xfId="31778"/>
    <cellStyle name="Percent 3 5 2 4" xfId="31779"/>
    <cellStyle name="Percent 3 5 2 5" xfId="31780"/>
    <cellStyle name="Percent 3 5 3" xfId="31781"/>
    <cellStyle name="Percent 3 5 3 2" xfId="31782"/>
    <cellStyle name="Percent 3 5 3 2 2" xfId="31783"/>
    <cellStyle name="Percent 3 5 3 3" xfId="31784"/>
    <cellStyle name="Percent 3 5 3 4" xfId="31785"/>
    <cellStyle name="Percent 3 5 3 5" xfId="31786"/>
    <cellStyle name="Percent 3 5 4" xfId="31787"/>
    <cellStyle name="Percent 3 5 4 2" xfId="31788"/>
    <cellStyle name="Percent 3 5 4 2 2" xfId="31789"/>
    <cellStyle name="Percent 3 5 4 3" xfId="31790"/>
    <cellStyle name="Percent 3 5 4 4" xfId="31791"/>
    <cellStyle name="Percent 3 5 4 5" xfId="31792"/>
    <cellStyle name="Percent 3 5 5" xfId="31793"/>
    <cellStyle name="Percent 3 5 5 2" xfId="31794"/>
    <cellStyle name="Percent 3 5 5 2 2" xfId="31795"/>
    <cellStyle name="Percent 3 5 5 3" xfId="31796"/>
    <cellStyle name="Percent 3 5 5 4" xfId="31797"/>
    <cellStyle name="Percent 3 5 5 5" xfId="31798"/>
    <cellStyle name="Percent 3 5 6" xfId="31799"/>
    <cellStyle name="Percent 3 5 6 2" xfId="31800"/>
    <cellStyle name="Percent 3 5 6 2 2" xfId="31801"/>
    <cellStyle name="Percent 3 5 6 3" xfId="31802"/>
    <cellStyle name="Percent 3 5 6 4" xfId="31803"/>
    <cellStyle name="Percent 3 5 6 5" xfId="31804"/>
    <cellStyle name="Percent 3 5 7" xfId="31805"/>
    <cellStyle name="Percent 3 5 7 2" xfId="31806"/>
    <cellStyle name="Percent 3 5 8" xfId="31807"/>
    <cellStyle name="Percent 3 5 8 2" xfId="31808"/>
    <cellStyle name="Percent 3 5 9" xfId="31809"/>
    <cellStyle name="Percent 3 5 9 2" xfId="31810"/>
    <cellStyle name="Percent 3 6" xfId="31811"/>
    <cellStyle name="Percent 3 6 10" xfId="31812"/>
    <cellStyle name="Percent 3 6 11" xfId="31813"/>
    <cellStyle name="Percent 3 6 12" xfId="31814"/>
    <cellStyle name="Percent 3 6 13" xfId="31815"/>
    <cellStyle name="Percent 3 6 14" xfId="31816"/>
    <cellStyle name="Percent 3 6 15" xfId="31817"/>
    <cellStyle name="Percent 3 6 16" xfId="31818"/>
    <cellStyle name="Percent 3 6 17" xfId="31819"/>
    <cellStyle name="Percent 3 6 18" xfId="31820"/>
    <cellStyle name="Percent 3 6 2" xfId="31821"/>
    <cellStyle name="Percent 3 6 2 2" xfId="31822"/>
    <cellStyle name="Percent 3 6 2 2 2" xfId="31823"/>
    <cellStyle name="Percent 3 6 2 3" xfId="31824"/>
    <cellStyle name="Percent 3 6 2 4" xfId="31825"/>
    <cellStyle name="Percent 3 6 2 5" xfId="31826"/>
    <cellStyle name="Percent 3 6 3" xfId="31827"/>
    <cellStyle name="Percent 3 6 3 2" xfId="31828"/>
    <cellStyle name="Percent 3 6 3 2 2" xfId="31829"/>
    <cellStyle name="Percent 3 6 3 3" xfId="31830"/>
    <cellStyle name="Percent 3 6 3 4" xfId="31831"/>
    <cellStyle name="Percent 3 6 3 5" xfId="31832"/>
    <cellStyle name="Percent 3 6 4" xfId="31833"/>
    <cellStyle name="Percent 3 6 4 2" xfId="31834"/>
    <cellStyle name="Percent 3 6 4 2 2" xfId="31835"/>
    <cellStyle name="Percent 3 6 4 3" xfId="31836"/>
    <cellStyle name="Percent 3 6 4 4" xfId="31837"/>
    <cellStyle name="Percent 3 6 4 5" xfId="31838"/>
    <cellStyle name="Percent 3 6 5" xfId="31839"/>
    <cellStyle name="Percent 3 6 5 2" xfId="31840"/>
    <cellStyle name="Percent 3 6 5 2 2" xfId="31841"/>
    <cellStyle name="Percent 3 6 5 3" xfId="31842"/>
    <cellStyle name="Percent 3 6 5 4" xfId="31843"/>
    <cellStyle name="Percent 3 6 5 5" xfId="31844"/>
    <cellStyle name="Percent 3 6 6" xfId="31845"/>
    <cellStyle name="Percent 3 6 6 2" xfId="31846"/>
    <cellStyle name="Percent 3 6 6 2 2" xfId="31847"/>
    <cellStyle name="Percent 3 6 6 3" xfId="31848"/>
    <cellStyle name="Percent 3 6 6 4" xfId="31849"/>
    <cellStyle name="Percent 3 6 6 5" xfId="31850"/>
    <cellStyle name="Percent 3 6 7" xfId="31851"/>
    <cellStyle name="Percent 3 6 7 2" xfId="31852"/>
    <cellStyle name="Percent 3 6 8" xfId="31853"/>
    <cellStyle name="Percent 3 6 8 2" xfId="31854"/>
    <cellStyle name="Percent 3 6 9" xfId="31855"/>
    <cellStyle name="Percent 3 6 9 2" xfId="31856"/>
    <cellStyle name="Percent 3 7" xfId="31857"/>
    <cellStyle name="Percent 3 7 10" xfId="31858"/>
    <cellStyle name="Percent 3 7 11" xfId="31859"/>
    <cellStyle name="Percent 3 7 12" xfId="31860"/>
    <cellStyle name="Percent 3 7 13" xfId="31861"/>
    <cellStyle name="Percent 3 7 14" xfId="31862"/>
    <cellStyle name="Percent 3 7 15" xfId="31863"/>
    <cellStyle name="Percent 3 7 16" xfId="31864"/>
    <cellStyle name="Percent 3 7 17" xfId="31865"/>
    <cellStyle name="Percent 3 7 18" xfId="31866"/>
    <cellStyle name="Percent 3 7 2" xfId="31867"/>
    <cellStyle name="Percent 3 7 2 2" xfId="31868"/>
    <cellStyle name="Percent 3 7 2 2 2" xfId="31869"/>
    <cellStyle name="Percent 3 7 2 3" xfId="31870"/>
    <cellStyle name="Percent 3 7 2 4" xfId="31871"/>
    <cellStyle name="Percent 3 7 2 5" xfId="31872"/>
    <cellStyle name="Percent 3 7 3" xfId="31873"/>
    <cellStyle name="Percent 3 7 3 2" xfId="31874"/>
    <cellStyle name="Percent 3 7 3 2 2" xfId="31875"/>
    <cellStyle name="Percent 3 7 3 3" xfId="31876"/>
    <cellStyle name="Percent 3 7 3 4" xfId="31877"/>
    <cellStyle name="Percent 3 7 3 5" xfId="31878"/>
    <cellStyle name="Percent 3 7 4" xfId="31879"/>
    <cellStyle name="Percent 3 7 4 2" xfId="31880"/>
    <cellStyle name="Percent 3 7 4 2 2" xfId="31881"/>
    <cellStyle name="Percent 3 7 4 3" xfId="31882"/>
    <cellStyle name="Percent 3 7 4 4" xfId="31883"/>
    <cellStyle name="Percent 3 7 4 5" xfId="31884"/>
    <cellStyle name="Percent 3 7 5" xfId="31885"/>
    <cellStyle name="Percent 3 7 5 2" xfId="31886"/>
    <cellStyle name="Percent 3 7 5 2 2" xfId="31887"/>
    <cellStyle name="Percent 3 7 5 3" xfId="31888"/>
    <cellStyle name="Percent 3 7 5 4" xfId="31889"/>
    <cellStyle name="Percent 3 7 5 5" xfId="31890"/>
    <cellStyle name="Percent 3 7 6" xfId="31891"/>
    <cellStyle name="Percent 3 7 6 2" xfId="31892"/>
    <cellStyle name="Percent 3 7 6 2 2" xfId="31893"/>
    <cellStyle name="Percent 3 7 6 3" xfId="31894"/>
    <cellStyle name="Percent 3 7 6 4" xfId="31895"/>
    <cellStyle name="Percent 3 7 6 5" xfId="31896"/>
    <cellStyle name="Percent 3 7 7" xfId="31897"/>
    <cellStyle name="Percent 3 7 7 2" xfId="31898"/>
    <cellStyle name="Percent 3 7 8" xfId="31899"/>
    <cellStyle name="Percent 3 7 8 2" xfId="31900"/>
    <cellStyle name="Percent 3 7 9" xfId="31901"/>
    <cellStyle name="Percent 3 7 9 2" xfId="31902"/>
    <cellStyle name="Percent 3 8" xfId="31903"/>
    <cellStyle name="Percent 3 8 10" xfId="31904"/>
    <cellStyle name="Percent 3 8 11" xfId="31905"/>
    <cellStyle name="Percent 3 8 12" xfId="31906"/>
    <cellStyle name="Percent 3 8 13" xfId="31907"/>
    <cellStyle name="Percent 3 8 14" xfId="31908"/>
    <cellStyle name="Percent 3 8 15" xfId="31909"/>
    <cellStyle name="Percent 3 8 16" xfId="31910"/>
    <cellStyle name="Percent 3 8 17" xfId="31911"/>
    <cellStyle name="Percent 3 8 18" xfId="31912"/>
    <cellStyle name="Percent 3 8 2" xfId="31913"/>
    <cellStyle name="Percent 3 8 2 2" xfId="31914"/>
    <cellStyle name="Percent 3 8 2 2 2" xfId="31915"/>
    <cellStyle name="Percent 3 8 2 3" xfId="31916"/>
    <cellStyle name="Percent 3 8 2 4" xfId="31917"/>
    <cellStyle name="Percent 3 8 2 5" xfId="31918"/>
    <cellStyle name="Percent 3 8 3" xfId="31919"/>
    <cellStyle name="Percent 3 8 3 2" xfId="31920"/>
    <cellStyle name="Percent 3 8 3 2 2" xfId="31921"/>
    <cellStyle name="Percent 3 8 3 3" xfId="31922"/>
    <cellStyle name="Percent 3 8 3 4" xfId="31923"/>
    <cellStyle name="Percent 3 8 3 5" xfId="31924"/>
    <cellStyle name="Percent 3 8 4" xfId="31925"/>
    <cellStyle name="Percent 3 8 4 2" xfId="31926"/>
    <cellStyle name="Percent 3 8 4 2 2" xfId="31927"/>
    <cellStyle name="Percent 3 8 4 3" xfId="31928"/>
    <cellStyle name="Percent 3 8 4 4" xfId="31929"/>
    <cellStyle name="Percent 3 8 4 5" xfId="31930"/>
    <cellStyle name="Percent 3 8 5" xfId="31931"/>
    <cellStyle name="Percent 3 8 5 2" xfId="31932"/>
    <cellStyle name="Percent 3 8 5 2 2" xfId="31933"/>
    <cellStyle name="Percent 3 8 5 3" xfId="31934"/>
    <cellStyle name="Percent 3 8 5 4" xfId="31935"/>
    <cellStyle name="Percent 3 8 5 5" xfId="31936"/>
    <cellStyle name="Percent 3 8 6" xfId="31937"/>
    <cellStyle name="Percent 3 8 6 2" xfId="31938"/>
    <cellStyle name="Percent 3 8 6 2 2" xfId="31939"/>
    <cellStyle name="Percent 3 8 6 3" xfId="31940"/>
    <cellStyle name="Percent 3 8 6 4" xfId="31941"/>
    <cellStyle name="Percent 3 8 6 5" xfId="31942"/>
    <cellStyle name="Percent 3 8 7" xfId="31943"/>
    <cellStyle name="Percent 3 8 7 2" xfId="31944"/>
    <cellStyle name="Percent 3 8 8" xfId="31945"/>
    <cellStyle name="Percent 3 8 8 2" xfId="31946"/>
    <cellStyle name="Percent 3 8 9" xfId="31947"/>
    <cellStyle name="Percent 3 8 9 2" xfId="31948"/>
    <cellStyle name="Percent 3 9" xfId="31949"/>
    <cellStyle name="Percent 3 9 10" xfId="31950"/>
    <cellStyle name="Percent 3 9 11" xfId="31951"/>
    <cellStyle name="Percent 3 9 12" xfId="31952"/>
    <cellStyle name="Percent 3 9 13" xfId="31953"/>
    <cellStyle name="Percent 3 9 14" xfId="31954"/>
    <cellStyle name="Percent 3 9 15" xfId="31955"/>
    <cellStyle name="Percent 3 9 16" xfId="31956"/>
    <cellStyle name="Percent 3 9 17" xfId="31957"/>
    <cellStyle name="Percent 3 9 18" xfId="31958"/>
    <cellStyle name="Percent 3 9 2" xfId="31959"/>
    <cellStyle name="Percent 3 9 2 2" xfId="31960"/>
    <cellStyle name="Percent 3 9 2 2 2" xfId="31961"/>
    <cellStyle name="Percent 3 9 2 3" xfId="31962"/>
    <cellStyle name="Percent 3 9 2 4" xfId="31963"/>
    <cellStyle name="Percent 3 9 2 5" xfId="31964"/>
    <cellStyle name="Percent 3 9 3" xfId="31965"/>
    <cellStyle name="Percent 3 9 3 2" xfId="31966"/>
    <cellStyle name="Percent 3 9 3 2 2" xfId="31967"/>
    <cellStyle name="Percent 3 9 3 3" xfId="31968"/>
    <cellStyle name="Percent 3 9 3 4" xfId="31969"/>
    <cellStyle name="Percent 3 9 3 5" xfId="31970"/>
    <cellStyle name="Percent 3 9 4" xfId="31971"/>
    <cellStyle name="Percent 3 9 4 2" xfId="31972"/>
    <cellStyle name="Percent 3 9 4 2 2" xfId="31973"/>
    <cellStyle name="Percent 3 9 4 3" xfId="31974"/>
    <cellStyle name="Percent 3 9 4 4" xfId="31975"/>
    <cellStyle name="Percent 3 9 4 5" xfId="31976"/>
    <cellStyle name="Percent 3 9 5" xfId="31977"/>
    <cellStyle name="Percent 3 9 5 2" xfId="31978"/>
    <cellStyle name="Percent 3 9 5 2 2" xfId="31979"/>
    <cellStyle name="Percent 3 9 5 3" xfId="31980"/>
    <cellStyle name="Percent 3 9 5 4" xfId="31981"/>
    <cellStyle name="Percent 3 9 5 5" xfId="31982"/>
    <cellStyle name="Percent 3 9 6" xfId="31983"/>
    <cellStyle name="Percent 3 9 6 2" xfId="31984"/>
    <cellStyle name="Percent 3 9 6 2 2" xfId="31985"/>
    <cellStyle name="Percent 3 9 6 3" xfId="31986"/>
    <cellStyle name="Percent 3 9 6 4" xfId="31987"/>
    <cellStyle name="Percent 3 9 6 5" xfId="31988"/>
    <cellStyle name="Percent 3 9 7" xfId="31989"/>
    <cellStyle name="Percent 3 9 7 2" xfId="31990"/>
    <cellStyle name="Percent 3 9 8" xfId="31991"/>
    <cellStyle name="Percent 3 9 8 2" xfId="31992"/>
    <cellStyle name="Percent 3 9 9" xfId="31993"/>
    <cellStyle name="Percent 3 9 9 2" xfId="31994"/>
    <cellStyle name="Percent 30" xfId="31995"/>
    <cellStyle name="Percent 30 2" xfId="31996"/>
    <cellStyle name="Percent 31" xfId="31997"/>
    <cellStyle name="Percent 31 2" xfId="31998"/>
    <cellStyle name="Percent 32" xfId="31999"/>
    <cellStyle name="Percent 32 2" xfId="32000"/>
    <cellStyle name="Percent 33" xfId="32001"/>
    <cellStyle name="Percent 33 2" xfId="32002"/>
    <cellStyle name="Percent 34" xfId="32003"/>
    <cellStyle name="Percent 34 2" xfId="32004"/>
    <cellStyle name="Percent 35" xfId="32005"/>
    <cellStyle name="Percent 35 2" xfId="32006"/>
    <cellStyle name="Percent 36" xfId="32007"/>
    <cellStyle name="Percent 36 2" xfId="32008"/>
    <cellStyle name="Percent 37" xfId="32009"/>
    <cellStyle name="Percent 37 2" xfId="32010"/>
    <cellStyle name="Percent 38" xfId="32011"/>
    <cellStyle name="Percent 38 2" xfId="32012"/>
    <cellStyle name="Percent 39" xfId="32013"/>
    <cellStyle name="Percent 39 2" xfId="32014"/>
    <cellStyle name="Percent 4" xfId="32015"/>
    <cellStyle name="Percent 4 10" xfId="32016"/>
    <cellStyle name="Percent 4 10 2" xfId="32017"/>
    <cellStyle name="Percent 4 10 2 2" xfId="32018"/>
    <cellStyle name="Percent 4 10 3" xfId="32019"/>
    <cellStyle name="Percent 4 10 4" xfId="32020"/>
    <cellStyle name="Percent 4 10 5" xfId="32021"/>
    <cellStyle name="Percent 4 11" xfId="32022"/>
    <cellStyle name="Percent 4 11 2" xfId="32023"/>
    <cellStyle name="Percent 4 11 2 2" xfId="32024"/>
    <cellStyle name="Percent 4 11 3" xfId="32025"/>
    <cellStyle name="Percent 4 11 4" xfId="32026"/>
    <cellStyle name="Percent 4 11 5" xfId="32027"/>
    <cellStyle name="Percent 4 12" xfId="32028"/>
    <cellStyle name="Percent 4 12 10" xfId="32029"/>
    <cellStyle name="Percent 4 12 11" xfId="32030"/>
    <cellStyle name="Percent 4 12 12" xfId="32031"/>
    <cellStyle name="Percent 4 12 13" xfId="32032"/>
    <cellStyle name="Percent 4 12 2" xfId="32033"/>
    <cellStyle name="Percent 4 12 2 10" xfId="32034"/>
    <cellStyle name="Percent 4 12 2 11" xfId="32035"/>
    <cellStyle name="Percent 4 12 2 2" xfId="32036"/>
    <cellStyle name="Percent 4 12 2 3" xfId="32037"/>
    <cellStyle name="Percent 4 12 2 4" xfId="32038"/>
    <cellStyle name="Percent 4 12 2 5" xfId="32039"/>
    <cellStyle name="Percent 4 12 2 6" xfId="32040"/>
    <cellStyle name="Percent 4 12 2 7" xfId="32041"/>
    <cellStyle name="Percent 4 12 2 8" xfId="32042"/>
    <cellStyle name="Percent 4 12 2 9" xfId="32043"/>
    <cellStyle name="Percent 4 12 3" xfId="32044"/>
    <cellStyle name="Percent 4 12 3 10" xfId="32045"/>
    <cellStyle name="Percent 4 12 3 11" xfId="32046"/>
    <cellStyle name="Percent 4 12 3 2" xfId="32047"/>
    <cellStyle name="Percent 4 12 3 3" xfId="32048"/>
    <cellStyle name="Percent 4 12 3 4" xfId="32049"/>
    <cellStyle name="Percent 4 12 3 5" xfId="32050"/>
    <cellStyle name="Percent 4 12 3 6" xfId="32051"/>
    <cellStyle name="Percent 4 12 3 7" xfId="32052"/>
    <cellStyle name="Percent 4 12 3 8" xfId="32053"/>
    <cellStyle name="Percent 4 12 3 9" xfId="32054"/>
    <cellStyle name="Percent 4 12 4" xfId="32055"/>
    <cellStyle name="Percent 4 12 4 2" xfId="32056"/>
    <cellStyle name="Percent 4 12 5" xfId="32057"/>
    <cellStyle name="Percent 4 12 5 2" xfId="32058"/>
    <cellStyle name="Percent 4 12 6" xfId="32059"/>
    <cellStyle name="Percent 4 12 6 2" xfId="32060"/>
    <cellStyle name="Percent 4 12 6 3" xfId="32061"/>
    <cellStyle name="Percent 4 12 7" xfId="32062"/>
    <cellStyle name="Percent 4 12 7 2" xfId="32063"/>
    <cellStyle name="Percent 4 12 7 3" xfId="32064"/>
    <cellStyle name="Percent 4 12 8" xfId="32065"/>
    <cellStyle name="Percent 4 12 9" xfId="32066"/>
    <cellStyle name="Percent 4 13" xfId="32067"/>
    <cellStyle name="Percent 4 13 10" xfId="32068"/>
    <cellStyle name="Percent 4 13 11" xfId="32069"/>
    <cellStyle name="Percent 4 13 12" xfId="32070"/>
    <cellStyle name="Percent 4 13 13" xfId="32071"/>
    <cellStyle name="Percent 4 13 2" xfId="32072"/>
    <cellStyle name="Percent 4 13 2 10" xfId="32073"/>
    <cellStyle name="Percent 4 13 2 11" xfId="32074"/>
    <cellStyle name="Percent 4 13 2 2" xfId="32075"/>
    <cellStyle name="Percent 4 13 2 3" xfId="32076"/>
    <cellStyle name="Percent 4 13 2 4" xfId="32077"/>
    <cellStyle name="Percent 4 13 2 5" xfId="32078"/>
    <cellStyle name="Percent 4 13 2 6" xfId="32079"/>
    <cellStyle name="Percent 4 13 2 7" xfId="32080"/>
    <cellStyle name="Percent 4 13 2 8" xfId="32081"/>
    <cellStyle name="Percent 4 13 2 9" xfId="32082"/>
    <cellStyle name="Percent 4 13 3" xfId="32083"/>
    <cellStyle name="Percent 4 13 3 10" xfId="32084"/>
    <cellStyle name="Percent 4 13 3 11" xfId="32085"/>
    <cellStyle name="Percent 4 13 3 2" xfId="32086"/>
    <cellStyle name="Percent 4 13 3 3" xfId="32087"/>
    <cellStyle name="Percent 4 13 3 4" xfId="32088"/>
    <cellStyle name="Percent 4 13 3 5" xfId="32089"/>
    <cellStyle name="Percent 4 13 3 6" xfId="32090"/>
    <cellStyle name="Percent 4 13 3 7" xfId="32091"/>
    <cellStyle name="Percent 4 13 3 8" xfId="32092"/>
    <cellStyle name="Percent 4 13 3 9" xfId="32093"/>
    <cellStyle name="Percent 4 13 4" xfId="32094"/>
    <cellStyle name="Percent 4 13 4 2" xfId="32095"/>
    <cellStyle name="Percent 4 13 5" xfId="32096"/>
    <cellStyle name="Percent 4 13 5 2" xfId="32097"/>
    <cellStyle name="Percent 4 13 5 3" xfId="32098"/>
    <cellStyle name="Percent 4 13 6" xfId="32099"/>
    <cellStyle name="Percent 4 13 6 2" xfId="32100"/>
    <cellStyle name="Percent 4 13 6 3" xfId="32101"/>
    <cellStyle name="Percent 4 13 7" xfId="32102"/>
    <cellStyle name="Percent 4 13 8" xfId="32103"/>
    <cellStyle name="Percent 4 13 9" xfId="32104"/>
    <cellStyle name="Percent 4 14" xfId="32105"/>
    <cellStyle name="Percent 4 14 10" xfId="32106"/>
    <cellStyle name="Percent 4 14 11" xfId="32107"/>
    <cellStyle name="Percent 4 14 12" xfId="32108"/>
    <cellStyle name="Percent 4 14 13" xfId="32109"/>
    <cellStyle name="Percent 4 14 2" xfId="32110"/>
    <cellStyle name="Percent 4 14 2 10" xfId="32111"/>
    <cellStyle name="Percent 4 14 2 11" xfId="32112"/>
    <cellStyle name="Percent 4 14 2 2" xfId="32113"/>
    <cellStyle name="Percent 4 14 2 3" xfId="32114"/>
    <cellStyle name="Percent 4 14 2 4" xfId="32115"/>
    <cellStyle name="Percent 4 14 2 5" xfId="32116"/>
    <cellStyle name="Percent 4 14 2 6" xfId="32117"/>
    <cellStyle name="Percent 4 14 2 7" xfId="32118"/>
    <cellStyle name="Percent 4 14 2 8" xfId="32119"/>
    <cellStyle name="Percent 4 14 2 9" xfId="32120"/>
    <cellStyle name="Percent 4 14 3" xfId="32121"/>
    <cellStyle name="Percent 4 14 3 10" xfId="32122"/>
    <cellStyle name="Percent 4 14 3 11" xfId="32123"/>
    <cellStyle name="Percent 4 14 3 2" xfId="32124"/>
    <cellStyle name="Percent 4 14 3 3" xfId="32125"/>
    <cellStyle name="Percent 4 14 3 4" xfId="32126"/>
    <cellStyle name="Percent 4 14 3 5" xfId="32127"/>
    <cellStyle name="Percent 4 14 3 6" xfId="32128"/>
    <cellStyle name="Percent 4 14 3 7" xfId="32129"/>
    <cellStyle name="Percent 4 14 3 8" xfId="32130"/>
    <cellStyle name="Percent 4 14 3 9" xfId="32131"/>
    <cellStyle name="Percent 4 14 4" xfId="32132"/>
    <cellStyle name="Percent 4 14 4 2" xfId="32133"/>
    <cellStyle name="Percent 4 14 5" xfId="32134"/>
    <cellStyle name="Percent 4 14 5 2" xfId="32135"/>
    <cellStyle name="Percent 4 14 5 3" xfId="32136"/>
    <cellStyle name="Percent 4 14 6" xfId="32137"/>
    <cellStyle name="Percent 4 14 6 2" xfId="32138"/>
    <cellStyle name="Percent 4 14 6 3" xfId="32139"/>
    <cellStyle name="Percent 4 14 7" xfId="32140"/>
    <cellStyle name="Percent 4 14 8" xfId="32141"/>
    <cellStyle name="Percent 4 14 9" xfId="32142"/>
    <cellStyle name="Percent 4 15" xfId="32143"/>
    <cellStyle name="Percent 4 15 10" xfId="32144"/>
    <cellStyle name="Percent 4 15 11" xfId="32145"/>
    <cellStyle name="Percent 4 15 12" xfId="32146"/>
    <cellStyle name="Percent 4 15 13" xfId="32147"/>
    <cellStyle name="Percent 4 15 2" xfId="32148"/>
    <cellStyle name="Percent 4 15 2 10" xfId="32149"/>
    <cellStyle name="Percent 4 15 2 11" xfId="32150"/>
    <cellStyle name="Percent 4 15 2 2" xfId="32151"/>
    <cellStyle name="Percent 4 15 2 3" xfId="32152"/>
    <cellStyle name="Percent 4 15 2 4" xfId="32153"/>
    <cellStyle name="Percent 4 15 2 5" xfId="32154"/>
    <cellStyle name="Percent 4 15 2 6" xfId="32155"/>
    <cellStyle name="Percent 4 15 2 7" xfId="32156"/>
    <cellStyle name="Percent 4 15 2 8" xfId="32157"/>
    <cellStyle name="Percent 4 15 2 9" xfId="32158"/>
    <cellStyle name="Percent 4 15 3" xfId="32159"/>
    <cellStyle name="Percent 4 15 3 10" xfId="32160"/>
    <cellStyle name="Percent 4 15 3 11" xfId="32161"/>
    <cellStyle name="Percent 4 15 3 2" xfId="32162"/>
    <cellStyle name="Percent 4 15 3 3" xfId="32163"/>
    <cellStyle name="Percent 4 15 3 4" xfId="32164"/>
    <cellStyle name="Percent 4 15 3 5" xfId="32165"/>
    <cellStyle name="Percent 4 15 3 6" xfId="32166"/>
    <cellStyle name="Percent 4 15 3 7" xfId="32167"/>
    <cellStyle name="Percent 4 15 3 8" xfId="32168"/>
    <cellStyle name="Percent 4 15 3 9" xfId="32169"/>
    <cellStyle name="Percent 4 15 4" xfId="32170"/>
    <cellStyle name="Percent 4 15 4 2" xfId="32171"/>
    <cellStyle name="Percent 4 15 5" xfId="32172"/>
    <cellStyle name="Percent 4 15 5 2" xfId="32173"/>
    <cellStyle name="Percent 4 15 5 3" xfId="32174"/>
    <cellStyle name="Percent 4 15 6" xfId="32175"/>
    <cellStyle name="Percent 4 15 6 2" xfId="32176"/>
    <cellStyle name="Percent 4 15 6 3" xfId="32177"/>
    <cellStyle name="Percent 4 15 7" xfId="32178"/>
    <cellStyle name="Percent 4 15 8" xfId="32179"/>
    <cellStyle name="Percent 4 15 9" xfId="32180"/>
    <cellStyle name="Percent 4 16" xfId="32181"/>
    <cellStyle name="Percent 4 16 10" xfId="32182"/>
    <cellStyle name="Percent 4 16 11" xfId="32183"/>
    <cellStyle name="Percent 4 16 12" xfId="32184"/>
    <cellStyle name="Percent 4 16 13" xfId="32185"/>
    <cellStyle name="Percent 4 16 2" xfId="32186"/>
    <cellStyle name="Percent 4 16 2 10" xfId="32187"/>
    <cellStyle name="Percent 4 16 2 11" xfId="32188"/>
    <cellStyle name="Percent 4 16 2 2" xfId="32189"/>
    <cellStyle name="Percent 4 16 2 3" xfId="32190"/>
    <cellStyle name="Percent 4 16 2 4" xfId="32191"/>
    <cellStyle name="Percent 4 16 2 5" xfId="32192"/>
    <cellStyle name="Percent 4 16 2 6" xfId="32193"/>
    <cellStyle name="Percent 4 16 2 7" xfId="32194"/>
    <cellStyle name="Percent 4 16 2 8" xfId="32195"/>
    <cellStyle name="Percent 4 16 2 9" xfId="32196"/>
    <cellStyle name="Percent 4 16 3" xfId="32197"/>
    <cellStyle name="Percent 4 16 3 10" xfId="32198"/>
    <cellStyle name="Percent 4 16 3 11" xfId="32199"/>
    <cellStyle name="Percent 4 16 3 2" xfId="32200"/>
    <cellStyle name="Percent 4 16 3 3" xfId="32201"/>
    <cellStyle name="Percent 4 16 3 4" xfId="32202"/>
    <cellStyle name="Percent 4 16 3 5" xfId="32203"/>
    <cellStyle name="Percent 4 16 3 6" xfId="32204"/>
    <cellStyle name="Percent 4 16 3 7" xfId="32205"/>
    <cellStyle name="Percent 4 16 3 8" xfId="32206"/>
    <cellStyle name="Percent 4 16 3 9" xfId="32207"/>
    <cellStyle name="Percent 4 16 4" xfId="32208"/>
    <cellStyle name="Percent 4 16 4 2" xfId="32209"/>
    <cellStyle name="Percent 4 16 5" xfId="32210"/>
    <cellStyle name="Percent 4 16 5 2" xfId="32211"/>
    <cellStyle name="Percent 4 16 5 3" xfId="32212"/>
    <cellStyle name="Percent 4 16 6" xfId="32213"/>
    <cellStyle name="Percent 4 16 6 2" xfId="32214"/>
    <cellStyle name="Percent 4 16 6 3" xfId="32215"/>
    <cellStyle name="Percent 4 16 7" xfId="32216"/>
    <cellStyle name="Percent 4 16 8" xfId="32217"/>
    <cellStyle name="Percent 4 16 9" xfId="32218"/>
    <cellStyle name="Percent 4 17" xfId="32219"/>
    <cellStyle name="Percent 4 17 10" xfId="32220"/>
    <cellStyle name="Percent 4 17 11" xfId="32221"/>
    <cellStyle name="Percent 4 17 12" xfId="32222"/>
    <cellStyle name="Percent 4 17 13" xfId="32223"/>
    <cellStyle name="Percent 4 17 2" xfId="32224"/>
    <cellStyle name="Percent 4 17 2 10" xfId="32225"/>
    <cellStyle name="Percent 4 17 2 11" xfId="32226"/>
    <cellStyle name="Percent 4 17 2 2" xfId="32227"/>
    <cellStyle name="Percent 4 17 2 3" xfId="32228"/>
    <cellStyle name="Percent 4 17 2 4" xfId="32229"/>
    <cellStyle name="Percent 4 17 2 5" xfId="32230"/>
    <cellStyle name="Percent 4 17 2 6" xfId="32231"/>
    <cellStyle name="Percent 4 17 2 7" xfId="32232"/>
    <cellStyle name="Percent 4 17 2 8" xfId="32233"/>
    <cellStyle name="Percent 4 17 2 9" xfId="32234"/>
    <cellStyle name="Percent 4 17 3" xfId="32235"/>
    <cellStyle name="Percent 4 17 3 10" xfId="32236"/>
    <cellStyle name="Percent 4 17 3 11" xfId="32237"/>
    <cellStyle name="Percent 4 17 3 2" xfId="32238"/>
    <cellStyle name="Percent 4 17 3 3" xfId="32239"/>
    <cellStyle name="Percent 4 17 3 4" xfId="32240"/>
    <cellStyle name="Percent 4 17 3 5" xfId="32241"/>
    <cellStyle name="Percent 4 17 3 6" xfId="32242"/>
    <cellStyle name="Percent 4 17 3 7" xfId="32243"/>
    <cellStyle name="Percent 4 17 3 8" xfId="32244"/>
    <cellStyle name="Percent 4 17 3 9" xfId="32245"/>
    <cellStyle name="Percent 4 17 4" xfId="32246"/>
    <cellStyle name="Percent 4 17 4 2" xfId="32247"/>
    <cellStyle name="Percent 4 17 5" xfId="32248"/>
    <cellStyle name="Percent 4 17 5 2" xfId="32249"/>
    <cellStyle name="Percent 4 17 5 3" xfId="32250"/>
    <cellStyle name="Percent 4 17 6" xfId="32251"/>
    <cellStyle name="Percent 4 17 6 2" xfId="32252"/>
    <cellStyle name="Percent 4 17 6 3" xfId="32253"/>
    <cellStyle name="Percent 4 17 7" xfId="32254"/>
    <cellStyle name="Percent 4 17 8" xfId="32255"/>
    <cellStyle name="Percent 4 17 9" xfId="32256"/>
    <cellStyle name="Percent 4 18" xfId="32257"/>
    <cellStyle name="Percent 4 18 2" xfId="32258"/>
    <cellStyle name="Percent 4 18 2 2" xfId="32259"/>
    <cellStyle name="Percent 4 18 3" xfId="32260"/>
    <cellStyle name="Percent 4 18 4" xfId="32261"/>
    <cellStyle name="Percent 4 18 5" xfId="32262"/>
    <cellStyle name="Percent 4 19" xfId="32263"/>
    <cellStyle name="Percent 4 19 10" xfId="32264"/>
    <cellStyle name="Percent 4 19 11" xfId="32265"/>
    <cellStyle name="Percent 4 19 12" xfId="32266"/>
    <cellStyle name="Percent 4 19 13" xfId="32267"/>
    <cellStyle name="Percent 4 19 2" xfId="32268"/>
    <cellStyle name="Percent 4 19 2 10" xfId="32269"/>
    <cellStyle name="Percent 4 19 2 11" xfId="32270"/>
    <cellStyle name="Percent 4 19 2 2" xfId="32271"/>
    <cellStyle name="Percent 4 19 2 3" xfId="32272"/>
    <cellStyle name="Percent 4 19 2 4" xfId="32273"/>
    <cellStyle name="Percent 4 19 2 5" xfId="32274"/>
    <cellStyle name="Percent 4 19 2 6" xfId="32275"/>
    <cellStyle name="Percent 4 19 2 7" xfId="32276"/>
    <cellStyle name="Percent 4 19 2 8" xfId="32277"/>
    <cellStyle name="Percent 4 19 2 9" xfId="32278"/>
    <cellStyle name="Percent 4 19 3" xfId="32279"/>
    <cellStyle name="Percent 4 19 3 10" xfId="32280"/>
    <cellStyle name="Percent 4 19 3 11" xfId="32281"/>
    <cellStyle name="Percent 4 19 3 2" xfId="32282"/>
    <cellStyle name="Percent 4 19 3 3" xfId="32283"/>
    <cellStyle name="Percent 4 19 3 4" xfId="32284"/>
    <cellStyle name="Percent 4 19 3 5" xfId="32285"/>
    <cellStyle name="Percent 4 19 3 6" xfId="32286"/>
    <cellStyle name="Percent 4 19 3 7" xfId="32287"/>
    <cellStyle name="Percent 4 19 3 8" xfId="32288"/>
    <cellStyle name="Percent 4 19 3 9" xfId="32289"/>
    <cellStyle name="Percent 4 19 4" xfId="32290"/>
    <cellStyle name="Percent 4 19 4 2" xfId="32291"/>
    <cellStyle name="Percent 4 19 5" xfId="32292"/>
    <cellStyle name="Percent 4 19 5 2" xfId="32293"/>
    <cellStyle name="Percent 4 19 5 3" xfId="32294"/>
    <cellStyle name="Percent 4 19 6" xfId="32295"/>
    <cellStyle name="Percent 4 19 6 2" xfId="32296"/>
    <cellStyle name="Percent 4 19 6 3" xfId="32297"/>
    <cellStyle name="Percent 4 19 7" xfId="32298"/>
    <cellStyle name="Percent 4 19 8" xfId="32299"/>
    <cellStyle name="Percent 4 19 9" xfId="32300"/>
    <cellStyle name="Percent 4 2" xfId="32301"/>
    <cellStyle name="Percent 4 2 10" xfId="32302"/>
    <cellStyle name="Percent 4 2 10 2" xfId="32303"/>
    <cellStyle name="Percent 4 2 11" xfId="32304"/>
    <cellStyle name="Percent 4 2 11 2" xfId="32305"/>
    <cellStyle name="Percent 4 2 12" xfId="32306"/>
    <cellStyle name="Percent 4 2 12 2" xfId="32307"/>
    <cellStyle name="Percent 4 2 13" xfId="32308"/>
    <cellStyle name="Percent 4 2 14" xfId="32309"/>
    <cellStyle name="Percent 4 2 15" xfId="32310"/>
    <cellStyle name="Percent 4 2 16" xfId="32311"/>
    <cellStyle name="Percent 4 2 17" xfId="32312"/>
    <cellStyle name="Percent 4 2 18" xfId="32313"/>
    <cellStyle name="Percent 4 2 19" xfId="32314"/>
    <cellStyle name="Percent 4 2 2" xfId="32315"/>
    <cellStyle name="Percent 4 2 2 10" xfId="32316"/>
    <cellStyle name="Percent 4 2 2 10 2" xfId="32317"/>
    <cellStyle name="Percent 4 2 2 10 2 2" xfId="32318"/>
    <cellStyle name="Percent 4 2 2 10 2 3" xfId="32319"/>
    <cellStyle name="Percent 4 2 2 10 3" xfId="32320"/>
    <cellStyle name="Percent 4 2 2 10 3 2" xfId="32321"/>
    <cellStyle name="Percent 4 2 2 10 3 3" xfId="32322"/>
    <cellStyle name="Percent 4 2 2 10 4" xfId="32323"/>
    <cellStyle name="Percent 4 2 2 10 5" xfId="32324"/>
    <cellStyle name="Percent 4 2 2 10 6" xfId="32325"/>
    <cellStyle name="Percent 4 2 2 10 7" xfId="32326"/>
    <cellStyle name="Percent 4 2 2 11" xfId="32327"/>
    <cellStyle name="Percent 4 2 2 11 2" xfId="32328"/>
    <cellStyle name="Percent 4 2 2 12" xfId="32329"/>
    <cellStyle name="Percent 4 2 2 12 2" xfId="32330"/>
    <cellStyle name="Percent 4 2 2 12 3" xfId="32331"/>
    <cellStyle name="Percent 4 2 2 13" xfId="32332"/>
    <cellStyle name="Percent 4 2 2 13 2" xfId="32333"/>
    <cellStyle name="Percent 4 2 2 13 3" xfId="32334"/>
    <cellStyle name="Percent 4 2 2 14" xfId="32335"/>
    <cellStyle name="Percent 4 2 2 15" xfId="32336"/>
    <cellStyle name="Percent 4 2 2 16" xfId="32337"/>
    <cellStyle name="Percent 4 2 2 17" xfId="32338"/>
    <cellStyle name="Percent 4 2 2 18" xfId="32339"/>
    <cellStyle name="Percent 4 2 2 2" xfId="32340"/>
    <cellStyle name="Percent 4 2 2 2 10" xfId="32341"/>
    <cellStyle name="Percent 4 2 2 2 10 2" xfId="32342"/>
    <cellStyle name="Percent 4 2 2 2 10 3" xfId="32343"/>
    <cellStyle name="Percent 4 2 2 2 11" xfId="32344"/>
    <cellStyle name="Percent 4 2 2 2 12" xfId="32345"/>
    <cellStyle name="Percent 4 2 2 2 13" xfId="32346"/>
    <cellStyle name="Percent 4 2 2 2 14" xfId="32347"/>
    <cellStyle name="Percent 4 2 2 2 2" xfId="32348"/>
    <cellStyle name="Percent 4 2 2 2 2 10" xfId="32349"/>
    <cellStyle name="Percent 4 2 2 2 2 11" xfId="32350"/>
    <cellStyle name="Percent 4 2 2 2 2 12" xfId="32351"/>
    <cellStyle name="Percent 4 2 2 2 2 2" xfId="32352"/>
    <cellStyle name="Percent 4 2 2 2 2 2 2" xfId="32353"/>
    <cellStyle name="Percent 4 2 2 2 2 2 2 2" xfId="32354"/>
    <cellStyle name="Percent 4 2 2 2 2 2 2 2 2" xfId="32355"/>
    <cellStyle name="Percent 4 2 2 2 2 2 2 2 2 2" xfId="32356"/>
    <cellStyle name="Percent 4 2 2 2 2 2 2 2 2 3" xfId="32357"/>
    <cellStyle name="Percent 4 2 2 2 2 2 2 2 3" xfId="32358"/>
    <cellStyle name="Percent 4 2 2 2 2 2 2 2 3 2" xfId="32359"/>
    <cellStyle name="Percent 4 2 2 2 2 2 2 2 3 3" xfId="32360"/>
    <cellStyle name="Percent 4 2 2 2 2 2 2 2 4" xfId="32361"/>
    <cellStyle name="Percent 4 2 2 2 2 2 2 2 5" xfId="32362"/>
    <cellStyle name="Percent 4 2 2 2 2 2 2 2 6" xfId="32363"/>
    <cellStyle name="Percent 4 2 2 2 2 2 2 2 7" xfId="32364"/>
    <cellStyle name="Percent 4 2 2 2 2 2 2 3" xfId="32365"/>
    <cellStyle name="Percent 4 2 2 2 2 2 2 3 2" xfId="32366"/>
    <cellStyle name="Percent 4 2 2 2 2 2 2 3 3" xfId="32367"/>
    <cellStyle name="Percent 4 2 2 2 2 2 2 4" xfId="32368"/>
    <cellStyle name="Percent 4 2 2 2 2 2 2 4 2" xfId="32369"/>
    <cellStyle name="Percent 4 2 2 2 2 2 2 4 3" xfId="32370"/>
    <cellStyle name="Percent 4 2 2 2 2 2 2 5" xfId="32371"/>
    <cellStyle name="Percent 4 2 2 2 2 2 2 6" xfId="32372"/>
    <cellStyle name="Percent 4 2 2 2 2 2 2 7" xfId="32373"/>
    <cellStyle name="Percent 4 2 2 2 2 2 2 8" xfId="32374"/>
    <cellStyle name="Percent 4 2 2 2 2 2 3" xfId="32375"/>
    <cellStyle name="Percent 4 2 2 2 2 2 3 2" xfId="32376"/>
    <cellStyle name="Percent 4 2 2 2 2 2 3 2 2" xfId="32377"/>
    <cellStyle name="Percent 4 2 2 2 2 2 3 2 3" xfId="32378"/>
    <cellStyle name="Percent 4 2 2 2 2 2 3 3" xfId="32379"/>
    <cellStyle name="Percent 4 2 2 2 2 2 3 3 2" xfId="32380"/>
    <cellStyle name="Percent 4 2 2 2 2 2 3 3 3" xfId="32381"/>
    <cellStyle name="Percent 4 2 2 2 2 2 3 4" xfId="32382"/>
    <cellStyle name="Percent 4 2 2 2 2 2 3 5" xfId="32383"/>
    <cellStyle name="Percent 4 2 2 2 2 2 3 6" xfId="32384"/>
    <cellStyle name="Percent 4 2 2 2 2 2 3 7" xfId="32385"/>
    <cellStyle name="Percent 4 2 2 2 2 2 4" xfId="32386"/>
    <cellStyle name="Percent 4 2 2 2 2 2 4 2" xfId="32387"/>
    <cellStyle name="Percent 4 2 2 2 2 2 4 3" xfId="32388"/>
    <cellStyle name="Percent 4 2 2 2 2 2 5" xfId="32389"/>
    <cellStyle name="Percent 4 2 2 2 2 2 5 2" xfId="32390"/>
    <cellStyle name="Percent 4 2 2 2 2 2 5 3" xfId="32391"/>
    <cellStyle name="Percent 4 2 2 2 2 2 6" xfId="32392"/>
    <cellStyle name="Percent 4 2 2 2 2 2 7" xfId="32393"/>
    <cellStyle name="Percent 4 2 2 2 2 2 8" xfId="32394"/>
    <cellStyle name="Percent 4 2 2 2 2 2 9" xfId="32395"/>
    <cellStyle name="Percent 4 2 2 2 2 3" xfId="32396"/>
    <cellStyle name="Percent 4 2 2 2 2 3 2" xfId="32397"/>
    <cellStyle name="Percent 4 2 2 2 2 3 2 2" xfId="32398"/>
    <cellStyle name="Percent 4 2 2 2 2 3 2 2 2" xfId="32399"/>
    <cellStyle name="Percent 4 2 2 2 2 3 2 2 3" xfId="32400"/>
    <cellStyle name="Percent 4 2 2 2 2 3 2 3" xfId="32401"/>
    <cellStyle name="Percent 4 2 2 2 2 3 2 3 2" xfId="32402"/>
    <cellStyle name="Percent 4 2 2 2 2 3 2 3 3" xfId="32403"/>
    <cellStyle name="Percent 4 2 2 2 2 3 2 4" xfId="32404"/>
    <cellStyle name="Percent 4 2 2 2 2 3 2 5" xfId="32405"/>
    <cellStyle name="Percent 4 2 2 2 2 3 2 6" xfId="32406"/>
    <cellStyle name="Percent 4 2 2 2 2 3 2 7" xfId="32407"/>
    <cellStyle name="Percent 4 2 2 2 2 3 3" xfId="32408"/>
    <cellStyle name="Percent 4 2 2 2 2 3 3 2" xfId="32409"/>
    <cellStyle name="Percent 4 2 2 2 2 3 3 3" xfId="32410"/>
    <cellStyle name="Percent 4 2 2 2 2 3 4" xfId="32411"/>
    <cellStyle name="Percent 4 2 2 2 2 3 4 2" xfId="32412"/>
    <cellStyle name="Percent 4 2 2 2 2 3 4 3" xfId="32413"/>
    <cellStyle name="Percent 4 2 2 2 2 3 5" xfId="32414"/>
    <cellStyle name="Percent 4 2 2 2 2 3 6" xfId="32415"/>
    <cellStyle name="Percent 4 2 2 2 2 3 7" xfId="32416"/>
    <cellStyle name="Percent 4 2 2 2 2 3 8" xfId="32417"/>
    <cellStyle name="Percent 4 2 2 2 2 4" xfId="32418"/>
    <cellStyle name="Percent 4 2 2 2 2 4 2" xfId="32419"/>
    <cellStyle name="Percent 4 2 2 2 2 4 2 2" xfId="32420"/>
    <cellStyle name="Percent 4 2 2 2 2 4 2 2 2" xfId="32421"/>
    <cellStyle name="Percent 4 2 2 2 2 4 2 2 3" xfId="32422"/>
    <cellStyle name="Percent 4 2 2 2 2 4 2 3" xfId="32423"/>
    <cellStyle name="Percent 4 2 2 2 2 4 2 3 2" xfId="32424"/>
    <cellStyle name="Percent 4 2 2 2 2 4 2 3 3" xfId="32425"/>
    <cellStyle name="Percent 4 2 2 2 2 4 2 4" xfId="32426"/>
    <cellStyle name="Percent 4 2 2 2 2 4 2 5" xfId="32427"/>
    <cellStyle name="Percent 4 2 2 2 2 4 2 6" xfId="32428"/>
    <cellStyle name="Percent 4 2 2 2 2 4 2 7" xfId="32429"/>
    <cellStyle name="Percent 4 2 2 2 2 4 3" xfId="32430"/>
    <cellStyle name="Percent 4 2 2 2 2 4 3 2" xfId="32431"/>
    <cellStyle name="Percent 4 2 2 2 2 4 3 3" xfId="32432"/>
    <cellStyle name="Percent 4 2 2 2 2 4 4" xfId="32433"/>
    <cellStyle name="Percent 4 2 2 2 2 4 4 2" xfId="32434"/>
    <cellStyle name="Percent 4 2 2 2 2 4 4 3" xfId="32435"/>
    <cellStyle name="Percent 4 2 2 2 2 4 5" xfId="32436"/>
    <cellStyle name="Percent 4 2 2 2 2 4 6" xfId="32437"/>
    <cellStyle name="Percent 4 2 2 2 2 4 7" xfId="32438"/>
    <cellStyle name="Percent 4 2 2 2 2 4 8" xfId="32439"/>
    <cellStyle name="Percent 4 2 2 2 2 5" xfId="32440"/>
    <cellStyle name="Percent 4 2 2 2 2 5 2" xfId="32441"/>
    <cellStyle name="Percent 4 2 2 2 2 5 2 2" xfId="32442"/>
    <cellStyle name="Percent 4 2 2 2 2 5 2 3" xfId="32443"/>
    <cellStyle name="Percent 4 2 2 2 2 5 3" xfId="32444"/>
    <cellStyle name="Percent 4 2 2 2 2 5 3 2" xfId="32445"/>
    <cellStyle name="Percent 4 2 2 2 2 5 3 3" xfId="32446"/>
    <cellStyle name="Percent 4 2 2 2 2 5 4" xfId="32447"/>
    <cellStyle name="Percent 4 2 2 2 2 5 5" xfId="32448"/>
    <cellStyle name="Percent 4 2 2 2 2 5 6" xfId="32449"/>
    <cellStyle name="Percent 4 2 2 2 2 5 7" xfId="32450"/>
    <cellStyle name="Percent 4 2 2 2 2 6" xfId="32451"/>
    <cellStyle name="Percent 4 2 2 2 2 6 2" xfId="32452"/>
    <cellStyle name="Percent 4 2 2 2 2 7" xfId="32453"/>
    <cellStyle name="Percent 4 2 2 2 2 7 2" xfId="32454"/>
    <cellStyle name="Percent 4 2 2 2 2 7 3" xfId="32455"/>
    <cellStyle name="Percent 4 2 2 2 2 8" xfId="32456"/>
    <cellStyle name="Percent 4 2 2 2 2 8 2" xfId="32457"/>
    <cellStyle name="Percent 4 2 2 2 2 8 3" xfId="32458"/>
    <cellStyle name="Percent 4 2 2 2 2 9" xfId="32459"/>
    <cellStyle name="Percent 4 2 2 2 3" xfId="32460"/>
    <cellStyle name="Percent 4 2 2 2 3 10" xfId="32461"/>
    <cellStyle name="Percent 4 2 2 2 3 11" xfId="32462"/>
    <cellStyle name="Percent 4 2 2 2 3 12" xfId="32463"/>
    <cellStyle name="Percent 4 2 2 2 3 2" xfId="32464"/>
    <cellStyle name="Percent 4 2 2 2 3 2 2" xfId="32465"/>
    <cellStyle name="Percent 4 2 2 2 3 2 2 2" xfId="32466"/>
    <cellStyle name="Percent 4 2 2 2 3 2 2 2 2" xfId="32467"/>
    <cellStyle name="Percent 4 2 2 2 3 2 2 2 2 2" xfId="32468"/>
    <cellStyle name="Percent 4 2 2 2 3 2 2 2 2 3" xfId="32469"/>
    <cellStyle name="Percent 4 2 2 2 3 2 2 2 3" xfId="32470"/>
    <cellStyle name="Percent 4 2 2 2 3 2 2 2 3 2" xfId="32471"/>
    <cellStyle name="Percent 4 2 2 2 3 2 2 2 3 3" xfId="32472"/>
    <cellStyle name="Percent 4 2 2 2 3 2 2 2 4" xfId="32473"/>
    <cellStyle name="Percent 4 2 2 2 3 2 2 2 5" xfId="32474"/>
    <cellStyle name="Percent 4 2 2 2 3 2 2 2 6" xfId="32475"/>
    <cellStyle name="Percent 4 2 2 2 3 2 2 2 7" xfId="32476"/>
    <cellStyle name="Percent 4 2 2 2 3 2 2 3" xfId="32477"/>
    <cellStyle name="Percent 4 2 2 2 3 2 2 3 2" xfId="32478"/>
    <cellStyle name="Percent 4 2 2 2 3 2 2 3 3" xfId="32479"/>
    <cellStyle name="Percent 4 2 2 2 3 2 2 4" xfId="32480"/>
    <cellStyle name="Percent 4 2 2 2 3 2 2 4 2" xfId="32481"/>
    <cellStyle name="Percent 4 2 2 2 3 2 2 4 3" xfId="32482"/>
    <cellStyle name="Percent 4 2 2 2 3 2 2 5" xfId="32483"/>
    <cellStyle name="Percent 4 2 2 2 3 2 2 6" xfId="32484"/>
    <cellStyle name="Percent 4 2 2 2 3 2 2 7" xfId="32485"/>
    <cellStyle name="Percent 4 2 2 2 3 2 2 8" xfId="32486"/>
    <cellStyle name="Percent 4 2 2 2 3 2 3" xfId="32487"/>
    <cellStyle name="Percent 4 2 2 2 3 2 3 2" xfId="32488"/>
    <cellStyle name="Percent 4 2 2 2 3 2 3 2 2" xfId="32489"/>
    <cellStyle name="Percent 4 2 2 2 3 2 3 2 3" xfId="32490"/>
    <cellStyle name="Percent 4 2 2 2 3 2 3 3" xfId="32491"/>
    <cellStyle name="Percent 4 2 2 2 3 2 3 3 2" xfId="32492"/>
    <cellStyle name="Percent 4 2 2 2 3 2 3 3 3" xfId="32493"/>
    <cellStyle name="Percent 4 2 2 2 3 2 3 4" xfId="32494"/>
    <cellStyle name="Percent 4 2 2 2 3 2 3 5" xfId="32495"/>
    <cellStyle name="Percent 4 2 2 2 3 2 3 6" xfId="32496"/>
    <cellStyle name="Percent 4 2 2 2 3 2 3 7" xfId="32497"/>
    <cellStyle name="Percent 4 2 2 2 3 2 4" xfId="32498"/>
    <cellStyle name="Percent 4 2 2 2 3 2 4 2" xfId="32499"/>
    <cellStyle name="Percent 4 2 2 2 3 2 4 3" xfId="32500"/>
    <cellStyle name="Percent 4 2 2 2 3 2 5" xfId="32501"/>
    <cellStyle name="Percent 4 2 2 2 3 2 5 2" xfId="32502"/>
    <cellStyle name="Percent 4 2 2 2 3 2 5 3" xfId="32503"/>
    <cellStyle name="Percent 4 2 2 2 3 2 6" xfId="32504"/>
    <cellStyle name="Percent 4 2 2 2 3 2 7" xfId="32505"/>
    <cellStyle name="Percent 4 2 2 2 3 2 8" xfId="32506"/>
    <cellStyle name="Percent 4 2 2 2 3 2 9" xfId="32507"/>
    <cellStyle name="Percent 4 2 2 2 3 3" xfId="32508"/>
    <cellStyle name="Percent 4 2 2 2 3 3 2" xfId="32509"/>
    <cellStyle name="Percent 4 2 2 2 3 3 2 2" xfId="32510"/>
    <cellStyle name="Percent 4 2 2 2 3 3 2 2 2" xfId="32511"/>
    <cellStyle name="Percent 4 2 2 2 3 3 2 2 3" xfId="32512"/>
    <cellStyle name="Percent 4 2 2 2 3 3 2 3" xfId="32513"/>
    <cellStyle name="Percent 4 2 2 2 3 3 2 3 2" xfId="32514"/>
    <cellStyle name="Percent 4 2 2 2 3 3 2 3 3" xfId="32515"/>
    <cellStyle name="Percent 4 2 2 2 3 3 2 4" xfId="32516"/>
    <cellStyle name="Percent 4 2 2 2 3 3 2 5" xfId="32517"/>
    <cellStyle name="Percent 4 2 2 2 3 3 2 6" xfId="32518"/>
    <cellStyle name="Percent 4 2 2 2 3 3 2 7" xfId="32519"/>
    <cellStyle name="Percent 4 2 2 2 3 3 3" xfId="32520"/>
    <cellStyle name="Percent 4 2 2 2 3 3 3 2" xfId="32521"/>
    <cellStyle name="Percent 4 2 2 2 3 3 3 3" xfId="32522"/>
    <cellStyle name="Percent 4 2 2 2 3 3 4" xfId="32523"/>
    <cellStyle name="Percent 4 2 2 2 3 3 4 2" xfId="32524"/>
    <cellStyle name="Percent 4 2 2 2 3 3 4 3" xfId="32525"/>
    <cellStyle name="Percent 4 2 2 2 3 3 5" xfId="32526"/>
    <cellStyle name="Percent 4 2 2 2 3 3 6" xfId="32527"/>
    <cellStyle name="Percent 4 2 2 2 3 3 7" xfId="32528"/>
    <cellStyle name="Percent 4 2 2 2 3 3 8" xfId="32529"/>
    <cellStyle name="Percent 4 2 2 2 3 4" xfId="32530"/>
    <cellStyle name="Percent 4 2 2 2 3 4 2" xfId="32531"/>
    <cellStyle name="Percent 4 2 2 2 3 4 2 2" xfId="32532"/>
    <cellStyle name="Percent 4 2 2 2 3 4 2 2 2" xfId="32533"/>
    <cellStyle name="Percent 4 2 2 2 3 4 2 2 3" xfId="32534"/>
    <cellStyle name="Percent 4 2 2 2 3 4 2 3" xfId="32535"/>
    <cellStyle name="Percent 4 2 2 2 3 4 2 3 2" xfId="32536"/>
    <cellStyle name="Percent 4 2 2 2 3 4 2 3 3" xfId="32537"/>
    <cellStyle name="Percent 4 2 2 2 3 4 2 4" xfId="32538"/>
    <cellStyle name="Percent 4 2 2 2 3 4 2 5" xfId="32539"/>
    <cellStyle name="Percent 4 2 2 2 3 4 2 6" xfId="32540"/>
    <cellStyle name="Percent 4 2 2 2 3 4 2 7" xfId="32541"/>
    <cellStyle name="Percent 4 2 2 2 3 4 3" xfId="32542"/>
    <cellStyle name="Percent 4 2 2 2 3 4 3 2" xfId="32543"/>
    <cellStyle name="Percent 4 2 2 2 3 4 3 3" xfId="32544"/>
    <cellStyle name="Percent 4 2 2 2 3 4 4" xfId="32545"/>
    <cellStyle name="Percent 4 2 2 2 3 4 4 2" xfId="32546"/>
    <cellStyle name="Percent 4 2 2 2 3 4 4 3" xfId="32547"/>
    <cellStyle name="Percent 4 2 2 2 3 4 5" xfId="32548"/>
    <cellStyle name="Percent 4 2 2 2 3 4 6" xfId="32549"/>
    <cellStyle name="Percent 4 2 2 2 3 4 7" xfId="32550"/>
    <cellStyle name="Percent 4 2 2 2 3 4 8" xfId="32551"/>
    <cellStyle name="Percent 4 2 2 2 3 5" xfId="32552"/>
    <cellStyle name="Percent 4 2 2 2 3 5 2" xfId="32553"/>
    <cellStyle name="Percent 4 2 2 2 3 5 2 2" xfId="32554"/>
    <cellStyle name="Percent 4 2 2 2 3 5 2 3" xfId="32555"/>
    <cellStyle name="Percent 4 2 2 2 3 5 3" xfId="32556"/>
    <cellStyle name="Percent 4 2 2 2 3 5 3 2" xfId="32557"/>
    <cellStyle name="Percent 4 2 2 2 3 5 3 3" xfId="32558"/>
    <cellStyle name="Percent 4 2 2 2 3 5 4" xfId="32559"/>
    <cellStyle name="Percent 4 2 2 2 3 5 5" xfId="32560"/>
    <cellStyle name="Percent 4 2 2 2 3 5 6" xfId="32561"/>
    <cellStyle name="Percent 4 2 2 2 3 5 7" xfId="32562"/>
    <cellStyle name="Percent 4 2 2 2 3 6" xfId="32563"/>
    <cellStyle name="Percent 4 2 2 2 3 6 2" xfId="32564"/>
    <cellStyle name="Percent 4 2 2 2 3 7" xfId="32565"/>
    <cellStyle name="Percent 4 2 2 2 3 7 2" xfId="32566"/>
    <cellStyle name="Percent 4 2 2 2 3 7 3" xfId="32567"/>
    <cellStyle name="Percent 4 2 2 2 3 8" xfId="32568"/>
    <cellStyle name="Percent 4 2 2 2 3 8 2" xfId="32569"/>
    <cellStyle name="Percent 4 2 2 2 3 8 3" xfId="32570"/>
    <cellStyle name="Percent 4 2 2 2 3 9" xfId="32571"/>
    <cellStyle name="Percent 4 2 2 2 4" xfId="32572"/>
    <cellStyle name="Percent 4 2 2 2 4 2" xfId="32573"/>
    <cellStyle name="Percent 4 2 2 2 4 2 2" xfId="32574"/>
    <cellStyle name="Percent 4 2 2 2 4 2 2 2" xfId="32575"/>
    <cellStyle name="Percent 4 2 2 2 4 2 2 2 2" xfId="32576"/>
    <cellStyle name="Percent 4 2 2 2 4 2 2 2 3" xfId="32577"/>
    <cellStyle name="Percent 4 2 2 2 4 2 2 3" xfId="32578"/>
    <cellStyle name="Percent 4 2 2 2 4 2 2 3 2" xfId="32579"/>
    <cellStyle name="Percent 4 2 2 2 4 2 2 3 3" xfId="32580"/>
    <cellStyle name="Percent 4 2 2 2 4 2 2 4" xfId="32581"/>
    <cellStyle name="Percent 4 2 2 2 4 2 2 5" xfId="32582"/>
    <cellStyle name="Percent 4 2 2 2 4 2 2 6" xfId="32583"/>
    <cellStyle name="Percent 4 2 2 2 4 2 2 7" xfId="32584"/>
    <cellStyle name="Percent 4 2 2 2 4 2 3" xfId="32585"/>
    <cellStyle name="Percent 4 2 2 2 4 2 3 2" xfId="32586"/>
    <cellStyle name="Percent 4 2 2 2 4 2 3 3" xfId="32587"/>
    <cellStyle name="Percent 4 2 2 2 4 2 4" xfId="32588"/>
    <cellStyle name="Percent 4 2 2 2 4 2 4 2" xfId="32589"/>
    <cellStyle name="Percent 4 2 2 2 4 2 4 3" xfId="32590"/>
    <cellStyle name="Percent 4 2 2 2 4 2 5" xfId="32591"/>
    <cellStyle name="Percent 4 2 2 2 4 2 6" xfId="32592"/>
    <cellStyle name="Percent 4 2 2 2 4 2 7" xfId="32593"/>
    <cellStyle name="Percent 4 2 2 2 4 2 8" xfId="32594"/>
    <cellStyle name="Percent 4 2 2 2 4 3" xfId="32595"/>
    <cellStyle name="Percent 4 2 2 2 4 3 2" xfId="32596"/>
    <cellStyle name="Percent 4 2 2 2 4 3 2 2" xfId="32597"/>
    <cellStyle name="Percent 4 2 2 2 4 3 2 3" xfId="32598"/>
    <cellStyle name="Percent 4 2 2 2 4 3 3" xfId="32599"/>
    <cellStyle name="Percent 4 2 2 2 4 3 3 2" xfId="32600"/>
    <cellStyle name="Percent 4 2 2 2 4 3 3 3" xfId="32601"/>
    <cellStyle name="Percent 4 2 2 2 4 3 4" xfId="32602"/>
    <cellStyle name="Percent 4 2 2 2 4 3 5" xfId="32603"/>
    <cellStyle name="Percent 4 2 2 2 4 3 6" xfId="32604"/>
    <cellStyle name="Percent 4 2 2 2 4 3 7" xfId="32605"/>
    <cellStyle name="Percent 4 2 2 2 4 4" xfId="32606"/>
    <cellStyle name="Percent 4 2 2 2 4 4 2" xfId="32607"/>
    <cellStyle name="Percent 4 2 2 2 4 4 3" xfId="32608"/>
    <cellStyle name="Percent 4 2 2 2 4 5" xfId="32609"/>
    <cellStyle name="Percent 4 2 2 2 4 5 2" xfId="32610"/>
    <cellStyle name="Percent 4 2 2 2 4 5 3" xfId="32611"/>
    <cellStyle name="Percent 4 2 2 2 4 6" xfId="32612"/>
    <cellStyle name="Percent 4 2 2 2 4 7" xfId="32613"/>
    <cellStyle name="Percent 4 2 2 2 4 8" xfId="32614"/>
    <cellStyle name="Percent 4 2 2 2 4 9" xfId="32615"/>
    <cellStyle name="Percent 4 2 2 2 5" xfId="32616"/>
    <cellStyle name="Percent 4 2 2 2 5 2" xfId="32617"/>
    <cellStyle name="Percent 4 2 2 2 5 2 2" xfId="32618"/>
    <cellStyle name="Percent 4 2 2 2 5 2 2 2" xfId="32619"/>
    <cellStyle name="Percent 4 2 2 2 5 2 2 3" xfId="32620"/>
    <cellStyle name="Percent 4 2 2 2 5 2 3" xfId="32621"/>
    <cellStyle name="Percent 4 2 2 2 5 2 3 2" xfId="32622"/>
    <cellStyle name="Percent 4 2 2 2 5 2 3 3" xfId="32623"/>
    <cellStyle name="Percent 4 2 2 2 5 2 4" xfId="32624"/>
    <cellStyle name="Percent 4 2 2 2 5 2 5" xfId="32625"/>
    <cellStyle name="Percent 4 2 2 2 5 2 6" xfId="32626"/>
    <cellStyle name="Percent 4 2 2 2 5 2 7" xfId="32627"/>
    <cellStyle name="Percent 4 2 2 2 5 3" xfId="32628"/>
    <cellStyle name="Percent 4 2 2 2 5 3 2" xfId="32629"/>
    <cellStyle name="Percent 4 2 2 2 5 3 3" xfId="32630"/>
    <cellStyle name="Percent 4 2 2 2 5 4" xfId="32631"/>
    <cellStyle name="Percent 4 2 2 2 5 4 2" xfId="32632"/>
    <cellStyle name="Percent 4 2 2 2 5 4 3" xfId="32633"/>
    <cellStyle name="Percent 4 2 2 2 5 5" xfId="32634"/>
    <cellStyle name="Percent 4 2 2 2 5 6" xfId="32635"/>
    <cellStyle name="Percent 4 2 2 2 5 7" xfId="32636"/>
    <cellStyle name="Percent 4 2 2 2 5 8" xfId="32637"/>
    <cellStyle name="Percent 4 2 2 2 6" xfId="32638"/>
    <cellStyle name="Percent 4 2 2 2 6 2" xfId="32639"/>
    <cellStyle name="Percent 4 2 2 2 6 2 2" xfId="32640"/>
    <cellStyle name="Percent 4 2 2 2 6 2 2 2" xfId="32641"/>
    <cellStyle name="Percent 4 2 2 2 6 2 2 3" xfId="32642"/>
    <cellStyle name="Percent 4 2 2 2 6 2 3" xfId="32643"/>
    <cellStyle name="Percent 4 2 2 2 6 2 3 2" xfId="32644"/>
    <cellStyle name="Percent 4 2 2 2 6 2 3 3" xfId="32645"/>
    <cellStyle name="Percent 4 2 2 2 6 2 4" xfId="32646"/>
    <cellStyle name="Percent 4 2 2 2 6 2 5" xfId="32647"/>
    <cellStyle name="Percent 4 2 2 2 6 2 6" xfId="32648"/>
    <cellStyle name="Percent 4 2 2 2 6 2 7" xfId="32649"/>
    <cellStyle name="Percent 4 2 2 2 6 3" xfId="32650"/>
    <cellStyle name="Percent 4 2 2 2 6 3 2" xfId="32651"/>
    <cellStyle name="Percent 4 2 2 2 6 3 3" xfId="32652"/>
    <cellStyle name="Percent 4 2 2 2 6 4" xfId="32653"/>
    <cellStyle name="Percent 4 2 2 2 6 4 2" xfId="32654"/>
    <cellStyle name="Percent 4 2 2 2 6 4 3" xfId="32655"/>
    <cellStyle name="Percent 4 2 2 2 6 5" xfId="32656"/>
    <cellStyle name="Percent 4 2 2 2 6 6" xfId="32657"/>
    <cellStyle name="Percent 4 2 2 2 6 7" xfId="32658"/>
    <cellStyle name="Percent 4 2 2 2 6 8" xfId="32659"/>
    <cellStyle name="Percent 4 2 2 2 7" xfId="32660"/>
    <cellStyle name="Percent 4 2 2 2 7 2" xfId="32661"/>
    <cellStyle name="Percent 4 2 2 2 7 2 2" xfId="32662"/>
    <cellStyle name="Percent 4 2 2 2 7 2 3" xfId="32663"/>
    <cellStyle name="Percent 4 2 2 2 7 3" xfId="32664"/>
    <cellStyle name="Percent 4 2 2 2 7 3 2" xfId="32665"/>
    <cellStyle name="Percent 4 2 2 2 7 3 3" xfId="32666"/>
    <cellStyle name="Percent 4 2 2 2 7 4" xfId="32667"/>
    <cellStyle name="Percent 4 2 2 2 7 5" xfId="32668"/>
    <cellStyle name="Percent 4 2 2 2 7 6" xfId="32669"/>
    <cellStyle name="Percent 4 2 2 2 7 7" xfId="32670"/>
    <cellStyle name="Percent 4 2 2 2 8" xfId="32671"/>
    <cellStyle name="Percent 4 2 2 2 8 2" xfId="32672"/>
    <cellStyle name="Percent 4 2 2 2 9" xfId="32673"/>
    <cellStyle name="Percent 4 2 2 2 9 2" xfId="32674"/>
    <cellStyle name="Percent 4 2 2 2 9 3" xfId="32675"/>
    <cellStyle name="Percent 4 2 2 3" xfId="32676"/>
    <cellStyle name="Percent 4 2 2 3 10" xfId="32677"/>
    <cellStyle name="Percent 4 2 2 3 11" xfId="32678"/>
    <cellStyle name="Percent 4 2 2 3 12" xfId="32679"/>
    <cellStyle name="Percent 4 2 2 3 13" xfId="32680"/>
    <cellStyle name="Percent 4 2 2 3 2" xfId="32681"/>
    <cellStyle name="Percent 4 2 2 3 2 10" xfId="32682"/>
    <cellStyle name="Percent 4 2 2 3 2 11" xfId="32683"/>
    <cellStyle name="Percent 4 2 2 3 2 2" xfId="32684"/>
    <cellStyle name="Percent 4 2 2 3 2 2 2" xfId="32685"/>
    <cellStyle name="Percent 4 2 2 3 2 2 2 2" xfId="32686"/>
    <cellStyle name="Percent 4 2 2 3 2 2 2 2 2" xfId="32687"/>
    <cellStyle name="Percent 4 2 2 3 2 2 2 2 3" xfId="32688"/>
    <cellStyle name="Percent 4 2 2 3 2 2 2 3" xfId="32689"/>
    <cellStyle name="Percent 4 2 2 3 2 2 2 3 2" xfId="32690"/>
    <cellStyle name="Percent 4 2 2 3 2 2 2 3 3" xfId="32691"/>
    <cellStyle name="Percent 4 2 2 3 2 2 2 4" xfId="32692"/>
    <cellStyle name="Percent 4 2 2 3 2 2 2 5" xfId="32693"/>
    <cellStyle name="Percent 4 2 2 3 2 2 2 6" xfId="32694"/>
    <cellStyle name="Percent 4 2 2 3 2 2 2 7" xfId="32695"/>
    <cellStyle name="Percent 4 2 2 3 2 2 3" xfId="32696"/>
    <cellStyle name="Percent 4 2 2 3 2 2 3 2" xfId="32697"/>
    <cellStyle name="Percent 4 2 2 3 2 2 3 3" xfId="32698"/>
    <cellStyle name="Percent 4 2 2 3 2 2 4" xfId="32699"/>
    <cellStyle name="Percent 4 2 2 3 2 2 4 2" xfId="32700"/>
    <cellStyle name="Percent 4 2 2 3 2 2 4 3" xfId="32701"/>
    <cellStyle name="Percent 4 2 2 3 2 2 5" xfId="32702"/>
    <cellStyle name="Percent 4 2 2 3 2 2 6" xfId="32703"/>
    <cellStyle name="Percent 4 2 2 3 2 2 7" xfId="32704"/>
    <cellStyle name="Percent 4 2 2 3 2 2 8" xfId="32705"/>
    <cellStyle name="Percent 4 2 2 3 2 3" xfId="32706"/>
    <cellStyle name="Percent 4 2 2 3 2 3 2" xfId="32707"/>
    <cellStyle name="Percent 4 2 2 3 2 3 2 2" xfId="32708"/>
    <cellStyle name="Percent 4 2 2 3 2 3 2 3" xfId="32709"/>
    <cellStyle name="Percent 4 2 2 3 2 3 3" xfId="32710"/>
    <cellStyle name="Percent 4 2 2 3 2 3 3 2" xfId="32711"/>
    <cellStyle name="Percent 4 2 2 3 2 3 3 3" xfId="32712"/>
    <cellStyle name="Percent 4 2 2 3 2 3 4" xfId="32713"/>
    <cellStyle name="Percent 4 2 2 3 2 3 5" xfId="32714"/>
    <cellStyle name="Percent 4 2 2 3 2 3 6" xfId="32715"/>
    <cellStyle name="Percent 4 2 2 3 2 3 7" xfId="32716"/>
    <cellStyle name="Percent 4 2 2 3 2 4" xfId="32717"/>
    <cellStyle name="Percent 4 2 2 3 2 4 2" xfId="32718"/>
    <cellStyle name="Percent 4 2 2 3 2 5" xfId="32719"/>
    <cellStyle name="Percent 4 2 2 3 2 5 2" xfId="32720"/>
    <cellStyle name="Percent 4 2 2 3 2 5 3" xfId="32721"/>
    <cellStyle name="Percent 4 2 2 3 2 6" xfId="32722"/>
    <cellStyle name="Percent 4 2 2 3 2 6 2" xfId="32723"/>
    <cellStyle name="Percent 4 2 2 3 2 6 3" xfId="32724"/>
    <cellStyle name="Percent 4 2 2 3 2 7" xfId="32725"/>
    <cellStyle name="Percent 4 2 2 3 2 8" xfId="32726"/>
    <cellStyle name="Percent 4 2 2 3 2 9" xfId="32727"/>
    <cellStyle name="Percent 4 2 2 3 3" xfId="32728"/>
    <cellStyle name="Percent 4 2 2 3 3 10" xfId="32729"/>
    <cellStyle name="Percent 4 2 2 3 3 11" xfId="32730"/>
    <cellStyle name="Percent 4 2 2 3 3 2" xfId="32731"/>
    <cellStyle name="Percent 4 2 2 3 3 2 2" xfId="32732"/>
    <cellStyle name="Percent 4 2 2 3 3 2 2 2" xfId="32733"/>
    <cellStyle name="Percent 4 2 2 3 3 2 2 3" xfId="32734"/>
    <cellStyle name="Percent 4 2 2 3 3 2 3" xfId="32735"/>
    <cellStyle name="Percent 4 2 2 3 3 2 3 2" xfId="32736"/>
    <cellStyle name="Percent 4 2 2 3 3 2 3 3" xfId="32737"/>
    <cellStyle name="Percent 4 2 2 3 3 2 4" xfId="32738"/>
    <cellStyle name="Percent 4 2 2 3 3 2 5" xfId="32739"/>
    <cellStyle name="Percent 4 2 2 3 3 2 6" xfId="32740"/>
    <cellStyle name="Percent 4 2 2 3 3 2 7" xfId="32741"/>
    <cellStyle name="Percent 4 2 2 3 3 3" xfId="32742"/>
    <cellStyle name="Percent 4 2 2 3 3 3 2" xfId="32743"/>
    <cellStyle name="Percent 4 2 2 3 3 4" xfId="32744"/>
    <cellStyle name="Percent 4 2 2 3 3 4 2" xfId="32745"/>
    <cellStyle name="Percent 4 2 2 3 3 4 3" xfId="32746"/>
    <cellStyle name="Percent 4 2 2 3 3 5" xfId="32747"/>
    <cellStyle name="Percent 4 2 2 3 3 5 2" xfId="32748"/>
    <cellStyle name="Percent 4 2 2 3 3 5 3" xfId="32749"/>
    <cellStyle name="Percent 4 2 2 3 3 6" xfId="32750"/>
    <cellStyle name="Percent 4 2 2 3 3 7" xfId="32751"/>
    <cellStyle name="Percent 4 2 2 3 3 8" xfId="32752"/>
    <cellStyle name="Percent 4 2 2 3 3 9" xfId="32753"/>
    <cellStyle name="Percent 4 2 2 3 4" xfId="32754"/>
    <cellStyle name="Percent 4 2 2 3 4 2" xfId="32755"/>
    <cellStyle name="Percent 4 2 2 3 4 2 2" xfId="32756"/>
    <cellStyle name="Percent 4 2 2 3 4 2 2 2" xfId="32757"/>
    <cellStyle name="Percent 4 2 2 3 4 2 2 3" xfId="32758"/>
    <cellStyle name="Percent 4 2 2 3 4 2 3" xfId="32759"/>
    <cellStyle name="Percent 4 2 2 3 4 2 3 2" xfId="32760"/>
    <cellStyle name="Percent 4 2 2 3 4 2 3 3" xfId="32761"/>
    <cellStyle name="Percent 4 2 2 3 4 2 4" xfId="32762"/>
    <cellStyle name="Percent 4 2 2 3 4 2 5" xfId="32763"/>
    <cellStyle name="Percent 4 2 2 3 4 2 6" xfId="32764"/>
    <cellStyle name="Percent 4 2 2 3 4 2 7" xfId="32765"/>
    <cellStyle name="Percent 4 2 2 3 4 3" xfId="32766"/>
    <cellStyle name="Percent 4 2 2 3 4 3 2" xfId="32767"/>
    <cellStyle name="Percent 4 2 2 3 4 3 3" xfId="32768"/>
    <cellStyle name="Percent 4 2 2 3 4 4" xfId="32769"/>
    <cellStyle name="Percent 4 2 2 3 4 4 2" xfId="32770"/>
    <cellStyle name="Percent 4 2 2 3 4 4 3" xfId="32771"/>
    <cellStyle name="Percent 4 2 2 3 4 5" xfId="32772"/>
    <cellStyle name="Percent 4 2 2 3 4 6" xfId="32773"/>
    <cellStyle name="Percent 4 2 2 3 4 7" xfId="32774"/>
    <cellStyle name="Percent 4 2 2 3 4 8" xfId="32775"/>
    <cellStyle name="Percent 4 2 2 3 5" xfId="32776"/>
    <cellStyle name="Percent 4 2 2 3 5 2" xfId="32777"/>
    <cellStyle name="Percent 4 2 2 3 5 2 2" xfId="32778"/>
    <cellStyle name="Percent 4 2 2 3 5 2 3" xfId="32779"/>
    <cellStyle name="Percent 4 2 2 3 5 3" xfId="32780"/>
    <cellStyle name="Percent 4 2 2 3 5 3 2" xfId="32781"/>
    <cellStyle name="Percent 4 2 2 3 5 3 3" xfId="32782"/>
    <cellStyle name="Percent 4 2 2 3 5 4" xfId="32783"/>
    <cellStyle name="Percent 4 2 2 3 5 5" xfId="32784"/>
    <cellStyle name="Percent 4 2 2 3 5 6" xfId="32785"/>
    <cellStyle name="Percent 4 2 2 3 5 7" xfId="32786"/>
    <cellStyle name="Percent 4 2 2 3 6" xfId="32787"/>
    <cellStyle name="Percent 4 2 2 3 6 2" xfId="32788"/>
    <cellStyle name="Percent 4 2 2 3 7" xfId="32789"/>
    <cellStyle name="Percent 4 2 2 3 7 2" xfId="32790"/>
    <cellStyle name="Percent 4 2 2 3 7 3" xfId="32791"/>
    <cellStyle name="Percent 4 2 2 3 8" xfId="32792"/>
    <cellStyle name="Percent 4 2 2 3 8 2" xfId="32793"/>
    <cellStyle name="Percent 4 2 2 3 8 3" xfId="32794"/>
    <cellStyle name="Percent 4 2 2 3 9" xfId="32795"/>
    <cellStyle name="Percent 4 2 2 4" xfId="32796"/>
    <cellStyle name="Percent 4 2 2 4 10" xfId="32797"/>
    <cellStyle name="Percent 4 2 2 4 11" xfId="32798"/>
    <cellStyle name="Percent 4 2 2 4 12" xfId="32799"/>
    <cellStyle name="Percent 4 2 2 4 13" xfId="32800"/>
    <cellStyle name="Percent 4 2 2 4 2" xfId="32801"/>
    <cellStyle name="Percent 4 2 2 4 2 10" xfId="32802"/>
    <cellStyle name="Percent 4 2 2 4 2 11" xfId="32803"/>
    <cellStyle name="Percent 4 2 2 4 2 2" xfId="32804"/>
    <cellStyle name="Percent 4 2 2 4 2 2 2" xfId="32805"/>
    <cellStyle name="Percent 4 2 2 4 2 2 2 2" xfId="32806"/>
    <cellStyle name="Percent 4 2 2 4 2 2 2 2 2" xfId="32807"/>
    <cellStyle name="Percent 4 2 2 4 2 2 2 2 3" xfId="32808"/>
    <cellStyle name="Percent 4 2 2 4 2 2 2 3" xfId="32809"/>
    <cellStyle name="Percent 4 2 2 4 2 2 2 3 2" xfId="32810"/>
    <cellStyle name="Percent 4 2 2 4 2 2 2 3 3" xfId="32811"/>
    <cellStyle name="Percent 4 2 2 4 2 2 2 4" xfId="32812"/>
    <cellStyle name="Percent 4 2 2 4 2 2 2 5" xfId="32813"/>
    <cellStyle name="Percent 4 2 2 4 2 2 2 6" xfId="32814"/>
    <cellStyle name="Percent 4 2 2 4 2 2 2 7" xfId="32815"/>
    <cellStyle name="Percent 4 2 2 4 2 2 3" xfId="32816"/>
    <cellStyle name="Percent 4 2 2 4 2 2 3 2" xfId="32817"/>
    <cellStyle name="Percent 4 2 2 4 2 2 3 3" xfId="32818"/>
    <cellStyle name="Percent 4 2 2 4 2 2 4" xfId="32819"/>
    <cellStyle name="Percent 4 2 2 4 2 2 4 2" xfId="32820"/>
    <cellStyle name="Percent 4 2 2 4 2 2 4 3" xfId="32821"/>
    <cellStyle name="Percent 4 2 2 4 2 2 5" xfId="32822"/>
    <cellStyle name="Percent 4 2 2 4 2 2 6" xfId="32823"/>
    <cellStyle name="Percent 4 2 2 4 2 2 7" xfId="32824"/>
    <cellStyle name="Percent 4 2 2 4 2 2 8" xfId="32825"/>
    <cellStyle name="Percent 4 2 2 4 2 3" xfId="32826"/>
    <cellStyle name="Percent 4 2 2 4 2 3 2" xfId="32827"/>
    <cellStyle name="Percent 4 2 2 4 2 3 2 2" xfId="32828"/>
    <cellStyle name="Percent 4 2 2 4 2 3 2 3" xfId="32829"/>
    <cellStyle name="Percent 4 2 2 4 2 3 3" xfId="32830"/>
    <cellStyle name="Percent 4 2 2 4 2 3 3 2" xfId="32831"/>
    <cellStyle name="Percent 4 2 2 4 2 3 3 3" xfId="32832"/>
    <cellStyle name="Percent 4 2 2 4 2 3 4" xfId="32833"/>
    <cellStyle name="Percent 4 2 2 4 2 3 5" xfId="32834"/>
    <cellStyle name="Percent 4 2 2 4 2 3 6" xfId="32835"/>
    <cellStyle name="Percent 4 2 2 4 2 3 7" xfId="32836"/>
    <cellStyle name="Percent 4 2 2 4 2 4" xfId="32837"/>
    <cellStyle name="Percent 4 2 2 4 2 4 2" xfId="32838"/>
    <cellStyle name="Percent 4 2 2 4 2 5" xfId="32839"/>
    <cellStyle name="Percent 4 2 2 4 2 5 2" xfId="32840"/>
    <cellStyle name="Percent 4 2 2 4 2 5 3" xfId="32841"/>
    <cellStyle name="Percent 4 2 2 4 2 6" xfId="32842"/>
    <cellStyle name="Percent 4 2 2 4 2 6 2" xfId="32843"/>
    <cellStyle name="Percent 4 2 2 4 2 6 3" xfId="32844"/>
    <cellStyle name="Percent 4 2 2 4 2 7" xfId="32845"/>
    <cellStyle name="Percent 4 2 2 4 2 8" xfId="32846"/>
    <cellStyle name="Percent 4 2 2 4 2 9" xfId="32847"/>
    <cellStyle name="Percent 4 2 2 4 3" xfId="32848"/>
    <cellStyle name="Percent 4 2 2 4 3 10" xfId="32849"/>
    <cellStyle name="Percent 4 2 2 4 3 11" xfId="32850"/>
    <cellStyle name="Percent 4 2 2 4 3 2" xfId="32851"/>
    <cellStyle name="Percent 4 2 2 4 3 2 2" xfId="32852"/>
    <cellStyle name="Percent 4 2 2 4 3 2 2 2" xfId="32853"/>
    <cellStyle name="Percent 4 2 2 4 3 2 2 3" xfId="32854"/>
    <cellStyle name="Percent 4 2 2 4 3 2 3" xfId="32855"/>
    <cellStyle name="Percent 4 2 2 4 3 2 3 2" xfId="32856"/>
    <cellStyle name="Percent 4 2 2 4 3 2 3 3" xfId="32857"/>
    <cellStyle name="Percent 4 2 2 4 3 2 4" xfId="32858"/>
    <cellStyle name="Percent 4 2 2 4 3 2 5" xfId="32859"/>
    <cellStyle name="Percent 4 2 2 4 3 2 6" xfId="32860"/>
    <cellStyle name="Percent 4 2 2 4 3 2 7" xfId="32861"/>
    <cellStyle name="Percent 4 2 2 4 3 3" xfId="32862"/>
    <cellStyle name="Percent 4 2 2 4 3 3 2" xfId="32863"/>
    <cellStyle name="Percent 4 2 2 4 3 4" xfId="32864"/>
    <cellStyle name="Percent 4 2 2 4 3 4 2" xfId="32865"/>
    <cellStyle name="Percent 4 2 2 4 3 4 3" xfId="32866"/>
    <cellStyle name="Percent 4 2 2 4 3 5" xfId="32867"/>
    <cellStyle name="Percent 4 2 2 4 3 5 2" xfId="32868"/>
    <cellStyle name="Percent 4 2 2 4 3 5 3" xfId="32869"/>
    <cellStyle name="Percent 4 2 2 4 3 6" xfId="32870"/>
    <cellStyle name="Percent 4 2 2 4 3 7" xfId="32871"/>
    <cellStyle name="Percent 4 2 2 4 3 8" xfId="32872"/>
    <cellStyle name="Percent 4 2 2 4 3 9" xfId="32873"/>
    <cellStyle name="Percent 4 2 2 4 4" xfId="32874"/>
    <cellStyle name="Percent 4 2 2 4 4 2" xfId="32875"/>
    <cellStyle name="Percent 4 2 2 4 4 2 2" xfId="32876"/>
    <cellStyle name="Percent 4 2 2 4 4 2 2 2" xfId="32877"/>
    <cellStyle name="Percent 4 2 2 4 4 2 2 3" xfId="32878"/>
    <cellStyle name="Percent 4 2 2 4 4 2 3" xfId="32879"/>
    <cellStyle name="Percent 4 2 2 4 4 2 3 2" xfId="32880"/>
    <cellStyle name="Percent 4 2 2 4 4 2 3 3" xfId="32881"/>
    <cellStyle name="Percent 4 2 2 4 4 2 4" xfId="32882"/>
    <cellStyle name="Percent 4 2 2 4 4 2 5" xfId="32883"/>
    <cellStyle name="Percent 4 2 2 4 4 2 6" xfId="32884"/>
    <cellStyle name="Percent 4 2 2 4 4 2 7" xfId="32885"/>
    <cellStyle name="Percent 4 2 2 4 4 3" xfId="32886"/>
    <cellStyle name="Percent 4 2 2 4 4 3 2" xfId="32887"/>
    <cellStyle name="Percent 4 2 2 4 4 3 3" xfId="32888"/>
    <cellStyle name="Percent 4 2 2 4 4 4" xfId="32889"/>
    <cellStyle name="Percent 4 2 2 4 4 4 2" xfId="32890"/>
    <cellStyle name="Percent 4 2 2 4 4 4 3" xfId="32891"/>
    <cellStyle name="Percent 4 2 2 4 4 5" xfId="32892"/>
    <cellStyle name="Percent 4 2 2 4 4 6" xfId="32893"/>
    <cellStyle name="Percent 4 2 2 4 4 7" xfId="32894"/>
    <cellStyle name="Percent 4 2 2 4 4 8" xfId="32895"/>
    <cellStyle name="Percent 4 2 2 4 5" xfId="32896"/>
    <cellStyle name="Percent 4 2 2 4 5 2" xfId="32897"/>
    <cellStyle name="Percent 4 2 2 4 5 2 2" xfId="32898"/>
    <cellStyle name="Percent 4 2 2 4 5 2 3" xfId="32899"/>
    <cellStyle name="Percent 4 2 2 4 5 3" xfId="32900"/>
    <cellStyle name="Percent 4 2 2 4 5 3 2" xfId="32901"/>
    <cellStyle name="Percent 4 2 2 4 5 3 3" xfId="32902"/>
    <cellStyle name="Percent 4 2 2 4 5 4" xfId="32903"/>
    <cellStyle name="Percent 4 2 2 4 5 5" xfId="32904"/>
    <cellStyle name="Percent 4 2 2 4 5 6" xfId="32905"/>
    <cellStyle name="Percent 4 2 2 4 5 7" xfId="32906"/>
    <cellStyle name="Percent 4 2 2 4 6" xfId="32907"/>
    <cellStyle name="Percent 4 2 2 4 6 2" xfId="32908"/>
    <cellStyle name="Percent 4 2 2 4 7" xfId="32909"/>
    <cellStyle name="Percent 4 2 2 4 7 2" xfId="32910"/>
    <cellStyle name="Percent 4 2 2 4 7 3" xfId="32911"/>
    <cellStyle name="Percent 4 2 2 4 8" xfId="32912"/>
    <cellStyle name="Percent 4 2 2 4 8 2" xfId="32913"/>
    <cellStyle name="Percent 4 2 2 4 8 3" xfId="32914"/>
    <cellStyle name="Percent 4 2 2 4 9" xfId="32915"/>
    <cellStyle name="Percent 4 2 2 5" xfId="32916"/>
    <cellStyle name="Percent 4 2 2 5 10" xfId="32917"/>
    <cellStyle name="Percent 4 2 2 5 11" xfId="32918"/>
    <cellStyle name="Percent 4 2 2 5 12" xfId="32919"/>
    <cellStyle name="Percent 4 2 2 5 13" xfId="32920"/>
    <cellStyle name="Percent 4 2 2 5 2" xfId="32921"/>
    <cellStyle name="Percent 4 2 2 5 2 10" xfId="32922"/>
    <cellStyle name="Percent 4 2 2 5 2 11" xfId="32923"/>
    <cellStyle name="Percent 4 2 2 5 2 2" xfId="32924"/>
    <cellStyle name="Percent 4 2 2 5 2 2 2" xfId="32925"/>
    <cellStyle name="Percent 4 2 2 5 2 2 2 2" xfId="32926"/>
    <cellStyle name="Percent 4 2 2 5 2 2 2 2 2" xfId="32927"/>
    <cellStyle name="Percent 4 2 2 5 2 2 2 2 3" xfId="32928"/>
    <cellStyle name="Percent 4 2 2 5 2 2 2 3" xfId="32929"/>
    <cellStyle name="Percent 4 2 2 5 2 2 2 3 2" xfId="32930"/>
    <cellStyle name="Percent 4 2 2 5 2 2 2 3 3" xfId="32931"/>
    <cellStyle name="Percent 4 2 2 5 2 2 2 4" xfId="32932"/>
    <cellStyle name="Percent 4 2 2 5 2 2 2 5" xfId="32933"/>
    <cellStyle name="Percent 4 2 2 5 2 2 2 6" xfId="32934"/>
    <cellStyle name="Percent 4 2 2 5 2 2 2 7" xfId="32935"/>
    <cellStyle name="Percent 4 2 2 5 2 2 3" xfId="32936"/>
    <cellStyle name="Percent 4 2 2 5 2 2 3 2" xfId="32937"/>
    <cellStyle name="Percent 4 2 2 5 2 2 3 3" xfId="32938"/>
    <cellStyle name="Percent 4 2 2 5 2 2 4" xfId="32939"/>
    <cellStyle name="Percent 4 2 2 5 2 2 4 2" xfId="32940"/>
    <cellStyle name="Percent 4 2 2 5 2 2 4 3" xfId="32941"/>
    <cellStyle name="Percent 4 2 2 5 2 2 5" xfId="32942"/>
    <cellStyle name="Percent 4 2 2 5 2 2 6" xfId="32943"/>
    <cellStyle name="Percent 4 2 2 5 2 2 7" xfId="32944"/>
    <cellStyle name="Percent 4 2 2 5 2 2 8" xfId="32945"/>
    <cellStyle name="Percent 4 2 2 5 2 3" xfId="32946"/>
    <cellStyle name="Percent 4 2 2 5 2 3 2" xfId="32947"/>
    <cellStyle name="Percent 4 2 2 5 2 3 2 2" xfId="32948"/>
    <cellStyle name="Percent 4 2 2 5 2 3 2 3" xfId="32949"/>
    <cellStyle name="Percent 4 2 2 5 2 3 3" xfId="32950"/>
    <cellStyle name="Percent 4 2 2 5 2 3 3 2" xfId="32951"/>
    <cellStyle name="Percent 4 2 2 5 2 3 3 3" xfId="32952"/>
    <cellStyle name="Percent 4 2 2 5 2 3 4" xfId="32953"/>
    <cellStyle name="Percent 4 2 2 5 2 3 5" xfId="32954"/>
    <cellStyle name="Percent 4 2 2 5 2 3 6" xfId="32955"/>
    <cellStyle name="Percent 4 2 2 5 2 3 7" xfId="32956"/>
    <cellStyle name="Percent 4 2 2 5 2 4" xfId="32957"/>
    <cellStyle name="Percent 4 2 2 5 2 4 2" xfId="32958"/>
    <cellStyle name="Percent 4 2 2 5 2 5" xfId="32959"/>
    <cellStyle name="Percent 4 2 2 5 2 5 2" xfId="32960"/>
    <cellStyle name="Percent 4 2 2 5 2 5 3" xfId="32961"/>
    <cellStyle name="Percent 4 2 2 5 2 6" xfId="32962"/>
    <cellStyle name="Percent 4 2 2 5 2 6 2" xfId="32963"/>
    <cellStyle name="Percent 4 2 2 5 2 6 3" xfId="32964"/>
    <cellStyle name="Percent 4 2 2 5 2 7" xfId="32965"/>
    <cellStyle name="Percent 4 2 2 5 2 8" xfId="32966"/>
    <cellStyle name="Percent 4 2 2 5 2 9" xfId="32967"/>
    <cellStyle name="Percent 4 2 2 5 3" xfId="32968"/>
    <cellStyle name="Percent 4 2 2 5 3 10" xfId="32969"/>
    <cellStyle name="Percent 4 2 2 5 3 11" xfId="32970"/>
    <cellStyle name="Percent 4 2 2 5 3 2" xfId="32971"/>
    <cellStyle name="Percent 4 2 2 5 3 2 2" xfId="32972"/>
    <cellStyle name="Percent 4 2 2 5 3 2 2 2" xfId="32973"/>
    <cellStyle name="Percent 4 2 2 5 3 2 2 3" xfId="32974"/>
    <cellStyle name="Percent 4 2 2 5 3 2 3" xfId="32975"/>
    <cellStyle name="Percent 4 2 2 5 3 2 3 2" xfId="32976"/>
    <cellStyle name="Percent 4 2 2 5 3 2 3 3" xfId="32977"/>
    <cellStyle name="Percent 4 2 2 5 3 2 4" xfId="32978"/>
    <cellStyle name="Percent 4 2 2 5 3 2 5" xfId="32979"/>
    <cellStyle name="Percent 4 2 2 5 3 2 6" xfId="32980"/>
    <cellStyle name="Percent 4 2 2 5 3 2 7" xfId="32981"/>
    <cellStyle name="Percent 4 2 2 5 3 3" xfId="32982"/>
    <cellStyle name="Percent 4 2 2 5 3 3 2" xfId="32983"/>
    <cellStyle name="Percent 4 2 2 5 3 4" xfId="32984"/>
    <cellStyle name="Percent 4 2 2 5 3 4 2" xfId="32985"/>
    <cellStyle name="Percent 4 2 2 5 3 4 3" xfId="32986"/>
    <cellStyle name="Percent 4 2 2 5 3 5" xfId="32987"/>
    <cellStyle name="Percent 4 2 2 5 3 5 2" xfId="32988"/>
    <cellStyle name="Percent 4 2 2 5 3 5 3" xfId="32989"/>
    <cellStyle name="Percent 4 2 2 5 3 6" xfId="32990"/>
    <cellStyle name="Percent 4 2 2 5 3 7" xfId="32991"/>
    <cellStyle name="Percent 4 2 2 5 3 8" xfId="32992"/>
    <cellStyle name="Percent 4 2 2 5 3 9" xfId="32993"/>
    <cellStyle name="Percent 4 2 2 5 4" xfId="32994"/>
    <cellStyle name="Percent 4 2 2 5 4 2" xfId="32995"/>
    <cellStyle name="Percent 4 2 2 5 4 2 2" xfId="32996"/>
    <cellStyle name="Percent 4 2 2 5 4 2 2 2" xfId="32997"/>
    <cellStyle name="Percent 4 2 2 5 4 2 2 3" xfId="32998"/>
    <cellStyle name="Percent 4 2 2 5 4 2 3" xfId="32999"/>
    <cellStyle name="Percent 4 2 2 5 4 2 3 2" xfId="33000"/>
    <cellStyle name="Percent 4 2 2 5 4 2 3 3" xfId="33001"/>
    <cellStyle name="Percent 4 2 2 5 4 2 4" xfId="33002"/>
    <cellStyle name="Percent 4 2 2 5 4 2 5" xfId="33003"/>
    <cellStyle name="Percent 4 2 2 5 4 2 6" xfId="33004"/>
    <cellStyle name="Percent 4 2 2 5 4 2 7" xfId="33005"/>
    <cellStyle name="Percent 4 2 2 5 4 3" xfId="33006"/>
    <cellStyle name="Percent 4 2 2 5 4 3 2" xfId="33007"/>
    <cellStyle name="Percent 4 2 2 5 4 3 3" xfId="33008"/>
    <cellStyle name="Percent 4 2 2 5 4 4" xfId="33009"/>
    <cellStyle name="Percent 4 2 2 5 4 4 2" xfId="33010"/>
    <cellStyle name="Percent 4 2 2 5 4 4 3" xfId="33011"/>
    <cellStyle name="Percent 4 2 2 5 4 5" xfId="33012"/>
    <cellStyle name="Percent 4 2 2 5 4 6" xfId="33013"/>
    <cellStyle name="Percent 4 2 2 5 4 7" xfId="33014"/>
    <cellStyle name="Percent 4 2 2 5 4 8" xfId="33015"/>
    <cellStyle name="Percent 4 2 2 5 5" xfId="33016"/>
    <cellStyle name="Percent 4 2 2 5 5 2" xfId="33017"/>
    <cellStyle name="Percent 4 2 2 5 5 2 2" xfId="33018"/>
    <cellStyle name="Percent 4 2 2 5 5 2 3" xfId="33019"/>
    <cellStyle name="Percent 4 2 2 5 5 3" xfId="33020"/>
    <cellStyle name="Percent 4 2 2 5 5 3 2" xfId="33021"/>
    <cellStyle name="Percent 4 2 2 5 5 3 3" xfId="33022"/>
    <cellStyle name="Percent 4 2 2 5 5 4" xfId="33023"/>
    <cellStyle name="Percent 4 2 2 5 5 5" xfId="33024"/>
    <cellStyle name="Percent 4 2 2 5 5 6" xfId="33025"/>
    <cellStyle name="Percent 4 2 2 5 5 7" xfId="33026"/>
    <cellStyle name="Percent 4 2 2 5 6" xfId="33027"/>
    <cellStyle name="Percent 4 2 2 5 6 2" xfId="33028"/>
    <cellStyle name="Percent 4 2 2 5 7" xfId="33029"/>
    <cellStyle name="Percent 4 2 2 5 7 2" xfId="33030"/>
    <cellStyle name="Percent 4 2 2 5 7 3" xfId="33031"/>
    <cellStyle name="Percent 4 2 2 5 8" xfId="33032"/>
    <cellStyle name="Percent 4 2 2 5 8 2" xfId="33033"/>
    <cellStyle name="Percent 4 2 2 5 8 3" xfId="33034"/>
    <cellStyle name="Percent 4 2 2 5 9" xfId="33035"/>
    <cellStyle name="Percent 4 2 2 6" xfId="33036"/>
    <cellStyle name="Percent 4 2 2 6 10" xfId="33037"/>
    <cellStyle name="Percent 4 2 2 6 11" xfId="33038"/>
    <cellStyle name="Percent 4 2 2 6 12" xfId="33039"/>
    <cellStyle name="Percent 4 2 2 6 13" xfId="33040"/>
    <cellStyle name="Percent 4 2 2 6 2" xfId="33041"/>
    <cellStyle name="Percent 4 2 2 6 2 10" xfId="33042"/>
    <cellStyle name="Percent 4 2 2 6 2 11" xfId="33043"/>
    <cellStyle name="Percent 4 2 2 6 2 2" xfId="33044"/>
    <cellStyle name="Percent 4 2 2 6 2 2 2" xfId="33045"/>
    <cellStyle name="Percent 4 2 2 6 2 2 2 2" xfId="33046"/>
    <cellStyle name="Percent 4 2 2 6 2 2 2 2 2" xfId="33047"/>
    <cellStyle name="Percent 4 2 2 6 2 2 2 2 3" xfId="33048"/>
    <cellStyle name="Percent 4 2 2 6 2 2 2 3" xfId="33049"/>
    <cellStyle name="Percent 4 2 2 6 2 2 2 3 2" xfId="33050"/>
    <cellStyle name="Percent 4 2 2 6 2 2 2 3 3" xfId="33051"/>
    <cellStyle name="Percent 4 2 2 6 2 2 2 4" xfId="33052"/>
    <cellStyle name="Percent 4 2 2 6 2 2 2 5" xfId="33053"/>
    <cellStyle name="Percent 4 2 2 6 2 2 2 6" xfId="33054"/>
    <cellStyle name="Percent 4 2 2 6 2 2 2 7" xfId="33055"/>
    <cellStyle name="Percent 4 2 2 6 2 2 3" xfId="33056"/>
    <cellStyle name="Percent 4 2 2 6 2 2 3 2" xfId="33057"/>
    <cellStyle name="Percent 4 2 2 6 2 2 3 3" xfId="33058"/>
    <cellStyle name="Percent 4 2 2 6 2 2 4" xfId="33059"/>
    <cellStyle name="Percent 4 2 2 6 2 2 4 2" xfId="33060"/>
    <cellStyle name="Percent 4 2 2 6 2 2 4 3" xfId="33061"/>
    <cellStyle name="Percent 4 2 2 6 2 2 5" xfId="33062"/>
    <cellStyle name="Percent 4 2 2 6 2 2 6" xfId="33063"/>
    <cellStyle name="Percent 4 2 2 6 2 2 7" xfId="33064"/>
    <cellStyle name="Percent 4 2 2 6 2 2 8" xfId="33065"/>
    <cellStyle name="Percent 4 2 2 6 2 3" xfId="33066"/>
    <cellStyle name="Percent 4 2 2 6 2 3 2" xfId="33067"/>
    <cellStyle name="Percent 4 2 2 6 2 3 2 2" xfId="33068"/>
    <cellStyle name="Percent 4 2 2 6 2 3 2 3" xfId="33069"/>
    <cellStyle name="Percent 4 2 2 6 2 3 3" xfId="33070"/>
    <cellStyle name="Percent 4 2 2 6 2 3 3 2" xfId="33071"/>
    <cellStyle name="Percent 4 2 2 6 2 3 3 3" xfId="33072"/>
    <cellStyle name="Percent 4 2 2 6 2 3 4" xfId="33073"/>
    <cellStyle name="Percent 4 2 2 6 2 3 5" xfId="33074"/>
    <cellStyle name="Percent 4 2 2 6 2 3 6" xfId="33075"/>
    <cellStyle name="Percent 4 2 2 6 2 3 7" xfId="33076"/>
    <cellStyle name="Percent 4 2 2 6 2 4" xfId="33077"/>
    <cellStyle name="Percent 4 2 2 6 2 4 2" xfId="33078"/>
    <cellStyle name="Percent 4 2 2 6 2 5" xfId="33079"/>
    <cellStyle name="Percent 4 2 2 6 2 5 2" xfId="33080"/>
    <cellStyle name="Percent 4 2 2 6 2 5 3" xfId="33081"/>
    <cellStyle name="Percent 4 2 2 6 2 6" xfId="33082"/>
    <cellStyle name="Percent 4 2 2 6 2 6 2" xfId="33083"/>
    <cellStyle name="Percent 4 2 2 6 2 6 3" xfId="33084"/>
    <cellStyle name="Percent 4 2 2 6 2 7" xfId="33085"/>
    <cellStyle name="Percent 4 2 2 6 2 8" xfId="33086"/>
    <cellStyle name="Percent 4 2 2 6 2 9" xfId="33087"/>
    <cellStyle name="Percent 4 2 2 6 3" xfId="33088"/>
    <cellStyle name="Percent 4 2 2 6 3 10" xfId="33089"/>
    <cellStyle name="Percent 4 2 2 6 3 11" xfId="33090"/>
    <cellStyle name="Percent 4 2 2 6 3 2" xfId="33091"/>
    <cellStyle name="Percent 4 2 2 6 3 2 2" xfId="33092"/>
    <cellStyle name="Percent 4 2 2 6 3 2 2 2" xfId="33093"/>
    <cellStyle name="Percent 4 2 2 6 3 2 2 3" xfId="33094"/>
    <cellStyle name="Percent 4 2 2 6 3 2 3" xfId="33095"/>
    <cellStyle name="Percent 4 2 2 6 3 2 3 2" xfId="33096"/>
    <cellStyle name="Percent 4 2 2 6 3 2 3 3" xfId="33097"/>
    <cellStyle name="Percent 4 2 2 6 3 2 4" xfId="33098"/>
    <cellStyle name="Percent 4 2 2 6 3 2 5" xfId="33099"/>
    <cellStyle name="Percent 4 2 2 6 3 2 6" xfId="33100"/>
    <cellStyle name="Percent 4 2 2 6 3 2 7" xfId="33101"/>
    <cellStyle name="Percent 4 2 2 6 3 3" xfId="33102"/>
    <cellStyle name="Percent 4 2 2 6 3 3 2" xfId="33103"/>
    <cellStyle name="Percent 4 2 2 6 3 4" xfId="33104"/>
    <cellStyle name="Percent 4 2 2 6 3 4 2" xfId="33105"/>
    <cellStyle name="Percent 4 2 2 6 3 4 3" xfId="33106"/>
    <cellStyle name="Percent 4 2 2 6 3 5" xfId="33107"/>
    <cellStyle name="Percent 4 2 2 6 3 5 2" xfId="33108"/>
    <cellStyle name="Percent 4 2 2 6 3 5 3" xfId="33109"/>
    <cellStyle name="Percent 4 2 2 6 3 6" xfId="33110"/>
    <cellStyle name="Percent 4 2 2 6 3 7" xfId="33111"/>
    <cellStyle name="Percent 4 2 2 6 3 8" xfId="33112"/>
    <cellStyle name="Percent 4 2 2 6 3 9" xfId="33113"/>
    <cellStyle name="Percent 4 2 2 6 4" xfId="33114"/>
    <cellStyle name="Percent 4 2 2 6 4 2" xfId="33115"/>
    <cellStyle name="Percent 4 2 2 6 4 2 2" xfId="33116"/>
    <cellStyle name="Percent 4 2 2 6 4 2 2 2" xfId="33117"/>
    <cellStyle name="Percent 4 2 2 6 4 2 2 3" xfId="33118"/>
    <cellStyle name="Percent 4 2 2 6 4 2 3" xfId="33119"/>
    <cellStyle name="Percent 4 2 2 6 4 2 3 2" xfId="33120"/>
    <cellStyle name="Percent 4 2 2 6 4 2 3 3" xfId="33121"/>
    <cellStyle name="Percent 4 2 2 6 4 2 4" xfId="33122"/>
    <cellStyle name="Percent 4 2 2 6 4 2 5" xfId="33123"/>
    <cellStyle name="Percent 4 2 2 6 4 2 6" xfId="33124"/>
    <cellStyle name="Percent 4 2 2 6 4 2 7" xfId="33125"/>
    <cellStyle name="Percent 4 2 2 6 4 3" xfId="33126"/>
    <cellStyle name="Percent 4 2 2 6 4 3 2" xfId="33127"/>
    <cellStyle name="Percent 4 2 2 6 4 3 3" xfId="33128"/>
    <cellStyle name="Percent 4 2 2 6 4 4" xfId="33129"/>
    <cellStyle name="Percent 4 2 2 6 4 4 2" xfId="33130"/>
    <cellStyle name="Percent 4 2 2 6 4 4 3" xfId="33131"/>
    <cellStyle name="Percent 4 2 2 6 4 5" xfId="33132"/>
    <cellStyle name="Percent 4 2 2 6 4 6" xfId="33133"/>
    <cellStyle name="Percent 4 2 2 6 4 7" xfId="33134"/>
    <cellStyle name="Percent 4 2 2 6 4 8" xfId="33135"/>
    <cellStyle name="Percent 4 2 2 6 5" xfId="33136"/>
    <cellStyle name="Percent 4 2 2 6 5 2" xfId="33137"/>
    <cellStyle name="Percent 4 2 2 6 5 2 2" xfId="33138"/>
    <cellStyle name="Percent 4 2 2 6 5 2 3" xfId="33139"/>
    <cellStyle name="Percent 4 2 2 6 5 3" xfId="33140"/>
    <cellStyle name="Percent 4 2 2 6 5 3 2" xfId="33141"/>
    <cellStyle name="Percent 4 2 2 6 5 3 3" xfId="33142"/>
    <cellStyle name="Percent 4 2 2 6 5 4" xfId="33143"/>
    <cellStyle name="Percent 4 2 2 6 5 5" xfId="33144"/>
    <cellStyle name="Percent 4 2 2 6 5 6" xfId="33145"/>
    <cellStyle name="Percent 4 2 2 6 5 7" xfId="33146"/>
    <cellStyle name="Percent 4 2 2 6 6" xfId="33147"/>
    <cellStyle name="Percent 4 2 2 6 6 2" xfId="33148"/>
    <cellStyle name="Percent 4 2 2 6 7" xfId="33149"/>
    <cellStyle name="Percent 4 2 2 6 7 2" xfId="33150"/>
    <cellStyle name="Percent 4 2 2 6 7 3" xfId="33151"/>
    <cellStyle name="Percent 4 2 2 6 8" xfId="33152"/>
    <cellStyle name="Percent 4 2 2 6 8 2" xfId="33153"/>
    <cellStyle name="Percent 4 2 2 6 8 3" xfId="33154"/>
    <cellStyle name="Percent 4 2 2 6 9" xfId="33155"/>
    <cellStyle name="Percent 4 2 2 7" xfId="33156"/>
    <cellStyle name="Percent 4 2 2 7 10" xfId="33157"/>
    <cellStyle name="Percent 4 2 2 7 11" xfId="33158"/>
    <cellStyle name="Percent 4 2 2 7 2" xfId="33159"/>
    <cellStyle name="Percent 4 2 2 7 2 2" xfId="33160"/>
    <cellStyle name="Percent 4 2 2 7 2 2 2" xfId="33161"/>
    <cellStyle name="Percent 4 2 2 7 2 2 2 2" xfId="33162"/>
    <cellStyle name="Percent 4 2 2 7 2 2 2 3" xfId="33163"/>
    <cellStyle name="Percent 4 2 2 7 2 2 3" xfId="33164"/>
    <cellStyle name="Percent 4 2 2 7 2 2 3 2" xfId="33165"/>
    <cellStyle name="Percent 4 2 2 7 2 2 3 3" xfId="33166"/>
    <cellStyle name="Percent 4 2 2 7 2 2 4" xfId="33167"/>
    <cellStyle name="Percent 4 2 2 7 2 2 5" xfId="33168"/>
    <cellStyle name="Percent 4 2 2 7 2 2 6" xfId="33169"/>
    <cellStyle name="Percent 4 2 2 7 2 2 7" xfId="33170"/>
    <cellStyle name="Percent 4 2 2 7 2 3" xfId="33171"/>
    <cellStyle name="Percent 4 2 2 7 2 3 2" xfId="33172"/>
    <cellStyle name="Percent 4 2 2 7 2 3 3" xfId="33173"/>
    <cellStyle name="Percent 4 2 2 7 2 4" xfId="33174"/>
    <cellStyle name="Percent 4 2 2 7 2 4 2" xfId="33175"/>
    <cellStyle name="Percent 4 2 2 7 2 4 3" xfId="33176"/>
    <cellStyle name="Percent 4 2 2 7 2 5" xfId="33177"/>
    <cellStyle name="Percent 4 2 2 7 2 6" xfId="33178"/>
    <cellStyle name="Percent 4 2 2 7 2 7" xfId="33179"/>
    <cellStyle name="Percent 4 2 2 7 2 8" xfId="33180"/>
    <cellStyle name="Percent 4 2 2 7 3" xfId="33181"/>
    <cellStyle name="Percent 4 2 2 7 3 2" xfId="33182"/>
    <cellStyle name="Percent 4 2 2 7 3 2 2" xfId="33183"/>
    <cellStyle name="Percent 4 2 2 7 3 2 3" xfId="33184"/>
    <cellStyle name="Percent 4 2 2 7 3 3" xfId="33185"/>
    <cellStyle name="Percent 4 2 2 7 3 3 2" xfId="33186"/>
    <cellStyle name="Percent 4 2 2 7 3 3 3" xfId="33187"/>
    <cellStyle name="Percent 4 2 2 7 3 4" xfId="33188"/>
    <cellStyle name="Percent 4 2 2 7 3 5" xfId="33189"/>
    <cellStyle name="Percent 4 2 2 7 3 6" xfId="33190"/>
    <cellStyle name="Percent 4 2 2 7 3 7" xfId="33191"/>
    <cellStyle name="Percent 4 2 2 7 4" xfId="33192"/>
    <cellStyle name="Percent 4 2 2 7 4 2" xfId="33193"/>
    <cellStyle name="Percent 4 2 2 7 5" xfId="33194"/>
    <cellStyle name="Percent 4 2 2 7 5 2" xfId="33195"/>
    <cellStyle name="Percent 4 2 2 7 5 3" xfId="33196"/>
    <cellStyle name="Percent 4 2 2 7 6" xfId="33197"/>
    <cellStyle name="Percent 4 2 2 7 6 2" xfId="33198"/>
    <cellStyle name="Percent 4 2 2 7 6 3" xfId="33199"/>
    <cellStyle name="Percent 4 2 2 7 7" xfId="33200"/>
    <cellStyle name="Percent 4 2 2 7 8" xfId="33201"/>
    <cellStyle name="Percent 4 2 2 7 9" xfId="33202"/>
    <cellStyle name="Percent 4 2 2 8" xfId="33203"/>
    <cellStyle name="Percent 4 2 2 8 10" xfId="33204"/>
    <cellStyle name="Percent 4 2 2 8 11" xfId="33205"/>
    <cellStyle name="Percent 4 2 2 8 2" xfId="33206"/>
    <cellStyle name="Percent 4 2 2 8 2 2" xfId="33207"/>
    <cellStyle name="Percent 4 2 2 8 2 2 2" xfId="33208"/>
    <cellStyle name="Percent 4 2 2 8 2 2 3" xfId="33209"/>
    <cellStyle name="Percent 4 2 2 8 2 3" xfId="33210"/>
    <cellStyle name="Percent 4 2 2 8 2 3 2" xfId="33211"/>
    <cellStyle name="Percent 4 2 2 8 2 3 3" xfId="33212"/>
    <cellStyle name="Percent 4 2 2 8 2 4" xfId="33213"/>
    <cellStyle name="Percent 4 2 2 8 2 5" xfId="33214"/>
    <cellStyle name="Percent 4 2 2 8 2 6" xfId="33215"/>
    <cellStyle name="Percent 4 2 2 8 2 7" xfId="33216"/>
    <cellStyle name="Percent 4 2 2 8 3" xfId="33217"/>
    <cellStyle name="Percent 4 2 2 8 3 2" xfId="33218"/>
    <cellStyle name="Percent 4 2 2 8 4" xfId="33219"/>
    <cellStyle name="Percent 4 2 2 8 4 2" xfId="33220"/>
    <cellStyle name="Percent 4 2 2 8 4 3" xfId="33221"/>
    <cellStyle name="Percent 4 2 2 8 5" xfId="33222"/>
    <cellStyle name="Percent 4 2 2 8 5 2" xfId="33223"/>
    <cellStyle name="Percent 4 2 2 8 5 3" xfId="33224"/>
    <cellStyle name="Percent 4 2 2 8 6" xfId="33225"/>
    <cellStyle name="Percent 4 2 2 8 7" xfId="33226"/>
    <cellStyle name="Percent 4 2 2 8 8" xfId="33227"/>
    <cellStyle name="Percent 4 2 2 8 9" xfId="33228"/>
    <cellStyle name="Percent 4 2 2 9" xfId="33229"/>
    <cellStyle name="Percent 4 2 2 9 2" xfId="33230"/>
    <cellStyle name="Percent 4 2 2 9 2 2" xfId="33231"/>
    <cellStyle name="Percent 4 2 2 9 2 2 2" xfId="33232"/>
    <cellStyle name="Percent 4 2 2 9 2 2 3" xfId="33233"/>
    <cellStyle name="Percent 4 2 2 9 2 3" xfId="33234"/>
    <cellStyle name="Percent 4 2 2 9 2 3 2" xfId="33235"/>
    <cellStyle name="Percent 4 2 2 9 2 3 3" xfId="33236"/>
    <cellStyle name="Percent 4 2 2 9 2 4" xfId="33237"/>
    <cellStyle name="Percent 4 2 2 9 2 5" xfId="33238"/>
    <cellStyle name="Percent 4 2 2 9 2 6" xfId="33239"/>
    <cellStyle name="Percent 4 2 2 9 2 7" xfId="33240"/>
    <cellStyle name="Percent 4 2 2 9 3" xfId="33241"/>
    <cellStyle name="Percent 4 2 2 9 3 2" xfId="33242"/>
    <cellStyle name="Percent 4 2 2 9 3 3" xfId="33243"/>
    <cellStyle name="Percent 4 2 2 9 4" xfId="33244"/>
    <cellStyle name="Percent 4 2 2 9 4 2" xfId="33245"/>
    <cellStyle name="Percent 4 2 2 9 4 3" xfId="33246"/>
    <cellStyle name="Percent 4 2 2 9 5" xfId="33247"/>
    <cellStyle name="Percent 4 2 2 9 6" xfId="33248"/>
    <cellStyle name="Percent 4 2 2 9 7" xfId="33249"/>
    <cellStyle name="Percent 4 2 2 9 8" xfId="33250"/>
    <cellStyle name="Percent 4 2 20" xfId="33251"/>
    <cellStyle name="Percent 4 2 21" xfId="33252"/>
    <cellStyle name="Percent 4 2 3" xfId="33253"/>
    <cellStyle name="Percent 4 2 3 10" xfId="33254"/>
    <cellStyle name="Percent 4 2 3 11" xfId="33255"/>
    <cellStyle name="Percent 4 2 3 12" xfId="33256"/>
    <cellStyle name="Percent 4 2 3 13" xfId="33257"/>
    <cellStyle name="Percent 4 2 3 14" xfId="33258"/>
    <cellStyle name="Percent 4 2 3 15" xfId="33259"/>
    <cellStyle name="Percent 4 2 3 16" xfId="33260"/>
    <cellStyle name="Percent 4 2 3 17" xfId="33261"/>
    <cellStyle name="Percent 4 2 3 18" xfId="33262"/>
    <cellStyle name="Percent 4 2 3 2" xfId="33263"/>
    <cellStyle name="Percent 4 2 3 2 10" xfId="33264"/>
    <cellStyle name="Percent 4 2 3 2 11" xfId="33265"/>
    <cellStyle name="Percent 4 2 3 2 12" xfId="33266"/>
    <cellStyle name="Percent 4 2 3 2 13" xfId="33267"/>
    <cellStyle name="Percent 4 2 3 2 2" xfId="33268"/>
    <cellStyle name="Percent 4 2 3 2 2 10" xfId="33269"/>
    <cellStyle name="Percent 4 2 3 2 2 11" xfId="33270"/>
    <cellStyle name="Percent 4 2 3 2 2 2" xfId="33271"/>
    <cellStyle name="Percent 4 2 3 2 2 3" xfId="33272"/>
    <cellStyle name="Percent 4 2 3 2 2 4" xfId="33273"/>
    <cellStyle name="Percent 4 2 3 2 2 5" xfId="33274"/>
    <cellStyle name="Percent 4 2 3 2 2 6" xfId="33275"/>
    <cellStyle name="Percent 4 2 3 2 2 7" xfId="33276"/>
    <cellStyle name="Percent 4 2 3 2 2 8" xfId="33277"/>
    <cellStyle name="Percent 4 2 3 2 2 9" xfId="33278"/>
    <cellStyle name="Percent 4 2 3 2 3" xfId="33279"/>
    <cellStyle name="Percent 4 2 3 2 3 10" xfId="33280"/>
    <cellStyle name="Percent 4 2 3 2 3 11" xfId="33281"/>
    <cellStyle name="Percent 4 2 3 2 3 2" xfId="33282"/>
    <cellStyle name="Percent 4 2 3 2 3 3" xfId="33283"/>
    <cellStyle name="Percent 4 2 3 2 3 4" xfId="33284"/>
    <cellStyle name="Percent 4 2 3 2 3 5" xfId="33285"/>
    <cellStyle name="Percent 4 2 3 2 3 6" xfId="33286"/>
    <cellStyle name="Percent 4 2 3 2 3 7" xfId="33287"/>
    <cellStyle name="Percent 4 2 3 2 3 8" xfId="33288"/>
    <cellStyle name="Percent 4 2 3 2 3 9" xfId="33289"/>
    <cellStyle name="Percent 4 2 3 2 4" xfId="33290"/>
    <cellStyle name="Percent 4 2 3 2 4 2" xfId="33291"/>
    <cellStyle name="Percent 4 2 3 2 5" xfId="33292"/>
    <cellStyle name="Percent 4 2 3 2 5 2" xfId="33293"/>
    <cellStyle name="Percent 4 2 3 2 5 3" xfId="33294"/>
    <cellStyle name="Percent 4 2 3 2 6" xfId="33295"/>
    <cellStyle name="Percent 4 2 3 2 6 2" xfId="33296"/>
    <cellStyle name="Percent 4 2 3 2 6 3" xfId="33297"/>
    <cellStyle name="Percent 4 2 3 2 7" xfId="33298"/>
    <cellStyle name="Percent 4 2 3 2 8" xfId="33299"/>
    <cellStyle name="Percent 4 2 3 2 9" xfId="33300"/>
    <cellStyle name="Percent 4 2 3 3" xfId="33301"/>
    <cellStyle name="Percent 4 2 3 3 10" xfId="33302"/>
    <cellStyle name="Percent 4 2 3 3 11" xfId="33303"/>
    <cellStyle name="Percent 4 2 3 3 12" xfId="33304"/>
    <cellStyle name="Percent 4 2 3 3 13" xfId="33305"/>
    <cellStyle name="Percent 4 2 3 3 2" xfId="33306"/>
    <cellStyle name="Percent 4 2 3 3 2 10" xfId="33307"/>
    <cellStyle name="Percent 4 2 3 3 2 11" xfId="33308"/>
    <cellStyle name="Percent 4 2 3 3 2 2" xfId="33309"/>
    <cellStyle name="Percent 4 2 3 3 2 3" xfId="33310"/>
    <cellStyle name="Percent 4 2 3 3 2 4" xfId="33311"/>
    <cellStyle name="Percent 4 2 3 3 2 5" xfId="33312"/>
    <cellStyle name="Percent 4 2 3 3 2 6" xfId="33313"/>
    <cellStyle name="Percent 4 2 3 3 2 7" xfId="33314"/>
    <cellStyle name="Percent 4 2 3 3 2 8" xfId="33315"/>
    <cellStyle name="Percent 4 2 3 3 2 9" xfId="33316"/>
    <cellStyle name="Percent 4 2 3 3 3" xfId="33317"/>
    <cellStyle name="Percent 4 2 3 3 3 10" xfId="33318"/>
    <cellStyle name="Percent 4 2 3 3 3 11" xfId="33319"/>
    <cellStyle name="Percent 4 2 3 3 3 2" xfId="33320"/>
    <cellStyle name="Percent 4 2 3 3 3 3" xfId="33321"/>
    <cellStyle name="Percent 4 2 3 3 3 4" xfId="33322"/>
    <cellStyle name="Percent 4 2 3 3 3 5" xfId="33323"/>
    <cellStyle name="Percent 4 2 3 3 3 6" xfId="33324"/>
    <cellStyle name="Percent 4 2 3 3 3 7" xfId="33325"/>
    <cellStyle name="Percent 4 2 3 3 3 8" xfId="33326"/>
    <cellStyle name="Percent 4 2 3 3 3 9" xfId="33327"/>
    <cellStyle name="Percent 4 2 3 3 4" xfId="33328"/>
    <cellStyle name="Percent 4 2 3 3 4 2" xfId="33329"/>
    <cellStyle name="Percent 4 2 3 3 5" xfId="33330"/>
    <cellStyle name="Percent 4 2 3 3 5 2" xfId="33331"/>
    <cellStyle name="Percent 4 2 3 3 5 3" xfId="33332"/>
    <cellStyle name="Percent 4 2 3 3 6" xfId="33333"/>
    <cellStyle name="Percent 4 2 3 3 6 2" xfId="33334"/>
    <cellStyle name="Percent 4 2 3 3 6 3" xfId="33335"/>
    <cellStyle name="Percent 4 2 3 3 7" xfId="33336"/>
    <cellStyle name="Percent 4 2 3 3 8" xfId="33337"/>
    <cellStyle name="Percent 4 2 3 3 9" xfId="33338"/>
    <cellStyle name="Percent 4 2 3 4" xfId="33339"/>
    <cellStyle name="Percent 4 2 3 4 10" xfId="33340"/>
    <cellStyle name="Percent 4 2 3 4 11" xfId="33341"/>
    <cellStyle name="Percent 4 2 3 4 12" xfId="33342"/>
    <cellStyle name="Percent 4 2 3 4 13" xfId="33343"/>
    <cellStyle name="Percent 4 2 3 4 2" xfId="33344"/>
    <cellStyle name="Percent 4 2 3 4 2 10" xfId="33345"/>
    <cellStyle name="Percent 4 2 3 4 2 11" xfId="33346"/>
    <cellStyle name="Percent 4 2 3 4 2 2" xfId="33347"/>
    <cellStyle name="Percent 4 2 3 4 2 3" xfId="33348"/>
    <cellStyle name="Percent 4 2 3 4 2 4" xfId="33349"/>
    <cellStyle name="Percent 4 2 3 4 2 5" xfId="33350"/>
    <cellStyle name="Percent 4 2 3 4 2 6" xfId="33351"/>
    <cellStyle name="Percent 4 2 3 4 2 7" xfId="33352"/>
    <cellStyle name="Percent 4 2 3 4 2 8" xfId="33353"/>
    <cellStyle name="Percent 4 2 3 4 2 9" xfId="33354"/>
    <cellStyle name="Percent 4 2 3 4 3" xfId="33355"/>
    <cellStyle name="Percent 4 2 3 4 3 10" xfId="33356"/>
    <cellStyle name="Percent 4 2 3 4 3 11" xfId="33357"/>
    <cellStyle name="Percent 4 2 3 4 3 2" xfId="33358"/>
    <cellStyle name="Percent 4 2 3 4 3 3" xfId="33359"/>
    <cellStyle name="Percent 4 2 3 4 3 4" xfId="33360"/>
    <cellStyle name="Percent 4 2 3 4 3 5" xfId="33361"/>
    <cellStyle name="Percent 4 2 3 4 3 6" xfId="33362"/>
    <cellStyle name="Percent 4 2 3 4 3 7" xfId="33363"/>
    <cellStyle name="Percent 4 2 3 4 3 8" xfId="33364"/>
    <cellStyle name="Percent 4 2 3 4 3 9" xfId="33365"/>
    <cellStyle name="Percent 4 2 3 4 4" xfId="33366"/>
    <cellStyle name="Percent 4 2 3 4 4 2" xfId="33367"/>
    <cellStyle name="Percent 4 2 3 4 5" xfId="33368"/>
    <cellStyle name="Percent 4 2 3 4 5 2" xfId="33369"/>
    <cellStyle name="Percent 4 2 3 4 5 3" xfId="33370"/>
    <cellStyle name="Percent 4 2 3 4 6" xfId="33371"/>
    <cellStyle name="Percent 4 2 3 4 6 2" xfId="33372"/>
    <cellStyle name="Percent 4 2 3 4 6 3" xfId="33373"/>
    <cellStyle name="Percent 4 2 3 4 7" xfId="33374"/>
    <cellStyle name="Percent 4 2 3 4 8" xfId="33375"/>
    <cellStyle name="Percent 4 2 3 4 9" xfId="33376"/>
    <cellStyle name="Percent 4 2 3 5" xfId="33377"/>
    <cellStyle name="Percent 4 2 3 5 10" xfId="33378"/>
    <cellStyle name="Percent 4 2 3 5 11" xfId="33379"/>
    <cellStyle name="Percent 4 2 3 5 12" xfId="33380"/>
    <cellStyle name="Percent 4 2 3 5 13" xfId="33381"/>
    <cellStyle name="Percent 4 2 3 5 2" xfId="33382"/>
    <cellStyle name="Percent 4 2 3 5 2 10" xfId="33383"/>
    <cellStyle name="Percent 4 2 3 5 2 11" xfId="33384"/>
    <cellStyle name="Percent 4 2 3 5 2 2" xfId="33385"/>
    <cellStyle name="Percent 4 2 3 5 2 3" xfId="33386"/>
    <cellStyle name="Percent 4 2 3 5 2 4" xfId="33387"/>
    <cellStyle name="Percent 4 2 3 5 2 5" xfId="33388"/>
    <cellStyle name="Percent 4 2 3 5 2 6" xfId="33389"/>
    <cellStyle name="Percent 4 2 3 5 2 7" xfId="33390"/>
    <cellStyle name="Percent 4 2 3 5 2 8" xfId="33391"/>
    <cellStyle name="Percent 4 2 3 5 2 9" xfId="33392"/>
    <cellStyle name="Percent 4 2 3 5 3" xfId="33393"/>
    <cellStyle name="Percent 4 2 3 5 3 10" xfId="33394"/>
    <cellStyle name="Percent 4 2 3 5 3 11" xfId="33395"/>
    <cellStyle name="Percent 4 2 3 5 3 2" xfId="33396"/>
    <cellStyle name="Percent 4 2 3 5 3 3" xfId="33397"/>
    <cellStyle name="Percent 4 2 3 5 3 4" xfId="33398"/>
    <cellStyle name="Percent 4 2 3 5 3 5" xfId="33399"/>
    <cellStyle name="Percent 4 2 3 5 3 6" xfId="33400"/>
    <cellStyle name="Percent 4 2 3 5 3 7" xfId="33401"/>
    <cellStyle name="Percent 4 2 3 5 3 8" xfId="33402"/>
    <cellStyle name="Percent 4 2 3 5 3 9" xfId="33403"/>
    <cellStyle name="Percent 4 2 3 5 4" xfId="33404"/>
    <cellStyle name="Percent 4 2 3 5 4 2" xfId="33405"/>
    <cellStyle name="Percent 4 2 3 5 5" xfId="33406"/>
    <cellStyle name="Percent 4 2 3 5 5 2" xfId="33407"/>
    <cellStyle name="Percent 4 2 3 5 5 3" xfId="33408"/>
    <cellStyle name="Percent 4 2 3 5 6" xfId="33409"/>
    <cellStyle name="Percent 4 2 3 5 6 2" xfId="33410"/>
    <cellStyle name="Percent 4 2 3 5 6 3" xfId="33411"/>
    <cellStyle name="Percent 4 2 3 5 7" xfId="33412"/>
    <cellStyle name="Percent 4 2 3 5 8" xfId="33413"/>
    <cellStyle name="Percent 4 2 3 5 9" xfId="33414"/>
    <cellStyle name="Percent 4 2 3 6" xfId="33415"/>
    <cellStyle name="Percent 4 2 3 6 10" xfId="33416"/>
    <cellStyle name="Percent 4 2 3 6 11" xfId="33417"/>
    <cellStyle name="Percent 4 2 3 6 12" xfId="33418"/>
    <cellStyle name="Percent 4 2 3 6 13" xfId="33419"/>
    <cellStyle name="Percent 4 2 3 6 2" xfId="33420"/>
    <cellStyle name="Percent 4 2 3 6 2 10" xfId="33421"/>
    <cellStyle name="Percent 4 2 3 6 2 11" xfId="33422"/>
    <cellStyle name="Percent 4 2 3 6 2 2" xfId="33423"/>
    <cellStyle name="Percent 4 2 3 6 2 3" xfId="33424"/>
    <cellStyle name="Percent 4 2 3 6 2 4" xfId="33425"/>
    <cellStyle name="Percent 4 2 3 6 2 5" xfId="33426"/>
    <cellStyle name="Percent 4 2 3 6 2 6" xfId="33427"/>
    <cellStyle name="Percent 4 2 3 6 2 7" xfId="33428"/>
    <cellStyle name="Percent 4 2 3 6 2 8" xfId="33429"/>
    <cellStyle name="Percent 4 2 3 6 2 9" xfId="33430"/>
    <cellStyle name="Percent 4 2 3 6 3" xfId="33431"/>
    <cellStyle name="Percent 4 2 3 6 3 10" xfId="33432"/>
    <cellStyle name="Percent 4 2 3 6 3 11" xfId="33433"/>
    <cellStyle name="Percent 4 2 3 6 3 2" xfId="33434"/>
    <cellStyle name="Percent 4 2 3 6 3 3" xfId="33435"/>
    <cellStyle name="Percent 4 2 3 6 3 4" xfId="33436"/>
    <cellStyle name="Percent 4 2 3 6 3 5" xfId="33437"/>
    <cellStyle name="Percent 4 2 3 6 3 6" xfId="33438"/>
    <cellStyle name="Percent 4 2 3 6 3 7" xfId="33439"/>
    <cellStyle name="Percent 4 2 3 6 3 8" xfId="33440"/>
    <cellStyle name="Percent 4 2 3 6 3 9" xfId="33441"/>
    <cellStyle name="Percent 4 2 3 6 4" xfId="33442"/>
    <cellStyle name="Percent 4 2 3 6 4 2" xfId="33443"/>
    <cellStyle name="Percent 4 2 3 6 5" xfId="33444"/>
    <cellStyle name="Percent 4 2 3 6 5 2" xfId="33445"/>
    <cellStyle name="Percent 4 2 3 6 5 3" xfId="33446"/>
    <cellStyle name="Percent 4 2 3 6 6" xfId="33447"/>
    <cellStyle name="Percent 4 2 3 6 6 2" xfId="33448"/>
    <cellStyle name="Percent 4 2 3 6 6 3" xfId="33449"/>
    <cellStyle name="Percent 4 2 3 6 7" xfId="33450"/>
    <cellStyle name="Percent 4 2 3 6 8" xfId="33451"/>
    <cellStyle name="Percent 4 2 3 6 9" xfId="33452"/>
    <cellStyle name="Percent 4 2 3 7" xfId="33453"/>
    <cellStyle name="Percent 4 2 3 7 10" xfId="33454"/>
    <cellStyle name="Percent 4 2 3 7 11" xfId="33455"/>
    <cellStyle name="Percent 4 2 3 7 2" xfId="33456"/>
    <cellStyle name="Percent 4 2 3 7 3" xfId="33457"/>
    <cellStyle name="Percent 4 2 3 7 4" xfId="33458"/>
    <cellStyle name="Percent 4 2 3 7 5" xfId="33459"/>
    <cellStyle name="Percent 4 2 3 7 6" xfId="33460"/>
    <cellStyle name="Percent 4 2 3 7 7" xfId="33461"/>
    <cellStyle name="Percent 4 2 3 7 8" xfId="33462"/>
    <cellStyle name="Percent 4 2 3 7 9" xfId="33463"/>
    <cellStyle name="Percent 4 2 3 8" xfId="33464"/>
    <cellStyle name="Percent 4 2 3 8 10" xfId="33465"/>
    <cellStyle name="Percent 4 2 3 8 11" xfId="33466"/>
    <cellStyle name="Percent 4 2 3 8 2" xfId="33467"/>
    <cellStyle name="Percent 4 2 3 8 3" xfId="33468"/>
    <cellStyle name="Percent 4 2 3 8 4" xfId="33469"/>
    <cellStyle name="Percent 4 2 3 8 5" xfId="33470"/>
    <cellStyle name="Percent 4 2 3 8 6" xfId="33471"/>
    <cellStyle name="Percent 4 2 3 8 7" xfId="33472"/>
    <cellStyle name="Percent 4 2 3 8 8" xfId="33473"/>
    <cellStyle name="Percent 4 2 3 8 9" xfId="33474"/>
    <cellStyle name="Percent 4 2 3 9" xfId="33475"/>
    <cellStyle name="Percent 4 2 3 9 2" xfId="33476"/>
    <cellStyle name="Percent 4 2 4" xfId="33477"/>
    <cellStyle name="Percent 4 2 4 2" xfId="33478"/>
    <cellStyle name="Percent 4 2 4 2 2" xfId="33479"/>
    <cellStyle name="Percent 4 2 4 3" xfId="33480"/>
    <cellStyle name="Percent 4 2 4 4" xfId="33481"/>
    <cellStyle name="Percent 4 2 4 5" xfId="33482"/>
    <cellStyle name="Percent 4 2 5" xfId="33483"/>
    <cellStyle name="Percent 4 2 5 2" xfId="33484"/>
    <cellStyle name="Percent 4 2 5 2 2" xfId="33485"/>
    <cellStyle name="Percent 4 2 5 3" xfId="33486"/>
    <cellStyle name="Percent 4 2 5 4" xfId="33487"/>
    <cellStyle name="Percent 4 2 5 5" xfId="33488"/>
    <cellStyle name="Percent 4 2 6" xfId="33489"/>
    <cellStyle name="Percent 4 2 6 2" xfId="33490"/>
    <cellStyle name="Percent 4 2 6 2 2" xfId="33491"/>
    <cellStyle name="Percent 4 2 6 3" xfId="33492"/>
    <cellStyle name="Percent 4 2 6 4" xfId="33493"/>
    <cellStyle name="Percent 4 2 6 5" xfId="33494"/>
    <cellStyle name="Percent 4 2 7" xfId="33495"/>
    <cellStyle name="Percent 4 2 7 2" xfId="33496"/>
    <cellStyle name="Percent 4 2 7 2 2" xfId="33497"/>
    <cellStyle name="Percent 4 2 7 3" xfId="33498"/>
    <cellStyle name="Percent 4 2 7 4" xfId="33499"/>
    <cellStyle name="Percent 4 2 7 5" xfId="33500"/>
    <cellStyle name="Percent 4 2 8" xfId="33501"/>
    <cellStyle name="Percent 4 2 8 2" xfId="33502"/>
    <cellStyle name="Percent 4 2 8 2 2" xfId="33503"/>
    <cellStyle name="Percent 4 2 8 3" xfId="33504"/>
    <cellStyle name="Percent 4 2 8 4" xfId="33505"/>
    <cellStyle name="Percent 4 2 8 5" xfId="33506"/>
    <cellStyle name="Percent 4 2 9" xfId="33507"/>
    <cellStyle name="Percent 4 2 9 10" xfId="33508"/>
    <cellStyle name="Percent 4 2 9 11" xfId="33509"/>
    <cellStyle name="Percent 4 2 9 12" xfId="33510"/>
    <cellStyle name="Percent 4 2 9 13" xfId="33511"/>
    <cellStyle name="Percent 4 2 9 2" xfId="33512"/>
    <cellStyle name="Percent 4 2 9 2 10" xfId="33513"/>
    <cellStyle name="Percent 4 2 9 2 11" xfId="33514"/>
    <cellStyle name="Percent 4 2 9 2 2" xfId="33515"/>
    <cellStyle name="Percent 4 2 9 2 3" xfId="33516"/>
    <cellStyle name="Percent 4 2 9 2 4" xfId="33517"/>
    <cellStyle name="Percent 4 2 9 2 5" xfId="33518"/>
    <cellStyle name="Percent 4 2 9 2 6" xfId="33519"/>
    <cellStyle name="Percent 4 2 9 2 7" xfId="33520"/>
    <cellStyle name="Percent 4 2 9 2 8" xfId="33521"/>
    <cellStyle name="Percent 4 2 9 2 9" xfId="33522"/>
    <cellStyle name="Percent 4 2 9 3" xfId="33523"/>
    <cellStyle name="Percent 4 2 9 3 10" xfId="33524"/>
    <cellStyle name="Percent 4 2 9 3 11" xfId="33525"/>
    <cellStyle name="Percent 4 2 9 3 2" xfId="33526"/>
    <cellStyle name="Percent 4 2 9 3 3" xfId="33527"/>
    <cellStyle name="Percent 4 2 9 3 4" xfId="33528"/>
    <cellStyle name="Percent 4 2 9 3 5" xfId="33529"/>
    <cellStyle name="Percent 4 2 9 3 6" xfId="33530"/>
    <cellStyle name="Percent 4 2 9 3 7" xfId="33531"/>
    <cellStyle name="Percent 4 2 9 3 8" xfId="33532"/>
    <cellStyle name="Percent 4 2 9 3 9" xfId="33533"/>
    <cellStyle name="Percent 4 2 9 4" xfId="33534"/>
    <cellStyle name="Percent 4 2 9 4 2" xfId="33535"/>
    <cellStyle name="Percent 4 2 9 5" xfId="33536"/>
    <cellStyle name="Percent 4 2 9 5 2" xfId="33537"/>
    <cellStyle name="Percent 4 2 9 5 3" xfId="33538"/>
    <cellStyle name="Percent 4 2 9 6" xfId="33539"/>
    <cellStyle name="Percent 4 2 9 6 2" xfId="33540"/>
    <cellStyle name="Percent 4 2 9 6 3" xfId="33541"/>
    <cellStyle name="Percent 4 2 9 7" xfId="33542"/>
    <cellStyle name="Percent 4 2 9 8" xfId="33543"/>
    <cellStyle name="Percent 4 2 9 9" xfId="33544"/>
    <cellStyle name="Percent 4 20" xfId="33545"/>
    <cellStyle name="Percent 4 20 10" xfId="33546"/>
    <cellStyle name="Percent 4 20 11" xfId="33547"/>
    <cellStyle name="Percent 4 20 2" xfId="33548"/>
    <cellStyle name="Percent 4 20 3" xfId="33549"/>
    <cellStyle name="Percent 4 20 4" xfId="33550"/>
    <cellStyle name="Percent 4 20 5" xfId="33551"/>
    <cellStyle name="Percent 4 20 6" xfId="33552"/>
    <cellStyle name="Percent 4 20 7" xfId="33553"/>
    <cellStyle name="Percent 4 20 8" xfId="33554"/>
    <cellStyle name="Percent 4 20 9" xfId="33555"/>
    <cellStyle name="Percent 4 21" xfId="33556"/>
    <cellStyle name="Percent 4 21 10" xfId="33557"/>
    <cellStyle name="Percent 4 21 11" xfId="33558"/>
    <cellStyle name="Percent 4 21 2" xfId="33559"/>
    <cellStyle name="Percent 4 21 3" xfId="33560"/>
    <cellStyle name="Percent 4 21 4" xfId="33561"/>
    <cellStyle name="Percent 4 21 5" xfId="33562"/>
    <cellStyle name="Percent 4 21 6" xfId="33563"/>
    <cellStyle name="Percent 4 21 7" xfId="33564"/>
    <cellStyle name="Percent 4 21 8" xfId="33565"/>
    <cellStyle name="Percent 4 21 9" xfId="33566"/>
    <cellStyle name="Percent 4 22" xfId="33567"/>
    <cellStyle name="Percent 4 22 2" xfId="33568"/>
    <cellStyle name="Percent 4 23" xfId="33569"/>
    <cellStyle name="Percent 4 24" xfId="33570"/>
    <cellStyle name="Percent 4 25" xfId="33571"/>
    <cellStyle name="Percent 4 26" xfId="33572"/>
    <cellStyle name="Percent 4 27" xfId="33573"/>
    <cellStyle name="Percent 4 28" xfId="33574"/>
    <cellStyle name="Percent 4 29" xfId="33575"/>
    <cellStyle name="Percent 4 3" xfId="33576"/>
    <cellStyle name="Percent 4 3 10" xfId="33577"/>
    <cellStyle name="Percent 4 3 10 2" xfId="33578"/>
    <cellStyle name="Percent 4 3 10 2 2" xfId="33579"/>
    <cellStyle name="Percent 4 3 10 2 3" xfId="33580"/>
    <cellStyle name="Percent 4 3 10 3" xfId="33581"/>
    <cellStyle name="Percent 4 3 10 3 2" xfId="33582"/>
    <cellStyle name="Percent 4 3 10 3 3" xfId="33583"/>
    <cellStyle name="Percent 4 3 10 4" xfId="33584"/>
    <cellStyle name="Percent 4 3 10 5" xfId="33585"/>
    <cellStyle name="Percent 4 3 10 6" xfId="33586"/>
    <cellStyle name="Percent 4 3 10 7" xfId="33587"/>
    <cellStyle name="Percent 4 3 11" xfId="33588"/>
    <cellStyle name="Percent 4 3 11 2" xfId="33589"/>
    <cellStyle name="Percent 4 3 12" xfId="33590"/>
    <cellStyle name="Percent 4 3 12 2" xfId="33591"/>
    <cellStyle name="Percent 4 3 12 3" xfId="33592"/>
    <cellStyle name="Percent 4 3 13" xfId="33593"/>
    <cellStyle name="Percent 4 3 13 2" xfId="33594"/>
    <cellStyle name="Percent 4 3 13 3" xfId="33595"/>
    <cellStyle name="Percent 4 3 14" xfId="33596"/>
    <cellStyle name="Percent 4 3 15" xfId="33597"/>
    <cellStyle name="Percent 4 3 16" xfId="33598"/>
    <cellStyle name="Percent 4 3 17" xfId="33599"/>
    <cellStyle name="Percent 4 3 18" xfId="33600"/>
    <cellStyle name="Percent 4 3 2" xfId="33601"/>
    <cellStyle name="Percent 4 3 2 10" xfId="33602"/>
    <cellStyle name="Percent 4 3 2 10 2" xfId="33603"/>
    <cellStyle name="Percent 4 3 2 10 3" xfId="33604"/>
    <cellStyle name="Percent 4 3 2 11" xfId="33605"/>
    <cellStyle name="Percent 4 3 2 12" xfId="33606"/>
    <cellStyle name="Percent 4 3 2 13" xfId="33607"/>
    <cellStyle name="Percent 4 3 2 14" xfId="33608"/>
    <cellStyle name="Percent 4 3 2 2" xfId="33609"/>
    <cellStyle name="Percent 4 3 2 2 10" xfId="33610"/>
    <cellStyle name="Percent 4 3 2 2 11" xfId="33611"/>
    <cellStyle name="Percent 4 3 2 2 12" xfId="33612"/>
    <cellStyle name="Percent 4 3 2 2 2" xfId="33613"/>
    <cellStyle name="Percent 4 3 2 2 2 2" xfId="33614"/>
    <cellStyle name="Percent 4 3 2 2 2 2 2" xfId="33615"/>
    <cellStyle name="Percent 4 3 2 2 2 2 2 2" xfId="33616"/>
    <cellStyle name="Percent 4 3 2 2 2 2 2 2 2" xfId="33617"/>
    <cellStyle name="Percent 4 3 2 2 2 2 2 2 3" xfId="33618"/>
    <cellStyle name="Percent 4 3 2 2 2 2 2 3" xfId="33619"/>
    <cellStyle name="Percent 4 3 2 2 2 2 2 3 2" xfId="33620"/>
    <cellStyle name="Percent 4 3 2 2 2 2 2 3 3" xfId="33621"/>
    <cellStyle name="Percent 4 3 2 2 2 2 2 4" xfId="33622"/>
    <cellStyle name="Percent 4 3 2 2 2 2 2 5" xfId="33623"/>
    <cellStyle name="Percent 4 3 2 2 2 2 2 6" xfId="33624"/>
    <cellStyle name="Percent 4 3 2 2 2 2 2 7" xfId="33625"/>
    <cellStyle name="Percent 4 3 2 2 2 2 3" xfId="33626"/>
    <cellStyle name="Percent 4 3 2 2 2 2 3 2" xfId="33627"/>
    <cellStyle name="Percent 4 3 2 2 2 2 3 3" xfId="33628"/>
    <cellStyle name="Percent 4 3 2 2 2 2 4" xfId="33629"/>
    <cellStyle name="Percent 4 3 2 2 2 2 4 2" xfId="33630"/>
    <cellStyle name="Percent 4 3 2 2 2 2 4 3" xfId="33631"/>
    <cellStyle name="Percent 4 3 2 2 2 2 5" xfId="33632"/>
    <cellStyle name="Percent 4 3 2 2 2 2 6" xfId="33633"/>
    <cellStyle name="Percent 4 3 2 2 2 2 7" xfId="33634"/>
    <cellStyle name="Percent 4 3 2 2 2 2 8" xfId="33635"/>
    <cellStyle name="Percent 4 3 2 2 2 3" xfId="33636"/>
    <cellStyle name="Percent 4 3 2 2 2 3 2" xfId="33637"/>
    <cellStyle name="Percent 4 3 2 2 2 3 2 2" xfId="33638"/>
    <cellStyle name="Percent 4 3 2 2 2 3 2 3" xfId="33639"/>
    <cellStyle name="Percent 4 3 2 2 2 3 3" xfId="33640"/>
    <cellStyle name="Percent 4 3 2 2 2 3 3 2" xfId="33641"/>
    <cellStyle name="Percent 4 3 2 2 2 3 3 3" xfId="33642"/>
    <cellStyle name="Percent 4 3 2 2 2 3 4" xfId="33643"/>
    <cellStyle name="Percent 4 3 2 2 2 3 5" xfId="33644"/>
    <cellStyle name="Percent 4 3 2 2 2 3 6" xfId="33645"/>
    <cellStyle name="Percent 4 3 2 2 2 3 7" xfId="33646"/>
    <cellStyle name="Percent 4 3 2 2 2 4" xfId="33647"/>
    <cellStyle name="Percent 4 3 2 2 2 4 2" xfId="33648"/>
    <cellStyle name="Percent 4 3 2 2 2 4 3" xfId="33649"/>
    <cellStyle name="Percent 4 3 2 2 2 5" xfId="33650"/>
    <cellStyle name="Percent 4 3 2 2 2 5 2" xfId="33651"/>
    <cellStyle name="Percent 4 3 2 2 2 5 3" xfId="33652"/>
    <cellStyle name="Percent 4 3 2 2 2 6" xfId="33653"/>
    <cellStyle name="Percent 4 3 2 2 2 7" xfId="33654"/>
    <cellStyle name="Percent 4 3 2 2 2 8" xfId="33655"/>
    <cellStyle name="Percent 4 3 2 2 2 9" xfId="33656"/>
    <cellStyle name="Percent 4 3 2 2 3" xfId="33657"/>
    <cellStyle name="Percent 4 3 2 2 3 2" xfId="33658"/>
    <cellStyle name="Percent 4 3 2 2 3 2 2" xfId="33659"/>
    <cellStyle name="Percent 4 3 2 2 3 2 2 2" xfId="33660"/>
    <cellStyle name="Percent 4 3 2 2 3 2 2 3" xfId="33661"/>
    <cellStyle name="Percent 4 3 2 2 3 2 3" xfId="33662"/>
    <cellStyle name="Percent 4 3 2 2 3 2 3 2" xfId="33663"/>
    <cellStyle name="Percent 4 3 2 2 3 2 3 3" xfId="33664"/>
    <cellStyle name="Percent 4 3 2 2 3 2 4" xfId="33665"/>
    <cellStyle name="Percent 4 3 2 2 3 2 5" xfId="33666"/>
    <cellStyle name="Percent 4 3 2 2 3 2 6" xfId="33667"/>
    <cellStyle name="Percent 4 3 2 2 3 2 7" xfId="33668"/>
    <cellStyle name="Percent 4 3 2 2 3 3" xfId="33669"/>
    <cellStyle name="Percent 4 3 2 2 3 3 2" xfId="33670"/>
    <cellStyle name="Percent 4 3 2 2 3 3 3" xfId="33671"/>
    <cellStyle name="Percent 4 3 2 2 3 4" xfId="33672"/>
    <cellStyle name="Percent 4 3 2 2 3 4 2" xfId="33673"/>
    <cellStyle name="Percent 4 3 2 2 3 4 3" xfId="33674"/>
    <cellStyle name="Percent 4 3 2 2 3 5" xfId="33675"/>
    <cellStyle name="Percent 4 3 2 2 3 6" xfId="33676"/>
    <cellStyle name="Percent 4 3 2 2 3 7" xfId="33677"/>
    <cellStyle name="Percent 4 3 2 2 3 8" xfId="33678"/>
    <cellStyle name="Percent 4 3 2 2 4" xfId="33679"/>
    <cellStyle name="Percent 4 3 2 2 4 2" xfId="33680"/>
    <cellStyle name="Percent 4 3 2 2 4 2 2" xfId="33681"/>
    <cellStyle name="Percent 4 3 2 2 4 2 2 2" xfId="33682"/>
    <cellStyle name="Percent 4 3 2 2 4 2 2 3" xfId="33683"/>
    <cellStyle name="Percent 4 3 2 2 4 2 3" xfId="33684"/>
    <cellStyle name="Percent 4 3 2 2 4 2 3 2" xfId="33685"/>
    <cellStyle name="Percent 4 3 2 2 4 2 3 3" xfId="33686"/>
    <cellStyle name="Percent 4 3 2 2 4 2 4" xfId="33687"/>
    <cellStyle name="Percent 4 3 2 2 4 2 5" xfId="33688"/>
    <cellStyle name="Percent 4 3 2 2 4 2 6" xfId="33689"/>
    <cellStyle name="Percent 4 3 2 2 4 2 7" xfId="33690"/>
    <cellStyle name="Percent 4 3 2 2 4 3" xfId="33691"/>
    <cellStyle name="Percent 4 3 2 2 4 3 2" xfId="33692"/>
    <cellStyle name="Percent 4 3 2 2 4 3 3" xfId="33693"/>
    <cellStyle name="Percent 4 3 2 2 4 4" xfId="33694"/>
    <cellStyle name="Percent 4 3 2 2 4 4 2" xfId="33695"/>
    <cellStyle name="Percent 4 3 2 2 4 4 3" xfId="33696"/>
    <cellStyle name="Percent 4 3 2 2 4 5" xfId="33697"/>
    <cellStyle name="Percent 4 3 2 2 4 6" xfId="33698"/>
    <cellStyle name="Percent 4 3 2 2 4 7" xfId="33699"/>
    <cellStyle name="Percent 4 3 2 2 4 8" xfId="33700"/>
    <cellStyle name="Percent 4 3 2 2 5" xfId="33701"/>
    <cellStyle name="Percent 4 3 2 2 5 2" xfId="33702"/>
    <cellStyle name="Percent 4 3 2 2 5 2 2" xfId="33703"/>
    <cellStyle name="Percent 4 3 2 2 5 2 3" xfId="33704"/>
    <cellStyle name="Percent 4 3 2 2 5 3" xfId="33705"/>
    <cellStyle name="Percent 4 3 2 2 5 3 2" xfId="33706"/>
    <cellStyle name="Percent 4 3 2 2 5 3 3" xfId="33707"/>
    <cellStyle name="Percent 4 3 2 2 5 4" xfId="33708"/>
    <cellStyle name="Percent 4 3 2 2 5 5" xfId="33709"/>
    <cellStyle name="Percent 4 3 2 2 5 6" xfId="33710"/>
    <cellStyle name="Percent 4 3 2 2 5 7" xfId="33711"/>
    <cellStyle name="Percent 4 3 2 2 6" xfId="33712"/>
    <cellStyle name="Percent 4 3 2 2 6 2" xfId="33713"/>
    <cellStyle name="Percent 4 3 2 2 7" xfId="33714"/>
    <cellStyle name="Percent 4 3 2 2 7 2" xfId="33715"/>
    <cellStyle name="Percent 4 3 2 2 7 3" xfId="33716"/>
    <cellStyle name="Percent 4 3 2 2 8" xfId="33717"/>
    <cellStyle name="Percent 4 3 2 2 8 2" xfId="33718"/>
    <cellStyle name="Percent 4 3 2 2 8 3" xfId="33719"/>
    <cellStyle name="Percent 4 3 2 2 9" xfId="33720"/>
    <cellStyle name="Percent 4 3 2 3" xfId="33721"/>
    <cellStyle name="Percent 4 3 2 3 10" xfId="33722"/>
    <cellStyle name="Percent 4 3 2 3 11" xfId="33723"/>
    <cellStyle name="Percent 4 3 2 3 12" xfId="33724"/>
    <cellStyle name="Percent 4 3 2 3 2" xfId="33725"/>
    <cellStyle name="Percent 4 3 2 3 2 2" xfId="33726"/>
    <cellStyle name="Percent 4 3 2 3 2 2 2" xfId="33727"/>
    <cellStyle name="Percent 4 3 2 3 2 2 2 2" xfId="33728"/>
    <cellStyle name="Percent 4 3 2 3 2 2 2 2 2" xfId="33729"/>
    <cellStyle name="Percent 4 3 2 3 2 2 2 2 3" xfId="33730"/>
    <cellStyle name="Percent 4 3 2 3 2 2 2 3" xfId="33731"/>
    <cellStyle name="Percent 4 3 2 3 2 2 2 3 2" xfId="33732"/>
    <cellStyle name="Percent 4 3 2 3 2 2 2 3 3" xfId="33733"/>
    <cellStyle name="Percent 4 3 2 3 2 2 2 4" xfId="33734"/>
    <cellStyle name="Percent 4 3 2 3 2 2 2 5" xfId="33735"/>
    <cellStyle name="Percent 4 3 2 3 2 2 2 6" xfId="33736"/>
    <cellStyle name="Percent 4 3 2 3 2 2 2 7" xfId="33737"/>
    <cellStyle name="Percent 4 3 2 3 2 2 3" xfId="33738"/>
    <cellStyle name="Percent 4 3 2 3 2 2 3 2" xfId="33739"/>
    <cellStyle name="Percent 4 3 2 3 2 2 3 3" xfId="33740"/>
    <cellStyle name="Percent 4 3 2 3 2 2 4" xfId="33741"/>
    <cellStyle name="Percent 4 3 2 3 2 2 4 2" xfId="33742"/>
    <cellStyle name="Percent 4 3 2 3 2 2 4 3" xfId="33743"/>
    <cellStyle name="Percent 4 3 2 3 2 2 5" xfId="33744"/>
    <cellStyle name="Percent 4 3 2 3 2 2 6" xfId="33745"/>
    <cellStyle name="Percent 4 3 2 3 2 2 7" xfId="33746"/>
    <cellStyle name="Percent 4 3 2 3 2 2 8" xfId="33747"/>
    <cellStyle name="Percent 4 3 2 3 2 3" xfId="33748"/>
    <cellStyle name="Percent 4 3 2 3 2 3 2" xfId="33749"/>
    <cellStyle name="Percent 4 3 2 3 2 3 2 2" xfId="33750"/>
    <cellStyle name="Percent 4 3 2 3 2 3 2 3" xfId="33751"/>
    <cellStyle name="Percent 4 3 2 3 2 3 3" xfId="33752"/>
    <cellStyle name="Percent 4 3 2 3 2 3 3 2" xfId="33753"/>
    <cellStyle name="Percent 4 3 2 3 2 3 3 3" xfId="33754"/>
    <cellStyle name="Percent 4 3 2 3 2 3 4" xfId="33755"/>
    <cellStyle name="Percent 4 3 2 3 2 3 5" xfId="33756"/>
    <cellStyle name="Percent 4 3 2 3 2 3 6" xfId="33757"/>
    <cellStyle name="Percent 4 3 2 3 2 3 7" xfId="33758"/>
    <cellStyle name="Percent 4 3 2 3 2 4" xfId="33759"/>
    <cellStyle name="Percent 4 3 2 3 2 4 2" xfId="33760"/>
    <cellStyle name="Percent 4 3 2 3 2 4 3" xfId="33761"/>
    <cellStyle name="Percent 4 3 2 3 2 5" xfId="33762"/>
    <cellStyle name="Percent 4 3 2 3 2 5 2" xfId="33763"/>
    <cellStyle name="Percent 4 3 2 3 2 5 3" xfId="33764"/>
    <cellStyle name="Percent 4 3 2 3 2 6" xfId="33765"/>
    <cellStyle name="Percent 4 3 2 3 2 7" xfId="33766"/>
    <cellStyle name="Percent 4 3 2 3 2 8" xfId="33767"/>
    <cellStyle name="Percent 4 3 2 3 2 9" xfId="33768"/>
    <cellStyle name="Percent 4 3 2 3 3" xfId="33769"/>
    <cellStyle name="Percent 4 3 2 3 3 2" xfId="33770"/>
    <cellStyle name="Percent 4 3 2 3 3 2 2" xfId="33771"/>
    <cellStyle name="Percent 4 3 2 3 3 2 2 2" xfId="33772"/>
    <cellStyle name="Percent 4 3 2 3 3 2 2 3" xfId="33773"/>
    <cellStyle name="Percent 4 3 2 3 3 2 3" xfId="33774"/>
    <cellStyle name="Percent 4 3 2 3 3 2 3 2" xfId="33775"/>
    <cellStyle name="Percent 4 3 2 3 3 2 3 3" xfId="33776"/>
    <cellStyle name="Percent 4 3 2 3 3 2 4" xfId="33777"/>
    <cellStyle name="Percent 4 3 2 3 3 2 5" xfId="33778"/>
    <cellStyle name="Percent 4 3 2 3 3 2 6" xfId="33779"/>
    <cellStyle name="Percent 4 3 2 3 3 2 7" xfId="33780"/>
    <cellStyle name="Percent 4 3 2 3 3 3" xfId="33781"/>
    <cellStyle name="Percent 4 3 2 3 3 3 2" xfId="33782"/>
    <cellStyle name="Percent 4 3 2 3 3 3 3" xfId="33783"/>
    <cellStyle name="Percent 4 3 2 3 3 4" xfId="33784"/>
    <cellStyle name="Percent 4 3 2 3 3 4 2" xfId="33785"/>
    <cellStyle name="Percent 4 3 2 3 3 4 3" xfId="33786"/>
    <cellStyle name="Percent 4 3 2 3 3 5" xfId="33787"/>
    <cellStyle name="Percent 4 3 2 3 3 6" xfId="33788"/>
    <cellStyle name="Percent 4 3 2 3 3 7" xfId="33789"/>
    <cellStyle name="Percent 4 3 2 3 3 8" xfId="33790"/>
    <cellStyle name="Percent 4 3 2 3 4" xfId="33791"/>
    <cellStyle name="Percent 4 3 2 3 4 2" xfId="33792"/>
    <cellStyle name="Percent 4 3 2 3 4 2 2" xfId="33793"/>
    <cellStyle name="Percent 4 3 2 3 4 2 2 2" xfId="33794"/>
    <cellStyle name="Percent 4 3 2 3 4 2 2 3" xfId="33795"/>
    <cellStyle name="Percent 4 3 2 3 4 2 3" xfId="33796"/>
    <cellStyle name="Percent 4 3 2 3 4 2 3 2" xfId="33797"/>
    <cellStyle name="Percent 4 3 2 3 4 2 3 3" xfId="33798"/>
    <cellStyle name="Percent 4 3 2 3 4 2 4" xfId="33799"/>
    <cellStyle name="Percent 4 3 2 3 4 2 5" xfId="33800"/>
    <cellStyle name="Percent 4 3 2 3 4 2 6" xfId="33801"/>
    <cellStyle name="Percent 4 3 2 3 4 2 7" xfId="33802"/>
    <cellStyle name="Percent 4 3 2 3 4 3" xfId="33803"/>
    <cellStyle name="Percent 4 3 2 3 4 3 2" xfId="33804"/>
    <cellStyle name="Percent 4 3 2 3 4 3 3" xfId="33805"/>
    <cellStyle name="Percent 4 3 2 3 4 4" xfId="33806"/>
    <cellStyle name="Percent 4 3 2 3 4 4 2" xfId="33807"/>
    <cellStyle name="Percent 4 3 2 3 4 4 3" xfId="33808"/>
    <cellStyle name="Percent 4 3 2 3 4 5" xfId="33809"/>
    <cellStyle name="Percent 4 3 2 3 4 6" xfId="33810"/>
    <cellStyle name="Percent 4 3 2 3 4 7" xfId="33811"/>
    <cellStyle name="Percent 4 3 2 3 4 8" xfId="33812"/>
    <cellStyle name="Percent 4 3 2 3 5" xfId="33813"/>
    <cellStyle name="Percent 4 3 2 3 5 2" xfId="33814"/>
    <cellStyle name="Percent 4 3 2 3 5 2 2" xfId="33815"/>
    <cellStyle name="Percent 4 3 2 3 5 2 3" xfId="33816"/>
    <cellStyle name="Percent 4 3 2 3 5 3" xfId="33817"/>
    <cellStyle name="Percent 4 3 2 3 5 3 2" xfId="33818"/>
    <cellStyle name="Percent 4 3 2 3 5 3 3" xfId="33819"/>
    <cellStyle name="Percent 4 3 2 3 5 4" xfId="33820"/>
    <cellStyle name="Percent 4 3 2 3 5 5" xfId="33821"/>
    <cellStyle name="Percent 4 3 2 3 5 6" xfId="33822"/>
    <cellStyle name="Percent 4 3 2 3 5 7" xfId="33823"/>
    <cellStyle name="Percent 4 3 2 3 6" xfId="33824"/>
    <cellStyle name="Percent 4 3 2 3 6 2" xfId="33825"/>
    <cellStyle name="Percent 4 3 2 3 7" xfId="33826"/>
    <cellStyle name="Percent 4 3 2 3 7 2" xfId="33827"/>
    <cellStyle name="Percent 4 3 2 3 7 3" xfId="33828"/>
    <cellStyle name="Percent 4 3 2 3 8" xfId="33829"/>
    <cellStyle name="Percent 4 3 2 3 8 2" xfId="33830"/>
    <cellStyle name="Percent 4 3 2 3 8 3" xfId="33831"/>
    <cellStyle name="Percent 4 3 2 3 9" xfId="33832"/>
    <cellStyle name="Percent 4 3 2 4" xfId="33833"/>
    <cellStyle name="Percent 4 3 2 4 2" xfId="33834"/>
    <cellStyle name="Percent 4 3 2 4 2 2" xfId="33835"/>
    <cellStyle name="Percent 4 3 2 4 2 2 2" xfId="33836"/>
    <cellStyle name="Percent 4 3 2 4 2 2 2 2" xfId="33837"/>
    <cellStyle name="Percent 4 3 2 4 2 2 2 3" xfId="33838"/>
    <cellStyle name="Percent 4 3 2 4 2 2 3" xfId="33839"/>
    <cellStyle name="Percent 4 3 2 4 2 2 3 2" xfId="33840"/>
    <cellStyle name="Percent 4 3 2 4 2 2 3 3" xfId="33841"/>
    <cellStyle name="Percent 4 3 2 4 2 2 4" xfId="33842"/>
    <cellStyle name="Percent 4 3 2 4 2 2 5" xfId="33843"/>
    <cellStyle name="Percent 4 3 2 4 2 2 6" xfId="33844"/>
    <cellStyle name="Percent 4 3 2 4 2 2 7" xfId="33845"/>
    <cellStyle name="Percent 4 3 2 4 2 3" xfId="33846"/>
    <cellStyle name="Percent 4 3 2 4 2 3 2" xfId="33847"/>
    <cellStyle name="Percent 4 3 2 4 2 3 3" xfId="33848"/>
    <cellStyle name="Percent 4 3 2 4 2 4" xfId="33849"/>
    <cellStyle name="Percent 4 3 2 4 2 4 2" xfId="33850"/>
    <cellStyle name="Percent 4 3 2 4 2 4 3" xfId="33851"/>
    <cellStyle name="Percent 4 3 2 4 2 5" xfId="33852"/>
    <cellStyle name="Percent 4 3 2 4 2 6" xfId="33853"/>
    <cellStyle name="Percent 4 3 2 4 2 7" xfId="33854"/>
    <cellStyle name="Percent 4 3 2 4 2 8" xfId="33855"/>
    <cellStyle name="Percent 4 3 2 4 3" xfId="33856"/>
    <cellStyle name="Percent 4 3 2 4 3 2" xfId="33857"/>
    <cellStyle name="Percent 4 3 2 4 3 2 2" xfId="33858"/>
    <cellStyle name="Percent 4 3 2 4 3 2 3" xfId="33859"/>
    <cellStyle name="Percent 4 3 2 4 3 3" xfId="33860"/>
    <cellStyle name="Percent 4 3 2 4 3 3 2" xfId="33861"/>
    <cellStyle name="Percent 4 3 2 4 3 3 3" xfId="33862"/>
    <cellStyle name="Percent 4 3 2 4 3 4" xfId="33863"/>
    <cellStyle name="Percent 4 3 2 4 3 5" xfId="33864"/>
    <cellStyle name="Percent 4 3 2 4 3 6" xfId="33865"/>
    <cellStyle name="Percent 4 3 2 4 3 7" xfId="33866"/>
    <cellStyle name="Percent 4 3 2 4 4" xfId="33867"/>
    <cellStyle name="Percent 4 3 2 4 4 2" xfId="33868"/>
    <cellStyle name="Percent 4 3 2 4 4 3" xfId="33869"/>
    <cellStyle name="Percent 4 3 2 4 5" xfId="33870"/>
    <cellStyle name="Percent 4 3 2 4 5 2" xfId="33871"/>
    <cellStyle name="Percent 4 3 2 4 5 3" xfId="33872"/>
    <cellStyle name="Percent 4 3 2 4 6" xfId="33873"/>
    <cellStyle name="Percent 4 3 2 4 7" xfId="33874"/>
    <cellStyle name="Percent 4 3 2 4 8" xfId="33875"/>
    <cellStyle name="Percent 4 3 2 4 9" xfId="33876"/>
    <cellStyle name="Percent 4 3 2 5" xfId="33877"/>
    <cellStyle name="Percent 4 3 2 5 2" xfId="33878"/>
    <cellStyle name="Percent 4 3 2 5 2 2" xfId="33879"/>
    <cellStyle name="Percent 4 3 2 5 2 2 2" xfId="33880"/>
    <cellStyle name="Percent 4 3 2 5 2 2 3" xfId="33881"/>
    <cellStyle name="Percent 4 3 2 5 2 3" xfId="33882"/>
    <cellStyle name="Percent 4 3 2 5 2 3 2" xfId="33883"/>
    <cellStyle name="Percent 4 3 2 5 2 3 3" xfId="33884"/>
    <cellStyle name="Percent 4 3 2 5 2 4" xfId="33885"/>
    <cellStyle name="Percent 4 3 2 5 2 5" xfId="33886"/>
    <cellStyle name="Percent 4 3 2 5 2 6" xfId="33887"/>
    <cellStyle name="Percent 4 3 2 5 2 7" xfId="33888"/>
    <cellStyle name="Percent 4 3 2 5 3" xfId="33889"/>
    <cellStyle name="Percent 4 3 2 5 3 2" xfId="33890"/>
    <cellStyle name="Percent 4 3 2 5 3 3" xfId="33891"/>
    <cellStyle name="Percent 4 3 2 5 4" xfId="33892"/>
    <cellStyle name="Percent 4 3 2 5 4 2" xfId="33893"/>
    <cellStyle name="Percent 4 3 2 5 4 3" xfId="33894"/>
    <cellStyle name="Percent 4 3 2 5 5" xfId="33895"/>
    <cellStyle name="Percent 4 3 2 5 6" xfId="33896"/>
    <cellStyle name="Percent 4 3 2 5 7" xfId="33897"/>
    <cellStyle name="Percent 4 3 2 5 8" xfId="33898"/>
    <cellStyle name="Percent 4 3 2 6" xfId="33899"/>
    <cellStyle name="Percent 4 3 2 6 2" xfId="33900"/>
    <cellStyle name="Percent 4 3 2 6 2 2" xfId="33901"/>
    <cellStyle name="Percent 4 3 2 6 2 2 2" xfId="33902"/>
    <cellStyle name="Percent 4 3 2 6 2 2 3" xfId="33903"/>
    <cellStyle name="Percent 4 3 2 6 2 3" xfId="33904"/>
    <cellStyle name="Percent 4 3 2 6 2 3 2" xfId="33905"/>
    <cellStyle name="Percent 4 3 2 6 2 3 3" xfId="33906"/>
    <cellStyle name="Percent 4 3 2 6 2 4" xfId="33907"/>
    <cellStyle name="Percent 4 3 2 6 2 5" xfId="33908"/>
    <cellStyle name="Percent 4 3 2 6 2 6" xfId="33909"/>
    <cellStyle name="Percent 4 3 2 6 2 7" xfId="33910"/>
    <cellStyle name="Percent 4 3 2 6 3" xfId="33911"/>
    <cellStyle name="Percent 4 3 2 6 3 2" xfId="33912"/>
    <cellStyle name="Percent 4 3 2 6 3 3" xfId="33913"/>
    <cellStyle name="Percent 4 3 2 6 4" xfId="33914"/>
    <cellStyle name="Percent 4 3 2 6 4 2" xfId="33915"/>
    <cellStyle name="Percent 4 3 2 6 4 3" xfId="33916"/>
    <cellStyle name="Percent 4 3 2 6 5" xfId="33917"/>
    <cellStyle name="Percent 4 3 2 6 6" xfId="33918"/>
    <cellStyle name="Percent 4 3 2 6 7" xfId="33919"/>
    <cellStyle name="Percent 4 3 2 6 8" xfId="33920"/>
    <cellStyle name="Percent 4 3 2 7" xfId="33921"/>
    <cellStyle name="Percent 4 3 2 7 2" xfId="33922"/>
    <cellStyle name="Percent 4 3 2 7 2 2" xfId="33923"/>
    <cellStyle name="Percent 4 3 2 7 2 3" xfId="33924"/>
    <cellStyle name="Percent 4 3 2 7 3" xfId="33925"/>
    <cellStyle name="Percent 4 3 2 7 3 2" xfId="33926"/>
    <cellStyle name="Percent 4 3 2 7 3 3" xfId="33927"/>
    <cellStyle name="Percent 4 3 2 7 4" xfId="33928"/>
    <cellStyle name="Percent 4 3 2 7 5" xfId="33929"/>
    <cellStyle name="Percent 4 3 2 7 6" xfId="33930"/>
    <cellStyle name="Percent 4 3 2 7 7" xfId="33931"/>
    <cellStyle name="Percent 4 3 2 8" xfId="33932"/>
    <cellStyle name="Percent 4 3 2 8 2" xfId="33933"/>
    <cellStyle name="Percent 4 3 2 9" xfId="33934"/>
    <cellStyle name="Percent 4 3 2 9 2" xfId="33935"/>
    <cellStyle name="Percent 4 3 2 9 3" xfId="33936"/>
    <cellStyle name="Percent 4 3 3" xfId="33937"/>
    <cellStyle name="Percent 4 3 3 10" xfId="33938"/>
    <cellStyle name="Percent 4 3 3 11" xfId="33939"/>
    <cellStyle name="Percent 4 3 3 12" xfId="33940"/>
    <cellStyle name="Percent 4 3 3 13" xfId="33941"/>
    <cellStyle name="Percent 4 3 3 2" xfId="33942"/>
    <cellStyle name="Percent 4 3 3 2 10" xfId="33943"/>
    <cellStyle name="Percent 4 3 3 2 11" xfId="33944"/>
    <cellStyle name="Percent 4 3 3 2 2" xfId="33945"/>
    <cellStyle name="Percent 4 3 3 2 2 2" xfId="33946"/>
    <cellStyle name="Percent 4 3 3 2 2 2 2" xfId="33947"/>
    <cellStyle name="Percent 4 3 3 2 2 2 2 2" xfId="33948"/>
    <cellStyle name="Percent 4 3 3 2 2 2 2 3" xfId="33949"/>
    <cellStyle name="Percent 4 3 3 2 2 2 3" xfId="33950"/>
    <cellStyle name="Percent 4 3 3 2 2 2 3 2" xfId="33951"/>
    <cellStyle name="Percent 4 3 3 2 2 2 3 3" xfId="33952"/>
    <cellStyle name="Percent 4 3 3 2 2 2 4" xfId="33953"/>
    <cellStyle name="Percent 4 3 3 2 2 2 5" xfId="33954"/>
    <cellStyle name="Percent 4 3 3 2 2 2 6" xfId="33955"/>
    <cellStyle name="Percent 4 3 3 2 2 2 7" xfId="33956"/>
    <cellStyle name="Percent 4 3 3 2 2 3" xfId="33957"/>
    <cellStyle name="Percent 4 3 3 2 2 3 2" xfId="33958"/>
    <cellStyle name="Percent 4 3 3 2 2 3 3" xfId="33959"/>
    <cellStyle name="Percent 4 3 3 2 2 4" xfId="33960"/>
    <cellStyle name="Percent 4 3 3 2 2 4 2" xfId="33961"/>
    <cellStyle name="Percent 4 3 3 2 2 4 3" xfId="33962"/>
    <cellStyle name="Percent 4 3 3 2 2 5" xfId="33963"/>
    <cellStyle name="Percent 4 3 3 2 2 6" xfId="33964"/>
    <cellStyle name="Percent 4 3 3 2 2 7" xfId="33965"/>
    <cellStyle name="Percent 4 3 3 2 2 8" xfId="33966"/>
    <cellStyle name="Percent 4 3 3 2 3" xfId="33967"/>
    <cellStyle name="Percent 4 3 3 2 3 2" xfId="33968"/>
    <cellStyle name="Percent 4 3 3 2 3 2 2" xfId="33969"/>
    <cellStyle name="Percent 4 3 3 2 3 2 3" xfId="33970"/>
    <cellStyle name="Percent 4 3 3 2 3 3" xfId="33971"/>
    <cellStyle name="Percent 4 3 3 2 3 3 2" xfId="33972"/>
    <cellStyle name="Percent 4 3 3 2 3 3 3" xfId="33973"/>
    <cellStyle name="Percent 4 3 3 2 3 4" xfId="33974"/>
    <cellStyle name="Percent 4 3 3 2 3 5" xfId="33975"/>
    <cellStyle name="Percent 4 3 3 2 3 6" xfId="33976"/>
    <cellStyle name="Percent 4 3 3 2 3 7" xfId="33977"/>
    <cellStyle name="Percent 4 3 3 2 4" xfId="33978"/>
    <cellStyle name="Percent 4 3 3 2 4 2" xfId="33979"/>
    <cellStyle name="Percent 4 3 3 2 5" xfId="33980"/>
    <cellStyle name="Percent 4 3 3 2 5 2" xfId="33981"/>
    <cellStyle name="Percent 4 3 3 2 5 3" xfId="33982"/>
    <cellStyle name="Percent 4 3 3 2 6" xfId="33983"/>
    <cellStyle name="Percent 4 3 3 2 6 2" xfId="33984"/>
    <cellStyle name="Percent 4 3 3 2 6 3" xfId="33985"/>
    <cellStyle name="Percent 4 3 3 2 7" xfId="33986"/>
    <cellStyle name="Percent 4 3 3 2 8" xfId="33987"/>
    <cellStyle name="Percent 4 3 3 2 9" xfId="33988"/>
    <cellStyle name="Percent 4 3 3 3" xfId="33989"/>
    <cellStyle name="Percent 4 3 3 3 10" xfId="33990"/>
    <cellStyle name="Percent 4 3 3 3 11" xfId="33991"/>
    <cellStyle name="Percent 4 3 3 3 2" xfId="33992"/>
    <cellStyle name="Percent 4 3 3 3 2 2" xfId="33993"/>
    <cellStyle name="Percent 4 3 3 3 2 2 2" xfId="33994"/>
    <cellStyle name="Percent 4 3 3 3 2 2 3" xfId="33995"/>
    <cellStyle name="Percent 4 3 3 3 2 3" xfId="33996"/>
    <cellStyle name="Percent 4 3 3 3 2 3 2" xfId="33997"/>
    <cellStyle name="Percent 4 3 3 3 2 3 3" xfId="33998"/>
    <cellStyle name="Percent 4 3 3 3 2 4" xfId="33999"/>
    <cellStyle name="Percent 4 3 3 3 2 5" xfId="34000"/>
    <cellStyle name="Percent 4 3 3 3 2 6" xfId="34001"/>
    <cellStyle name="Percent 4 3 3 3 2 7" xfId="34002"/>
    <cellStyle name="Percent 4 3 3 3 3" xfId="34003"/>
    <cellStyle name="Percent 4 3 3 3 3 2" xfId="34004"/>
    <cellStyle name="Percent 4 3 3 3 4" xfId="34005"/>
    <cellStyle name="Percent 4 3 3 3 4 2" xfId="34006"/>
    <cellStyle name="Percent 4 3 3 3 4 3" xfId="34007"/>
    <cellStyle name="Percent 4 3 3 3 5" xfId="34008"/>
    <cellStyle name="Percent 4 3 3 3 5 2" xfId="34009"/>
    <cellStyle name="Percent 4 3 3 3 5 3" xfId="34010"/>
    <cellStyle name="Percent 4 3 3 3 6" xfId="34011"/>
    <cellStyle name="Percent 4 3 3 3 7" xfId="34012"/>
    <cellStyle name="Percent 4 3 3 3 8" xfId="34013"/>
    <cellStyle name="Percent 4 3 3 3 9" xfId="34014"/>
    <cellStyle name="Percent 4 3 3 4" xfId="34015"/>
    <cellStyle name="Percent 4 3 3 4 2" xfId="34016"/>
    <cellStyle name="Percent 4 3 3 4 2 2" xfId="34017"/>
    <cellStyle name="Percent 4 3 3 4 2 2 2" xfId="34018"/>
    <cellStyle name="Percent 4 3 3 4 2 2 3" xfId="34019"/>
    <cellStyle name="Percent 4 3 3 4 2 3" xfId="34020"/>
    <cellStyle name="Percent 4 3 3 4 2 3 2" xfId="34021"/>
    <cellStyle name="Percent 4 3 3 4 2 3 3" xfId="34022"/>
    <cellStyle name="Percent 4 3 3 4 2 4" xfId="34023"/>
    <cellStyle name="Percent 4 3 3 4 2 5" xfId="34024"/>
    <cellStyle name="Percent 4 3 3 4 2 6" xfId="34025"/>
    <cellStyle name="Percent 4 3 3 4 2 7" xfId="34026"/>
    <cellStyle name="Percent 4 3 3 4 3" xfId="34027"/>
    <cellStyle name="Percent 4 3 3 4 3 2" xfId="34028"/>
    <cellStyle name="Percent 4 3 3 4 3 3" xfId="34029"/>
    <cellStyle name="Percent 4 3 3 4 4" xfId="34030"/>
    <cellStyle name="Percent 4 3 3 4 4 2" xfId="34031"/>
    <cellStyle name="Percent 4 3 3 4 4 3" xfId="34032"/>
    <cellStyle name="Percent 4 3 3 4 5" xfId="34033"/>
    <cellStyle name="Percent 4 3 3 4 6" xfId="34034"/>
    <cellStyle name="Percent 4 3 3 4 7" xfId="34035"/>
    <cellStyle name="Percent 4 3 3 4 8" xfId="34036"/>
    <cellStyle name="Percent 4 3 3 5" xfId="34037"/>
    <cellStyle name="Percent 4 3 3 5 2" xfId="34038"/>
    <cellStyle name="Percent 4 3 3 5 2 2" xfId="34039"/>
    <cellStyle name="Percent 4 3 3 5 2 3" xfId="34040"/>
    <cellStyle name="Percent 4 3 3 5 3" xfId="34041"/>
    <cellStyle name="Percent 4 3 3 5 3 2" xfId="34042"/>
    <cellStyle name="Percent 4 3 3 5 3 3" xfId="34043"/>
    <cellStyle name="Percent 4 3 3 5 4" xfId="34044"/>
    <cellStyle name="Percent 4 3 3 5 5" xfId="34045"/>
    <cellStyle name="Percent 4 3 3 5 6" xfId="34046"/>
    <cellStyle name="Percent 4 3 3 5 7" xfId="34047"/>
    <cellStyle name="Percent 4 3 3 6" xfId="34048"/>
    <cellStyle name="Percent 4 3 3 6 2" xfId="34049"/>
    <cellStyle name="Percent 4 3 3 7" xfId="34050"/>
    <cellStyle name="Percent 4 3 3 7 2" xfId="34051"/>
    <cellStyle name="Percent 4 3 3 7 3" xfId="34052"/>
    <cellStyle name="Percent 4 3 3 8" xfId="34053"/>
    <cellStyle name="Percent 4 3 3 8 2" xfId="34054"/>
    <cellStyle name="Percent 4 3 3 8 3" xfId="34055"/>
    <cellStyle name="Percent 4 3 3 9" xfId="34056"/>
    <cellStyle name="Percent 4 3 4" xfId="34057"/>
    <cellStyle name="Percent 4 3 4 10" xfId="34058"/>
    <cellStyle name="Percent 4 3 4 11" xfId="34059"/>
    <cellStyle name="Percent 4 3 4 12" xfId="34060"/>
    <cellStyle name="Percent 4 3 4 13" xfId="34061"/>
    <cellStyle name="Percent 4 3 4 2" xfId="34062"/>
    <cellStyle name="Percent 4 3 4 2 10" xfId="34063"/>
    <cellStyle name="Percent 4 3 4 2 11" xfId="34064"/>
    <cellStyle name="Percent 4 3 4 2 2" xfId="34065"/>
    <cellStyle name="Percent 4 3 4 2 2 2" xfId="34066"/>
    <cellStyle name="Percent 4 3 4 2 2 2 2" xfId="34067"/>
    <cellStyle name="Percent 4 3 4 2 2 2 2 2" xfId="34068"/>
    <cellStyle name="Percent 4 3 4 2 2 2 2 3" xfId="34069"/>
    <cellStyle name="Percent 4 3 4 2 2 2 3" xfId="34070"/>
    <cellStyle name="Percent 4 3 4 2 2 2 3 2" xfId="34071"/>
    <cellStyle name="Percent 4 3 4 2 2 2 3 3" xfId="34072"/>
    <cellStyle name="Percent 4 3 4 2 2 2 4" xfId="34073"/>
    <cellStyle name="Percent 4 3 4 2 2 2 5" xfId="34074"/>
    <cellStyle name="Percent 4 3 4 2 2 2 6" xfId="34075"/>
    <cellStyle name="Percent 4 3 4 2 2 2 7" xfId="34076"/>
    <cellStyle name="Percent 4 3 4 2 2 3" xfId="34077"/>
    <cellStyle name="Percent 4 3 4 2 2 3 2" xfId="34078"/>
    <cellStyle name="Percent 4 3 4 2 2 3 3" xfId="34079"/>
    <cellStyle name="Percent 4 3 4 2 2 4" xfId="34080"/>
    <cellStyle name="Percent 4 3 4 2 2 4 2" xfId="34081"/>
    <cellStyle name="Percent 4 3 4 2 2 4 3" xfId="34082"/>
    <cellStyle name="Percent 4 3 4 2 2 5" xfId="34083"/>
    <cellStyle name="Percent 4 3 4 2 2 6" xfId="34084"/>
    <cellStyle name="Percent 4 3 4 2 2 7" xfId="34085"/>
    <cellStyle name="Percent 4 3 4 2 2 8" xfId="34086"/>
    <cellStyle name="Percent 4 3 4 2 3" xfId="34087"/>
    <cellStyle name="Percent 4 3 4 2 3 2" xfId="34088"/>
    <cellStyle name="Percent 4 3 4 2 3 2 2" xfId="34089"/>
    <cellStyle name="Percent 4 3 4 2 3 2 3" xfId="34090"/>
    <cellStyle name="Percent 4 3 4 2 3 3" xfId="34091"/>
    <cellStyle name="Percent 4 3 4 2 3 3 2" xfId="34092"/>
    <cellStyle name="Percent 4 3 4 2 3 3 3" xfId="34093"/>
    <cellStyle name="Percent 4 3 4 2 3 4" xfId="34094"/>
    <cellStyle name="Percent 4 3 4 2 3 5" xfId="34095"/>
    <cellStyle name="Percent 4 3 4 2 3 6" xfId="34096"/>
    <cellStyle name="Percent 4 3 4 2 3 7" xfId="34097"/>
    <cellStyle name="Percent 4 3 4 2 4" xfId="34098"/>
    <cellStyle name="Percent 4 3 4 2 4 2" xfId="34099"/>
    <cellStyle name="Percent 4 3 4 2 5" xfId="34100"/>
    <cellStyle name="Percent 4 3 4 2 5 2" xfId="34101"/>
    <cellStyle name="Percent 4 3 4 2 5 3" xfId="34102"/>
    <cellStyle name="Percent 4 3 4 2 6" xfId="34103"/>
    <cellStyle name="Percent 4 3 4 2 6 2" xfId="34104"/>
    <cellStyle name="Percent 4 3 4 2 6 3" xfId="34105"/>
    <cellStyle name="Percent 4 3 4 2 7" xfId="34106"/>
    <cellStyle name="Percent 4 3 4 2 8" xfId="34107"/>
    <cellStyle name="Percent 4 3 4 2 9" xfId="34108"/>
    <cellStyle name="Percent 4 3 4 3" xfId="34109"/>
    <cellStyle name="Percent 4 3 4 3 10" xfId="34110"/>
    <cellStyle name="Percent 4 3 4 3 11" xfId="34111"/>
    <cellStyle name="Percent 4 3 4 3 2" xfId="34112"/>
    <cellStyle name="Percent 4 3 4 3 2 2" xfId="34113"/>
    <cellStyle name="Percent 4 3 4 3 2 2 2" xfId="34114"/>
    <cellStyle name="Percent 4 3 4 3 2 2 3" xfId="34115"/>
    <cellStyle name="Percent 4 3 4 3 2 3" xfId="34116"/>
    <cellStyle name="Percent 4 3 4 3 2 3 2" xfId="34117"/>
    <cellStyle name="Percent 4 3 4 3 2 3 3" xfId="34118"/>
    <cellStyle name="Percent 4 3 4 3 2 4" xfId="34119"/>
    <cellStyle name="Percent 4 3 4 3 2 5" xfId="34120"/>
    <cellStyle name="Percent 4 3 4 3 2 6" xfId="34121"/>
    <cellStyle name="Percent 4 3 4 3 2 7" xfId="34122"/>
    <cellStyle name="Percent 4 3 4 3 3" xfId="34123"/>
    <cellStyle name="Percent 4 3 4 3 3 2" xfId="34124"/>
    <cellStyle name="Percent 4 3 4 3 4" xfId="34125"/>
    <cellStyle name="Percent 4 3 4 3 4 2" xfId="34126"/>
    <cellStyle name="Percent 4 3 4 3 4 3" xfId="34127"/>
    <cellStyle name="Percent 4 3 4 3 5" xfId="34128"/>
    <cellStyle name="Percent 4 3 4 3 5 2" xfId="34129"/>
    <cellStyle name="Percent 4 3 4 3 5 3" xfId="34130"/>
    <cellStyle name="Percent 4 3 4 3 6" xfId="34131"/>
    <cellStyle name="Percent 4 3 4 3 7" xfId="34132"/>
    <cellStyle name="Percent 4 3 4 3 8" xfId="34133"/>
    <cellStyle name="Percent 4 3 4 3 9" xfId="34134"/>
    <cellStyle name="Percent 4 3 4 4" xfId="34135"/>
    <cellStyle name="Percent 4 3 4 4 2" xfId="34136"/>
    <cellStyle name="Percent 4 3 4 4 2 2" xfId="34137"/>
    <cellStyle name="Percent 4 3 4 4 2 2 2" xfId="34138"/>
    <cellStyle name="Percent 4 3 4 4 2 2 3" xfId="34139"/>
    <cellStyle name="Percent 4 3 4 4 2 3" xfId="34140"/>
    <cellStyle name="Percent 4 3 4 4 2 3 2" xfId="34141"/>
    <cellStyle name="Percent 4 3 4 4 2 3 3" xfId="34142"/>
    <cellStyle name="Percent 4 3 4 4 2 4" xfId="34143"/>
    <cellStyle name="Percent 4 3 4 4 2 5" xfId="34144"/>
    <cellStyle name="Percent 4 3 4 4 2 6" xfId="34145"/>
    <cellStyle name="Percent 4 3 4 4 2 7" xfId="34146"/>
    <cellStyle name="Percent 4 3 4 4 3" xfId="34147"/>
    <cellStyle name="Percent 4 3 4 4 3 2" xfId="34148"/>
    <cellStyle name="Percent 4 3 4 4 3 3" xfId="34149"/>
    <cellStyle name="Percent 4 3 4 4 4" xfId="34150"/>
    <cellStyle name="Percent 4 3 4 4 4 2" xfId="34151"/>
    <cellStyle name="Percent 4 3 4 4 4 3" xfId="34152"/>
    <cellStyle name="Percent 4 3 4 4 5" xfId="34153"/>
    <cellStyle name="Percent 4 3 4 4 6" xfId="34154"/>
    <cellStyle name="Percent 4 3 4 4 7" xfId="34155"/>
    <cellStyle name="Percent 4 3 4 4 8" xfId="34156"/>
    <cellStyle name="Percent 4 3 4 5" xfId="34157"/>
    <cellStyle name="Percent 4 3 4 5 2" xfId="34158"/>
    <cellStyle name="Percent 4 3 4 5 2 2" xfId="34159"/>
    <cellStyle name="Percent 4 3 4 5 2 3" xfId="34160"/>
    <cellStyle name="Percent 4 3 4 5 3" xfId="34161"/>
    <cellStyle name="Percent 4 3 4 5 3 2" xfId="34162"/>
    <cellStyle name="Percent 4 3 4 5 3 3" xfId="34163"/>
    <cellStyle name="Percent 4 3 4 5 4" xfId="34164"/>
    <cellStyle name="Percent 4 3 4 5 5" xfId="34165"/>
    <cellStyle name="Percent 4 3 4 5 6" xfId="34166"/>
    <cellStyle name="Percent 4 3 4 5 7" xfId="34167"/>
    <cellStyle name="Percent 4 3 4 6" xfId="34168"/>
    <cellStyle name="Percent 4 3 4 6 2" xfId="34169"/>
    <cellStyle name="Percent 4 3 4 7" xfId="34170"/>
    <cellStyle name="Percent 4 3 4 7 2" xfId="34171"/>
    <cellStyle name="Percent 4 3 4 7 3" xfId="34172"/>
    <cellStyle name="Percent 4 3 4 8" xfId="34173"/>
    <cellStyle name="Percent 4 3 4 8 2" xfId="34174"/>
    <cellStyle name="Percent 4 3 4 8 3" xfId="34175"/>
    <cellStyle name="Percent 4 3 4 9" xfId="34176"/>
    <cellStyle name="Percent 4 3 5" xfId="34177"/>
    <cellStyle name="Percent 4 3 5 10" xfId="34178"/>
    <cellStyle name="Percent 4 3 5 11" xfId="34179"/>
    <cellStyle name="Percent 4 3 5 12" xfId="34180"/>
    <cellStyle name="Percent 4 3 5 13" xfId="34181"/>
    <cellStyle name="Percent 4 3 5 2" xfId="34182"/>
    <cellStyle name="Percent 4 3 5 2 10" xfId="34183"/>
    <cellStyle name="Percent 4 3 5 2 11" xfId="34184"/>
    <cellStyle name="Percent 4 3 5 2 2" xfId="34185"/>
    <cellStyle name="Percent 4 3 5 2 2 2" xfId="34186"/>
    <cellStyle name="Percent 4 3 5 2 2 2 2" xfId="34187"/>
    <cellStyle name="Percent 4 3 5 2 2 2 2 2" xfId="34188"/>
    <cellStyle name="Percent 4 3 5 2 2 2 2 3" xfId="34189"/>
    <cellStyle name="Percent 4 3 5 2 2 2 3" xfId="34190"/>
    <cellStyle name="Percent 4 3 5 2 2 2 3 2" xfId="34191"/>
    <cellStyle name="Percent 4 3 5 2 2 2 3 3" xfId="34192"/>
    <cellStyle name="Percent 4 3 5 2 2 2 4" xfId="34193"/>
    <cellStyle name="Percent 4 3 5 2 2 2 5" xfId="34194"/>
    <cellStyle name="Percent 4 3 5 2 2 2 6" xfId="34195"/>
    <cellStyle name="Percent 4 3 5 2 2 2 7" xfId="34196"/>
    <cellStyle name="Percent 4 3 5 2 2 3" xfId="34197"/>
    <cellStyle name="Percent 4 3 5 2 2 3 2" xfId="34198"/>
    <cellStyle name="Percent 4 3 5 2 2 3 3" xfId="34199"/>
    <cellStyle name="Percent 4 3 5 2 2 4" xfId="34200"/>
    <cellStyle name="Percent 4 3 5 2 2 4 2" xfId="34201"/>
    <cellStyle name="Percent 4 3 5 2 2 4 3" xfId="34202"/>
    <cellStyle name="Percent 4 3 5 2 2 5" xfId="34203"/>
    <cellStyle name="Percent 4 3 5 2 2 6" xfId="34204"/>
    <cellStyle name="Percent 4 3 5 2 2 7" xfId="34205"/>
    <cellStyle name="Percent 4 3 5 2 2 8" xfId="34206"/>
    <cellStyle name="Percent 4 3 5 2 3" xfId="34207"/>
    <cellStyle name="Percent 4 3 5 2 3 2" xfId="34208"/>
    <cellStyle name="Percent 4 3 5 2 3 2 2" xfId="34209"/>
    <cellStyle name="Percent 4 3 5 2 3 2 3" xfId="34210"/>
    <cellStyle name="Percent 4 3 5 2 3 3" xfId="34211"/>
    <cellStyle name="Percent 4 3 5 2 3 3 2" xfId="34212"/>
    <cellStyle name="Percent 4 3 5 2 3 3 3" xfId="34213"/>
    <cellStyle name="Percent 4 3 5 2 3 4" xfId="34214"/>
    <cellStyle name="Percent 4 3 5 2 3 5" xfId="34215"/>
    <cellStyle name="Percent 4 3 5 2 3 6" xfId="34216"/>
    <cellStyle name="Percent 4 3 5 2 3 7" xfId="34217"/>
    <cellStyle name="Percent 4 3 5 2 4" xfId="34218"/>
    <cellStyle name="Percent 4 3 5 2 4 2" xfId="34219"/>
    <cellStyle name="Percent 4 3 5 2 5" xfId="34220"/>
    <cellStyle name="Percent 4 3 5 2 5 2" xfId="34221"/>
    <cellStyle name="Percent 4 3 5 2 5 3" xfId="34222"/>
    <cellStyle name="Percent 4 3 5 2 6" xfId="34223"/>
    <cellStyle name="Percent 4 3 5 2 6 2" xfId="34224"/>
    <cellStyle name="Percent 4 3 5 2 6 3" xfId="34225"/>
    <cellStyle name="Percent 4 3 5 2 7" xfId="34226"/>
    <cellStyle name="Percent 4 3 5 2 8" xfId="34227"/>
    <cellStyle name="Percent 4 3 5 2 9" xfId="34228"/>
    <cellStyle name="Percent 4 3 5 3" xfId="34229"/>
    <cellStyle name="Percent 4 3 5 3 10" xfId="34230"/>
    <cellStyle name="Percent 4 3 5 3 11" xfId="34231"/>
    <cellStyle name="Percent 4 3 5 3 2" xfId="34232"/>
    <cellStyle name="Percent 4 3 5 3 2 2" xfId="34233"/>
    <cellStyle name="Percent 4 3 5 3 2 2 2" xfId="34234"/>
    <cellStyle name="Percent 4 3 5 3 2 2 3" xfId="34235"/>
    <cellStyle name="Percent 4 3 5 3 2 3" xfId="34236"/>
    <cellStyle name="Percent 4 3 5 3 2 3 2" xfId="34237"/>
    <cellStyle name="Percent 4 3 5 3 2 3 3" xfId="34238"/>
    <cellStyle name="Percent 4 3 5 3 2 4" xfId="34239"/>
    <cellStyle name="Percent 4 3 5 3 2 5" xfId="34240"/>
    <cellStyle name="Percent 4 3 5 3 2 6" xfId="34241"/>
    <cellStyle name="Percent 4 3 5 3 2 7" xfId="34242"/>
    <cellStyle name="Percent 4 3 5 3 3" xfId="34243"/>
    <cellStyle name="Percent 4 3 5 3 3 2" xfId="34244"/>
    <cellStyle name="Percent 4 3 5 3 4" xfId="34245"/>
    <cellStyle name="Percent 4 3 5 3 4 2" xfId="34246"/>
    <cellStyle name="Percent 4 3 5 3 4 3" xfId="34247"/>
    <cellStyle name="Percent 4 3 5 3 5" xfId="34248"/>
    <cellStyle name="Percent 4 3 5 3 5 2" xfId="34249"/>
    <cellStyle name="Percent 4 3 5 3 5 3" xfId="34250"/>
    <cellStyle name="Percent 4 3 5 3 6" xfId="34251"/>
    <cellStyle name="Percent 4 3 5 3 7" xfId="34252"/>
    <cellStyle name="Percent 4 3 5 3 8" xfId="34253"/>
    <cellStyle name="Percent 4 3 5 3 9" xfId="34254"/>
    <cellStyle name="Percent 4 3 5 4" xfId="34255"/>
    <cellStyle name="Percent 4 3 5 4 2" xfId="34256"/>
    <cellStyle name="Percent 4 3 5 4 2 2" xfId="34257"/>
    <cellStyle name="Percent 4 3 5 4 2 2 2" xfId="34258"/>
    <cellStyle name="Percent 4 3 5 4 2 2 3" xfId="34259"/>
    <cellStyle name="Percent 4 3 5 4 2 3" xfId="34260"/>
    <cellStyle name="Percent 4 3 5 4 2 3 2" xfId="34261"/>
    <cellStyle name="Percent 4 3 5 4 2 3 3" xfId="34262"/>
    <cellStyle name="Percent 4 3 5 4 2 4" xfId="34263"/>
    <cellStyle name="Percent 4 3 5 4 2 5" xfId="34264"/>
    <cellStyle name="Percent 4 3 5 4 2 6" xfId="34265"/>
    <cellStyle name="Percent 4 3 5 4 2 7" xfId="34266"/>
    <cellStyle name="Percent 4 3 5 4 3" xfId="34267"/>
    <cellStyle name="Percent 4 3 5 4 3 2" xfId="34268"/>
    <cellStyle name="Percent 4 3 5 4 3 3" xfId="34269"/>
    <cellStyle name="Percent 4 3 5 4 4" xfId="34270"/>
    <cellStyle name="Percent 4 3 5 4 4 2" xfId="34271"/>
    <cellStyle name="Percent 4 3 5 4 4 3" xfId="34272"/>
    <cellStyle name="Percent 4 3 5 4 5" xfId="34273"/>
    <cellStyle name="Percent 4 3 5 4 6" xfId="34274"/>
    <cellStyle name="Percent 4 3 5 4 7" xfId="34275"/>
    <cellStyle name="Percent 4 3 5 4 8" xfId="34276"/>
    <cellStyle name="Percent 4 3 5 5" xfId="34277"/>
    <cellStyle name="Percent 4 3 5 5 2" xfId="34278"/>
    <cellStyle name="Percent 4 3 5 5 2 2" xfId="34279"/>
    <cellStyle name="Percent 4 3 5 5 2 3" xfId="34280"/>
    <cellStyle name="Percent 4 3 5 5 3" xfId="34281"/>
    <cellStyle name="Percent 4 3 5 5 3 2" xfId="34282"/>
    <cellStyle name="Percent 4 3 5 5 3 3" xfId="34283"/>
    <cellStyle name="Percent 4 3 5 5 4" xfId="34284"/>
    <cellStyle name="Percent 4 3 5 5 5" xfId="34285"/>
    <cellStyle name="Percent 4 3 5 5 6" xfId="34286"/>
    <cellStyle name="Percent 4 3 5 5 7" xfId="34287"/>
    <cellStyle name="Percent 4 3 5 6" xfId="34288"/>
    <cellStyle name="Percent 4 3 5 6 2" xfId="34289"/>
    <cellStyle name="Percent 4 3 5 7" xfId="34290"/>
    <cellStyle name="Percent 4 3 5 7 2" xfId="34291"/>
    <cellStyle name="Percent 4 3 5 7 3" xfId="34292"/>
    <cellStyle name="Percent 4 3 5 8" xfId="34293"/>
    <cellStyle name="Percent 4 3 5 8 2" xfId="34294"/>
    <cellStyle name="Percent 4 3 5 8 3" xfId="34295"/>
    <cellStyle name="Percent 4 3 5 9" xfId="34296"/>
    <cellStyle name="Percent 4 3 6" xfId="34297"/>
    <cellStyle name="Percent 4 3 6 10" xfId="34298"/>
    <cellStyle name="Percent 4 3 6 11" xfId="34299"/>
    <cellStyle name="Percent 4 3 6 12" xfId="34300"/>
    <cellStyle name="Percent 4 3 6 13" xfId="34301"/>
    <cellStyle name="Percent 4 3 6 2" xfId="34302"/>
    <cellStyle name="Percent 4 3 6 2 10" xfId="34303"/>
    <cellStyle name="Percent 4 3 6 2 11" xfId="34304"/>
    <cellStyle name="Percent 4 3 6 2 2" xfId="34305"/>
    <cellStyle name="Percent 4 3 6 2 2 2" xfId="34306"/>
    <cellStyle name="Percent 4 3 6 2 2 2 2" xfId="34307"/>
    <cellStyle name="Percent 4 3 6 2 2 2 2 2" xfId="34308"/>
    <cellStyle name="Percent 4 3 6 2 2 2 2 3" xfId="34309"/>
    <cellStyle name="Percent 4 3 6 2 2 2 3" xfId="34310"/>
    <cellStyle name="Percent 4 3 6 2 2 2 3 2" xfId="34311"/>
    <cellStyle name="Percent 4 3 6 2 2 2 3 3" xfId="34312"/>
    <cellStyle name="Percent 4 3 6 2 2 2 4" xfId="34313"/>
    <cellStyle name="Percent 4 3 6 2 2 2 5" xfId="34314"/>
    <cellStyle name="Percent 4 3 6 2 2 2 6" xfId="34315"/>
    <cellStyle name="Percent 4 3 6 2 2 2 7" xfId="34316"/>
    <cellStyle name="Percent 4 3 6 2 2 3" xfId="34317"/>
    <cellStyle name="Percent 4 3 6 2 2 3 2" xfId="34318"/>
    <cellStyle name="Percent 4 3 6 2 2 3 3" xfId="34319"/>
    <cellStyle name="Percent 4 3 6 2 2 4" xfId="34320"/>
    <cellStyle name="Percent 4 3 6 2 2 4 2" xfId="34321"/>
    <cellStyle name="Percent 4 3 6 2 2 4 3" xfId="34322"/>
    <cellStyle name="Percent 4 3 6 2 2 5" xfId="34323"/>
    <cellStyle name="Percent 4 3 6 2 2 6" xfId="34324"/>
    <cellStyle name="Percent 4 3 6 2 2 7" xfId="34325"/>
    <cellStyle name="Percent 4 3 6 2 2 8" xfId="34326"/>
    <cellStyle name="Percent 4 3 6 2 3" xfId="34327"/>
    <cellStyle name="Percent 4 3 6 2 3 2" xfId="34328"/>
    <cellStyle name="Percent 4 3 6 2 3 2 2" xfId="34329"/>
    <cellStyle name="Percent 4 3 6 2 3 2 3" xfId="34330"/>
    <cellStyle name="Percent 4 3 6 2 3 3" xfId="34331"/>
    <cellStyle name="Percent 4 3 6 2 3 3 2" xfId="34332"/>
    <cellStyle name="Percent 4 3 6 2 3 3 3" xfId="34333"/>
    <cellStyle name="Percent 4 3 6 2 3 4" xfId="34334"/>
    <cellStyle name="Percent 4 3 6 2 3 5" xfId="34335"/>
    <cellStyle name="Percent 4 3 6 2 3 6" xfId="34336"/>
    <cellStyle name="Percent 4 3 6 2 3 7" xfId="34337"/>
    <cellStyle name="Percent 4 3 6 2 4" xfId="34338"/>
    <cellStyle name="Percent 4 3 6 2 4 2" xfId="34339"/>
    <cellStyle name="Percent 4 3 6 2 5" xfId="34340"/>
    <cellStyle name="Percent 4 3 6 2 5 2" xfId="34341"/>
    <cellStyle name="Percent 4 3 6 2 5 3" xfId="34342"/>
    <cellStyle name="Percent 4 3 6 2 6" xfId="34343"/>
    <cellStyle name="Percent 4 3 6 2 6 2" xfId="34344"/>
    <cellStyle name="Percent 4 3 6 2 6 3" xfId="34345"/>
    <cellStyle name="Percent 4 3 6 2 7" xfId="34346"/>
    <cellStyle name="Percent 4 3 6 2 8" xfId="34347"/>
    <cellStyle name="Percent 4 3 6 2 9" xfId="34348"/>
    <cellStyle name="Percent 4 3 6 3" xfId="34349"/>
    <cellStyle name="Percent 4 3 6 3 10" xfId="34350"/>
    <cellStyle name="Percent 4 3 6 3 11" xfId="34351"/>
    <cellStyle name="Percent 4 3 6 3 2" xfId="34352"/>
    <cellStyle name="Percent 4 3 6 3 2 2" xfId="34353"/>
    <cellStyle name="Percent 4 3 6 3 2 2 2" xfId="34354"/>
    <cellStyle name="Percent 4 3 6 3 2 2 3" xfId="34355"/>
    <cellStyle name="Percent 4 3 6 3 2 3" xfId="34356"/>
    <cellStyle name="Percent 4 3 6 3 2 3 2" xfId="34357"/>
    <cellStyle name="Percent 4 3 6 3 2 3 3" xfId="34358"/>
    <cellStyle name="Percent 4 3 6 3 2 4" xfId="34359"/>
    <cellStyle name="Percent 4 3 6 3 2 5" xfId="34360"/>
    <cellStyle name="Percent 4 3 6 3 2 6" xfId="34361"/>
    <cellStyle name="Percent 4 3 6 3 2 7" xfId="34362"/>
    <cellStyle name="Percent 4 3 6 3 3" xfId="34363"/>
    <cellStyle name="Percent 4 3 6 3 3 2" xfId="34364"/>
    <cellStyle name="Percent 4 3 6 3 4" xfId="34365"/>
    <cellStyle name="Percent 4 3 6 3 4 2" xfId="34366"/>
    <cellStyle name="Percent 4 3 6 3 4 3" xfId="34367"/>
    <cellStyle name="Percent 4 3 6 3 5" xfId="34368"/>
    <cellStyle name="Percent 4 3 6 3 5 2" xfId="34369"/>
    <cellStyle name="Percent 4 3 6 3 5 3" xfId="34370"/>
    <cellStyle name="Percent 4 3 6 3 6" xfId="34371"/>
    <cellStyle name="Percent 4 3 6 3 7" xfId="34372"/>
    <cellStyle name="Percent 4 3 6 3 8" xfId="34373"/>
    <cellStyle name="Percent 4 3 6 3 9" xfId="34374"/>
    <cellStyle name="Percent 4 3 6 4" xfId="34375"/>
    <cellStyle name="Percent 4 3 6 4 2" xfId="34376"/>
    <cellStyle name="Percent 4 3 6 4 2 2" xfId="34377"/>
    <cellStyle name="Percent 4 3 6 4 2 2 2" xfId="34378"/>
    <cellStyle name="Percent 4 3 6 4 2 2 3" xfId="34379"/>
    <cellStyle name="Percent 4 3 6 4 2 3" xfId="34380"/>
    <cellStyle name="Percent 4 3 6 4 2 3 2" xfId="34381"/>
    <cellStyle name="Percent 4 3 6 4 2 3 3" xfId="34382"/>
    <cellStyle name="Percent 4 3 6 4 2 4" xfId="34383"/>
    <cellStyle name="Percent 4 3 6 4 2 5" xfId="34384"/>
    <cellStyle name="Percent 4 3 6 4 2 6" xfId="34385"/>
    <cellStyle name="Percent 4 3 6 4 2 7" xfId="34386"/>
    <cellStyle name="Percent 4 3 6 4 3" xfId="34387"/>
    <cellStyle name="Percent 4 3 6 4 3 2" xfId="34388"/>
    <cellStyle name="Percent 4 3 6 4 3 3" xfId="34389"/>
    <cellStyle name="Percent 4 3 6 4 4" xfId="34390"/>
    <cellStyle name="Percent 4 3 6 4 4 2" xfId="34391"/>
    <cellStyle name="Percent 4 3 6 4 4 3" xfId="34392"/>
    <cellStyle name="Percent 4 3 6 4 5" xfId="34393"/>
    <cellStyle name="Percent 4 3 6 4 6" xfId="34394"/>
    <cellStyle name="Percent 4 3 6 4 7" xfId="34395"/>
    <cellStyle name="Percent 4 3 6 4 8" xfId="34396"/>
    <cellStyle name="Percent 4 3 6 5" xfId="34397"/>
    <cellStyle name="Percent 4 3 6 5 2" xfId="34398"/>
    <cellStyle name="Percent 4 3 6 5 2 2" xfId="34399"/>
    <cellStyle name="Percent 4 3 6 5 2 3" xfId="34400"/>
    <cellStyle name="Percent 4 3 6 5 3" xfId="34401"/>
    <cellStyle name="Percent 4 3 6 5 3 2" xfId="34402"/>
    <cellStyle name="Percent 4 3 6 5 3 3" xfId="34403"/>
    <cellStyle name="Percent 4 3 6 5 4" xfId="34404"/>
    <cellStyle name="Percent 4 3 6 5 5" xfId="34405"/>
    <cellStyle name="Percent 4 3 6 5 6" xfId="34406"/>
    <cellStyle name="Percent 4 3 6 5 7" xfId="34407"/>
    <cellStyle name="Percent 4 3 6 6" xfId="34408"/>
    <cellStyle name="Percent 4 3 6 6 2" xfId="34409"/>
    <cellStyle name="Percent 4 3 6 7" xfId="34410"/>
    <cellStyle name="Percent 4 3 6 7 2" xfId="34411"/>
    <cellStyle name="Percent 4 3 6 7 3" xfId="34412"/>
    <cellStyle name="Percent 4 3 6 8" xfId="34413"/>
    <cellStyle name="Percent 4 3 6 8 2" xfId="34414"/>
    <cellStyle name="Percent 4 3 6 8 3" xfId="34415"/>
    <cellStyle name="Percent 4 3 6 9" xfId="34416"/>
    <cellStyle name="Percent 4 3 7" xfId="34417"/>
    <cellStyle name="Percent 4 3 7 10" xfId="34418"/>
    <cellStyle name="Percent 4 3 7 11" xfId="34419"/>
    <cellStyle name="Percent 4 3 7 2" xfId="34420"/>
    <cellStyle name="Percent 4 3 7 2 2" xfId="34421"/>
    <cellStyle name="Percent 4 3 7 2 2 2" xfId="34422"/>
    <cellStyle name="Percent 4 3 7 2 2 2 2" xfId="34423"/>
    <cellStyle name="Percent 4 3 7 2 2 2 3" xfId="34424"/>
    <cellStyle name="Percent 4 3 7 2 2 3" xfId="34425"/>
    <cellStyle name="Percent 4 3 7 2 2 3 2" xfId="34426"/>
    <cellStyle name="Percent 4 3 7 2 2 3 3" xfId="34427"/>
    <cellStyle name="Percent 4 3 7 2 2 4" xfId="34428"/>
    <cellStyle name="Percent 4 3 7 2 2 5" xfId="34429"/>
    <cellStyle name="Percent 4 3 7 2 2 6" xfId="34430"/>
    <cellStyle name="Percent 4 3 7 2 2 7" xfId="34431"/>
    <cellStyle name="Percent 4 3 7 2 3" xfId="34432"/>
    <cellStyle name="Percent 4 3 7 2 3 2" xfId="34433"/>
    <cellStyle name="Percent 4 3 7 2 3 3" xfId="34434"/>
    <cellStyle name="Percent 4 3 7 2 4" xfId="34435"/>
    <cellStyle name="Percent 4 3 7 2 4 2" xfId="34436"/>
    <cellStyle name="Percent 4 3 7 2 4 3" xfId="34437"/>
    <cellStyle name="Percent 4 3 7 2 5" xfId="34438"/>
    <cellStyle name="Percent 4 3 7 2 6" xfId="34439"/>
    <cellStyle name="Percent 4 3 7 2 7" xfId="34440"/>
    <cellStyle name="Percent 4 3 7 2 8" xfId="34441"/>
    <cellStyle name="Percent 4 3 7 3" xfId="34442"/>
    <cellStyle name="Percent 4 3 7 3 2" xfId="34443"/>
    <cellStyle name="Percent 4 3 7 3 2 2" xfId="34444"/>
    <cellStyle name="Percent 4 3 7 3 2 3" xfId="34445"/>
    <cellStyle name="Percent 4 3 7 3 3" xfId="34446"/>
    <cellStyle name="Percent 4 3 7 3 3 2" xfId="34447"/>
    <cellStyle name="Percent 4 3 7 3 3 3" xfId="34448"/>
    <cellStyle name="Percent 4 3 7 3 4" xfId="34449"/>
    <cellStyle name="Percent 4 3 7 3 5" xfId="34450"/>
    <cellStyle name="Percent 4 3 7 3 6" xfId="34451"/>
    <cellStyle name="Percent 4 3 7 3 7" xfId="34452"/>
    <cellStyle name="Percent 4 3 7 4" xfId="34453"/>
    <cellStyle name="Percent 4 3 7 4 2" xfId="34454"/>
    <cellStyle name="Percent 4 3 7 5" xfId="34455"/>
    <cellStyle name="Percent 4 3 7 5 2" xfId="34456"/>
    <cellStyle name="Percent 4 3 7 5 3" xfId="34457"/>
    <cellStyle name="Percent 4 3 7 6" xfId="34458"/>
    <cellStyle name="Percent 4 3 7 6 2" xfId="34459"/>
    <cellStyle name="Percent 4 3 7 6 3" xfId="34460"/>
    <cellStyle name="Percent 4 3 7 7" xfId="34461"/>
    <cellStyle name="Percent 4 3 7 8" xfId="34462"/>
    <cellStyle name="Percent 4 3 7 9" xfId="34463"/>
    <cellStyle name="Percent 4 3 8" xfId="34464"/>
    <cellStyle name="Percent 4 3 8 10" xfId="34465"/>
    <cellStyle name="Percent 4 3 8 11" xfId="34466"/>
    <cellStyle name="Percent 4 3 8 2" xfId="34467"/>
    <cellStyle name="Percent 4 3 8 2 2" xfId="34468"/>
    <cellStyle name="Percent 4 3 8 2 2 2" xfId="34469"/>
    <cellStyle name="Percent 4 3 8 2 2 3" xfId="34470"/>
    <cellStyle name="Percent 4 3 8 2 3" xfId="34471"/>
    <cellStyle name="Percent 4 3 8 2 3 2" xfId="34472"/>
    <cellStyle name="Percent 4 3 8 2 3 3" xfId="34473"/>
    <cellStyle name="Percent 4 3 8 2 4" xfId="34474"/>
    <cellStyle name="Percent 4 3 8 2 5" xfId="34475"/>
    <cellStyle name="Percent 4 3 8 2 6" xfId="34476"/>
    <cellStyle name="Percent 4 3 8 2 7" xfId="34477"/>
    <cellStyle name="Percent 4 3 8 3" xfId="34478"/>
    <cellStyle name="Percent 4 3 8 3 2" xfId="34479"/>
    <cellStyle name="Percent 4 3 8 4" xfId="34480"/>
    <cellStyle name="Percent 4 3 8 4 2" xfId="34481"/>
    <cellStyle name="Percent 4 3 8 4 3" xfId="34482"/>
    <cellStyle name="Percent 4 3 8 5" xfId="34483"/>
    <cellStyle name="Percent 4 3 8 5 2" xfId="34484"/>
    <cellStyle name="Percent 4 3 8 5 3" xfId="34485"/>
    <cellStyle name="Percent 4 3 8 6" xfId="34486"/>
    <cellStyle name="Percent 4 3 8 7" xfId="34487"/>
    <cellStyle name="Percent 4 3 8 8" xfId="34488"/>
    <cellStyle name="Percent 4 3 8 9" xfId="34489"/>
    <cellStyle name="Percent 4 3 9" xfId="34490"/>
    <cellStyle name="Percent 4 3 9 2" xfId="34491"/>
    <cellStyle name="Percent 4 3 9 2 2" xfId="34492"/>
    <cellStyle name="Percent 4 3 9 2 2 2" xfId="34493"/>
    <cellStyle name="Percent 4 3 9 2 2 3" xfId="34494"/>
    <cellStyle name="Percent 4 3 9 2 3" xfId="34495"/>
    <cellStyle name="Percent 4 3 9 2 3 2" xfId="34496"/>
    <cellStyle name="Percent 4 3 9 2 3 3" xfId="34497"/>
    <cellStyle name="Percent 4 3 9 2 4" xfId="34498"/>
    <cellStyle name="Percent 4 3 9 2 5" xfId="34499"/>
    <cellStyle name="Percent 4 3 9 2 6" xfId="34500"/>
    <cellStyle name="Percent 4 3 9 2 7" xfId="34501"/>
    <cellStyle name="Percent 4 3 9 3" xfId="34502"/>
    <cellStyle name="Percent 4 3 9 3 2" xfId="34503"/>
    <cellStyle name="Percent 4 3 9 3 3" xfId="34504"/>
    <cellStyle name="Percent 4 3 9 4" xfId="34505"/>
    <cellStyle name="Percent 4 3 9 4 2" xfId="34506"/>
    <cellStyle name="Percent 4 3 9 4 3" xfId="34507"/>
    <cellStyle name="Percent 4 3 9 5" xfId="34508"/>
    <cellStyle name="Percent 4 3 9 6" xfId="34509"/>
    <cellStyle name="Percent 4 3 9 7" xfId="34510"/>
    <cellStyle name="Percent 4 3 9 8" xfId="34511"/>
    <cellStyle name="Percent 4 30" xfId="34512"/>
    <cellStyle name="Percent 4 31" xfId="34513"/>
    <cellStyle name="Percent 4 4" xfId="34514"/>
    <cellStyle name="Percent 4 4 10" xfId="34515"/>
    <cellStyle name="Percent 4 4 10 2" xfId="34516"/>
    <cellStyle name="Percent 4 4 10 2 2" xfId="34517"/>
    <cellStyle name="Percent 4 4 10 2 3" xfId="34518"/>
    <cellStyle name="Percent 4 4 10 3" xfId="34519"/>
    <cellStyle name="Percent 4 4 10 3 2" xfId="34520"/>
    <cellStyle name="Percent 4 4 10 3 3" xfId="34521"/>
    <cellStyle name="Percent 4 4 10 4" xfId="34522"/>
    <cellStyle name="Percent 4 4 10 5" xfId="34523"/>
    <cellStyle name="Percent 4 4 10 6" xfId="34524"/>
    <cellStyle name="Percent 4 4 10 7" xfId="34525"/>
    <cellStyle name="Percent 4 4 11" xfId="34526"/>
    <cellStyle name="Percent 4 4 11 2" xfId="34527"/>
    <cellStyle name="Percent 4 4 12" xfId="34528"/>
    <cellStyle name="Percent 4 4 12 2" xfId="34529"/>
    <cellStyle name="Percent 4 4 12 3" xfId="34530"/>
    <cellStyle name="Percent 4 4 13" xfId="34531"/>
    <cellStyle name="Percent 4 4 13 2" xfId="34532"/>
    <cellStyle name="Percent 4 4 13 3" xfId="34533"/>
    <cellStyle name="Percent 4 4 14" xfId="34534"/>
    <cellStyle name="Percent 4 4 15" xfId="34535"/>
    <cellStyle name="Percent 4 4 16" xfId="34536"/>
    <cellStyle name="Percent 4 4 17" xfId="34537"/>
    <cellStyle name="Percent 4 4 2" xfId="34538"/>
    <cellStyle name="Percent 4 4 2 10" xfId="34539"/>
    <cellStyle name="Percent 4 4 2 11" xfId="34540"/>
    <cellStyle name="Percent 4 4 2 12" xfId="34541"/>
    <cellStyle name="Percent 4 4 2 13" xfId="34542"/>
    <cellStyle name="Percent 4 4 2 2" xfId="34543"/>
    <cellStyle name="Percent 4 4 2 2 10" xfId="34544"/>
    <cellStyle name="Percent 4 4 2 2 11" xfId="34545"/>
    <cellStyle name="Percent 4 4 2 2 2" xfId="34546"/>
    <cellStyle name="Percent 4 4 2 2 2 2" xfId="34547"/>
    <cellStyle name="Percent 4 4 2 2 2 2 2" xfId="34548"/>
    <cellStyle name="Percent 4 4 2 2 2 2 2 2" xfId="34549"/>
    <cellStyle name="Percent 4 4 2 2 2 2 2 2 2" xfId="34550"/>
    <cellStyle name="Percent 4 4 2 2 2 2 2 2 3" xfId="34551"/>
    <cellStyle name="Percent 4 4 2 2 2 2 2 3" xfId="34552"/>
    <cellStyle name="Percent 4 4 2 2 2 2 2 3 2" xfId="34553"/>
    <cellStyle name="Percent 4 4 2 2 2 2 2 3 3" xfId="34554"/>
    <cellStyle name="Percent 4 4 2 2 2 2 2 4" xfId="34555"/>
    <cellStyle name="Percent 4 4 2 2 2 2 2 5" xfId="34556"/>
    <cellStyle name="Percent 4 4 2 2 2 2 2 6" xfId="34557"/>
    <cellStyle name="Percent 4 4 2 2 2 2 2 7" xfId="34558"/>
    <cellStyle name="Percent 4 4 2 2 2 2 3" xfId="34559"/>
    <cellStyle name="Percent 4 4 2 2 2 2 3 2" xfId="34560"/>
    <cellStyle name="Percent 4 4 2 2 2 2 3 3" xfId="34561"/>
    <cellStyle name="Percent 4 4 2 2 2 2 4" xfId="34562"/>
    <cellStyle name="Percent 4 4 2 2 2 2 4 2" xfId="34563"/>
    <cellStyle name="Percent 4 4 2 2 2 2 4 3" xfId="34564"/>
    <cellStyle name="Percent 4 4 2 2 2 2 5" xfId="34565"/>
    <cellStyle name="Percent 4 4 2 2 2 2 6" xfId="34566"/>
    <cellStyle name="Percent 4 4 2 2 2 2 7" xfId="34567"/>
    <cellStyle name="Percent 4 4 2 2 2 2 8" xfId="34568"/>
    <cellStyle name="Percent 4 4 2 2 2 3" xfId="34569"/>
    <cellStyle name="Percent 4 4 2 2 2 3 2" xfId="34570"/>
    <cellStyle name="Percent 4 4 2 2 2 3 2 2" xfId="34571"/>
    <cellStyle name="Percent 4 4 2 2 2 3 2 3" xfId="34572"/>
    <cellStyle name="Percent 4 4 2 2 2 3 3" xfId="34573"/>
    <cellStyle name="Percent 4 4 2 2 2 3 3 2" xfId="34574"/>
    <cellStyle name="Percent 4 4 2 2 2 3 3 3" xfId="34575"/>
    <cellStyle name="Percent 4 4 2 2 2 3 4" xfId="34576"/>
    <cellStyle name="Percent 4 4 2 2 2 3 5" xfId="34577"/>
    <cellStyle name="Percent 4 4 2 2 2 3 6" xfId="34578"/>
    <cellStyle name="Percent 4 4 2 2 2 3 7" xfId="34579"/>
    <cellStyle name="Percent 4 4 2 2 2 4" xfId="34580"/>
    <cellStyle name="Percent 4 4 2 2 2 4 2" xfId="34581"/>
    <cellStyle name="Percent 4 4 2 2 2 4 3" xfId="34582"/>
    <cellStyle name="Percent 4 4 2 2 2 5" xfId="34583"/>
    <cellStyle name="Percent 4 4 2 2 2 5 2" xfId="34584"/>
    <cellStyle name="Percent 4 4 2 2 2 5 3" xfId="34585"/>
    <cellStyle name="Percent 4 4 2 2 2 6" xfId="34586"/>
    <cellStyle name="Percent 4 4 2 2 2 7" xfId="34587"/>
    <cellStyle name="Percent 4 4 2 2 2 8" xfId="34588"/>
    <cellStyle name="Percent 4 4 2 2 2 9" xfId="34589"/>
    <cellStyle name="Percent 4 4 2 2 3" xfId="34590"/>
    <cellStyle name="Percent 4 4 2 2 3 2" xfId="34591"/>
    <cellStyle name="Percent 4 4 2 2 3 2 2" xfId="34592"/>
    <cellStyle name="Percent 4 4 2 2 3 2 2 2" xfId="34593"/>
    <cellStyle name="Percent 4 4 2 2 3 2 2 3" xfId="34594"/>
    <cellStyle name="Percent 4 4 2 2 3 2 3" xfId="34595"/>
    <cellStyle name="Percent 4 4 2 2 3 2 3 2" xfId="34596"/>
    <cellStyle name="Percent 4 4 2 2 3 2 3 3" xfId="34597"/>
    <cellStyle name="Percent 4 4 2 2 3 2 4" xfId="34598"/>
    <cellStyle name="Percent 4 4 2 2 3 2 5" xfId="34599"/>
    <cellStyle name="Percent 4 4 2 2 3 2 6" xfId="34600"/>
    <cellStyle name="Percent 4 4 2 2 3 2 7" xfId="34601"/>
    <cellStyle name="Percent 4 4 2 2 3 3" xfId="34602"/>
    <cellStyle name="Percent 4 4 2 2 3 3 2" xfId="34603"/>
    <cellStyle name="Percent 4 4 2 2 3 3 3" xfId="34604"/>
    <cellStyle name="Percent 4 4 2 2 3 4" xfId="34605"/>
    <cellStyle name="Percent 4 4 2 2 3 4 2" xfId="34606"/>
    <cellStyle name="Percent 4 4 2 2 3 4 3" xfId="34607"/>
    <cellStyle name="Percent 4 4 2 2 3 5" xfId="34608"/>
    <cellStyle name="Percent 4 4 2 2 3 6" xfId="34609"/>
    <cellStyle name="Percent 4 4 2 2 3 7" xfId="34610"/>
    <cellStyle name="Percent 4 4 2 2 3 8" xfId="34611"/>
    <cellStyle name="Percent 4 4 2 2 4" xfId="34612"/>
    <cellStyle name="Percent 4 4 2 2 4 2" xfId="34613"/>
    <cellStyle name="Percent 4 4 2 2 4 2 2" xfId="34614"/>
    <cellStyle name="Percent 4 4 2 2 4 2 2 2" xfId="34615"/>
    <cellStyle name="Percent 4 4 2 2 4 2 2 3" xfId="34616"/>
    <cellStyle name="Percent 4 4 2 2 4 2 3" xfId="34617"/>
    <cellStyle name="Percent 4 4 2 2 4 2 3 2" xfId="34618"/>
    <cellStyle name="Percent 4 4 2 2 4 2 3 3" xfId="34619"/>
    <cellStyle name="Percent 4 4 2 2 4 2 4" xfId="34620"/>
    <cellStyle name="Percent 4 4 2 2 4 2 5" xfId="34621"/>
    <cellStyle name="Percent 4 4 2 2 4 2 6" xfId="34622"/>
    <cellStyle name="Percent 4 4 2 2 4 2 7" xfId="34623"/>
    <cellStyle name="Percent 4 4 2 2 4 3" xfId="34624"/>
    <cellStyle name="Percent 4 4 2 2 4 3 2" xfId="34625"/>
    <cellStyle name="Percent 4 4 2 2 4 3 3" xfId="34626"/>
    <cellStyle name="Percent 4 4 2 2 4 4" xfId="34627"/>
    <cellStyle name="Percent 4 4 2 2 4 4 2" xfId="34628"/>
    <cellStyle name="Percent 4 4 2 2 4 4 3" xfId="34629"/>
    <cellStyle name="Percent 4 4 2 2 4 5" xfId="34630"/>
    <cellStyle name="Percent 4 4 2 2 4 6" xfId="34631"/>
    <cellStyle name="Percent 4 4 2 2 4 7" xfId="34632"/>
    <cellStyle name="Percent 4 4 2 2 4 8" xfId="34633"/>
    <cellStyle name="Percent 4 4 2 2 5" xfId="34634"/>
    <cellStyle name="Percent 4 4 2 2 5 2" xfId="34635"/>
    <cellStyle name="Percent 4 4 2 2 5 2 2" xfId="34636"/>
    <cellStyle name="Percent 4 4 2 2 5 2 3" xfId="34637"/>
    <cellStyle name="Percent 4 4 2 2 5 3" xfId="34638"/>
    <cellStyle name="Percent 4 4 2 2 5 3 2" xfId="34639"/>
    <cellStyle name="Percent 4 4 2 2 5 3 3" xfId="34640"/>
    <cellStyle name="Percent 4 4 2 2 5 4" xfId="34641"/>
    <cellStyle name="Percent 4 4 2 2 5 5" xfId="34642"/>
    <cellStyle name="Percent 4 4 2 2 5 6" xfId="34643"/>
    <cellStyle name="Percent 4 4 2 2 5 7" xfId="34644"/>
    <cellStyle name="Percent 4 4 2 2 6" xfId="34645"/>
    <cellStyle name="Percent 4 4 2 2 6 2" xfId="34646"/>
    <cellStyle name="Percent 4 4 2 2 6 3" xfId="34647"/>
    <cellStyle name="Percent 4 4 2 2 7" xfId="34648"/>
    <cellStyle name="Percent 4 4 2 2 7 2" xfId="34649"/>
    <cellStyle name="Percent 4 4 2 2 7 3" xfId="34650"/>
    <cellStyle name="Percent 4 4 2 2 8" xfId="34651"/>
    <cellStyle name="Percent 4 4 2 2 9" xfId="34652"/>
    <cellStyle name="Percent 4 4 2 3" xfId="34653"/>
    <cellStyle name="Percent 4 4 2 3 10" xfId="34654"/>
    <cellStyle name="Percent 4 4 2 3 11" xfId="34655"/>
    <cellStyle name="Percent 4 4 2 3 2" xfId="34656"/>
    <cellStyle name="Percent 4 4 2 3 2 2" xfId="34657"/>
    <cellStyle name="Percent 4 4 2 3 2 2 2" xfId="34658"/>
    <cellStyle name="Percent 4 4 2 3 2 2 2 2" xfId="34659"/>
    <cellStyle name="Percent 4 4 2 3 2 2 2 2 2" xfId="34660"/>
    <cellStyle name="Percent 4 4 2 3 2 2 2 2 3" xfId="34661"/>
    <cellStyle name="Percent 4 4 2 3 2 2 2 3" xfId="34662"/>
    <cellStyle name="Percent 4 4 2 3 2 2 2 3 2" xfId="34663"/>
    <cellStyle name="Percent 4 4 2 3 2 2 2 3 3" xfId="34664"/>
    <cellStyle name="Percent 4 4 2 3 2 2 2 4" xfId="34665"/>
    <cellStyle name="Percent 4 4 2 3 2 2 2 5" xfId="34666"/>
    <cellStyle name="Percent 4 4 2 3 2 2 2 6" xfId="34667"/>
    <cellStyle name="Percent 4 4 2 3 2 2 2 7" xfId="34668"/>
    <cellStyle name="Percent 4 4 2 3 2 2 3" xfId="34669"/>
    <cellStyle name="Percent 4 4 2 3 2 2 3 2" xfId="34670"/>
    <cellStyle name="Percent 4 4 2 3 2 2 3 3" xfId="34671"/>
    <cellStyle name="Percent 4 4 2 3 2 2 4" xfId="34672"/>
    <cellStyle name="Percent 4 4 2 3 2 2 4 2" xfId="34673"/>
    <cellStyle name="Percent 4 4 2 3 2 2 4 3" xfId="34674"/>
    <cellStyle name="Percent 4 4 2 3 2 2 5" xfId="34675"/>
    <cellStyle name="Percent 4 4 2 3 2 2 6" xfId="34676"/>
    <cellStyle name="Percent 4 4 2 3 2 2 7" xfId="34677"/>
    <cellStyle name="Percent 4 4 2 3 2 2 8" xfId="34678"/>
    <cellStyle name="Percent 4 4 2 3 2 3" xfId="34679"/>
    <cellStyle name="Percent 4 4 2 3 2 3 2" xfId="34680"/>
    <cellStyle name="Percent 4 4 2 3 2 3 2 2" xfId="34681"/>
    <cellStyle name="Percent 4 4 2 3 2 3 2 3" xfId="34682"/>
    <cellStyle name="Percent 4 4 2 3 2 3 3" xfId="34683"/>
    <cellStyle name="Percent 4 4 2 3 2 3 3 2" xfId="34684"/>
    <cellStyle name="Percent 4 4 2 3 2 3 3 3" xfId="34685"/>
    <cellStyle name="Percent 4 4 2 3 2 3 4" xfId="34686"/>
    <cellStyle name="Percent 4 4 2 3 2 3 5" xfId="34687"/>
    <cellStyle name="Percent 4 4 2 3 2 3 6" xfId="34688"/>
    <cellStyle name="Percent 4 4 2 3 2 3 7" xfId="34689"/>
    <cellStyle name="Percent 4 4 2 3 2 4" xfId="34690"/>
    <cellStyle name="Percent 4 4 2 3 2 4 2" xfId="34691"/>
    <cellStyle name="Percent 4 4 2 3 2 4 3" xfId="34692"/>
    <cellStyle name="Percent 4 4 2 3 2 5" xfId="34693"/>
    <cellStyle name="Percent 4 4 2 3 2 5 2" xfId="34694"/>
    <cellStyle name="Percent 4 4 2 3 2 5 3" xfId="34695"/>
    <cellStyle name="Percent 4 4 2 3 2 6" xfId="34696"/>
    <cellStyle name="Percent 4 4 2 3 2 7" xfId="34697"/>
    <cellStyle name="Percent 4 4 2 3 2 8" xfId="34698"/>
    <cellStyle name="Percent 4 4 2 3 2 9" xfId="34699"/>
    <cellStyle name="Percent 4 4 2 3 3" xfId="34700"/>
    <cellStyle name="Percent 4 4 2 3 3 2" xfId="34701"/>
    <cellStyle name="Percent 4 4 2 3 3 2 2" xfId="34702"/>
    <cellStyle name="Percent 4 4 2 3 3 2 2 2" xfId="34703"/>
    <cellStyle name="Percent 4 4 2 3 3 2 2 3" xfId="34704"/>
    <cellStyle name="Percent 4 4 2 3 3 2 3" xfId="34705"/>
    <cellStyle name="Percent 4 4 2 3 3 2 3 2" xfId="34706"/>
    <cellStyle name="Percent 4 4 2 3 3 2 3 3" xfId="34707"/>
    <cellStyle name="Percent 4 4 2 3 3 2 4" xfId="34708"/>
    <cellStyle name="Percent 4 4 2 3 3 2 5" xfId="34709"/>
    <cellStyle name="Percent 4 4 2 3 3 2 6" xfId="34710"/>
    <cellStyle name="Percent 4 4 2 3 3 2 7" xfId="34711"/>
    <cellStyle name="Percent 4 4 2 3 3 3" xfId="34712"/>
    <cellStyle name="Percent 4 4 2 3 3 3 2" xfId="34713"/>
    <cellStyle name="Percent 4 4 2 3 3 3 3" xfId="34714"/>
    <cellStyle name="Percent 4 4 2 3 3 4" xfId="34715"/>
    <cellStyle name="Percent 4 4 2 3 3 4 2" xfId="34716"/>
    <cellStyle name="Percent 4 4 2 3 3 4 3" xfId="34717"/>
    <cellStyle name="Percent 4 4 2 3 3 5" xfId="34718"/>
    <cellStyle name="Percent 4 4 2 3 3 6" xfId="34719"/>
    <cellStyle name="Percent 4 4 2 3 3 7" xfId="34720"/>
    <cellStyle name="Percent 4 4 2 3 3 8" xfId="34721"/>
    <cellStyle name="Percent 4 4 2 3 4" xfId="34722"/>
    <cellStyle name="Percent 4 4 2 3 4 2" xfId="34723"/>
    <cellStyle name="Percent 4 4 2 3 4 2 2" xfId="34724"/>
    <cellStyle name="Percent 4 4 2 3 4 2 2 2" xfId="34725"/>
    <cellStyle name="Percent 4 4 2 3 4 2 2 3" xfId="34726"/>
    <cellStyle name="Percent 4 4 2 3 4 2 3" xfId="34727"/>
    <cellStyle name="Percent 4 4 2 3 4 2 3 2" xfId="34728"/>
    <cellStyle name="Percent 4 4 2 3 4 2 3 3" xfId="34729"/>
    <cellStyle name="Percent 4 4 2 3 4 2 4" xfId="34730"/>
    <cellStyle name="Percent 4 4 2 3 4 2 5" xfId="34731"/>
    <cellStyle name="Percent 4 4 2 3 4 2 6" xfId="34732"/>
    <cellStyle name="Percent 4 4 2 3 4 2 7" xfId="34733"/>
    <cellStyle name="Percent 4 4 2 3 4 3" xfId="34734"/>
    <cellStyle name="Percent 4 4 2 3 4 3 2" xfId="34735"/>
    <cellStyle name="Percent 4 4 2 3 4 3 3" xfId="34736"/>
    <cellStyle name="Percent 4 4 2 3 4 4" xfId="34737"/>
    <cellStyle name="Percent 4 4 2 3 4 4 2" xfId="34738"/>
    <cellStyle name="Percent 4 4 2 3 4 4 3" xfId="34739"/>
    <cellStyle name="Percent 4 4 2 3 4 5" xfId="34740"/>
    <cellStyle name="Percent 4 4 2 3 4 6" xfId="34741"/>
    <cellStyle name="Percent 4 4 2 3 4 7" xfId="34742"/>
    <cellStyle name="Percent 4 4 2 3 4 8" xfId="34743"/>
    <cellStyle name="Percent 4 4 2 3 5" xfId="34744"/>
    <cellStyle name="Percent 4 4 2 3 5 2" xfId="34745"/>
    <cellStyle name="Percent 4 4 2 3 5 2 2" xfId="34746"/>
    <cellStyle name="Percent 4 4 2 3 5 2 3" xfId="34747"/>
    <cellStyle name="Percent 4 4 2 3 5 3" xfId="34748"/>
    <cellStyle name="Percent 4 4 2 3 5 3 2" xfId="34749"/>
    <cellStyle name="Percent 4 4 2 3 5 3 3" xfId="34750"/>
    <cellStyle name="Percent 4 4 2 3 5 4" xfId="34751"/>
    <cellStyle name="Percent 4 4 2 3 5 5" xfId="34752"/>
    <cellStyle name="Percent 4 4 2 3 5 6" xfId="34753"/>
    <cellStyle name="Percent 4 4 2 3 5 7" xfId="34754"/>
    <cellStyle name="Percent 4 4 2 3 6" xfId="34755"/>
    <cellStyle name="Percent 4 4 2 3 6 2" xfId="34756"/>
    <cellStyle name="Percent 4 4 2 3 6 3" xfId="34757"/>
    <cellStyle name="Percent 4 4 2 3 7" xfId="34758"/>
    <cellStyle name="Percent 4 4 2 3 7 2" xfId="34759"/>
    <cellStyle name="Percent 4 4 2 3 7 3" xfId="34760"/>
    <cellStyle name="Percent 4 4 2 3 8" xfId="34761"/>
    <cellStyle name="Percent 4 4 2 3 9" xfId="34762"/>
    <cellStyle name="Percent 4 4 2 4" xfId="34763"/>
    <cellStyle name="Percent 4 4 2 4 2" xfId="34764"/>
    <cellStyle name="Percent 4 4 2 4 2 2" xfId="34765"/>
    <cellStyle name="Percent 4 4 2 4 2 2 2" xfId="34766"/>
    <cellStyle name="Percent 4 4 2 4 2 2 2 2" xfId="34767"/>
    <cellStyle name="Percent 4 4 2 4 2 2 2 3" xfId="34768"/>
    <cellStyle name="Percent 4 4 2 4 2 2 3" xfId="34769"/>
    <cellStyle name="Percent 4 4 2 4 2 2 3 2" xfId="34770"/>
    <cellStyle name="Percent 4 4 2 4 2 2 3 3" xfId="34771"/>
    <cellStyle name="Percent 4 4 2 4 2 2 4" xfId="34772"/>
    <cellStyle name="Percent 4 4 2 4 2 2 5" xfId="34773"/>
    <cellStyle name="Percent 4 4 2 4 2 2 6" xfId="34774"/>
    <cellStyle name="Percent 4 4 2 4 2 2 7" xfId="34775"/>
    <cellStyle name="Percent 4 4 2 4 2 3" xfId="34776"/>
    <cellStyle name="Percent 4 4 2 4 2 3 2" xfId="34777"/>
    <cellStyle name="Percent 4 4 2 4 2 3 3" xfId="34778"/>
    <cellStyle name="Percent 4 4 2 4 2 4" xfId="34779"/>
    <cellStyle name="Percent 4 4 2 4 2 4 2" xfId="34780"/>
    <cellStyle name="Percent 4 4 2 4 2 4 3" xfId="34781"/>
    <cellStyle name="Percent 4 4 2 4 2 5" xfId="34782"/>
    <cellStyle name="Percent 4 4 2 4 2 6" xfId="34783"/>
    <cellStyle name="Percent 4 4 2 4 2 7" xfId="34784"/>
    <cellStyle name="Percent 4 4 2 4 2 8" xfId="34785"/>
    <cellStyle name="Percent 4 4 2 4 3" xfId="34786"/>
    <cellStyle name="Percent 4 4 2 4 3 2" xfId="34787"/>
    <cellStyle name="Percent 4 4 2 4 3 2 2" xfId="34788"/>
    <cellStyle name="Percent 4 4 2 4 3 2 3" xfId="34789"/>
    <cellStyle name="Percent 4 4 2 4 3 3" xfId="34790"/>
    <cellStyle name="Percent 4 4 2 4 3 3 2" xfId="34791"/>
    <cellStyle name="Percent 4 4 2 4 3 3 3" xfId="34792"/>
    <cellStyle name="Percent 4 4 2 4 3 4" xfId="34793"/>
    <cellStyle name="Percent 4 4 2 4 3 5" xfId="34794"/>
    <cellStyle name="Percent 4 4 2 4 3 6" xfId="34795"/>
    <cellStyle name="Percent 4 4 2 4 3 7" xfId="34796"/>
    <cellStyle name="Percent 4 4 2 4 4" xfId="34797"/>
    <cellStyle name="Percent 4 4 2 4 4 2" xfId="34798"/>
    <cellStyle name="Percent 4 4 2 4 4 3" xfId="34799"/>
    <cellStyle name="Percent 4 4 2 4 5" xfId="34800"/>
    <cellStyle name="Percent 4 4 2 4 5 2" xfId="34801"/>
    <cellStyle name="Percent 4 4 2 4 5 3" xfId="34802"/>
    <cellStyle name="Percent 4 4 2 4 6" xfId="34803"/>
    <cellStyle name="Percent 4 4 2 4 7" xfId="34804"/>
    <cellStyle name="Percent 4 4 2 4 8" xfId="34805"/>
    <cellStyle name="Percent 4 4 2 4 9" xfId="34806"/>
    <cellStyle name="Percent 4 4 2 5" xfId="34807"/>
    <cellStyle name="Percent 4 4 2 5 2" xfId="34808"/>
    <cellStyle name="Percent 4 4 2 5 2 2" xfId="34809"/>
    <cellStyle name="Percent 4 4 2 5 2 2 2" xfId="34810"/>
    <cellStyle name="Percent 4 4 2 5 2 2 3" xfId="34811"/>
    <cellStyle name="Percent 4 4 2 5 2 3" xfId="34812"/>
    <cellStyle name="Percent 4 4 2 5 2 3 2" xfId="34813"/>
    <cellStyle name="Percent 4 4 2 5 2 3 3" xfId="34814"/>
    <cellStyle name="Percent 4 4 2 5 2 4" xfId="34815"/>
    <cellStyle name="Percent 4 4 2 5 2 5" xfId="34816"/>
    <cellStyle name="Percent 4 4 2 5 2 6" xfId="34817"/>
    <cellStyle name="Percent 4 4 2 5 2 7" xfId="34818"/>
    <cellStyle name="Percent 4 4 2 5 3" xfId="34819"/>
    <cellStyle name="Percent 4 4 2 5 3 2" xfId="34820"/>
    <cellStyle name="Percent 4 4 2 5 3 3" xfId="34821"/>
    <cellStyle name="Percent 4 4 2 5 4" xfId="34822"/>
    <cellStyle name="Percent 4 4 2 5 4 2" xfId="34823"/>
    <cellStyle name="Percent 4 4 2 5 4 3" xfId="34824"/>
    <cellStyle name="Percent 4 4 2 5 5" xfId="34825"/>
    <cellStyle name="Percent 4 4 2 5 6" xfId="34826"/>
    <cellStyle name="Percent 4 4 2 5 7" xfId="34827"/>
    <cellStyle name="Percent 4 4 2 5 8" xfId="34828"/>
    <cellStyle name="Percent 4 4 2 6" xfId="34829"/>
    <cellStyle name="Percent 4 4 2 6 2" xfId="34830"/>
    <cellStyle name="Percent 4 4 2 6 2 2" xfId="34831"/>
    <cellStyle name="Percent 4 4 2 6 2 2 2" xfId="34832"/>
    <cellStyle name="Percent 4 4 2 6 2 2 3" xfId="34833"/>
    <cellStyle name="Percent 4 4 2 6 2 3" xfId="34834"/>
    <cellStyle name="Percent 4 4 2 6 2 3 2" xfId="34835"/>
    <cellStyle name="Percent 4 4 2 6 2 3 3" xfId="34836"/>
    <cellStyle name="Percent 4 4 2 6 2 4" xfId="34837"/>
    <cellStyle name="Percent 4 4 2 6 2 5" xfId="34838"/>
    <cellStyle name="Percent 4 4 2 6 2 6" xfId="34839"/>
    <cellStyle name="Percent 4 4 2 6 2 7" xfId="34840"/>
    <cellStyle name="Percent 4 4 2 6 3" xfId="34841"/>
    <cellStyle name="Percent 4 4 2 6 3 2" xfId="34842"/>
    <cellStyle name="Percent 4 4 2 6 3 3" xfId="34843"/>
    <cellStyle name="Percent 4 4 2 6 4" xfId="34844"/>
    <cellStyle name="Percent 4 4 2 6 4 2" xfId="34845"/>
    <cellStyle name="Percent 4 4 2 6 4 3" xfId="34846"/>
    <cellStyle name="Percent 4 4 2 6 5" xfId="34847"/>
    <cellStyle name="Percent 4 4 2 6 6" xfId="34848"/>
    <cellStyle name="Percent 4 4 2 6 7" xfId="34849"/>
    <cellStyle name="Percent 4 4 2 6 8" xfId="34850"/>
    <cellStyle name="Percent 4 4 2 7" xfId="34851"/>
    <cellStyle name="Percent 4 4 2 7 2" xfId="34852"/>
    <cellStyle name="Percent 4 4 2 7 2 2" xfId="34853"/>
    <cellStyle name="Percent 4 4 2 7 2 3" xfId="34854"/>
    <cellStyle name="Percent 4 4 2 7 3" xfId="34855"/>
    <cellStyle name="Percent 4 4 2 7 3 2" xfId="34856"/>
    <cellStyle name="Percent 4 4 2 7 3 3" xfId="34857"/>
    <cellStyle name="Percent 4 4 2 7 4" xfId="34858"/>
    <cellStyle name="Percent 4 4 2 7 5" xfId="34859"/>
    <cellStyle name="Percent 4 4 2 7 6" xfId="34860"/>
    <cellStyle name="Percent 4 4 2 7 7" xfId="34861"/>
    <cellStyle name="Percent 4 4 2 8" xfId="34862"/>
    <cellStyle name="Percent 4 4 2 8 2" xfId="34863"/>
    <cellStyle name="Percent 4 4 2 8 3" xfId="34864"/>
    <cellStyle name="Percent 4 4 2 9" xfId="34865"/>
    <cellStyle name="Percent 4 4 2 9 2" xfId="34866"/>
    <cellStyle name="Percent 4 4 2 9 3" xfId="34867"/>
    <cellStyle name="Percent 4 4 3" xfId="34868"/>
    <cellStyle name="Percent 4 4 3 10" xfId="34869"/>
    <cellStyle name="Percent 4 4 3 11" xfId="34870"/>
    <cellStyle name="Percent 4 4 3 2" xfId="34871"/>
    <cellStyle name="Percent 4 4 3 2 2" xfId="34872"/>
    <cellStyle name="Percent 4 4 3 2 2 2" xfId="34873"/>
    <cellStyle name="Percent 4 4 3 2 2 2 2" xfId="34874"/>
    <cellStyle name="Percent 4 4 3 2 2 2 2 2" xfId="34875"/>
    <cellStyle name="Percent 4 4 3 2 2 2 2 3" xfId="34876"/>
    <cellStyle name="Percent 4 4 3 2 2 2 3" xfId="34877"/>
    <cellStyle name="Percent 4 4 3 2 2 2 3 2" xfId="34878"/>
    <cellStyle name="Percent 4 4 3 2 2 2 3 3" xfId="34879"/>
    <cellStyle name="Percent 4 4 3 2 2 2 4" xfId="34880"/>
    <cellStyle name="Percent 4 4 3 2 2 2 5" xfId="34881"/>
    <cellStyle name="Percent 4 4 3 2 2 2 6" xfId="34882"/>
    <cellStyle name="Percent 4 4 3 2 2 2 7" xfId="34883"/>
    <cellStyle name="Percent 4 4 3 2 2 3" xfId="34884"/>
    <cellStyle name="Percent 4 4 3 2 2 3 2" xfId="34885"/>
    <cellStyle name="Percent 4 4 3 2 2 3 3" xfId="34886"/>
    <cellStyle name="Percent 4 4 3 2 2 4" xfId="34887"/>
    <cellStyle name="Percent 4 4 3 2 2 4 2" xfId="34888"/>
    <cellStyle name="Percent 4 4 3 2 2 4 3" xfId="34889"/>
    <cellStyle name="Percent 4 4 3 2 2 5" xfId="34890"/>
    <cellStyle name="Percent 4 4 3 2 2 6" xfId="34891"/>
    <cellStyle name="Percent 4 4 3 2 2 7" xfId="34892"/>
    <cellStyle name="Percent 4 4 3 2 2 8" xfId="34893"/>
    <cellStyle name="Percent 4 4 3 2 3" xfId="34894"/>
    <cellStyle name="Percent 4 4 3 2 3 2" xfId="34895"/>
    <cellStyle name="Percent 4 4 3 2 3 2 2" xfId="34896"/>
    <cellStyle name="Percent 4 4 3 2 3 2 3" xfId="34897"/>
    <cellStyle name="Percent 4 4 3 2 3 3" xfId="34898"/>
    <cellStyle name="Percent 4 4 3 2 3 3 2" xfId="34899"/>
    <cellStyle name="Percent 4 4 3 2 3 3 3" xfId="34900"/>
    <cellStyle name="Percent 4 4 3 2 3 4" xfId="34901"/>
    <cellStyle name="Percent 4 4 3 2 3 5" xfId="34902"/>
    <cellStyle name="Percent 4 4 3 2 3 6" xfId="34903"/>
    <cellStyle name="Percent 4 4 3 2 3 7" xfId="34904"/>
    <cellStyle name="Percent 4 4 3 2 4" xfId="34905"/>
    <cellStyle name="Percent 4 4 3 2 4 2" xfId="34906"/>
    <cellStyle name="Percent 4 4 3 2 4 3" xfId="34907"/>
    <cellStyle name="Percent 4 4 3 2 5" xfId="34908"/>
    <cellStyle name="Percent 4 4 3 2 5 2" xfId="34909"/>
    <cellStyle name="Percent 4 4 3 2 5 3" xfId="34910"/>
    <cellStyle name="Percent 4 4 3 2 6" xfId="34911"/>
    <cellStyle name="Percent 4 4 3 2 7" xfId="34912"/>
    <cellStyle name="Percent 4 4 3 2 8" xfId="34913"/>
    <cellStyle name="Percent 4 4 3 2 9" xfId="34914"/>
    <cellStyle name="Percent 4 4 3 3" xfId="34915"/>
    <cellStyle name="Percent 4 4 3 3 2" xfId="34916"/>
    <cellStyle name="Percent 4 4 3 3 2 2" xfId="34917"/>
    <cellStyle name="Percent 4 4 3 3 2 2 2" xfId="34918"/>
    <cellStyle name="Percent 4 4 3 3 2 2 3" xfId="34919"/>
    <cellStyle name="Percent 4 4 3 3 2 3" xfId="34920"/>
    <cellStyle name="Percent 4 4 3 3 2 3 2" xfId="34921"/>
    <cellStyle name="Percent 4 4 3 3 2 3 3" xfId="34922"/>
    <cellStyle name="Percent 4 4 3 3 2 4" xfId="34923"/>
    <cellStyle name="Percent 4 4 3 3 2 5" xfId="34924"/>
    <cellStyle name="Percent 4 4 3 3 2 6" xfId="34925"/>
    <cellStyle name="Percent 4 4 3 3 2 7" xfId="34926"/>
    <cellStyle name="Percent 4 4 3 3 3" xfId="34927"/>
    <cellStyle name="Percent 4 4 3 3 3 2" xfId="34928"/>
    <cellStyle name="Percent 4 4 3 3 3 3" xfId="34929"/>
    <cellStyle name="Percent 4 4 3 3 4" xfId="34930"/>
    <cellStyle name="Percent 4 4 3 3 4 2" xfId="34931"/>
    <cellStyle name="Percent 4 4 3 3 4 3" xfId="34932"/>
    <cellStyle name="Percent 4 4 3 3 5" xfId="34933"/>
    <cellStyle name="Percent 4 4 3 3 6" xfId="34934"/>
    <cellStyle name="Percent 4 4 3 3 7" xfId="34935"/>
    <cellStyle name="Percent 4 4 3 3 8" xfId="34936"/>
    <cellStyle name="Percent 4 4 3 4" xfId="34937"/>
    <cellStyle name="Percent 4 4 3 4 2" xfId="34938"/>
    <cellStyle name="Percent 4 4 3 4 2 2" xfId="34939"/>
    <cellStyle name="Percent 4 4 3 4 2 2 2" xfId="34940"/>
    <cellStyle name="Percent 4 4 3 4 2 2 3" xfId="34941"/>
    <cellStyle name="Percent 4 4 3 4 2 3" xfId="34942"/>
    <cellStyle name="Percent 4 4 3 4 2 3 2" xfId="34943"/>
    <cellStyle name="Percent 4 4 3 4 2 3 3" xfId="34944"/>
    <cellStyle name="Percent 4 4 3 4 2 4" xfId="34945"/>
    <cellStyle name="Percent 4 4 3 4 2 5" xfId="34946"/>
    <cellStyle name="Percent 4 4 3 4 2 6" xfId="34947"/>
    <cellStyle name="Percent 4 4 3 4 2 7" xfId="34948"/>
    <cellStyle name="Percent 4 4 3 4 3" xfId="34949"/>
    <cellStyle name="Percent 4 4 3 4 3 2" xfId="34950"/>
    <cellStyle name="Percent 4 4 3 4 3 3" xfId="34951"/>
    <cellStyle name="Percent 4 4 3 4 4" xfId="34952"/>
    <cellStyle name="Percent 4 4 3 4 4 2" xfId="34953"/>
    <cellStyle name="Percent 4 4 3 4 4 3" xfId="34954"/>
    <cellStyle name="Percent 4 4 3 4 5" xfId="34955"/>
    <cellStyle name="Percent 4 4 3 4 6" xfId="34956"/>
    <cellStyle name="Percent 4 4 3 4 7" xfId="34957"/>
    <cellStyle name="Percent 4 4 3 4 8" xfId="34958"/>
    <cellStyle name="Percent 4 4 3 5" xfId="34959"/>
    <cellStyle name="Percent 4 4 3 5 2" xfId="34960"/>
    <cellStyle name="Percent 4 4 3 5 2 2" xfId="34961"/>
    <cellStyle name="Percent 4 4 3 5 2 3" xfId="34962"/>
    <cellStyle name="Percent 4 4 3 5 3" xfId="34963"/>
    <cellStyle name="Percent 4 4 3 5 3 2" xfId="34964"/>
    <cellStyle name="Percent 4 4 3 5 3 3" xfId="34965"/>
    <cellStyle name="Percent 4 4 3 5 4" xfId="34966"/>
    <cellStyle name="Percent 4 4 3 5 5" xfId="34967"/>
    <cellStyle name="Percent 4 4 3 5 6" xfId="34968"/>
    <cellStyle name="Percent 4 4 3 5 7" xfId="34969"/>
    <cellStyle name="Percent 4 4 3 6" xfId="34970"/>
    <cellStyle name="Percent 4 4 3 6 2" xfId="34971"/>
    <cellStyle name="Percent 4 4 3 6 3" xfId="34972"/>
    <cellStyle name="Percent 4 4 3 7" xfId="34973"/>
    <cellStyle name="Percent 4 4 3 7 2" xfId="34974"/>
    <cellStyle name="Percent 4 4 3 7 3" xfId="34975"/>
    <cellStyle name="Percent 4 4 3 8" xfId="34976"/>
    <cellStyle name="Percent 4 4 3 9" xfId="34977"/>
    <cellStyle name="Percent 4 4 4" xfId="34978"/>
    <cellStyle name="Percent 4 4 4 10" xfId="34979"/>
    <cellStyle name="Percent 4 4 4 11" xfId="34980"/>
    <cellStyle name="Percent 4 4 4 2" xfId="34981"/>
    <cellStyle name="Percent 4 4 4 2 2" xfId="34982"/>
    <cellStyle name="Percent 4 4 4 2 2 2" xfId="34983"/>
    <cellStyle name="Percent 4 4 4 2 2 2 2" xfId="34984"/>
    <cellStyle name="Percent 4 4 4 2 2 2 2 2" xfId="34985"/>
    <cellStyle name="Percent 4 4 4 2 2 2 2 3" xfId="34986"/>
    <cellStyle name="Percent 4 4 4 2 2 2 3" xfId="34987"/>
    <cellStyle name="Percent 4 4 4 2 2 2 3 2" xfId="34988"/>
    <cellStyle name="Percent 4 4 4 2 2 2 3 3" xfId="34989"/>
    <cellStyle name="Percent 4 4 4 2 2 2 4" xfId="34990"/>
    <cellStyle name="Percent 4 4 4 2 2 2 5" xfId="34991"/>
    <cellStyle name="Percent 4 4 4 2 2 2 6" xfId="34992"/>
    <cellStyle name="Percent 4 4 4 2 2 2 7" xfId="34993"/>
    <cellStyle name="Percent 4 4 4 2 2 3" xfId="34994"/>
    <cellStyle name="Percent 4 4 4 2 2 3 2" xfId="34995"/>
    <cellStyle name="Percent 4 4 4 2 2 3 3" xfId="34996"/>
    <cellStyle name="Percent 4 4 4 2 2 4" xfId="34997"/>
    <cellStyle name="Percent 4 4 4 2 2 4 2" xfId="34998"/>
    <cellStyle name="Percent 4 4 4 2 2 4 3" xfId="34999"/>
    <cellStyle name="Percent 4 4 4 2 2 5" xfId="35000"/>
    <cellStyle name="Percent 4 4 4 2 2 6" xfId="35001"/>
    <cellStyle name="Percent 4 4 4 2 2 7" xfId="35002"/>
    <cellStyle name="Percent 4 4 4 2 2 8" xfId="35003"/>
    <cellStyle name="Percent 4 4 4 2 3" xfId="35004"/>
    <cellStyle name="Percent 4 4 4 2 3 2" xfId="35005"/>
    <cellStyle name="Percent 4 4 4 2 3 2 2" xfId="35006"/>
    <cellStyle name="Percent 4 4 4 2 3 2 3" xfId="35007"/>
    <cellStyle name="Percent 4 4 4 2 3 3" xfId="35008"/>
    <cellStyle name="Percent 4 4 4 2 3 3 2" xfId="35009"/>
    <cellStyle name="Percent 4 4 4 2 3 3 3" xfId="35010"/>
    <cellStyle name="Percent 4 4 4 2 3 4" xfId="35011"/>
    <cellStyle name="Percent 4 4 4 2 3 5" xfId="35012"/>
    <cellStyle name="Percent 4 4 4 2 3 6" xfId="35013"/>
    <cellStyle name="Percent 4 4 4 2 3 7" xfId="35014"/>
    <cellStyle name="Percent 4 4 4 2 4" xfId="35015"/>
    <cellStyle name="Percent 4 4 4 2 4 2" xfId="35016"/>
    <cellStyle name="Percent 4 4 4 2 4 3" xfId="35017"/>
    <cellStyle name="Percent 4 4 4 2 5" xfId="35018"/>
    <cellStyle name="Percent 4 4 4 2 5 2" xfId="35019"/>
    <cellStyle name="Percent 4 4 4 2 5 3" xfId="35020"/>
    <cellStyle name="Percent 4 4 4 2 6" xfId="35021"/>
    <cellStyle name="Percent 4 4 4 2 7" xfId="35022"/>
    <cellStyle name="Percent 4 4 4 2 8" xfId="35023"/>
    <cellStyle name="Percent 4 4 4 2 9" xfId="35024"/>
    <cellStyle name="Percent 4 4 4 3" xfId="35025"/>
    <cellStyle name="Percent 4 4 4 3 2" xfId="35026"/>
    <cellStyle name="Percent 4 4 4 3 2 2" xfId="35027"/>
    <cellStyle name="Percent 4 4 4 3 2 2 2" xfId="35028"/>
    <cellStyle name="Percent 4 4 4 3 2 2 3" xfId="35029"/>
    <cellStyle name="Percent 4 4 4 3 2 3" xfId="35030"/>
    <cellStyle name="Percent 4 4 4 3 2 3 2" xfId="35031"/>
    <cellStyle name="Percent 4 4 4 3 2 3 3" xfId="35032"/>
    <cellStyle name="Percent 4 4 4 3 2 4" xfId="35033"/>
    <cellStyle name="Percent 4 4 4 3 2 5" xfId="35034"/>
    <cellStyle name="Percent 4 4 4 3 2 6" xfId="35035"/>
    <cellStyle name="Percent 4 4 4 3 2 7" xfId="35036"/>
    <cellStyle name="Percent 4 4 4 3 3" xfId="35037"/>
    <cellStyle name="Percent 4 4 4 3 3 2" xfId="35038"/>
    <cellStyle name="Percent 4 4 4 3 3 3" xfId="35039"/>
    <cellStyle name="Percent 4 4 4 3 4" xfId="35040"/>
    <cellStyle name="Percent 4 4 4 3 4 2" xfId="35041"/>
    <cellStyle name="Percent 4 4 4 3 4 3" xfId="35042"/>
    <cellStyle name="Percent 4 4 4 3 5" xfId="35043"/>
    <cellStyle name="Percent 4 4 4 3 6" xfId="35044"/>
    <cellStyle name="Percent 4 4 4 3 7" xfId="35045"/>
    <cellStyle name="Percent 4 4 4 3 8" xfId="35046"/>
    <cellStyle name="Percent 4 4 4 4" xfId="35047"/>
    <cellStyle name="Percent 4 4 4 4 2" xfId="35048"/>
    <cellStyle name="Percent 4 4 4 4 2 2" xfId="35049"/>
    <cellStyle name="Percent 4 4 4 4 2 2 2" xfId="35050"/>
    <cellStyle name="Percent 4 4 4 4 2 2 3" xfId="35051"/>
    <cellStyle name="Percent 4 4 4 4 2 3" xfId="35052"/>
    <cellStyle name="Percent 4 4 4 4 2 3 2" xfId="35053"/>
    <cellStyle name="Percent 4 4 4 4 2 3 3" xfId="35054"/>
    <cellStyle name="Percent 4 4 4 4 2 4" xfId="35055"/>
    <cellStyle name="Percent 4 4 4 4 2 5" xfId="35056"/>
    <cellStyle name="Percent 4 4 4 4 2 6" xfId="35057"/>
    <cellStyle name="Percent 4 4 4 4 2 7" xfId="35058"/>
    <cellStyle name="Percent 4 4 4 4 3" xfId="35059"/>
    <cellStyle name="Percent 4 4 4 4 3 2" xfId="35060"/>
    <cellStyle name="Percent 4 4 4 4 3 3" xfId="35061"/>
    <cellStyle name="Percent 4 4 4 4 4" xfId="35062"/>
    <cellStyle name="Percent 4 4 4 4 4 2" xfId="35063"/>
    <cellStyle name="Percent 4 4 4 4 4 3" xfId="35064"/>
    <cellStyle name="Percent 4 4 4 4 5" xfId="35065"/>
    <cellStyle name="Percent 4 4 4 4 6" xfId="35066"/>
    <cellStyle name="Percent 4 4 4 4 7" xfId="35067"/>
    <cellStyle name="Percent 4 4 4 4 8" xfId="35068"/>
    <cellStyle name="Percent 4 4 4 5" xfId="35069"/>
    <cellStyle name="Percent 4 4 4 5 2" xfId="35070"/>
    <cellStyle name="Percent 4 4 4 5 2 2" xfId="35071"/>
    <cellStyle name="Percent 4 4 4 5 2 3" xfId="35072"/>
    <cellStyle name="Percent 4 4 4 5 3" xfId="35073"/>
    <cellStyle name="Percent 4 4 4 5 3 2" xfId="35074"/>
    <cellStyle name="Percent 4 4 4 5 3 3" xfId="35075"/>
    <cellStyle name="Percent 4 4 4 5 4" xfId="35076"/>
    <cellStyle name="Percent 4 4 4 5 5" xfId="35077"/>
    <cellStyle name="Percent 4 4 4 5 6" xfId="35078"/>
    <cellStyle name="Percent 4 4 4 5 7" xfId="35079"/>
    <cellStyle name="Percent 4 4 4 6" xfId="35080"/>
    <cellStyle name="Percent 4 4 4 6 2" xfId="35081"/>
    <cellStyle name="Percent 4 4 4 6 3" xfId="35082"/>
    <cellStyle name="Percent 4 4 4 7" xfId="35083"/>
    <cellStyle name="Percent 4 4 4 7 2" xfId="35084"/>
    <cellStyle name="Percent 4 4 4 7 3" xfId="35085"/>
    <cellStyle name="Percent 4 4 4 8" xfId="35086"/>
    <cellStyle name="Percent 4 4 4 9" xfId="35087"/>
    <cellStyle name="Percent 4 4 5" xfId="35088"/>
    <cellStyle name="Percent 4 4 5 10" xfId="35089"/>
    <cellStyle name="Percent 4 4 5 11" xfId="35090"/>
    <cellStyle name="Percent 4 4 5 2" xfId="35091"/>
    <cellStyle name="Percent 4 4 5 2 2" xfId="35092"/>
    <cellStyle name="Percent 4 4 5 2 2 2" xfId="35093"/>
    <cellStyle name="Percent 4 4 5 2 2 2 2" xfId="35094"/>
    <cellStyle name="Percent 4 4 5 2 2 2 2 2" xfId="35095"/>
    <cellStyle name="Percent 4 4 5 2 2 2 2 3" xfId="35096"/>
    <cellStyle name="Percent 4 4 5 2 2 2 3" xfId="35097"/>
    <cellStyle name="Percent 4 4 5 2 2 2 3 2" xfId="35098"/>
    <cellStyle name="Percent 4 4 5 2 2 2 3 3" xfId="35099"/>
    <cellStyle name="Percent 4 4 5 2 2 2 4" xfId="35100"/>
    <cellStyle name="Percent 4 4 5 2 2 2 5" xfId="35101"/>
    <cellStyle name="Percent 4 4 5 2 2 2 6" xfId="35102"/>
    <cellStyle name="Percent 4 4 5 2 2 2 7" xfId="35103"/>
    <cellStyle name="Percent 4 4 5 2 2 3" xfId="35104"/>
    <cellStyle name="Percent 4 4 5 2 2 3 2" xfId="35105"/>
    <cellStyle name="Percent 4 4 5 2 2 3 3" xfId="35106"/>
    <cellStyle name="Percent 4 4 5 2 2 4" xfId="35107"/>
    <cellStyle name="Percent 4 4 5 2 2 4 2" xfId="35108"/>
    <cellStyle name="Percent 4 4 5 2 2 4 3" xfId="35109"/>
    <cellStyle name="Percent 4 4 5 2 2 5" xfId="35110"/>
    <cellStyle name="Percent 4 4 5 2 2 6" xfId="35111"/>
    <cellStyle name="Percent 4 4 5 2 2 7" xfId="35112"/>
    <cellStyle name="Percent 4 4 5 2 2 8" xfId="35113"/>
    <cellStyle name="Percent 4 4 5 2 3" xfId="35114"/>
    <cellStyle name="Percent 4 4 5 2 3 2" xfId="35115"/>
    <cellStyle name="Percent 4 4 5 2 3 2 2" xfId="35116"/>
    <cellStyle name="Percent 4 4 5 2 3 2 3" xfId="35117"/>
    <cellStyle name="Percent 4 4 5 2 3 3" xfId="35118"/>
    <cellStyle name="Percent 4 4 5 2 3 3 2" xfId="35119"/>
    <cellStyle name="Percent 4 4 5 2 3 3 3" xfId="35120"/>
    <cellStyle name="Percent 4 4 5 2 3 4" xfId="35121"/>
    <cellStyle name="Percent 4 4 5 2 3 5" xfId="35122"/>
    <cellStyle name="Percent 4 4 5 2 3 6" xfId="35123"/>
    <cellStyle name="Percent 4 4 5 2 3 7" xfId="35124"/>
    <cellStyle name="Percent 4 4 5 2 4" xfId="35125"/>
    <cellStyle name="Percent 4 4 5 2 4 2" xfId="35126"/>
    <cellStyle name="Percent 4 4 5 2 4 3" xfId="35127"/>
    <cellStyle name="Percent 4 4 5 2 5" xfId="35128"/>
    <cellStyle name="Percent 4 4 5 2 5 2" xfId="35129"/>
    <cellStyle name="Percent 4 4 5 2 5 3" xfId="35130"/>
    <cellStyle name="Percent 4 4 5 2 6" xfId="35131"/>
    <cellStyle name="Percent 4 4 5 2 7" xfId="35132"/>
    <cellStyle name="Percent 4 4 5 2 8" xfId="35133"/>
    <cellStyle name="Percent 4 4 5 2 9" xfId="35134"/>
    <cellStyle name="Percent 4 4 5 3" xfId="35135"/>
    <cellStyle name="Percent 4 4 5 3 2" xfId="35136"/>
    <cellStyle name="Percent 4 4 5 3 2 2" xfId="35137"/>
    <cellStyle name="Percent 4 4 5 3 2 2 2" xfId="35138"/>
    <cellStyle name="Percent 4 4 5 3 2 2 3" xfId="35139"/>
    <cellStyle name="Percent 4 4 5 3 2 3" xfId="35140"/>
    <cellStyle name="Percent 4 4 5 3 2 3 2" xfId="35141"/>
    <cellStyle name="Percent 4 4 5 3 2 3 3" xfId="35142"/>
    <cellStyle name="Percent 4 4 5 3 2 4" xfId="35143"/>
    <cellStyle name="Percent 4 4 5 3 2 5" xfId="35144"/>
    <cellStyle name="Percent 4 4 5 3 2 6" xfId="35145"/>
    <cellStyle name="Percent 4 4 5 3 2 7" xfId="35146"/>
    <cellStyle name="Percent 4 4 5 3 3" xfId="35147"/>
    <cellStyle name="Percent 4 4 5 3 3 2" xfId="35148"/>
    <cellStyle name="Percent 4 4 5 3 3 3" xfId="35149"/>
    <cellStyle name="Percent 4 4 5 3 4" xfId="35150"/>
    <cellStyle name="Percent 4 4 5 3 4 2" xfId="35151"/>
    <cellStyle name="Percent 4 4 5 3 4 3" xfId="35152"/>
    <cellStyle name="Percent 4 4 5 3 5" xfId="35153"/>
    <cellStyle name="Percent 4 4 5 3 6" xfId="35154"/>
    <cellStyle name="Percent 4 4 5 3 7" xfId="35155"/>
    <cellStyle name="Percent 4 4 5 3 8" xfId="35156"/>
    <cellStyle name="Percent 4 4 5 4" xfId="35157"/>
    <cellStyle name="Percent 4 4 5 4 2" xfId="35158"/>
    <cellStyle name="Percent 4 4 5 4 2 2" xfId="35159"/>
    <cellStyle name="Percent 4 4 5 4 2 2 2" xfId="35160"/>
    <cellStyle name="Percent 4 4 5 4 2 2 3" xfId="35161"/>
    <cellStyle name="Percent 4 4 5 4 2 3" xfId="35162"/>
    <cellStyle name="Percent 4 4 5 4 2 3 2" xfId="35163"/>
    <cellStyle name="Percent 4 4 5 4 2 3 3" xfId="35164"/>
    <cellStyle name="Percent 4 4 5 4 2 4" xfId="35165"/>
    <cellStyle name="Percent 4 4 5 4 2 5" xfId="35166"/>
    <cellStyle name="Percent 4 4 5 4 2 6" xfId="35167"/>
    <cellStyle name="Percent 4 4 5 4 2 7" xfId="35168"/>
    <cellStyle name="Percent 4 4 5 4 3" xfId="35169"/>
    <cellStyle name="Percent 4 4 5 4 3 2" xfId="35170"/>
    <cellStyle name="Percent 4 4 5 4 3 3" xfId="35171"/>
    <cellStyle name="Percent 4 4 5 4 4" xfId="35172"/>
    <cellStyle name="Percent 4 4 5 4 4 2" xfId="35173"/>
    <cellStyle name="Percent 4 4 5 4 4 3" xfId="35174"/>
    <cellStyle name="Percent 4 4 5 4 5" xfId="35175"/>
    <cellStyle name="Percent 4 4 5 4 6" xfId="35176"/>
    <cellStyle name="Percent 4 4 5 4 7" xfId="35177"/>
    <cellStyle name="Percent 4 4 5 4 8" xfId="35178"/>
    <cellStyle name="Percent 4 4 5 5" xfId="35179"/>
    <cellStyle name="Percent 4 4 5 5 2" xfId="35180"/>
    <cellStyle name="Percent 4 4 5 5 2 2" xfId="35181"/>
    <cellStyle name="Percent 4 4 5 5 2 3" xfId="35182"/>
    <cellStyle name="Percent 4 4 5 5 3" xfId="35183"/>
    <cellStyle name="Percent 4 4 5 5 3 2" xfId="35184"/>
    <cellStyle name="Percent 4 4 5 5 3 3" xfId="35185"/>
    <cellStyle name="Percent 4 4 5 5 4" xfId="35186"/>
    <cellStyle name="Percent 4 4 5 5 5" xfId="35187"/>
    <cellStyle name="Percent 4 4 5 5 6" xfId="35188"/>
    <cellStyle name="Percent 4 4 5 5 7" xfId="35189"/>
    <cellStyle name="Percent 4 4 5 6" xfId="35190"/>
    <cellStyle name="Percent 4 4 5 6 2" xfId="35191"/>
    <cellStyle name="Percent 4 4 5 6 3" xfId="35192"/>
    <cellStyle name="Percent 4 4 5 7" xfId="35193"/>
    <cellStyle name="Percent 4 4 5 7 2" xfId="35194"/>
    <cellStyle name="Percent 4 4 5 7 3" xfId="35195"/>
    <cellStyle name="Percent 4 4 5 8" xfId="35196"/>
    <cellStyle name="Percent 4 4 5 9" xfId="35197"/>
    <cellStyle name="Percent 4 4 6" xfId="35198"/>
    <cellStyle name="Percent 4 4 6 10" xfId="35199"/>
    <cellStyle name="Percent 4 4 6 11" xfId="35200"/>
    <cellStyle name="Percent 4 4 6 2" xfId="35201"/>
    <cellStyle name="Percent 4 4 6 2 2" xfId="35202"/>
    <cellStyle name="Percent 4 4 6 2 2 2" xfId="35203"/>
    <cellStyle name="Percent 4 4 6 2 2 2 2" xfId="35204"/>
    <cellStyle name="Percent 4 4 6 2 2 2 2 2" xfId="35205"/>
    <cellStyle name="Percent 4 4 6 2 2 2 2 3" xfId="35206"/>
    <cellStyle name="Percent 4 4 6 2 2 2 3" xfId="35207"/>
    <cellStyle name="Percent 4 4 6 2 2 2 3 2" xfId="35208"/>
    <cellStyle name="Percent 4 4 6 2 2 2 3 3" xfId="35209"/>
    <cellStyle name="Percent 4 4 6 2 2 2 4" xfId="35210"/>
    <cellStyle name="Percent 4 4 6 2 2 2 5" xfId="35211"/>
    <cellStyle name="Percent 4 4 6 2 2 2 6" xfId="35212"/>
    <cellStyle name="Percent 4 4 6 2 2 2 7" xfId="35213"/>
    <cellStyle name="Percent 4 4 6 2 2 3" xfId="35214"/>
    <cellStyle name="Percent 4 4 6 2 2 3 2" xfId="35215"/>
    <cellStyle name="Percent 4 4 6 2 2 3 3" xfId="35216"/>
    <cellStyle name="Percent 4 4 6 2 2 4" xfId="35217"/>
    <cellStyle name="Percent 4 4 6 2 2 4 2" xfId="35218"/>
    <cellStyle name="Percent 4 4 6 2 2 4 3" xfId="35219"/>
    <cellStyle name="Percent 4 4 6 2 2 5" xfId="35220"/>
    <cellStyle name="Percent 4 4 6 2 2 6" xfId="35221"/>
    <cellStyle name="Percent 4 4 6 2 2 7" xfId="35222"/>
    <cellStyle name="Percent 4 4 6 2 2 8" xfId="35223"/>
    <cellStyle name="Percent 4 4 6 2 3" xfId="35224"/>
    <cellStyle name="Percent 4 4 6 2 3 2" xfId="35225"/>
    <cellStyle name="Percent 4 4 6 2 3 2 2" xfId="35226"/>
    <cellStyle name="Percent 4 4 6 2 3 2 3" xfId="35227"/>
    <cellStyle name="Percent 4 4 6 2 3 3" xfId="35228"/>
    <cellStyle name="Percent 4 4 6 2 3 3 2" xfId="35229"/>
    <cellStyle name="Percent 4 4 6 2 3 3 3" xfId="35230"/>
    <cellStyle name="Percent 4 4 6 2 3 4" xfId="35231"/>
    <cellStyle name="Percent 4 4 6 2 3 5" xfId="35232"/>
    <cellStyle name="Percent 4 4 6 2 3 6" xfId="35233"/>
    <cellStyle name="Percent 4 4 6 2 3 7" xfId="35234"/>
    <cellStyle name="Percent 4 4 6 2 4" xfId="35235"/>
    <cellStyle name="Percent 4 4 6 2 4 2" xfId="35236"/>
    <cellStyle name="Percent 4 4 6 2 4 3" xfId="35237"/>
    <cellStyle name="Percent 4 4 6 2 5" xfId="35238"/>
    <cellStyle name="Percent 4 4 6 2 5 2" xfId="35239"/>
    <cellStyle name="Percent 4 4 6 2 5 3" xfId="35240"/>
    <cellStyle name="Percent 4 4 6 2 6" xfId="35241"/>
    <cellStyle name="Percent 4 4 6 2 7" xfId="35242"/>
    <cellStyle name="Percent 4 4 6 2 8" xfId="35243"/>
    <cellStyle name="Percent 4 4 6 2 9" xfId="35244"/>
    <cellStyle name="Percent 4 4 6 3" xfId="35245"/>
    <cellStyle name="Percent 4 4 6 3 2" xfId="35246"/>
    <cellStyle name="Percent 4 4 6 3 2 2" xfId="35247"/>
    <cellStyle name="Percent 4 4 6 3 2 2 2" xfId="35248"/>
    <cellStyle name="Percent 4 4 6 3 2 2 3" xfId="35249"/>
    <cellStyle name="Percent 4 4 6 3 2 3" xfId="35250"/>
    <cellStyle name="Percent 4 4 6 3 2 3 2" xfId="35251"/>
    <cellStyle name="Percent 4 4 6 3 2 3 3" xfId="35252"/>
    <cellStyle name="Percent 4 4 6 3 2 4" xfId="35253"/>
    <cellStyle name="Percent 4 4 6 3 2 5" xfId="35254"/>
    <cellStyle name="Percent 4 4 6 3 2 6" xfId="35255"/>
    <cellStyle name="Percent 4 4 6 3 2 7" xfId="35256"/>
    <cellStyle name="Percent 4 4 6 3 3" xfId="35257"/>
    <cellStyle name="Percent 4 4 6 3 3 2" xfId="35258"/>
    <cellStyle name="Percent 4 4 6 3 3 3" xfId="35259"/>
    <cellStyle name="Percent 4 4 6 3 4" xfId="35260"/>
    <cellStyle name="Percent 4 4 6 3 4 2" xfId="35261"/>
    <cellStyle name="Percent 4 4 6 3 4 3" xfId="35262"/>
    <cellStyle name="Percent 4 4 6 3 5" xfId="35263"/>
    <cellStyle name="Percent 4 4 6 3 6" xfId="35264"/>
    <cellStyle name="Percent 4 4 6 3 7" xfId="35265"/>
    <cellStyle name="Percent 4 4 6 3 8" xfId="35266"/>
    <cellStyle name="Percent 4 4 6 4" xfId="35267"/>
    <cellStyle name="Percent 4 4 6 4 2" xfId="35268"/>
    <cellStyle name="Percent 4 4 6 4 2 2" xfId="35269"/>
    <cellStyle name="Percent 4 4 6 4 2 2 2" xfId="35270"/>
    <cellStyle name="Percent 4 4 6 4 2 2 3" xfId="35271"/>
    <cellStyle name="Percent 4 4 6 4 2 3" xfId="35272"/>
    <cellStyle name="Percent 4 4 6 4 2 3 2" xfId="35273"/>
    <cellStyle name="Percent 4 4 6 4 2 3 3" xfId="35274"/>
    <cellStyle name="Percent 4 4 6 4 2 4" xfId="35275"/>
    <cellStyle name="Percent 4 4 6 4 2 5" xfId="35276"/>
    <cellStyle name="Percent 4 4 6 4 2 6" xfId="35277"/>
    <cellStyle name="Percent 4 4 6 4 2 7" xfId="35278"/>
    <cellStyle name="Percent 4 4 6 4 3" xfId="35279"/>
    <cellStyle name="Percent 4 4 6 4 3 2" xfId="35280"/>
    <cellStyle name="Percent 4 4 6 4 3 3" xfId="35281"/>
    <cellStyle name="Percent 4 4 6 4 4" xfId="35282"/>
    <cellStyle name="Percent 4 4 6 4 4 2" xfId="35283"/>
    <cellStyle name="Percent 4 4 6 4 4 3" xfId="35284"/>
    <cellStyle name="Percent 4 4 6 4 5" xfId="35285"/>
    <cellStyle name="Percent 4 4 6 4 6" xfId="35286"/>
    <cellStyle name="Percent 4 4 6 4 7" xfId="35287"/>
    <cellStyle name="Percent 4 4 6 4 8" xfId="35288"/>
    <cellStyle name="Percent 4 4 6 5" xfId="35289"/>
    <cellStyle name="Percent 4 4 6 5 2" xfId="35290"/>
    <cellStyle name="Percent 4 4 6 5 2 2" xfId="35291"/>
    <cellStyle name="Percent 4 4 6 5 2 3" xfId="35292"/>
    <cellStyle name="Percent 4 4 6 5 3" xfId="35293"/>
    <cellStyle name="Percent 4 4 6 5 3 2" xfId="35294"/>
    <cellStyle name="Percent 4 4 6 5 3 3" xfId="35295"/>
    <cellStyle name="Percent 4 4 6 5 4" xfId="35296"/>
    <cellStyle name="Percent 4 4 6 5 5" xfId="35297"/>
    <cellStyle name="Percent 4 4 6 5 6" xfId="35298"/>
    <cellStyle name="Percent 4 4 6 5 7" xfId="35299"/>
    <cellStyle name="Percent 4 4 6 6" xfId="35300"/>
    <cellStyle name="Percent 4 4 6 6 2" xfId="35301"/>
    <cellStyle name="Percent 4 4 6 6 3" xfId="35302"/>
    <cellStyle name="Percent 4 4 6 7" xfId="35303"/>
    <cellStyle name="Percent 4 4 6 7 2" xfId="35304"/>
    <cellStyle name="Percent 4 4 6 7 3" xfId="35305"/>
    <cellStyle name="Percent 4 4 6 8" xfId="35306"/>
    <cellStyle name="Percent 4 4 6 9" xfId="35307"/>
    <cellStyle name="Percent 4 4 7" xfId="35308"/>
    <cellStyle name="Percent 4 4 7 2" xfId="35309"/>
    <cellStyle name="Percent 4 4 7 2 2" xfId="35310"/>
    <cellStyle name="Percent 4 4 7 2 2 2" xfId="35311"/>
    <cellStyle name="Percent 4 4 7 2 2 2 2" xfId="35312"/>
    <cellStyle name="Percent 4 4 7 2 2 2 3" xfId="35313"/>
    <cellStyle name="Percent 4 4 7 2 2 3" xfId="35314"/>
    <cellStyle name="Percent 4 4 7 2 2 3 2" xfId="35315"/>
    <cellStyle name="Percent 4 4 7 2 2 3 3" xfId="35316"/>
    <cellStyle name="Percent 4 4 7 2 2 4" xfId="35317"/>
    <cellStyle name="Percent 4 4 7 2 2 5" xfId="35318"/>
    <cellStyle name="Percent 4 4 7 2 2 6" xfId="35319"/>
    <cellStyle name="Percent 4 4 7 2 2 7" xfId="35320"/>
    <cellStyle name="Percent 4 4 7 2 3" xfId="35321"/>
    <cellStyle name="Percent 4 4 7 2 3 2" xfId="35322"/>
    <cellStyle name="Percent 4 4 7 2 3 3" xfId="35323"/>
    <cellStyle name="Percent 4 4 7 2 4" xfId="35324"/>
    <cellStyle name="Percent 4 4 7 2 4 2" xfId="35325"/>
    <cellStyle name="Percent 4 4 7 2 4 3" xfId="35326"/>
    <cellStyle name="Percent 4 4 7 2 5" xfId="35327"/>
    <cellStyle name="Percent 4 4 7 2 6" xfId="35328"/>
    <cellStyle name="Percent 4 4 7 2 7" xfId="35329"/>
    <cellStyle name="Percent 4 4 7 2 8" xfId="35330"/>
    <cellStyle name="Percent 4 4 7 3" xfId="35331"/>
    <cellStyle name="Percent 4 4 7 3 2" xfId="35332"/>
    <cellStyle name="Percent 4 4 7 3 2 2" xfId="35333"/>
    <cellStyle name="Percent 4 4 7 3 2 3" xfId="35334"/>
    <cellStyle name="Percent 4 4 7 3 3" xfId="35335"/>
    <cellStyle name="Percent 4 4 7 3 3 2" xfId="35336"/>
    <cellStyle name="Percent 4 4 7 3 3 3" xfId="35337"/>
    <cellStyle name="Percent 4 4 7 3 4" xfId="35338"/>
    <cellStyle name="Percent 4 4 7 3 5" xfId="35339"/>
    <cellStyle name="Percent 4 4 7 3 6" xfId="35340"/>
    <cellStyle name="Percent 4 4 7 3 7" xfId="35341"/>
    <cellStyle name="Percent 4 4 7 4" xfId="35342"/>
    <cellStyle name="Percent 4 4 7 4 2" xfId="35343"/>
    <cellStyle name="Percent 4 4 7 4 3" xfId="35344"/>
    <cellStyle name="Percent 4 4 7 5" xfId="35345"/>
    <cellStyle name="Percent 4 4 7 5 2" xfId="35346"/>
    <cellStyle name="Percent 4 4 7 5 3" xfId="35347"/>
    <cellStyle name="Percent 4 4 7 6" xfId="35348"/>
    <cellStyle name="Percent 4 4 7 7" xfId="35349"/>
    <cellStyle name="Percent 4 4 7 8" xfId="35350"/>
    <cellStyle name="Percent 4 4 7 9" xfId="35351"/>
    <cellStyle name="Percent 4 4 8" xfId="35352"/>
    <cellStyle name="Percent 4 4 8 2" xfId="35353"/>
    <cellStyle name="Percent 4 4 8 2 2" xfId="35354"/>
    <cellStyle name="Percent 4 4 8 2 2 2" xfId="35355"/>
    <cellStyle name="Percent 4 4 8 2 2 3" xfId="35356"/>
    <cellStyle name="Percent 4 4 8 2 3" xfId="35357"/>
    <cellStyle name="Percent 4 4 8 2 3 2" xfId="35358"/>
    <cellStyle name="Percent 4 4 8 2 3 3" xfId="35359"/>
    <cellStyle name="Percent 4 4 8 2 4" xfId="35360"/>
    <cellStyle name="Percent 4 4 8 2 5" xfId="35361"/>
    <cellStyle name="Percent 4 4 8 2 6" xfId="35362"/>
    <cellStyle name="Percent 4 4 8 2 7" xfId="35363"/>
    <cellStyle name="Percent 4 4 8 3" xfId="35364"/>
    <cellStyle name="Percent 4 4 8 3 2" xfId="35365"/>
    <cellStyle name="Percent 4 4 8 3 3" xfId="35366"/>
    <cellStyle name="Percent 4 4 8 4" xfId="35367"/>
    <cellStyle name="Percent 4 4 8 4 2" xfId="35368"/>
    <cellStyle name="Percent 4 4 8 4 3" xfId="35369"/>
    <cellStyle name="Percent 4 4 8 5" xfId="35370"/>
    <cellStyle name="Percent 4 4 8 6" xfId="35371"/>
    <cellStyle name="Percent 4 4 8 7" xfId="35372"/>
    <cellStyle name="Percent 4 4 8 8" xfId="35373"/>
    <cellStyle name="Percent 4 4 9" xfId="35374"/>
    <cellStyle name="Percent 4 4 9 2" xfId="35375"/>
    <cellStyle name="Percent 4 4 9 2 2" xfId="35376"/>
    <cellStyle name="Percent 4 4 9 2 2 2" xfId="35377"/>
    <cellStyle name="Percent 4 4 9 2 2 3" xfId="35378"/>
    <cellStyle name="Percent 4 4 9 2 3" xfId="35379"/>
    <cellStyle name="Percent 4 4 9 2 3 2" xfId="35380"/>
    <cellStyle name="Percent 4 4 9 2 3 3" xfId="35381"/>
    <cellStyle name="Percent 4 4 9 2 4" xfId="35382"/>
    <cellStyle name="Percent 4 4 9 2 5" xfId="35383"/>
    <cellStyle name="Percent 4 4 9 2 6" xfId="35384"/>
    <cellStyle name="Percent 4 4 9 2 7" xfId="35385"/>
    <cellStyle name="Percent 4 4 9 3" xfId="35386"/>
    <cellStyle name="Percent 4 4 9 3 2" xfId="35387"/>
    <cellStyle name="Percent 4 4 9 3 3" xfId="35388"/>
    <cellStyle name="Percent 4 4 9 4" xfId="35389"/>
    <cellStyle name="Percent 4 4 9 4 2" xfId="35390"/>
    <cellStyle name="Percent 4 4 9 4 3" xfId="35391"/>
    <cellStyle name="Percent 4 4 9 5" xfId="35392"/>
    <cellStyle name="Percent 4 4 9 6" xfId="35393"/>
    <cellStyle name="Percent 4 4 9 7" xfId="35394"/>
    <cellStyle name="Percent 4 4 9 8" xfId="35395"/>
    <cellStyle name="Percent 4 5" xfId="35396"/>
    <cellStyle name="Percent 4 5 10" xfId="35397"/>
    <cellStyle name="Percent 4 5 10 2" xfId="35398"/>
    <cellStyle name="Percent 4 5 10 2 2" xfId="35399"/>
    <cellStyle name="Percent 4 5 10 2 3" xfId="35400"/>
    <cellStyle name="Percent 4 5 10 3" xfId="35401"/>
    <cellStyle name="Percent 4 5 10 3 2" xfId="35402"/>
    <cellStyle name="Percent 4 5 10 3 3" xfId="35403"/>
    <cellStyle name="Percent 4 5 10 4" xfId="35404"/>
    <cellStyle name="Percent 4 5 10 5" xfId="35405"/>
    <cellStyle name="Percent 4 5 10 6" xfId="35406"/>
    <cellStyle name="Percent 4 5 10 7" xfId="35407"/>
    <cellStyle name="Percent 4 5 11" xfId="35408"/>
    <cellStyle name="Percent 4 5 11 2" xfId="35409"/>
    <cellStyle name="Percent 4 5 12" xfId="35410"/>
    <cellStyle name="Percent 4 5 12 2" xfId="35411"/>
    <cellStyle name="Percent 4 5 12 3" xfId="35412"/>
    <cellStyle name="Percent 4 5 13" xfId="35413"/>
    <cellStyle name="Percent 4 5 13 2" xfId="35414"/>
    <cellStyle name="Percent 4 5 13 3" xfId="35415"/>
    <cellStyle name="Percent 4 5 14" xfId="35416"/>
    <cellStyle name="Percent 4 5 15" xfId="35417"/>
    <cellStyle name="Percent 4 5 16" xfId="35418"/>
    <cellStyle name="Percent 4 5 17" xfId="35419"/>
    <cellStyle name="Percent 4 5 2" xfId="35420"/>
    <cellStyle name="Percent 4 5 2 10" xfId="35421"/>
    <cellStyle name="Percent 4 5 2 11" xfId="35422"/>
    <cellStyle name="Percent 4 5 2 12" xfId="35423"/>
    <cellStyle name="Percent 4 5 2 13" xfId="35424"/>
    <cellStyle name="Percent 4 5 2 2" xfId="35425"/>
    <cellStyle name="Percent 4 5 2 2 10" xfId="35426"/>
    <cellStyle name="Percent 4 5 2 2 11" xfId="35427"/>
    <cellStyle name="Percent 4 5 2 2 2" xfId="35428"/>
    <cellStyle name="Percent 4 5 2 2 2 2" xfId="35429"/>
    <cellStyle name="Percent 4 5 2 2 2 2 2" xfId="35430"/>
    <cellStyle name="Percent 4 5 2 2 2 2 2 2" xfId="35431"/>
    <cellStyle name="Percent 4 5 2 2 2 2 2 2 2" xfId="35432"/>
    <cellStyle name="Percent 4 5 2 2 2 2 2 2 3" xfId="35433"/>
    <cellStyle name="Percent 4 5 2 2 2 2 2 3" xfId="35434"/>
    <cellStyle name="Percent 4 5 2 2 2 2 2 3 2" xfId="35435"/>
    <cellStyle name="Percent 4 5 2 2 2 2 2 3 3" xfId="35436"/>
    <cellStyle name="Percent 4 5 2 2 2 2 2 4" xfId="35437"/>
    <cellStyle name="Percent 4 5 2 2 2 2 2 5" xfId="35438"/>
    <cellStyle name="Percent 4 5 2 2 2 2 2 6" xfId="35439"/>
    <cellStyle name="Percent 4 5 2 2 2 2 2 7" xfId="35440"/>
    <cellStyle name="Percent 4 5 2 2 2 2 3" xfId="35441"/>
    <cellStyle name="Percent 4 5 2 2 2 2 3 2" xfId="35442"/>
    <cellStyle name="Percent 4 5 2 2 2 2 3 3" xfId="35443"/>
    <cellStyle name="Percent 4 5 2 2 2 2 4" xfId="35444"/>
    <cellStyle name="Percent 4 5 2 2 2 2 4 2" xfId="35445"/>
    <cellStyle name="Percent 4 5 2 2 2 2 4 3" xfId="35446"/>
    <cellStyle name="Percent 4 5 2 2 2 2 5" xfId="35447"/>
    <cellStyle name="Percent 4 5 2 2 2 2 6" xfId="35448"/>
    <cellStyle name="Percent 4 5 2 2 2 2 7" xfId="35449"/>
    <cellStyle name="Percent 4 5 2 2 2 2 8" xfId="35450"/>
    <cellStyle name="Percent 4 5 2 2 2 3" xfId="35451"/>
    <cellStyle name="Percent 4 5 2 2 2 3 2" xfId="35452"/>
    <cellStyle name="Percent 4 5 2 2 2 3 2 2" xfId="35453"/>
    <cellStyle name="Percent 4 5 2 2 2 3 2 3" xfId="35454"/>
    <cellStyle name="Percent 4 5 2 2 2 3 3" xfId="35455"/>
    <cellStyle name="Percent 4 5 2 2 2 3 3 2" xfId="35456"/>
    <cellStyle name="Percent 4 5 2 2 2 3 3 3" xfId="35457"/>
    <cellStyle name="Percent 4 5 2 2 2 3 4" xfId="35458"/>
    <cellStyle name="Percent 4 5 2 2 2 3 5" xfId="35459"/>
    <cellStyle name="Percent 4 5 2 2 2 3 6" xfId="35460"/>
    <cellStyle name="Percent 4 5 2 2 2 3 7" xfId="35461"/>
    <cellStyle name="Percent 4 5 2 2 2 4" xfId="35462"/>
    <cellStyle name="Percent 4 5 2 2 2 4 2" xfId="35463"/>
    <cellStyle name="Percent 4 5 2 2 2 4 3" xfId="35464"/>
    <cellStyle name="Percent 4 5 2 2 2 5" xfId="35465"/>
    <cellStyle name="Percent 4 5 2 2 2 5 2" xfId="35466"/>
    <cellStyle name="Percent 4 5 2 2 2 5 3" xfId="35467"/>
    <cellStyle name="Percent 4 5 2 2 2 6" xfId="35468"/>
    <cellStyle name="Percent 4 5 2 2 2 7" xfId="35469"/>
    <cellStyle name="Percent 4 5 2 2 2 8" xfId="35470"/>
    <cellStyle name="Percent 4 5 2 2 2 9" xfId="35471"/>
    <cellStyle name="Percent 4 5 2 2 3" xfId="35472"/>
    <cellStyle name="Percent 4 5 2 2 3 2" xfId="35473"/>
    <cellStyle name="Percent 4 5 2 2 3 2 2" xfId="35474"/>
    <cellStyle name="Percent 4 5 2 2 3 2 2 2" xfId="35475"/>
    <cellStyle name="Percent 4 5 2 2 3 2 2 3" xfId="35476"/>
    <cellStyle name="Percent 4 5 2 2 3 2 3" xfId="35477"/>
    <cellStyle name="Percent 4 5 2 2 3 2 3 2" xfId="35478"/>
    <cellStyle name="Percent 4 5 2 2 3 2 3 3" xfId="35479"/>
    <cellStyle name="Percent 4 5 2 2 3 2 4" xfId="35480"/>
    <cellStyle name="Percent 4 5 2 2 3 2 5" xfId="35481"/>
    <cellStyle name="Percent 4 5 2 2 3 2 6" xfId="35482"/>
    <cellStyle name="Percent 4 5 2 2 3 2 7" xfId="35483"/>
    <cellStyle name="Percent 4 5 2 2 3 3" xfId="35484"/>
    <cellStyle name="Percent 4 5 2 2 3 3 2" xfId="35485"/>
    <cellStyle name="Percent 4 5 2 2 3 3 3" xfId="35486"/>
    <cellStyle name="Percent 4 5 2 2 3 4" xfId="35487"/>
    <cellStyle name="Percent 4 5 2 2 3 4 2" xfId="35488"/>
    <cellStyle name="Percent 4 5 2 2 3 4 3" xfId="35489"/>
    <cellStyle name="Percent 4 5 2 2 3 5" xfId="35490"/>
    <cellStyle name="Percent 4 5 2 2 3 6" xfId="35491"/>
    <cellStyle name="Percent 4 5 2 2 3 7" xfId="35492"/>
    <cellStyle name="Percent 4 5 2 2 3 8" xfId="35493"/>
    <cellStyle name="Percent 4 5 2 2 4" xfId="35494"/>
    <cellStyle name="Percent 4 5 2 2 4 2" xfId="35495"/>
    <cellStyle name="Percent 4 5 2 2 4 2 2" xfId="35496"/>
    <cellStyle name="Percent 4 5 2 2 4 2 2 2" xfId="35497"/>
    <cellStyle name="Percent 4 5 2 2 4 2 2 3" xfId="35498"/>
    <cellStyle name="Percent 4 5 2 2 4 2 3" xfId="35499"/>
    <cellStyle name="Percent 4 5 2 2 4 2 3 2" xfId="35500"/>
    <cellStyle name="Percent 4 5 2 2 4 2 3 3" xfId="35501"/>
    <cellStyle name="Percent 4 5 2 2 4 2 4" xfId="35502"/>
    <cellStyle name="Percent 4 5 2 2 4 2 5" xfId="35503"/>
    <cellStyle name="Percent 4 5 2 2 4 2 6" xfId="35504"/>
    <cellStyle name="Percent 4 5 2 2 4 2 7" xfId="35505"/>
    <cellStyle name="Percent 4 5 2 2 4 3" xfId="35506"/>
    <cellStyle name="Percent 4 5 2 2 4 3 2" xfId="35507"/>
    <cellStyle name="Percent 4 5 2 2 4 3 3" xfId="35508"/>
    <cellStyle name="Percent 4 5 2 2 4 4" xfId="35509"/>
    <cellStyle name="Percent 4 5 2 2 4 4 2" xfId="35510"/>
    <cellStyle name="Percent 4 5 2 2 4 4 3" xfId="35511"/>
    <cellStyle name="Percent 4 5 2 2 4 5" xfId="35512"/>
    <cellStyle name="Percent 4 5 2 2 4 6" xfId="35513"/>
    <cellStyle name="Percent 4 5 2 2 4 7" xfId="35514"/>
    <cellStyle name="Percent 4 5 2 2 4 8" xfId="35515"/>
    <cellStyle name="Percent 4 5 2 2 5" xfId="35516"/>
    <cellStyle name="Percent 4 5 2 2 5 2" xfId="35517"/>
    <cellStyle name="Percent 4 5 2 2 5 2 2" xfId="35518"/>
    <cellStyle name="Percent 4 5 2 2 5 2 3" xfId="35519"/>
    <cellStyle name="Percent 4 5 2 2 5 3" xfId="35520"/>
    <cellStyle name="Percent 4 5 2 2 5 3 2" xfId="35521"/>
    <cellStyle name="Percent 4 5 2 2 5 3 3" xfId="35522"/>
    <cellStyle name="Percent 4 5 2 2 5 4" xfId="35523"/>
    <cellStyle name="Percent 4 5 2 2 5 5" xfId="35524"/>
    <cellStyle name="Percent 4 5 2 2 5 6" xfId="35525"/>
    <cellStyle name="Percent 4 5 2 2 5 7" xfId="35526"/>
    <cellStyle name="Percent 4 5 2 2 6" xfId="35527"/>
    <cellStyle name="Percent 4 5 2 2 6 2" xfId="35528"/>
    <cellStyle name="Percent 4 5 2 2 6 3" xfId="35529"/>
    <cellStyle name="Percent 4 5 2 2 7" xfId="35530"/>
    <cellStyle name="Percent 4 5 2 2 7 2" xfId="35531"/>
    <cellStyle name="Percent 4 5 2 2 7 3" xfId="35532"/>
    <cellStyle name="Percent 4 5 2 2 8" xfId="35533"/>
    <cellStyle name="Percent 4 5 2 2 9" xfId="35534"/>
    <cellStyle name="Percent 4 5 2 3" xfId="35535"/>
    <cellStyle name="Percent 4 5 2 3 10" xfId="35536"/>
    <cellStyle name="Percent 4 5 2 3 11" xfId="35537"/>
    <cellStyle name="Percent 4 5 2 3 2" xfId="35538"/>
    <cellStyle name="Percent 4 5 2 3 2 2" xfId="35539"/>
    <cellStyle name="Percent 4 5 2 3 2 2 2" xfId="35540"/>
    <cellStyle name="Percent 4 5 2 3 2 2 2 2" xfId="35541"/>
    <cellStyle name="Percent 4 5 2 3 2 2 2 2 2" xfId="35542"/>
    <cellStyle name="Percent 4 5 2 3 2 2 2 2 3" xfId="35543"/>
    <cellStyle name="Percent 4 5 2 3 2 2 2 3" xfId="35544"/>
    <cellStyle name="Percent 4 5 2 3 2 2 2 3 2" xfId="35545"/>
    <cellStyle name="Percent 4 5 2 3 2 2 2 3 3" xfId="35546"/>
    <cellStyle name="Percent 4 5 2 3 2 2 2 4" xfId="35547"/>
    <cellStyle name="Percent 4 5 2 3 2 2 2 5" xfId="35548"/>
    <cellStyle name="Percent 4 5 2 3 2 2 2 6" xfId="35549"/>
    <cellStyle name="Percent 4 5 2 3 2 2 2 7" xfId="35550"/>
    <cellStyle name="Percent 4 5 2 3 2 2 3" xfId="35551"/>
    <cellStyle name="Percent 4 5 2 3 2 2 3 2" xfId="35552"/>
    <cellStyle name="Percent 4 5 2 3 2 2 3 3" xfId="35553"/>
    <cellStyle name="Percent 4 5 2 3 2 2 4" xfId="35554"/>
    <cellStyle name="Percent 4 5 2 3 2 2 4 2" xfId="35555"/>
    <cellStyle name="Percent 4 5 2 3 2 2 4 3" xfId="35556"/>
    <cellStyle name="Percent 4 5 2 3 2 2 5" xfId="35557"/>
    <cellStyle name="Percent 4 5 2 3 2 2 6" xfId="35558"/>
    <cellStyle name="Percent 4 5 2 3 2 2 7" xfId="35559"/>
    <cellStyle name="Percent 4 5 2 3 2 2 8" xfId="35560"/>
    <cellStyle name="Percent 4 5 2 3 2 3" xfId="35561"/>
    <cellStyle name="Percent 4 5 2 3 2 3 2" xfId="35562"/>
    <cellStyle name="Percent 4 5 2 3 2 3 2 2" xfId="35563"/>
    <cellStyle name="Percent 4 5 2 3 2 3 2 3" xfId="35564"/>
    <cellStyle name="Percent 4 5 2 3 2 3 3" xfId="35565"/>
    <cellStyle name="Percent 4 5 2 3 2 3 3 2" xfId="35566"/>
    <cellStyle name="Percent 4 5 2 3 2 3 3 3" xfId="35567"/>
    <cellStyle name="Percent 4 5 2 3 2 3 4" xfId="35568"/>
    <cellStyle name="Percent 4 5 2 3 2 3 5" xfId="35569"/>
    <cellStyle name="Percent 4 5 2 3 2 3 6" xfId="35570"/>
    <cellStyle name="Percent 4 5 2 3 2 3 7" xfId="35571"/>
    <cellStyle name="Percent 4 5 2 3 2 4" xfId="35572"/>
    <cellStyle name="Percent 4 5 2 3 2 4 2" xfId="35573"/>
    <cellStyle name="Percent 4 5 2 3 2 4 3" xfId="35574"/>
    <cellStyle name="Percent 4 5 2 3 2 5" xfId="35575"/>
    <cellStyle name="Percent 4 5 2 3 2 5 2" xfId="35576"/>
    <cellStyle name="Percent 4 5 2 3 2 5 3" xfId="35577"/>
    <cellStyle name="Percent 4 5 2 3 2 6" xfId="35578"/>
    <cellStyle name="Percent 4 5 2 3 2 7" xfId="35579"/>
    <cellStyle name="Percent 4 5 2 3 2 8" xfId="35580"/>
    <cellStyle name="Percent 4 5 2 3 2 9" xfId="35581"/>
    <cellStyle name="Percent 4 5 2 3 3" xfId="35582"/>
    <cellStyle name="Percent 4 5 2 3 3 2" xfId="35583"/>
    <cellStyle name="Percent 4 5 2 3 3 2 2" xfId="35584"/>
    <cellStyle name="Percent 4 5 2 3 3 2 2 2" xfId="35585"/>
    <cellStyle name="Percent 4 5 2 3 3 2 2 3" xfId="35586"/>
    <cellStyle name="Percent 4 5 2 3 3 2 3" xfId="35587"/>
    <cellStyle name="Percent 4 5 2 3 3 2 3 2" xfId="35588"/>
    <cellStyle name="Percent 4 5 2 3 3 2 3 3" xfId="35589"/>
    <cellStyle name="Percent 4 5 2 3 3 2 4" xfId="35590"/>
    <cellStyle name="Percent 4 5 2 3 3 2 5" xfId="35591"/>
    <cellStyle name="Percent 4 5 2 3 3 2 6" xfId="35592"/>
    <cellStyle name="Percent 4 5 2 3 3 2 7" xfId="35593"/>
    <cellStyle name="Percent 4 5 2 3 3 3" xfId="35594"/>
    <cellStyle name="Percent 4 5 2 3 3 3 2" xfId="35595"/>
    <cellStyle name="Percent 4 5 2 3 3 3 3" xfId="35596"/>
    <cellStyle name="Percent 4 5 2 3 3 4" xfId="35597"/>
    <cellStyle name="Percent 4 5 2 3 3 4 2" xfId="35598"/>
    <cellStyle name="Percent 4 5 2 3 3 4 3" xfId="35599"/>
    <cellStyle name="Percent 4 5 2 3 3 5" xfId="35600"/>
    <cellStyle name="Percent 4 5 2 3 3 6" xfId="35601"/>
    <cellStyle name="Percent 4 5 2 3 3 7" xfId="35602"/>
    <cellStyle name="Percent 4 5 2 3 3 8" xfId="35603"/>
    <cellStyle name="Percent 4 5 2 3 4" xfId="35604"/>
    <cellStyle name="Percent 4 5 2 3 4 2" xfId="35605"/>
    <cellStyle name="Percent 4 5 2 3 4 2 2" xfId="35606"/>
    <cellStyle name="Percent 4 5 2 3 4 2 2 2" xfId="35607"/>
    <cellStyle name="Percent 4 5 2 3 4 2 2 3" xfId="35608"/>
    <cellStyle name="Percent 4 5 2 3 4 2 3" xfId="35609"/>
    <cellStyle name="Percent 4 5 2 3 4 2 3 2" xfId="35610"/>
    <cellStyle name="Percent 4 5 2 3 4 2 3 3" xfId="35611"/>
    <cellStyle name="Percent 4 5 2 3 4 2 4" xfId="35612"/>
    <cellStyle name="Percent 4 5 2 3 4 2 5" xfId="35613"/>
    <cellStyle name="Percent 4 5 2 3 4 2 6" xfId="35614"/>
    <cellStyle name="Percent 4 5 2 3 4 2 7" xfId="35615"/>
    <cellStyle name="Percent 4 5 2 3 4 3" xfId="35616"/>
    <cellStyle name="Percent 4 5 2 3 4 3 2" xfId="35617"/>
    <cellStyle name="Percent 4 5 2 3 4 3 3" xfId="35618"/>
    <cellStyle name="Percent 4 5 2 3 4 4" xfId="35619"/>
    <cellStyle name="Percent 4 5 2 3 4 4 2" xfId="35620"/>
    <cellStyle name="Percent 4 5 2 3 4 4 3" xfId="35621"/>
    <cellStyle name="Percent 4 5 2 3 4 5" xfId="35622"/>
    <cellStyle name="Percent 4 5 2 3 4 6" xfId="35623"/>
    <cellStyle name="Percent 4 5 2 3 4 7" xfId="35624"/>
    <cellStyle name="Percent 4 5 2 3 4 8" xfId="35625"/>
    <cellStyle name="Percent 4 5 2 3 5" xfId="35626"/>
    <cellStyle name="Percent 4 5 2 3 5 2" xfId="35627"/>
    <cellStyle name="Percent 4 5 2 3 5 2 2" xfId="35628"/>
    <cellStyle name="Percent 4 5 2 3 5 2 3" xfId="35629"/>
    <cellStyle name="Percent 4 5 2 3 5 3" xfId="35630"/>
    <cellStyle name="Percent 4 5 2 3 5 3 2" xfId="35631"/>
    <cellStyle name="Percent 4 5 2 3 5 3 3" xfId="35632"/>
    <cellStyle name="Percent 4 5 2 3 5 4" xfId="35633"/>
    <cellStyle name="Percent 4 5 2 3 5 5" xfId="35634"/>
    <cellStyle name="Percent 4 5 2 3 5 6" xfId="35635"/>
    <cellStyle name="Percent 4 5 2 3 5 7" xfId="35636"/>
    <cellStyle name="Percent 4 5 2 3 6" xfId="35637"/>
    <cellStyle name="Percent 4 5 2 3 6 2" xfId="35638"/>
    <cellStyle name="Percent 4 5 2 3 6 3" xfId="35639"/>
    <cellStyle name="Percent 4 5 2 3 7" xfId="35640"/>
    <cellStyle name="Percent 4 5 2 3 7 2" xfId="35641"/>
    <cellStyle name="Percent 4 5 2 3 7 3" xfId="35642"/>
    <cellStyle name="Percent 4 5 2 3 8" xfId="35643"/>
    <cellStyle name="Percent 4 5 2 3 9" xfId="35644"/>
    <cellStyle name="Percent 4 5 2 4" xfId="35645"/>
    <cellStyle name="Percent 4 5 2 4 2" xfId="35646"/>
    <cellStyle name="Percent 4 5 2 4 2 2" xfId="35647"/>
    <cellStyle name="Percent 4 5 2 4 2 2 2" xfId="35648"/>
    <cellStyle name="Percent 4 5 2 4 2 2 2 2" xfId="35649"/>
    <cellStyle name="Percent 4 5 2 4 2 2 2 3" xfId="35650"/>
    <cellStyle name="Percent 4 5 2 4 2 2 3" xfId="35651"/>
    <cellStyle name="Percent 4 5 2 4 2 2 3 2" xfId="35652"/>
    <cellStyle name="Percent 4 5 2 4 2 2 3 3" xfId="35653"/>
    <cellStyle name="Percent 4 5 2 4 2 2 4" xfId="35654"/>
    <cellStyle name="Percent 4 5 2 4 2 2 5" xfId="35655"/>
    <cellStyle name="Percent 4 5 2 4 2 2 6" xfId="35656"/>
    <cellStyle name="Percent 4 5 2 4 2 2 7" xfId="35657"/>
    <cellStyle name="Percent 4 5 2 4 2 3" xfId="35658"/>
    <cellStyle name="Percent 4 5 2 4 2 3 2" xfId="35659"/>
    <cellStyle name="Percent 4 5 2 4 2 3 3" xfId="35660"/>
    <cellStyle name="Percent 4 5 2 4 2 4" xfId="35661"/>
    <cellStyle name="Percent 4 5 2 4 2 4 2" xfId="35662"/>
    <cellStyle name="Percent 4 5 2 4 2 4 3" xfId="35663"/>
    <cellStyle name="Percent 4 5 2 4 2 5" xfId="35664"/>
    <cellStyle name="Percent 4 5 2 4 2 6" xfId="35665"/>
    <cellStyle name="Percent 4 5 2 4 2 7" xfId="35666"/>
    <cellStyle name="Percent 4 5 2 4 2 8" xfId="35667"/>
    <cellStyle name="Percent 4 5 2 4 3" xfId="35668"/>
    <cellStyle name="Percent 4 5 2 4 3 2" xfId="35669"/>
    <cellStyle name="Percent 4 5 2 4 3 2 2" xfId="35670"/>
    <cellStyle name="Percent 4 5 2 4 3 2 3" xfId="35671"/>
    <cellStyle name="Percent 4 5 2 4 3 3" xfId="35672"/>
    <cellStyle name="Percent 4 5 2 4 3 3 2" xfId="35673"/>
    <cellStyle name="Percent 4 5 2 4 3 3 3" xfId="35674"/>
    <cellStyle name="Percent 4 5 2 4 3 4" xfId="35675"/>
    <cellStyle name="Percent 4 5 2 4 3 5" xfId="35676"/>
    <cellStyle name="Percent 4 5 2 4 3 6" xfId="35677"/>
    <cellStyle name="Percent 4 5 2 4 3 7" xfId="35678"/>
    <cellStyle name="Percent 4 5 2 4 4" xfId="35679"/>
    <cellStyle name="Percent 4 5 2 4 4 2" xfId="35680"/>
    <cellStyle name="Percent 4 5 2 4 4 3" xfId="35681"/>
    <cellStyle name="Percent 4 5 2 4 5" xfId="35682"/>
    <cellStyle name="Percent 4 5 2 4 5 2" xfId="35683"/>
    <cellStyle name="Percent 4 5 2 4 5 3" xfId="35684"/>
    <cellStyle name="Percent 4 5 2 4 6" xfId="35685"/>
    <cellStyle name="Percent 4 5 2 4 7" xfId="35686"/>
    <cellStyle name="Percent 4 5 2 4 8" xfId="35687"/>
    <cellStyle name="Percent 4 5 2 4 9" xfId="35688"/>
    <cellStyle name="Percent 4 5 2 5" xfId="35689"/>
    <cellStyle name="Percent 4 5 2 5 2" xfId="35690"/>
    <cellStyle name="Percent 4 5 2 5 2 2" xfId="35691"/>
    <cellStyle name="Percent 4 5 2 5 2 2 2" xfId="35692"/>
    <cellStyle name="Percent 4 5 2 5 2 2 3" xfId="35693"/>
    <cellStyle name="Percent 4 5 2 5 2 3" xfId="35694"/>
    <cellStyle name="Percent 4 5 2 5 2 3 2" xfId="35695"/>
    <cellStyle name="Percent 4 5 2 5 2 3 3" xfId="35696"/>
    <cellStyle name="Percent 4 5 2 5 2 4" xfId="35697"/>
    <cellStyle name="Percent 4 5 2 5 2 5" xfId="35698"/>
    <cellStyle name="Percent 4 5 2 5 2 6" xfId="35699"/>
    <cellStyle name="Percent 4 5 2 5 2 7" xfId="35700"/>
    <cellStyle name="Percent 4 5 2 5 3" xfId="35701"/>
    <cellStyle name="Percent 4 5 2 5 3 2" xfId="35702"/>
    <cellStyle name="Percent 4 5 2 5 3 3" xfId="35703"/>
    <cellStyle name="Percent 4 5 2 5 4" xfId="35704"/>
    <cellStyle name="Percent 4 5 2 5 4 2" xfId="35705"/>
    <cellStyle name="Percent 4 5 2 5 4 3" xfId="35706"/>
    <cellStyle name="Percent 4 5 2 5 5" xfId="35707"/>
    <cellStyle name="Percent 4 5 2 5 6" xfId="35708"/>
    <cellStyle name="Percent 4 5 2 5 7" xfId="35709"/>
    <cellStyle name="Percent 4 5 2 5 8" xfId="35710"/>
    <cellStyle name="Percent 4 5 2 6" xfId="35711"/>
    <cellStyle name="Percent 4 5 2 6 2" xfId="35712"/>
    <cellStyle name="Percent 4 5 2 6 2 2" xfId="35713"/>
    <cellStyle name="Percent 4 5 2 6 2 2 2" xfId="35714"/>
    <cellStyle name="Percent 4 5 2 6 2 2 3" xfId="35715"/>
    <cellStyle name="Percent 4 5 2 6 2 3" xfId="35716"/>
    <cellStyle name="Percent 4 5 2 6 2 3 2" xfId="35717"/>
    <cellStyle name="Percent 4 5 2 6 2 3 3" xfId="35718"/>
    <cellStyle name="Percent 4 5 2 6 2 4" xfId="35719"/>
    <cellStyle name="Percent 4 5 2 6 2 5" xfId="35720"/>
    <cellStyle name="Percent 4 5 2 6 2 6" xfId="35721"/>
    <cellStyle name="Percent 4 5 2 6 2 7" xfId="35722"/>
    <cellStyle name="Percent 4 5 2 6 3" xfId="35723"/>
    <cellStyle name="Percent 4 5 2 6 3 2" xfId="35724"/>
    <cellStyle name="Percent 4 5 2 6 3 3" xfId="35725"/>
    <cellStyle name="Percent 4 5 2 6 4" xfId="35726"/>
    <cellStyle name="Percent 4 5 2 6 4 2" xfId="35727"/>
    <cellStyle name="Percent 4 5 2 6 4 3" xfId="35728"/>
    <cellStyle name="Percent 4 5 2 6 5" xfId="35729"/>
    <cellStyle name="Percent 4 5 2 6 6" xfId="35730"/>
    <cellStyle name="Percent 4 5 2 6 7" xfId="35731"/>
    <cellStyle name="Percent 4 5 2 6 8" xfId="35732"/>
    <cellStyle name="Percent 4 5 2 7" xfId="35733"/>
    <cellStyle name="Percent 4 5 2 7 2" xfId="35734"/>
    <cellStyle name="Percent 4 5 2 7 2 2" xfId="35735"/>
    <cellStyle name="Percent 4 5 2 7 2 3" xfId="35736"/>
    <cellStyle name="Percent 4 5 2 7 3" xfId="35737"/>
    <cellStyle name="Percent 4 5 2 7 3 2" xfId="35738"/>
    <cellStyle name="Percent 4 5 2 7 3 3" xfId="35739"/>
    <cellStyle name="Percent 4 5 2 7 4" xfId="35740"/>
    <cellStyle name="Percent 4 5 2 7 5" xfId="35741"/>
    <cellStyle name="Percent 4 5 2 7 6" xfId="35742"/>
    <cellStyle name="Percent 4 5 2 7 7" xfId="35743"/>
    <cellStyle name="Percent 4 5 2 8" xfId="35744"/>
    <cellStyle name="Percent 4 5 2 8 2" xfId="35745"/>
    <cellStyle name="Percent 4 5 2 8 3" xfId="35746"/>
    <cellStyle name="Percent 4 5 2 9" xfId="35747"/>
    <cellStyle name="Percent 4 5 2 9 2" xfId="35748"/>
    <cellStyle name="Percent 4 5 2 9 3" xfId="35749"/>
    <cellStyle name="Percent 4 5 3" xfId="35750"/>
    <cellStyle name="Percent 4 5 3 10" xfId="35751"/>
    <cellStyle name="Percent 4 5 3 11" xfId="35752"/>
    <cellStyle name="Percent 4 5 3 2" xfId="35753"/>
    <cellStyle name="Percent 4 5 3 2 2" xfId="35754"/>
    <cellStyle name="Percent 4 5 3 2 2 2" xfId="35755"/>
    <cellStyle name="Percent 4 5 3 2 2 2 2" xfId="35756"/>
    <cellStyle name="Percent 4 5 3 2 2 2 2 2" xfId="35757"/>
    <cellStyle name="Percent 4 5 3 2 2 2 2 3" xfId="35758"/>
    <cellStyle name="Percent 4 5 3 2 2 2 3" xfId="35759"/>
    <cellStyle name="Percent 4 5 3 2 2 2 3 2" xfId="35760"/>
    <cellStyle name="Percent 4 5 3 2 2 2 3 3" xfId="35761"/>
    <cellStyle name="Percent 4 5 3 2 2 2 4" xfId="35762"/>
    <cellStyle name="Percent 4 5 3 2 2 2 5" xfId="35763"/>
    <cellStyle name="Percent 4 5 3 2 2 2 6" xfId="35764"/>
    <cellStyle name="Percent 4 5 3 2 2 2 7" xfId="35765"/>
    <cellStyle name="Percent 4 5 3 2 2 3" xfId="35766"/>
    <cellStyle name="Percent 4 5 3 2 2 3 2" xfId="35767"/>
    <cellStyle name="Percent 4 5 3 2 2 3 3" xfId="35768"/>
    <cellStyle name="Percent 4 5 3 2 2 4" xfId="35769"/>
    <cellStyle name="Percent 4 5 3 2 2 4 2" xfId="35770"/>
    <cellStyle name="Percent 4 5 3 2 2 4 3" xfId="35771"/>
    <cellStyle name="Percent 4 5 3 2 2 5" xfId="35772"/>
    <cellStyle name="Percent 4 5 3 2 2 6" xfId="35773"/>
    <cellStyle name="Percent 4 5 3 2 2 7" xfId="35774"/>
    <cellStyle name="Percent 4 5 3 2 2 8" xfId="35775"/>
    <cellStyle name="Percent 4 5 3 2 3" xfId="35776"/>
    <cellStyle name="Percent 4 5 3 2 3 2" xfId="35777"/>
    <cellStyle name="Percent 4 5 3 2 3 2 2" xfId="35778"/>
    <cellStyle name="Percent 4 5 3 2 3 2 3" xfId="35779"/>
    <cellStyle name="Percent 4 5 3 2 3 3" xfId="35780"/>
    <cellStyle name="Percent 4 5 3 2 3 3 2" xfId="35781"/>
    <cellStyle name="Percent 4 5 3 2 3 3 3" xfId="35782"/>
    <cellStyle name="Percent 4 5 3 2 3 4" xfId="35783"/>
    <cellStyle name="Percent 4 5 3 2 3 5" xfId="35784"/>
    <cellStyle name="Percent 4 5 3 2 3 6" xfId="35785"/>
    <cellStyle name="Percent 4 5 3 2 3 7" xfId="35786"/>
    <cellStyle name="Percent 4 5 3 2 4" xfId="35787"/>
    <cellStyle name="Percent 4 5 3 2 4 2" xfId="35788"/>
    <cellStyle name="Percent 4 5 3 2 4 3" xfId="35789"/>
    <cellStyle name="Percent 4 5 3 2 5" xfId="35790"/>
    <cellStyle name="Percent 4 5 3 2 5 2" xfId="35791"/>
    <cellStyle name="Percent 4 5 3 2 5 3" xfId="35792"/>
    <cellStyle name="Percent 4 5 3 2 6" xfId="35793"/>
    <cellStyle name="Percent 4 5 3 2 7" xfId="35794"/>
    <cellStyle name="Percent 4 5 3 2 8" xfId="35795"/>
    <cellStyle name="Percent 4 5 3 2 9" xfId="35796"/>
    <cellStyle name="Percent 4 5 3 3" xfId="35797"/>
    <cellStyle name="Percent 4 5 3 3 2" xfId="35798"/>
    <cellStyle name="Percent 4 5 3 3 2 2" xfId="35799"/>
    <cellStyle name="Percent 4 5 3 3 2 2 2" xfId="35800"/>
    <cellStyle name="Percent 4 5 3 3 2 2 3" xfId="35801"/>
    <cellStyle name="Percent 4 5 3 3 2 3" xfId="35802"/>
    <cellStyle name="Percent 4 5 3 3 2 3 2" xfId="35803"/>
    <cellStyle name="Percent 4 5 3 3 2 3 3" xfId="35804"/>
    <cellStyle name="Percent 4 5 3 3 2 4" xfId="35805"/>
    <cellStyle name="Percent 4 5 3 3 2 5" xfId="35806"/>
    <cellStyle name="Percent 4 5 3 3 2 6" xfId="35807"/>
    <cellStyle name="Percent 4 5 3 3 2 7" xfId="35808"/>
    <cellStyle name="Percent 4 5 3 3 3" xfId="35809"/>
    <cellStyle name="Percent 4 5 3 3 3 2" xfId="35810"/>
    <cellStyle name="Percent 4 5 3 3 3 3" xfId="35811"/>
    <cellStyle name="Percent 4 5 3 3 4" xfId="35812"/>
    <cellStyle name="Percent 4 5 3 3 4 2" xfId="35813"/>
    <cellStyle name="Percent 4 5 3 3 4 3" xfId="35814"/>
    <cellStyle name="Percent 4 5 3 3 5" xfId="35815"/>
    <cellStyle name="Percent 4 5 3 3 6" xfId="35816"/>
    <cellStyle name="Percent 4 5 3 3 7" xfId="35817"/>
    <cellStyle name="Percent 4 5 3 3 8" xfId="35818"/>
    <cellStyle name="Percent 4 5 3 4" xfId="35819"/>
    <cellStyle name="Percent 4 5 3 4 2" xfId="35820"/>
    <cellStyle name="Percent 4 5 3 4 2 2" xfId="35821"/>
    <cellStyle name="Percent 4 5 3 4 2 2 2" xfId="35822"/>
    <cellStyle name="Percent 4 5 3 4 2 2 3" xfId="35823"/>
    <cellStyle name="Percent 4 5 3 4 2 3" xfId="35824"/>
    <cellStyle name="Percent 4 5 3 4 2 3 2" xfId="35825"/>
    <cellStyle name="Percent 4 5 3 4 2 3 3" xfId="35826"/>
    <cellStyle name="Percent 4 5 3 4 2 4" xfId="35827"/>
    <cellStyle name="Percent 4 5 3 4 2 5" xfId="35828"/>
    <cellStyle name="Percent 4 5 3 4 2 6" xfId="35829"/>
    <cellStyle name="Percent 4 5 3 4 2 7" xfId="35830"/>
    <cellStyle name="Percent 4 5 3 4 3" xfId="35831"/>
    <cellStyle name="Percent 4 5 3 4 3 2" xfId="35832"/>
    <cellStyle name="Percent 4 5 3 4 3 3" xfId="35833"/>
    <cellStyle name="Percent 4 5 3 4 4" xfId="35834"/>
    <cellStyle name="Percent 4 5 3 4 4 2" xfId="35835"/>
    <cellStyle name="Percent 4 5 3 4 4 3" xfId="35836"/>
    <cellStyle name="Percent 4 5 3 4 5" xfId="35837"/>
    <cellStyle name="Percent 4 5 3 4 6" xfId="35838"/>
    <cellStyle name="Percent 4 5 3 4 7" xfId="35839"/>
    <cellStyle name="Percent 4 5 3 4 8" xfId="35840"/>
    <cellStyle name="Percent 4 5 3 5" xfId="35841"/>
    <cellStyle name="Percent 4 5 3 5 2" xfId="35842"/>
    <cellStyle name="Percent 4 5 3 5 2 2" xfId="35843"/>
    <cellStyle name="Percent 4 5 3 5 2 3" xfId="35844"/>
    <cellStyle name="Percent 4 5 3 5 3" xfId="35845"/>
    <cellStyle name="Percent 4 5 3 5 3 2" xfId="35846"/>
    <cellStyle name="Percent 4 5 3 5 3 3" xfId="35847"/>
    <cellStyle name="Percent 4 5 3 5 4" xfId="35848"/>
    <cellStyle name="Percent 4 5 3 5 5" xfId="35849"/>
    <cellStyle name="Percent 4 5 3 5 6" xfId="35850"/>
    <cellStyle name="Percent 4 5 3 5 7" xfId="35851"/>
    <cellStyle name="Percent 4 5 3 6" xfId="35852"/>
    <cellStyle name="Percent 4 5 3 6 2" xfId="35853"/>
    <cellStyle name="Percent 4 5 3 6 3" xfId="35854"/>
    <cellStyle name="Percent 4 5 3 7" xfId="35855"/>
    <cellStyle name="Percent 4 5 3 7 2" xfId="35856"/>
    <cellStyle name="Percent 4 5 3 7 3" xfId="35857"/>
    <cellStyle name="Percent 4 5 3 8" xfId="35858"/>
    <cellStyle name="Percent 4 5 3 9" xfId="35859"/>
    <cellStyle name="Percent 4 5 4" xfId="35860"/>
    <cellStyle name="Percent 4 5 4 10" xfId="35861"/>
    <cellStyle name="Percent 4 5 4 11" xfId="35862"/>
    <cellStyle name="Percent 4 5 4 2" xfId="35863"/>
    <cellStyle name="Percent 4 5 4 2 2" xfId="35864"/>
    <cellStyle name="Percent 4 5 4 2 2 2" xfId="35865"/>
    <cellStyle name="Percent 4 5 4 2 2 2 2" xfId="35866"/>
    <cellStyle name="Percent 4 5 4 2 2 2 2 2" xfId="35867"/>
    <cellStyle name="Percent 4 5 4 2 2 2 2 3" xfId="35868"/>
    <cellStyle name="Percent 4 5 4 2 2 2 3" xfId="35869"/>
    <cellStyle name="Percent 4 5 4 2 2 2 3 2" xfId="35870"/>
    <cellStyle name="Percent 4 5 4 2 2 2 3 3" xfId="35871"/>
    <cellStyle name="Percent 4 5 4 2 2 2 4" xfId="35872"/>
    <cellStyle name="Percent 4 5 4 2 2 2 5" xfId="35873"/>
    <cellStyle name="Percent 4 5 4 2 2 2 6" xfId="35874"/>
    <cellStyle name="Percent 4 5 4 2 2 2 7" xfId="35875"/>
    <cellStyle name="Percent 4 5 4 2 2 3" xfId="35876"/>
    <cellStyle name="Percent 4 5 4 2 2 3 2" xfId="35877"/>
    <cellStyle name="Percent 4 5 4 2 2 3 3" xfId="35878"/>
    <cellStyle name="Percent 4 5 4 2 2 4" xfId="35879"/>
    <cellStyle name="Percent 4 5 4 2 2 4 2" xfId="35880"/>
    <cellStyle name="Percent 4 5 4 2 2 4 3" xfId="35881"/>
    <cellStyle name="Percent 4 5 4 2 2 5" xfId="35882"/>
    <cellStyle name="Percent 4 5 4 2 2 6" xfId="35883"/>
    <cellStyle name="Percent 4 5 4 2 2 7" xfId="35884"/>
    <cellStyle name="Percent 4 5 4 2 2 8" xfId="35885"/>
    <cellStyle name="Percent 4 5 4 2 3" xfId="35886"/>
    <cellStyle name="Percent 4 5 4 2 3 2" xfId="35887"/>
    <cellStyle name="Percent 4 5 4 2 3 2 2" xfId="35888"/>
    <cellStyle name="Percent 4 5 4 2 3 2 3" xfId="35889"/>
    <cellStyle name="Percent 4 5 4 2 3 3" xfId="35890"/>
    <cellStyle name="Percent 4 5 4 2 3 3 2" xfId="35891"/>
    <cellStyle name="Percent 4 5 4 2 3 3 3" xfId="35892"/>
    <cellStyle name="Percent 4 5 4 2 3 4" xfId="35893"/>
    <cellStyle name="Percent 4 5 4 2 3 5" xfId="35894"/>
    <cellStyle name="Percent 4 5 4 2 3 6" xfId="35895"/>
    <cellStyle name="Percent 4 5 4 2 3 7" xfId="35896"/>
    <cellStyle name="Percent 4 5 4 2 4" xfId="35897"/>
    <cellStyle name="Percent 4 5 4 2 4 2" xfId="35898"/>
    <cellStyle name="Percent 4 5 4 2 4 3" xfId="35899"/>
    <cellStyle name="Percent 4 5 4 2 5" xfId="35900"/>
    <cellStyle name="Percent 4 5 4 2 5 2" xfId="35901"/>
    <cellStyle name="Percent 4 5 4 2 5 3" xfId="35902"/>
    <cellStyle name="Percent 4 5 4 2 6" xfId="35903"/>
    <cellStyle name="Percent 4 5 4 2 7" xfId="35904"/>
    <cellStyle name="Percent 4 5 4 2 8" xfId="35905"/>
    <cellStyle name="Percent 4 5 4 2 9" xfId="35906"/>
    <cellStyle name="Percent 4 5 4 3" xfId="35907"/>
    <cellStyle name="Percent 4 5 4 3 2" xfId="35908"/>
    <cellStyle name="Percent 4 5 4 3 2 2" xfId="35909"/>
    <cellStyle name="Percent 4 5 4 3 2 2 2" xfId="35910"/>
    <cellStyle name="Percent 4 5 4 3 2 2 3" xfId="35911"/>
    <cellStyle name="Percent 4 5 4 3 2 3" xfId="35912"/>
    <cellStyle name="Percent 4 5 4 3 2 3 2" xfId="35913"/>
    <cellStyle name="Percent 4 5 4 3 2 3 3" xfId="35914"/>
    <cellStyle name="Percent 4 5 4 3 2 4" xfId="35915"/>
    <cellStyle name="Percent 4 5 4 3 2 5" xfId="35916"/>
    <cellStyle name="Percent 4 5 4 3 2 6" xfId="35917"/>
    <cellStyle name="Percent 4 5 4 3 2 7" xfId="35918"/>
    <cellStyle name="Percent 4 5 4 3 3" xfId="35919"/>
    <cellStyle name="Percent 4 5 4 3 3 2" xfId="35920"/>
    <cellStyle name="Percent 4 5 4 3 3 3" xfId="35921"/>
    <cellStyle name="Percent 4 5 4 3 4" xfId="35922"/>
    <cellStyle name="Percent 4 5 4 3 4 2" xfId="35923"/>
    <cellStyle name="Percent 4 5 4 3 4 3" xfId="35924"/>
    <cellStyle name="Percent 4 5 4 3 5" xfId="35925"/>
    <cellStyle name="Percent 4 5 4 3 6" xfId="35926"/>
    <cellStyle name="Percent 4 5 4 3 7" xfId="35927"/>
    <cellStyle name="Percent 4 5 4 3 8" xfId="35928"/>
    <cellStyle name="Percent 4 5 4 4" xfId="35929"/>
    <cellStyle name="Percent 4 5 4 4 2" xfId="35930"/>
    <cellStyle name="Percent 4 5 4 4 2 2" xfId="35931"/>
    <cellStyle name="Percent 4 5 4 4 2 2 2" xfId="35932"/>
    <cellStyle name="Percent 4 5 4 4 2 2 3" xfId="35933"/>
    <cellStyle name="Percent 4 5 4 4 2 3" xfId="35934"/>
    <cellStyle name="Percent 4 5 4 4 2 3 2" xfId="35935"/>
    <cellStyle name="Percent 4 5 4 4 2 3 3" xfId="35936"/>
    <cellStyle name="Percent 4 5 4 4 2 4" xfId="35937"/>
    <cellStyle name="Percent 4 5 4 4 2 5" xfId="35938"/>
    <cellStyle name="Percent 4 5 4 4 2 6" xfId="35939"/>
    <cellStyle name="Percent 4 5 4 4 2 7" xfId="35940"/>
    <cellStyle name="Percent 4 5 4 4 3" xfId="35941"/>
    <cellStyle name="Percent 4 5 4 4 3 2" xfId="35942"/>
    <cellStyle name="Percent 4 5 4 4 3 3" xfId="35943"/>
    <cellStyle name="Percent 4 5 4 4 4" xfId="35944"/>
    <cellStyle name="Percent 4 5 4 4 4 2" xfId="35945"/>
    <cellStyle name="Percent 4 5 4 4 4 3" xfId="35946"/>
    <cellStyle name="Percent 4 5 4 4 5" xfId="35947"/>
    <cellStyle name="Percent 4 5 4 4 6" xfId="35948"/>
    <cellStyle name="Percent 4 5 4 4 7" xfId="35949"/>
    <cellStyle name="Percent 4 5 4 4 8" xfId="35950"/>
    <cellStyle name="Percent 4 5 4 5" xfId="35951"/>
    <cellStyle name="Percent 4 5 4 5 2" xfId="35952"/>
    <cellStyle name="Percent 4 5 4 5 2 2" xfId="35953"/>
    <cellStyle name="Percent 4 5 4 5 2 3" xfId="35954"/>
    <cellStyle name="Percent 4 5 4 5 3" xfId="35955"/>
    <cellStyle name="Percent 4 5 4 5 3 2" xfId="35956"/>
    <cellStyle name="Percent 4 5 4 5 3 3" xfId="35957"/>
    <cellStyle name="Percent 4 5 4 5 4" xfId="35958"/>
    <cellStyle name="Percent 4 5 4 5 5" xfId="35959"/>
    <cellStyle name="Percent 4 5 4 5 6" xfId="35960"/>
    <cellStyle name="Percent 4 5 4 5 7" xfId="35961"/>
    <cellStyle name="Percent 4 5 4 6" xfId="35962"/>
    <cellStyle name="Percent 4 5 4 6 2" xfId="35963"/>
    <cellStyle name="Percent 4 5 4 6 3" xfId="35964"/>
    <cellStyle name="Percent 4 5 4 7" xfId="35965"/>
    <cellStyle name="Percent 4 5 4 7 2" xfId="35966"/>
    <cellStyle name="Percent 4 5 4 7 3" xfId="35967"/>
    <cellStyle name="Percent 4 5 4 8" xfId="35968"/>
    <cellStyle name="Percent 4 5 4 9" xfId="35969"/>
    <cellStyle name="Percent 4 5 5" xfId="35970"/>
    <cellStyle name="Percent 4 5 5 10" xfId="35971"/>
    <cellStyle name="Percent 4 5 5 11" xfId="35972"/>
    <cellStyle name="Percent 4 5 5 2" xfId="35973"/>
    <cellStyle name="Percent 4 5 5 2 2" xfId="35974"/>
    <cellStyle name="Percent 4 5 5 2 2 2" xfId="35975"/>
    <cellStyle name="Percent 4 5 5 2 2 2 2" xfId="35976"/>
    <cellStyle name="Percent 4 5 5 2 2 2 2 2" xfId="35977"/>
    <cellStyle name="Percent 4 5 5 2 2 2 2 3" xfId="35978"/>
    <cellStyle name="Percent 4 5 5 2 2 2 3" xfId="35979"/>
    <cellStyle name="Percent 4 5 5 2 2 2 3 2" xfId="35980"/>
    <cellStyle name="Percent 4 5 5 2 2 2 3 3" xfId="35981"/>
    <cellStyle name="Percent 4 5 5 2 2 2 4" xfId="35982"/>
    <cellStyle name="Percent 4 5 5 2 2 2 5" xfId="35983"/>
    <cellStyle name="Percent 4 5 5 2 2 2 6" xfId="35984"/>
    <cellStyle name="Percent 4 5 5 2 2 2 7" xfId="35985"/>
    <cellStyle name="Percent 4 5 5 2 2 3" xfId="35986"/>
    <cellStyle name="Percent 4 5 5 2 2 3 2" xfId="35987"/>
    <cellStyle name="Percent 4 5 5 2 2 3 3" xfId="35988"/>
    <cellStyle name="Percent 4 5 5 2 2 4" xfId="35989"/>
    <cellStyle name="Percent 4 5 5 2 2 4 2" xfId="35990"/>
    <cellStyle name="Percent 4 5 5 2 2 4 3" xfId="35991"/>
    <cellStyle name="Percent 4 5 5 2 2 5" xfId="35992"/>
    <cellStyle name="Percent 4 5 5 2 2 6" xfId="35993"/>
    <cellStyle name="Percent 4 5 5 2 2 7" xfId="35994"/>
    <cellStyle name="Percent 4 5 5 2 2 8" xfId="35995"/>
    <cellStyle name="Percent 4 5 5 2 3" xfId="35996"/>
    <cellStyle name="Percent 4 5 5 2 3 2" xfId="35997"/>
    <cellStyle name="Percent 4 5 5 2 3 2 2" xfId="35998"/>
    <cellStyle name="Percent 4 5 5 2 3 2 3" xfId="35999"/>
    <cellStyle name="Percent 4 5 5 2 3 3" xfId="36000"/>
    <cellStyle name="Percent 4 5 5 2 3 3 2" xfId="36001"/>
    <cellStyle name="Percent 4 5 5 2 3 3 3" xfId="36002"/>
    <cellStyle name="Percent 4 5 5 2 3 4" xfId="36003"/>
    <cellStyle name="Percent 4 5 5 2 3 5" xfId="36004"/>
    <cellStyle name="Percent 4 5 5 2 3 6" xfId="36005"/>
    <cellStyle name="Percent 4 5 5 2 3 7" xfId="36006"/>
    <cellStyle name="Percent 4 5 5 2 4" xfId="36007"/>
    <cellStyle name="Percent 4 5 5 2 4 2" xfId="36008"/>
    <cellStyle name="Percent 4 5 5 2 4 3" xfId="36009"/>
    <cellStyle name="Percent 4 5 5 2 5" xfId="36010"/>
    <cellStyle name="Percent 4 5 5 2 5 2" xfId="36011"/>
    <cellStyle name="Percent 4 5 5 2 5 3" xfId="36012"/>
    <cellStyle name="Percent 4 5 5 2 6" xfId="36013"/>
    <cellStyle name="Percent 4 5 5 2 7" xfId="36014"/>
    <cellStyle name="Percent 4 5 5 2 8" xfId="36015"/>
    <cellStyle name="Percent 4 5 5 2 9" xfId="36016"/>
    <cellStyle name="Percent 4 5 5 3" xfId="36017"/>
    <cellStyle name="Percent 4 5 5 3 2" xfId="36018"/>
    <cellStyle name="Percent 4 5 5 3 2 2" xfId="36019"/>
    <cellStyle name="Percent 4 5 5 3 2 2 2" xfId="36020"/>
    <cellStyle name="Percent 4 5 5 3 2 2 3" xfId="36021"/>
    <cellStyle name="Percent 4 5 5 3 2 3" xfId="36022"/>
    <cellStyle name="Percent 4 5 5 3 2 3 2" xfId="36023"/>
    <cellStyle name="Percent 4 5 5 3 2 3 3" xfId="36024"/>
    <cellStyle name="Percent 4 5 5 3 2 4" xfId="36025"/>
    <cellStyle name="Percent 4 5 5 3 2 5" xfId="36026"/>
    <cellStyle name="Percent 4 5 5 3 2 6" xfId="36027"/>
    <cellStyle name="Percent 4 5 5 3 2 7" xfId="36028"/>
    <cellStyle name="Percent 4 5 5 3 3" xfId="36029"/>
    <cellStyle name="Percent 4 5 5 3 3 2" xfId="36030"/>
    <cellStyle name="Percent 4 5 5 3 3 3" xfId="36031"/>
    <cellStyle name="Percent 4 5 5 3 4" xfId="36032"/>
    <cellStyle name="Percent 4 5 5 3 4 2" xfId="36033"/>
    <cellStyle name="Percent 4 5 5 3 4 3" xfId="36034"/>
    <cellStyle name="Percent 4 5 5 3 5" xfId="36035"/>
    <cellStyle name="Percent 4 5 5 3 6" xfId="36036"/>
    <cellStyle name="Percent 4 5 5 3 7" xfId="36037"/>
    <cellStyle name="Percent 4 5 5 3 8" xfId="36038"/>
    <cellStyle name="Percent 4 5 5 4" xfId="36039"/>
    <cellStyle name="Percent 4 5 5 4 2" xfId="36040"/>
    <cellStyle name="Percent 4 5 5 4 2 2" xfId="36041"/>
    <cellStyle name="Percent 4 5 5 4 2 2 2" xfId="36042"/>
    <cellStyle name="Percent 4 5 5 4 2 2 3" xfId="36043"/>
    <cellStyle name="Percent 4 5 5 4 2 3" xfId="36044"/>
    <cellStyle name="Percent 4 5 5 4 2 3 2" xfId="36045"/>
    <cellStyle name="Percent 4 5 5 4 2 3 3" xfId="36046"/>
    <cellStyle name="Percent 4 5 5 4 2 4" xfId="36047"/>
    <cellStyle name="Percent 4 5 5 4 2 5" xfId="36048"/>
    <cellStyle name="Percent 4 5 5 4 2 6" xfId="36049"/>
    <cellStyle name="Percent 4 5 5 4 2 7" xfId="36050"/>
    <cellStyle name="Percent 4 5 5 4 3" xfId="36051"/>
    <cellStyle name="Percent 4 5 5 4 3 2" xfId="36052"/>
    <cellStyle name="Percent 4 5 5 4 3 3" xfId="36053"/>
    <cellStyle name="Percent 4 5 5 4 4" xfId="36054"/>
    <cellStyle name="Percent 4 5 5 4 4 2" xfId="36055"/>
    <cellStyle name="Percent 4 5 5 4 4 3" xfId="36056"/>
    <cellStyle name="Percent 4 5 5 4 5" xfId="36057"/>
    <cellStyle name="Percent 4 5 5 4 6" xfId="36058"/>
    <cellStyle name="Percent 4 5 5 4 7" xfId="36059"/>
    <cellStyle name="Percent 4 5 5 4 8" xfId="36060"/>
    <cellStyle name="Percent 4 5 5 5" xfId="36061"/>
    <cellStyle name="Percent 4 5 5 5 2" xfId="36062"/>
    <cellStyle name="Percent 4 5 5 5 2 2" xfId="36063"/>
    <cellStyle name="Percent 4 5 5 5 2 3" xfId="36064"/>
    <cellStyle name="Percent 4 5 5 5 3" xfId="36065"/>
    <cellStyle name="Percent 4 5 5 5 3 2" xfId="36066"/>
    <cellStyle name="Percent 4 5 5 5 3 3" xfId="36067"/>
    <cellStyle name="Percent 4 5 5 5 4" xfId="36068"/>
    <cellStyle name="Percent 4 5 5 5 5" xfId="36069"/>
    <cellStyle name="Percent 4 5 5 5 6" xfId="36070"/>
    <cellStyle name="Percent 4 5 5 5 7" xfId="36071"/>
    <cellStyle name="Percent 4 5 5 6" xfId="36072"/>
    <cellStyle name="Percent 4 5 5 6 2" xfId="36073"/>
    <cellStyle name="Percent 4 5 5 6 3" xfId="36074"/>
    <cellStyle name="Percent 4 5 5 7" xfId="36075"/>
    <cellStyle name="Percent 4 5 5 7 2" xfId="36076"/>
    <cellStyle name="Percent 4 5 5 7 3" xfId="36077"/>
    <cellStyle name="Percent 4 5 5 8" xfId="36078"/>
    <cellStyle name="Percent 4 5 5 9" xfId="36079"/>
    <cellStyle name="Percent 4 5 6" xfId="36080"/>
    <cellStyle name="Percent 4 5 6 10" xfId="36081"/>
    <cellStyle name="Percent 4 5 6 11" xfId="36082"/>
    <cellStyle name="Percent 4 5 6 2" xfId="36083"/>
    <cellStyle name="Percent 4 5 6 2 2" xfId="36084"/>
    <cellStyle name="Percent 4 5 6 2 2 2" xfId="36085"/>
    <cellStyle name="Percent 4 5 6 2 2 2 2" xfId="36086"/>
    <cellStyle name="Percent 4 5 6 2 2 2 2 2" xfId="36087"/>
    <cellStyle name="Percent 4 5 6 2 2 2 2 3" xfId="36088"/>
    <cellStyle name="Percent 4 5 6 2 2 2 3" xfId="36089"/>
    <cellStyle name="Percent 4 5 6 2 2 2 3 2" xfId="36090"/>
    <cellStyle name="Percent 4 5 6 2 2 2 3 3" xfId="36091"/>
    <cellStyle name="Percent 4 5 6 2 2 2 4" xfId="36092"/>
    <cellStyle name="Percent 4 5 6 2 2 2 5" xfId="36093"/>
    <cellStyle name="Percent 4 5 6 2 2 2 6" xfId="36094"/>
    <cellStyle name="Percent 4 5 6 2 2 2 7" xfId="36095"/>
    <cellStyle name="Percent 4 5 6 2 2 3" xfId="36096"/>
    <cellStyle name="Percent 4 5 6 2 2 3 2" xfId="36097"/>
    <cellStyle name="Percent 4 5 6 2 2 3 3" xfId="36098"/>
    <cellStyle name="Percent 4 5 6 2 2 4" xfId="36099"/>
    <cellStyle name="Percent 4 5 6 2 2 4 2" xfId="36100"/>
    <cellStyle name="Percent 4 5 6 2 2 4 3" xfId="36101"/>
    <cellStyle name="Percent 4 5 6 2 2 5" xfId="36102"/>
    <cellStyle name="Percent 4 5 6 2 2 6" xfId="36103"/>
    <cellStyle name="Percent 4 5 6 2 2 7" xfId="36104"/>
    <cellStyle name="Percent 4 5 6 2 2 8" xfId="36105"/>
    <cellStyle name="Percent 4 5 6 2 3" xfId="36106"/>
    <cellStyle name="Percent 4 5 6 2 3 2" xfId="36107"/>
    <cellStyle name="Percent 4 5 6 2 3 2 2" xfId="36108"/>
    <cellStyle name="Percent 4 5 6 2 3 2 3" xfId="36109"/>
    <cellStyle name="Percent 4 5 6 2 3 3" xfId="36110"/>
    <cellStyle name="Percent 4 5 6 2 3 3 2" xfId="36111"/>
    <cellStyle name="Percent 4 5 6 2 3 3 3" xfId="36112"/>
    <cellStyle name="Percent 4 5 6 2 3 4" xfId="36113"/>
    <cellStyle name="Percent 4 5 6 2 3 5" xfId="36114"/>
    <cellStyle name="Percent 4 5 6 2 3 6" xfId="36115"/>
    <cellStyle name="Percent 4 5 6 2 3 7" xfId="36116"/>
    <cellStyle name="Percent 4 5 6 2 4" xfId="36117"/>
    <cellStyle name="Percent 4 5 6 2 4 2" xfId="36118"/>
    <cellStyle name="Percent 4 5 6 2 4 3" xfId="36119"/>
    <cellStyle name="Percent 4 5 6 2 5" xfId="36120"/>
    <cellStyle name="Percent 4 5 6 2 5 2" xfId="36121"/>
    <cellStyle name="Percent 4 5 6 2 5 3" xfId="36122"/>
    <cellStyle name="Percent 4 5 6 2 6" xfId="36123"/>
    <cellStyle name="Percent 4 5 6 2 7" xfId="36124"/>
    <cellStyle name="Percent 4 5 6 2 8" xfId="36125"/>
    <cellStyle name="Percent 4 5 6 2 9" xfId="36126"/>
    <cellStyle name="Percent 4 5 6 3" xfId="36127"/>
    <cellStyle name="Percent 4 5 6 3 2" xfId="36128"/>
    <cellStyle name="Percent 4 5 6 3 2 2" xfId="36129"/>
    <cellStyle name="Percent 4 5 6 3 2 2 2" xfId="36130"/>
    <cellStyle name="Percent 4 5 6 3 2 2 3" xfId="36131"/>
    <cellStyle name="Percent 4 5 6 3 2 3" xfId="36132"/>
    <cellStyle name="Percent 4 5 6 3 2 3 2" xfId="36133"/>
    <cellStyle name="Percent 4 5 6 3 2 3 3" xfId="36134"/>
    <cellStyle name="Percent 4 5 6 3 2 4" xfId="36135"/>
    <cellStyle name="Percent 4 5 6 3 2 5" xfId="36136"/>
    <cellStyle name="Percent 4 5 6 3 2 6" xfId="36137"/>
    <cellStyle name="Percent 4 5 6 3 2 7" xfId="36138"/>
    <cellStyle name="Percent 4 5 6 3 3" xfId="36139"/>
    <cellStyle name="Percent 4 5 6 3 3 2" xfId="36140"/>
    <cellStyle name="Percent 4 5 6 3 3 3" xfId="36141"/>
    <cellStyle name="Percent 4 5 6 3 4" xfId="36142"/>
    <cellStyle name="Percent 4 5 6 3 4 2" xfId="36143"/>
    <cellStyle name="Percent 4 5 6 3 4 3" xfId="36144"/>
    <cellStyle name="Percent 4 5 6 3 5" xfId="36145"/>
    <cellStyle name="Percent 4 5 6 3 6" xfId="36146"/>
    <cellStyle name="Percent 4 5 6 3 7" xfId="36147"/>
    <cellStyle name="Percent 4 5 6 3 8" xfId="36148"/>
    <cellStyle name="Percent 4 5 6 4" xfId="36149"/>
    <cellStyle name="Percent 4 5 6 4 2" xfId="36150"/>
    <cellStyle name="Percent 4 5 6 4 2 2" xfId="36151"/>
    <cellStyle name="Percent 4 5 6 4 2 2 2" xfId="36152"/>
    <cellStyle name="Percent 4 5 6 4 2 2 3" xfId="36153"/>
    <cellStyle name="Percent 4 5 6 4 2 3" xfId="36154"/>
    <cellStyle name="Percent 4 5 6 4 2 3 2" xfId="36155"/>
    <cellStyle name="Percent 4 5 6 4 2 3 3" xfId="36156"/>
    <cellStyle name="Percent 4 5 6 4 2 4" xfId="36157"/>
    <cellStyle name="Percent 4 5 6 4 2 5" xfId="36158"/>
    <cellStyle name="Percent 4 5 6 4 2 6" xfId="36159"/>
    <cellStyle name="Percent 4 5 6 4 2 7" xfId="36160"/>
    <cellStyle name="Percent 4 5 6 4 3" xfId="36161"/>
    <cellStyle name="Percent 4 5 6 4 3 2" xfId="36162"/>
    <cellStyle name="Percent 4 5 6 4 3 3" xfId="36163"/>
    <cellStyle name="Percent 4 5 6 4 4" xfId="36164"/>
    <cellStyle name="Percent 4 5 6 4 4 2" xfId="36165"/>
    <cellStyle name="Percent 4 5 6 4 4 3" xfId="36166"/>
    <cellStyle name="Percent 4 5 6 4 5" xfId="36167"/>
    <cellStyle name="Percent 4 5 6 4 6" xfId="36168"/>
    <cellStyle name="Percent 4 5 6 4 7" xfId="36169"/>
    <cellStyle name="Percent 4 5 6 4 8" xfId="36170"/>
    <cellStyle name="Percent 4 5 6 5" xfId="36171"/>
    <cellStyle name="Percent 4 5 6 5 2" xfId="36172"/>
    <cellStyle name="Percent 4 5 6 5 2 2" xfId="36173"/>
    <cellStyle name="Percent 4 5 6 5 2 3" xfId="36174"/>
    <cellStyle name="Percent 4 5 6 5 3" xfId="36175"/>
    <cellStyle name="Percent 4 5 6 5 3 2" xfId="36176"/>
    <cellStyle name="Percent 4 5 6 5 3 3" xfId="36177"/>
    <cellStyle name="Percent 4 5 6 5 4" xfId="36178"/>
    <cellStyle name="Percent 4 5 6 5 5" xfId="36179"/>
    <cellStyle name="Percent 4 5 6 5 6" xfId="36180"/>
    <cellStyle name="Percent 4 5 6 5 7" xfId="36181"/>
    <cellStyle name="Percent 4 5 6 6" xfId="36182"/>
    <cellStyle name="Percent 4 5 6 6 2" xfId="36183"/>
    <cellStyle name="Percent 4 5 6 6 3" xfId="36184"/>
    <cellStyle name="Percent 4 5 6 7" xfId="36185"/>
    <cellStyle name="Percent 4 5 6 7 2" xfId="36186"/>
    <cellStyle name="Percent 4 5 6 7 3" xfId="36187"/>
    <cellStyle name="Percent 4 5 6 8" xfId="36188"/>
    <cellStyle name="Percent 4 5 6 9" xfId="36189"/>
    <cellStyle name="Percent 4 5 7" xfId="36190"/>
    <cellStyle name="Percent 4 5 7 2" xfId="36191"/>
    <cellStyle name="Percent 4 5 7 2 2" xfId="36192"/>
    <cellStyle name="Percent 4 5 7 2 2 2" xfId="36193"/>
    <cellStyle name="Percent 4 5 7 2 2 2 2" xfId="36194"/>
    <cellStyle name="Percent 4 5 7 2 2 2 3" xfId="36195"/>
    <cellStyle name="Percent 4 5 7 2 2 3" xfId="36196"/>
    <cellStyle name="Percent 4 5 7 2 2 3 2" xfId="36197"/>
    <cellStyle name="Percent 4 5 7 2 2 3 3" xfId="36198"/>
    <cellStyle name="Percent 4 5 7 2 2 4" xfId="36199"/>
    <cellStyle name="Percent 4 5 7 2 2 5" xfId="36200"/>
    <cellStyle name="Percent 4 5 7 2 2 6" xfId="36201"/>
    <cellStyle name="Percent 4 5 7 2 2 7" xfId="36202"/>
    <cellStyle name="Percent 4 5 7 2 3" xfId="36203"/>
    <cellStyle name="Percent 4 5 7 2 3 2" xfId="36204"/>
    <cellStyle name="Percent 4 5 7 2 3 3" xfId="36205"/>
    <cellStyle name="Percent 4 5 7 2 4" xfId="36206"/>
    <cellStyle name="Percent 4 5 7 2 4 2" xfId="36207"/>
    <cellStyle name="Percent 4 5 7 2 4 3" xfId="36208"/>
    <cellStyle name="Percent 4 5 7 2 5" xfId="36209"/>
    <cellStyle name="Percent 4 5 7 2 6" xfId="36210"/>
    <cellStyle name="Percent 4 5 7 2 7" xfId="36211"/>
    <cellStyle name="Percent 4 5 7 2 8" xfId="36212"/>
    <cellStyle name="Percent 4 5 7 3" xfId="36213"/>
    <cellStyle name="Percent 4 5 7 3 2" xfId="36214"/>
    <cellStyle name="Percent 4 5 7 3 2 2" xfId="36215"/>
    <cellStyle name="Percent 4 5 7 3 2 3" xfId="36216"/>
    <cellStyle name="Percent 4 5 7 3 3" xfId="36217"/>
    <cellStyle name="Percent 4 5 7 3 3 2" xfId="36218"/>
    <cellStyle name="Percent 4 5 7 3 3 3" xfId="36219"/>
    <cellStyle name="Percent 4 5 7 3 4" xfId="36220"/>
    <cellStyle name="Percent 4 5 7 3 5" xfId="36221"/>
    <cellStyle name="Percent 4 5 7 3 6" xfId="36222"/>
    <cellStyle name="Percent 4 5 7 3 7" xfId="36223"/>
    <cellStyle name="Percent 4 5 7 4" xfId="36224"/>
    <cellStyle name="Percent 4 5 7 4 2" xfId="36225"/>
    <cellStyle name="Percent 4 5 7 4 3" xfId="36226"/>
    <cellStyle name="Percent 4 5 7 5" xfId="36227"/>
    <cellStyle name="Percent 4 5 7 5 2" xfId="36228"/>
    <cellStyle name="Percent 4 5 7 5 3" xfId="36229"/>
    <cellStyle name="Percent 4 5 7 6" xfId="36230"/>
    <cellStyle name="Percent 4 5 7 7" xfId="36231"/>
    <cellStyle name="Percent 4 5 7 8" xfId="36232"/>
    <cellStyle name="Percent 4 5 7 9" xfId="36233"/>
    <cellStyle name="Percent 4 5 8" xfId="36234"/>
    <cellStyle name="Percent 4 5 8 2" xfId="36235"/>
    <cellStyle name="Percent 4 5 8 2 2" xfId="36236"/>
    <cellStyle name="Percent 4 5 8 2 2 2" xfId="36237"/>
    <cellStyle name="Percent 4 5 8 2 2 3" xfId="36238"/>
    <cellStyle name="Percent 4 5 8 2 3" xfId="36239"/>
    <cellStyle name="Percent 4 5 8 2 3 2" xfId="36240"/>
    <cellStyle name="Percent 4 5 8 2 3 3" xfId="36241"/>
    <cellStyle name="Percent 4 5 8 2 4" xfId="36242"/>
    <cellStyle name="Percent 4 5 8 2 5" xfId="36243"/>
    <cellStyle name="Percent 4 5 8 2 6" xfId="36244"/>
    <cellStyle name="Percent 4 5 8 2 7" xfId="36245"/>
    <cellStyle name="Percent 4 5 8 3" xfId="36246"/>
    <cellStyle name="Percent 4 5 8 3 2" xfId="36247"/>
    <cellStyle name="Percent 4 5 8 3 3" xfId="36248"/>
    <cellStyle name="Percent 4 5 8 4" xfId="36249"/>
    <cellStyle name="Percent 4 5 8 4 2" xfId="36250"/>
    <cellStyle name="Percent 4 5 8 4 3" xfId="36251"/>
    <cellStyle name="Percent 4 5 8 5" xfId="36252"/>
    <cellStyle name="Percent 4 5 8 6" xfId="36253"/>
    <cellStyle name="Percent 4 5 8 7" xfId="36254"/>
    <cellStyle name="Percent 4 5 8 8" xfId="36255"/>
    <cellStyle name="Percent 4 5 9" xfId="36256"/>
    <cellStyle name="Percent 4 5 9 2" xfId="36257"/>
    <cellStyle name="Percent 4 5 9 2 2" xfId="36258"/>
    <cellStyle name="Percent 4 5 9 2 2 2" xfId="36259"/>
    <cellStyle name="Percent 4 5 9 2 2 3" xfId="36260"/>
    <cellStyle name="Percent 4 5 9 2 3" xfId="36261"/>
    <cellStyle name="Percent 4 5 9 2 3 2" xfId="36262"/>
    <cellStyle name="Percent 4 5 9 2 3 3" xfId="36263"/>
    <cellStyle name="Percent 4 5 9 2 4" xfId="36264"/>
    <cellStyle name="Percent 4 5 9 2 5" xfId="36265"/>
    <cellStyle name="Percent 4 5 9 2 6" xfId="36266"/>
    <cellStyle name="Percent 4 5 9 2 7" xfId="36267"/>
    <cellStyle name="Percent 4 5 9 3" xfId="36268"/>
    <cellStyle name="Percent 4 5 9 3 2" xfId="36269"/>
    <cellStyle name="Percent 4 5 9 3 3" xfId="36270"/>
    <cellStyle name="Percent 4 5 9 4" xfId="36271"/>
    <cellStyle name="Percent 4 5 9 4 2" xfId="36272"/>
    <cellStyle name="Percent 4 5 9 4 3" xfId="36273"/>
    <cellStyle name="Percent 4 5 9 5" xfId="36274"/>
    <cellStyle name="Percent 4 5 9 6" xfId="36275"/>
    <cellStyle name="Percent 4 5 9 7" xfId="36276"/>
    <cellStyle name="Percent 4 5 9 8" xfId="36277"/>
    <cellStyle name="Percent 4 6" xfId="36278"/>
    <cellStyle name="Percent 4 6 10" xfId="36279"/>
    <cellStyle name="Percent 4 6 10 2" xfId="36280"/>
    <cellStyle name="Percent 4 6 10 2 2" xfId="36281"/>
    <cellStyle name="Percent 4 6 10 2 3" xfId="36282"/>
    <cellStyle name="Percent 4 6 10 3" xfId="36283"/>
    <cellStyle name="Percent 4 6 10 3 2" xfId="36284"/>
    <cellStyle name="Percent 4 6 10 3 3" xfId="36285"/>
    <cellStyle name="Percent 4 6 10 4" xfId="36286"/>
    <cellStyle name="Percent 4 6 10 5" xfId="36287"/>
    <cellStyle name="Percent 4 6 10 6" xfId="36288"/>
    <cellStyle name="Percent 4 6 10 7" xfId="36289"/>
    <cellStyle name="Percent 4 6 11" xfId="36290"/>
    <cellStyle name="Percent 4 6 11 2" xfId="36291"/>
    <cellStyle name="Percent 4 6 12" xfId="36292"/>
    <cellStyle name="Percent 4 6 12 2" xfId="36293"/>
    <cellStyle name="Percent 4 6 12 3" xfId="36294"/>
    <cellStyle name="Percent 4 6 13" xfId="36295"/>
    <cellStyle name="Percent 4 6 13 2" xfId="36296"/>
    <cellStyle name="Percent 4 6 13 3" xfId="36297"/>
    <cellStyle name="Percent 4 6 14" xfId="36298"/>
    <cellStyle name="Percent 4 6 15" xfId="36299"/>
    <cellStyle name="Percent 4 6 16" xfId="36300"/>
    <cellStyle name="Percent 4 6 17" xfId="36301"/>
    <cellStyle name="Percent 4 6 2" xfId="36302"/>
    <cellStyle name="Percent 4 6 2 10" xfId="36303"/>
    <cellStyle name="Percent 4 6 2 11" xfId="36304"/>
    <cellStyle name="Percent 4 6 2 12" xfId="36305"/>
    <cellStyle name="Percent 4 6 2 13" xfId="36306"/>
    <cellStyle name="Percent 4 6 2 2" xfId="36307"/>
    <cellStyle name="Percent 4 6 2 2 10" xfId="36308"/>
    <cellStyle name="Percent 4 6 2 2 11" xfId="36309"/>
    <cellStyle name="Percent 4 6 2 2 2" xfId="36310"/>
    <cellStyle name="Percent 4 6 2 2 2 2" xfId="36311"/>
    <cellStyle name="Percent 4 6 2 2 2 2 2" xfId="36312"/>
    <cellStyle name="Percent 4 6 2 2 2 2 2 2" xfId="36313"/>
    <cellStyle name="Percent 4 6 2 2 2 2 2 2 2" xfId="36314"/>
    <cellStyle name="Percent 4 6 2 2 2 2 2 2 3" xfId="36315"/>
    <cellStyle name="Percent 4 6 2 2 2 2 2 3" xfId="36316"/>
    <cellStyle name="Percent 4 6 2 2 2 2 2 3 2" xfId="36317"/>
    <cellStyle name="Percent 4 6 2 2 2 2 2 3 3" xfId="36318"/>
    <cellStyle name="Percent 4 6 2 2 2 2 2 4" xfId="36319"/>
    <cellStyle name="Percent 4 6 2 2 2 2 2 5" xfId="36320"/>
    <cellStyle name="Percent 4 6 2 2 2 2 2 6" xfId="36321"/>
    <cellStyle name="Percent 4 6 2 2 2 2 2 7" xfId="36322"/>
    <cellStyle name="Percent 4 6 2 2 2 2 3" xfId="36323"/>
    <cellStyle name="Percent 4 6 2 2 2 2 3 2" xfId="36324"/>
    <cellStyle name="Percent 4 6 2 2 2 2 3 3" xfId="36325"/>
    <cellStyle name="Percent 4 6 2 2 2 2 4" xfId="36326"/>
    <cellStyle name="Percent 4 6 2 2 2 2 4 2" xfId="36327"/>
    <cellStyle name="Percent 4 6 2 2 2 2 4 3" xfId="36328"/>
    <cellStyle name="Percent 4 6 2 2 2 2 5" xfId="36329"/>
    <cellStyle name="Percent 4 6 2 2 2 2 6" xfId="36330"/>
    <cellStyle name="Percent 4 6 2 2 2 2 7" xfId="36331"/>
    <cellStyle name="Percent 4 6 2 2 2 2 8" xfId="36332"/>
    <cellStyle name="Percent 4 6 2 2 2 3" xfId="36333"/>
    <cellStyle name="Percent 4 6 2 2 2 3 2" xfId="36334"/>
    <cellStyle name="Percent 4 6 2 2 2 3 2 2" xfId="36335"/>
    <cellStyle name="Percent 4 6 2 2 2 3 2 3" xfId="36336"/>
    <cellStyle name="Percent 4 6 2 2 2 3 3" xfId="36337"/>
    <cellStyle name="Percent 4 6 2 2 2 3 3 2" xfId="36338"/>
    <cellStyle name="Percent 4 6 2 2 2 3 3 3" xfId="36339"/>
    <cellStyle name="Percent 4 6 2 2 2 3 4" xfId="36340"/>
    <cellStyle name="Percent 4 6 2 2 2 3 5" xfId="36341"/>
    <cellStyle name="Percent 4 6 2 2 2 3 6" xfId="36342"/>
    <cellStyle name="Percent 4 6 2 2 2 3 7" xfId="36343"/>
    <cellStyle name="Percent 4 6 2 2 2 4" xfId="36344"/>
    <cellStyle name="Percent 4 6 2 2 2 4 2" xfId="36345"/>
    <cellStyle name="Percent 4 6 2 2 2 4 3" xfId="36346"/>
    <cellStyle name="Percent 4 6 2 2 2 5" xfId="36347"/>
    <cellStyle name="Percent 4 6 2 2 2 5 2" xfId="36348"/>
    <cellStyle name="Percent 4 6 2 2 2 5 3" xfId="36349"/>
    <cellStyle name="Percent 4 6 2 2 2 6" xfId="36350"/>
    <cellStyle name="Percent 4 6 2 2 2 7" xfId="36351"/>
    <cellStyle name="Percent 4 6 2 2 2 8" xfId="36352"/>
    <cellStyle name="Percent 4 6 2 2 2 9" xfId="36353"/>
    <cellStyle name="Percent 4 6 2 2 3" xfId="36354"/>
    <cellStyle name="Percent 4 6 2 2 3 2" xfId="36355"/>
    <cellStyle name="Percent 4 6 2 2 3 2 2" xfId="36356"/>
    <cellStyle name="Percent 4 6 2 2 3 2 2 2" xfId="36357"/>
    <cellStyle name="Percent 4 6 2 2 3 2 2 3" xfId="36358"/>
    <cellStyle name="Percent 4 6 2 2 3 2 3" xfId="36359"/>
    <cellStyle name="Percent 4 6 2 2 3 2 3 2" xfId="36360"/>
    <cellStyle name="Percent 4 6 2 2 3 2 3 3" xfId="36361"/>
    <cellStyle name="Percent 4 6 2 2 3 2 4" xfId="36362"/>
    <cellStyle name="Percent 4 6 2 2 3 2 5" xfId="36363"/>
    <cellStyle name="Percent 4 6 2 2 3 2 6" xfId="36364"/>
    <cellStyle name="Percent 4 6 2 2 3 2 7" xfId="36365"/>
    <cellStyle name="Percent 4 6 2 2 3 3" xfId="36366"/>
    <cellStyle name="Percent 4 6 2 2 3 3 2" xfId="36367"/>
    <cellStyle name="Percent 4 6 2 2 3 3 3" xfId="36368"/>
    <cellStyle name="Percent 4 6 2 2 3 4" xfId="36369"/>
    <cellStyle name="Percent 4 6 2 2 3 4 2" xfId="36370"/>
    <cellStyle name="Percent 4 6 2 2 3 4 3" xfId="36371"/>
    <cellStyle name="Percent 4 6 2 2 3 5" xfId="36372"/>
    <cellStyle name="Percent 4 6 2 2 3 6" xfId="36373"/>
    <cellStyle name="Percent 4 6 2 2 3 7" xfId="36374"/>
    <cellStyle name="Percent 4 6 2 2 3 8" xfId="36375"/>
    <cellStyle name="Percent 4 6 2 2 4" xfId="36376"/>
    <cellStyle name="Percent 4 6 2 2 4 2" xfId="36377"/>
    <cellStyle name="Percent 4 6 2 2 4 2 2" xfId="36378"/>
    <cellStyle name="Percent 4 6 2 2 4 2 2 2" xfId="36379"/>
    <cellStyle name="Percent 4 6 2 2 4 2 2 3" xfId="36380"/>
    <cellStyle name="Percent 4 6 2 2 4 2 3" xfId="36381"/>
    <cellStyle name="Percent 4 6 2 2 4 2 3 2" xfId="36382"/>
    <cellStyle name="Percent 4 6 2 2 4 2 3 3" xfId="36383"/>
    <cellStyle name="Percent 4 6 2 2 4 2 4" xfId="36384"/>
    <cellStyle name="Percent 4 6 2 2 4 2 5" xfId="36385"/>
    <cellStyle name="Percent 4 6 2 2 4 2 6" xfId="36386"/>
    <cellStyle name="Percent 4 6 2 2 4 2 7" xfId="36387"/>
    <cellStyle name="Percent 4 6 2 2 4 3" xfId="36388"/>
    <cellStyle name="Percent 4 6 2 2 4 3 2" xfId="36389"/>
    <cellStyle name="Percent 4 6 2 2 4 3 3" xfId="36390"/>
    <cellStyle name="Percent 4 6 2 2 4 4" xfId="36391"/>
    <cellStyle name="Percent 4 6 2 2 4 4 2" xfId="36392"/>
    <cellStyle name="Percent 4 6 2 2 4 4 3" xfId="36393"/>
    <cellStyle name="Percent 4 6 2 2 4 5" xfId="36394"/>
    <cellStyle name="Percent 4 6 2 2 4 6" xfId="36395"/>
    <cellStyle name="Percent 4 6 2 2 4 7" xfId="36396"/>
    <cellStyle name="Percent 4 6 2 2 4 8" xfId="36397"/>
    <cellStyle name="Percent 4 6 2 2 5" xfId="36398"/>
    <cellStyle name="Percent 4 6 2 2 5 2" xfId="36399"/>
    <cellStyle name="Percent 4 6 2 2 5 2 2" xfId="36400"/>
    <cellStyle name="Percent 4 6 2 2 5 2 3" xfId="36401"/>
    <cellStyle name="Percent 4 6 2 2 5 3" xfId="36402"/>
    <cellStyle name="Percent 4 6 2 2 5 3 2" xfId="36403"/>
    <cellStyle name="Percent 4 6 2 2 5 3 3" xfId="36404"/>
    <cellStyle name="Percent 4 6 2 2 5 4" xfId="36405"/>
    <cellStyle name="Percent 4 6 2 2 5 5" xfId="36406"/>
    <cellStyle name="Percent 4 6 2 2 5 6" xfId="36407"/>
    <cellStyle name="Percent 4 6 2 2 5 7" xfId="36408"/>
    <cellStyle name="Percent 4 6 2 2 6" xfId="36409"/>
    <cellStyle name="Percent 4 6 2 2 6 2" xfId="36410"/>
    <cellStyle name="Percent 4 6 2 2 6 3" xfId="36411"/>
    <cellStyle name="Percent 4 6 2 2 7" xfId="36412"/>
    <cellStyle name="Percent 4 6 2 2 7 2" xfId="36413"/>
    <cellStyle name="Percent 4 6 2 2 7 3" xfId="36414"/>
    <cellStyle name="Percent 4 6 2 2 8" xfId="36415"/>
    <cellStyle name="Percent 4 6 2 2 9" xfId="36416"/>
    <cellStyle name="Percent 4 6 2 3" xfId="36417"/>
    <cellStyle name="Percent 4 6 2 3 10" xfId="36418"/>
    <cellStyle name="Percent 4 6 2 3 11" xfId="36419"/>
    <cellStyle name="Percent 4 6 2 3 2" xfId="36420"/>
    <cellStyle name="Percent 4 6 2 3 2 2" xfId="36421"/>
    <cellStyle name="Percent 4 6 2 3 2 2 2" xfId="36422"/>
    <cellStyle name="Percent 4 6 2 3 2 2 2 2" xfId="36423"/>
    <cellStyle name="Percent 4 6 2 3 2 2 2 2 2" xfId="36424"/>
    <cellStyle name="Percent 4 6 2 3 2 2 2 2 3" xfId="36425"/>
    <cellStyle name="Percent 4 6 2 3 2 2 2 3" xfId="36426"/>
    <cellStyle name="Percent 4 6 2 3 2 2 2 3 2" xfId="36427"/>
    <cellStyle name="Percent 4 6 2 3 2 2 2 3 3" xfId="36428"/>
    <cellStyle name="Percent 4 6 2 3 2 2 2 4" xfId="36429"/>
    <cellStyle name="Percent 4 6 2 3 2 2 2 5" xfId="36430"/>
    <cellStyle name="Percent 4 6 2 3 2 2 2 6" xfId="36431"/>
    <cellStyle name="Percent 4 6 2 3 2 2 2 7" xfId="36432"/>
    <cellStyle name="Percent 4 6 2 3 2 2 3" xfId="36433"/>
    <cellStyle name="Percent 4 6 2 3 2 2 3 2" xfId="36434"/>
    <cellStyle name="Percent 4 6 2 3 2 2 3 3" xfId="36435"/>
    <cellStyle name="Percent 4 6 2 3 2 2 4" xfId="36436"/>
    <cellStyle name="Percent 4 6 2 3 2 2 4 2" xfId="36437"/>
    <cellStyle name="Percent 4 6 2 3 2 2 4 3" xfId="36438"/>
    <cellStyle name="Percent 4 6 2 3 2 2 5" xfId="36439"/>
    <cellStyle name="Percent 4 6 2 3 2 2 6" xfId="36440"/>
    <cellStyle name="Percent 4 6 2 3 2 2 7" xfId="36441"/>
    <cellStyle name="Percent 4 6 2 3 2 2 8" xfId="36442"/>
    <cellStyle name="Percent 4 6 2 3 2 3" xfId="36443"/>
    <cellStyle name="Percent 4 6 2 3 2 3 2" xfId="36444"/>
    <cellStyle name="Percent 4 6 2 3 2 3 2 2" xfId="36445"/>
    <cellStyle name="Percent 4 6 2 3 2 3 2 3" xfId="36446"/>
    <cellStyle name="Percent 4 6 2 3 2 3 3" xfId="36447"/>
    <cellStyle name="Percent 4 6 2 3 2 3 3 2" xfId="36448"/>
    <cellStyle name="Percent 4 6 2 3 2 3 3 3" xfId="36449"/>
    <cellStyle name="Percent 4 6 2 3 2 3 4" xfId="36450"/>
    <cellStyle name="Percent 4 6 2 3 2 3 5" xfId="36451"/>
    <cellStyle name="Percent 4 6 2 3 2 3 6" xfId="36452"/>
    <cellStyle name="Percent 4 6 2 3 2 3 7" xfId="36453"/>
    <cellStyle name="Percent 4 6 2 3 2 4" xfId="36454"/>
    <cellStyle name="Percent 4 6 2 3 2 4 2" xfId="36455"/>
    <cellStyle name="Percent 4 6 2 3 2 4 3" xfId="36456"/>
    <cellStyle name="Percent 4 6 2 3 2 5" xfId="36457"/>
    <cellStyle name="Percent 4 6 2 3 2 5 2" xfId="36458"/>
    <cellStyle name="Percent 4 6 2 3 2 5 3" xfId="36459"/>
    <cellStyle name="Percent 4 6 2 3 2 6" xfId="36460"/>
    <cellStyle name="Percent 4 6 2 3 2 7" xfId="36461"/>
    <cellStyle name="Percent 4 6 2 3 2 8" xfId="36462"/>
    <cellStyle name="Percent 4 6 2 3 2 9" xfId="36463"/>
    <cellStyle name="Percent 4 6 2 3 3" xfId="36464"/>
    <cellStyle name="Percent 4 6 2 3 3 2" xfId="36465"/>
    <cellStyle name="Percent 4 6 2 3 3 2 2" xfId="36466"/>
    <cellStyle name="Percent 4 6 2 3 3 2 2 2" xfId="36467"/>
    <cellStyle name="Percent 4 6 2 3 3 2 2 3" xfId="36468"/>
    <cellStyle name="Percent 4 6 2 3 3 2 3" xfId="36469"/>
    <cellStyle name="Percent 4 6 2 3 3 2 3 2" xfId="36470"/>
    <cellStyle name="Percent 4 6 2 3 3 2 3 3" xfId="36471"/>
    <cellStyle name="Percent 4 6 2 3 3 2 4" xfId="36472"/>
    <cellStyle name="Percent 4 6 2 3 3 2 5" xfId="36473"/>
    <cellStyle name="Percent 4 6 2 3 3 2 6" xfId="36474"/>
    <cellStyle name="Percent 4 6 2 3 3 2 7" xfId="36475"/>
    <cellStyle name="Percent 4 6 2 3 3 3" xfId="36476"/>
    <cellStyle name="Percent 4 6 2 3 3 3 2" xfId="36477"/>
    <cellStyle name="Percent 4 6 2 3 3 3 3" xfId="36478"/>
    <cellStyle name="Percent 4 6 2 3 3 4" xfId="36479"/>
    <cellStyle name="Percent 4 6 2 3 3 4 2" xfId="36480"/>
    <cellStyle name="Percent 4 6 2 3 3 4 3" xfId="36481"/>
    <cellStyle name="Percent 4 6 2 3 3 5" xfId="36482"/>
    <cellStyle name="Percent 4 6 2 3 3 6" xfId="36483"/>
    <cellStyle name="Percent 4 6 2 3 3 7" xfId="36484"/>
    <cellStyle name="Percent 4 6 2 3 3 8" xfId="36485"/>
    <cellStyle name="Percent 4 6 2 3 4" xfId="36486"/>
    <cellStyle name="Percent 4 6 2 3 4 2" xfId="36487"/>
    <cellStyle name="Percent 4 6 2 3 4 2 2" xfId="36488"/>
    <cellStyle name="Percent 4 6 2 3 4 2 2 2" xfId="36489"/>
    <cellStyle name="Percent 4 6 2 3 4 2 2 3" xfId="36490"/>
    <cellStyle name="Percent 4 6 2 3 4 2 3" xfId="36491"/>
    <cellStyle name="Percent 4 6 2 3 4 2 3 2" xfId="36492"/>
    <cellStyle name="Percent 4 6 2 3 4 2 3 3" xfId="36493"/>
    <cellStyle name="Percent 4 6 2 3 4 2 4" xfId="36494"/>
    <cellStyle name="Percent 4 6 2 3 4 2 5" xfId="36495"/>
    <cellStyle name="Percent 4 6 2 3 4 2 6" xfId="36496"/>
    <cellStyle name="Percent 4 6 2 3 4 2 7" xfId="36497"/>
    <cellStyle name="Percent 4 6 2 3 4 3" xfId="36498"/>
    <cellStyle name="Percent 4 6 2 3 4 3 2" xfId="36499"/>
    <cellStyle name="Percent 4 6 2 3 4 3 3" xfId="36500"/>
    <cellStyle name="Percent 4 6 2 3 4 4" xfId="36501"/>
    <cellStyle name="Percent 4 6 2 3 4 4 2" xfId="36502"/>
    <cellStyle name="Percent 4 6 2 3 4 4 3" xfId="36503"/>
    <cellStyle name="Percent 4 6 2 3 4 5" xfId="36504"/>
    <cellStyle name="Percent 4 6 2 3 4 6" xfId="36505"/>
    <cellStyle name="Percent 4 6 2 3 4 7" xfId="36506"/>
    <cellStyle name="Percent 4 6 2 3 4 8" xfId="36507"/>
    <cellStyle name="Percent 4 6 2 3 5" xfId="36508"/>
    <cellStyle name="Percent 4 6 2 3 5 2" xfId="36509"/>
    <cellStyle name="Percent 4 6 2 3 5 2 2" xfId="36510"/>
    <cellStyle name="Percent 4 6 2 3 5 2 3" xfId="36511"/>
    <cellStyle name="Percent 4 6 2 3 5 3" xfId="36512"/>
    <cellStyle name="Percent 4 6 2 3 5 3 2" xfId="36513"/>
    <cellStyle name="Percent 4 6 2 3 5 3 3" xfId="36514"/>
    <cellStyle name="Percent 4 6 2 3 5 4" xfId="36515"/>
    <cellStyle name="Percent 4 6 2 3 5 5" xfId="36516"/>
    <cellStyle name="Percent 4 6 2 3 5 6" xfId="36517"/>
    <cellStyle name="Percent 4 6 2 3 5 7" xfId="36518"/>
    <cellStyle name="Percent 4 6 2 3 6" xfId="36519"/>
    <cellStyle name="Percent 4 6 2 3 6 2" xfId="36520"/>
    <cellStyle name="Percent 4 6 2 3 6 3" xfId="36521"/>
    <cellStyle name="Percent 4 6 2 3 7" xfId="36522"/>
    <cellStyle name="Percent 4 6 2 3 7 2" xfId="36523"/>
    <cellStyle name="Percent 4 6 2 3 7 3" xfId="36524"/>
    <cellStyle name="Percent 4 6 2 3 8" xfId="36525"/>
    <cellStyle name="Percent 4 6 2 3 9" xfId="36526"/>
    <cellStyle name="Percent 4 6 2 4" xfId="36527"/>
    <cellStyle name="Percent 4 6 2 4 2" xfId="36528"/>
    <cellStyle name="Percent 4 6 2 4 2 2" xfId="36529"/>
    <cellStyle name="Percent 4 6 2 4 2 2 2" xfId="36530"/>
    <cellStyle name="Percent 4 6 2 4 2 2 2 2" xfId="36531"/>
    <cellStyle name="Percent 4 6 2 4 2 2 2 3" xfId="36532"/>
    <cellStyle name="Percent 4 6 2 4 2 2 3" xfId="36533"/>
    <cellStyle name="Percent 4 6 2 4 2 2 3 2" xfId="36534"/>
    <cellStyle name="Percent 4 6 2 4 2 2 3 3" xfId="36535"/>
    <cellStyle name="Percent 4 6 2 4 2 2 4" xfId="36536"/>
    <cellStyle name="Percent 4 6 2 4 2 2 5" xfId="36537"/>
    <cellStyle name="Percent 4 6 2 4 2 2 6" xfId="36538"/>
    <cellStyle name="Percent 4 6 2 4 2 2 7" xfId="36539"/>
    <cellStyle name="Percent 4 6 2 4 2 3" xfId="36540"/>
    <cellStyle name="Percent 4 6 2 4 2 3 2" xfId="36541"/>
    <cellStyle name="Percent 4 6 2 4 2 3 3" xfId="36542"/>
    <cellStyle name="Percent 4 6 2 4 2 4" xfId="36543"/>
    <cellStyle name="Percent 4 6 2 4 2 4 2" xfId="36544"/>
    <cellStyle name="Percent 4 6 2 4 2 4 3" xfId="36545"/>
    <cellStyle name="Percent 4 6 2 4 2 5" xfId="36546"/>
    <cellStyle name="Percent 4 6 2 4 2 6" xfId="36547"/>
    <cellStyle name="Percent 4 6 2 4 2 7" xfId="36548"/>
    <cellStyle name="Percent 4 6 2 4 2 8" xfId="36549"/>
    <cellStyle name="Percent 4 6 2 4 3" xfId="36550"/>
    <cellStyle name="Percent 4 6 2 4 3 2" xfId="36551"/>
    <cellStyle name="Percent 4 6 2 4 3 2 2" xfId="36552"/>
    <cellStyle name="Percent 4 6 2 4 3 2 3" xfId="36553"/>
    <cellStyle name="Percent 4 6 2 4 3 3" xfId="36554"/>
    <cellStyle name="Percent 4 6 2 4 3 3 2" xfId="36555"/>
    <cellStyle name="Percent 4 6 2 4 3 3 3" xfId="36556"/>
    <cellStyle name="Percent 4 6 2 4 3 4" xfId="36557"/>
    <cellStyle name="Percent 4 6 2 4 3 5" xfId="36558"/>
    <cellStyle name="Percent 4 6 2 4 3 6" xfId="36559"/>
    <cellStyle name="Percent 4 6 2 4 3 7" xfId="36560"/>
    <cellStyle name="Percent 4 6 2 4 4" xfId="36561"/>
    <cellStyle name="Percent 4 6 2 4 4 2" xfId="36562"/>
    <cellStyle name="Percent 4 6 2 4 4 3" xfId="36563"/>
    <cellStyle name="Percent 4 6 2 4 5" xfId="36564"/>
    <cellStyle name="Percent 4 6 2 4 5 2" xfId="36565"/>
    <cellStyle name="Percent 4 6 2 4 5 3" xfId="36566"/>
    <cellStyle name="Percent 4 6 2 4 6" xfId="36567"/>
    <cellStyle name="Percent 4 6 2 4 7" xfId="36568"/>
    <cellStyle name="Percent 4 6 2 4 8" xfId="36569"/>
    <cellStyle name="Percent 4 6 2 4 9" xfId="36570"/>
    <cellStyle name="Percent 4 6 2 5" xfId="36571"/>
    <cellStyle name="Percent 4 6 2 5 2" xfId="36572"/>
    <cellStyle name="Percent 4 6 2 5 2 2" xfId="36573"/>
    <cellStyle name="Percent 4 6 2 5 2 2 2" xfId="36574"/>
    <cellStyle name="Percent 4 6 2 5 2 2 3" xfId="36575"/>
    <cellStyle name="Percent 4 6 2 5 2 3" xfId="36576"/>
    <cellStyle name="Percent 4 6 2 5 2 3 2" xfId="36577"/>
    <cellStyle name="Percent 4 6 2 5 2 3 3" xfId="36578"/>
    <cellStyle name="Percent 4 6 2 5 2 4" xfId="36579"/>
    <cellStyle name="Percent 4 6 2 5 2 5" xfId="36580"/>
    <cellStyle name="Percent 4 6 2 5 2 6" xfId="36581"/>
    <cellStyle name="Percent 4 6 2 5 2 7" xfId="36582"/>
    <cellStyle name="Percent 4 6 2 5 3" xfId="36583"/>
    <cellStyle name="Percent 4 6 2 5 3 2" xfId="36584"/>
    <cellStyle name="Percent 4 6 2 5 3 3" xfId="36585"/>
    <cellStyle name="Percent 4 6 2 5 4" xfId="36586"/>
    <cellStyle name="Percent 4 6 2 5 4 2" xfId="36587"/>
    <cellStyle name="Percent 4 6 2 5 4 3" xfId="36588"/>
    <cellStyle name="Percent 4 6 2 5 5" xfId="36589"/>
    <cellStyle name="Percent 4 6 2 5 6" xfId="36590"/>
    <cellStyle name="Percent 4 6 2 5 7" xfId="36591"/>
    <cellStyle name="Percent 4 6 2 5 8" xfId="36592"/>
    <cellStyle name="Percent 4 6 2 6" xfId="36593"/>
    <cellStyle name="Percent 4 6 2 6 2" xfId="36594"/>
    <cellStyle name="Percent 4 6 2 6 2 2" xfId="36595"/>
    <cellStyle name="Percent 4 6 2 6 2 2 2" xfId="36596"/>
    <cellStyle name="Percent 4 6 2 6 2 2 3" xfId="36597"/>
    <cellStyle name="Percent 4 6 2 6 2 3" xfId="36598"/>
    <cellStyle name="Percent 4 6 2 6 2 3 2" xfId="36599"/>
    <cellStyle name="Percent 4 6 2 6 2 3 3" xfId="36600"/>
    <cellStyle name="Percent 4 6 2 6 2 4" xfId="36601"/>
    <cellStyle name="Percent 4 6 2 6 2 5" xfId="36602"/>
    <cellStyle name="Percent 4 6 2 6 2 6" xfId="36603"/>
    <cellStyle name="Percent 4 6 2 6 2 7" xfId="36604"/>
    <cellStyle name="Percent 4 6 2 6 3" xfId="36605"/>
    <cellStyle name="Percent 4 6 2 6 3 2" xfId="36606"/>
    <cellStyle name="Percent 4 6 2 6 3 3" xfId="36607"/>
    <cellStyle name="Percent 4 6 2 6 4" xfId="36608"/>
    <cellStyle name="Percent 4 6 2 6 4 2" xfId="36609"/>
    <cellStyle name="Percent 4 6 2 6 4 3" xfId="36610"/>
    <cellStyle name="Percent 4 6 2 6 5" xfId="36611"/>
    <cellStyle name="Percent 4 6 2 6 6" xfId="36612"/>
    <cellStyle name="Percent 4 6 2 6 7" xfId="36613"/>
    <cellStyle name="Percent 4 6 2 6 8" xfId="36614"/>
    <cellStyle name="Percent 4 6 2 7" xfId="36615"/>
    <cellStyle name="Percent 4 6 2 7 2" xfId="36616"/>
    <cellStyle name="Percent 4 6 2 7 2 2" xfId="36617"/>
    <cellStyle name="Percent 4 6 2 7 2 3" xfId="36618"/>
    <cellStyle name="Percent 4 6 2 7 3" xfId="36619"/>
    <cellStyle name="Percent 4 6 2 7 3 2" xfId="36620"/>
    <cellStyle name="Percent 4 6 2 7 3 3" xfId="36621"/>
    <cellStyle name="Percent 4 6 2 7 4" xfId="36622"/>
    <cellStyle name="Percent 4 6 2 7 5" xfId="36623"/>
    <cellStyle name="Percent 4 6 2 7 6" xfId="36624"/>
    <cellStyle name="Percent 4 6 2 7 7" xfId="36625"/>
    <cellStyle name="Percent 4 6 2 8" xfId="36626"/>
    <cellStyle name="Percent 4 6 2 8 2" xfId="36627"/>
    <cellStyle name="Percent 4 6 2 8 3" xfId="36628"/>
    <cellStyle name="Percent 4 6 2 9" xfId="36629"/>
    <cellStyle name="Percent 4 6 2 9 2" xfId="36630"/>
    <cellStyle name="Percent 4 6 2 9 3" xfId="36631"/>
    <cellStyle name="Percent 4 6 3" xfId="36632"/>
    <cellStyle name="Percent 4 6 3 10" xfId="36633"/>
    <cellStyle name="Percent 4 6 3 11" xfId="36634"/>
    <cellStyle name="Percent 4 6 3 2" xfId="36635"/>
    <cellStyle name="Percent 4 6 3 2 2" xfId="36636"/>
    <cellStyle name="Percent 4 6 3 2 2 2" xfId="36637"/>
    <cellStyle name="Percent 4 6 3 2 2 2 2" xfId="36638"/>
    <cellStyle name="Percent 4 6 3 2 2 2 2 2" xfId="36639"/>
    <cellStyle name="Percent 4 6 3 2 2 2 2 3" xfId="36640"/>
    <cellStyle name="Percent 4 6 3 2 2 2 3" xfId="36641"/>
    <cellStyle name="Percent 4 6 3 2 2 2 3 2" xfId="36642"/>
    <cellStyle name="Percent 4 6 3 2 2 2 3 3" xfId="36643"/>
    <cellStyle name="Percent 4 6 3 2 2 2 4" xfId="36644"/>
    <cellStyle name="Percent 4 6 3 2 2 2 5" xfId="36645"/>
    <cellStyle name="Percent 4 6 3 2 2 2 6" xfId="36646"/>
    <cellStyle name="Percent 4 6 3 2 2 2 7" xfId="36647"/>
    <cellStyle name="Percent 4 6 3 2 2 3" xfId="36648"/>
    <cellStyle name="Percent 4 6 3 2 2 3 2" xfId="36649"/>
    <cellStyle name="Percent 4 6 3 2 2 3 3" xfId="36650"/>
    <cellStyle name="Percent 4 6 3 2 2 4" xfId="36651"/>
    <cellStyle name="Percent 4 6 3 2 2 4 2" xfId="36652"/>
    <cellStyle name="Percent 4 6 3 2 2 4 3" xfId="36653"/>
    <cellStyle name="Percent 4 6 3 2 2 5" xfId="36654"/>
    <cellStyle name="Percent 4 6 3 2 2 6" xfId="36655"/>
    <cellStyle name="Percent 4 6 3 2 2 7" xfId="36656"/>
    <cellStyle name="Percent 4 6 3 2 2 8" xfId="36657"/>
    <cellStyle name="Percent 4 6 3 2 3" xfId="36658"/>
    <cellStyle name="Percent 4 6 3 2 3 2" xfId="36659"/>
    <cellStyle name="Percent 4 6 3 2 3 2 2" xfId="36660"/>
    <cellStyle name="Percent 4 6 3 2 3 2 3" xfId="36661"/>
    <cellStyle name="Percent 4 6 3 2 3 3" xfId="36662"/>
    <cellStyle name="Percent 4 6 3 2 3 3 2" xfId="36663"/>
    <cellStyle name="Percent 4 6 3 2 3 3 3" xfId="36664"/>
    <cellStyle name="Percent 4 6 3 2 3 4" xfId="36665"/>
    <cellStyle name="Percent 4 6 3 2 3 5" xfId="36666"/>
    <cellStyle name="Percent 4 6 3 2 3 6" xfId="36667"/>
    <cellStyle name="Percent 4 6 3 2 3 7" xfId="36668"/>
    <cellStyle name="Percent 4 6 3 2 4" xfId="36669"/>
    <cellStyle name="Percent 4 6 3 2 4 2" xfId="36670"/>
    <cellStyle name="Percent 4 6 3 2 4 3" xfId="36671"/>
    <cellStyle name="Percent 4 6 3 2 5" xfId="36672"/>
    <cellStyle name="Percent 4 6 3 2 5 2" xfId="36673"/>
    <cellStyle name="Percent 4 6 3 2 5 3" xfId="36674"/>
    <cellStyle name="Percent 4 6 3 2 6" xfId="36675"/>
    <cellStyle name="Percent 4 6 3 2 7" xfId="36676"/>
    <cellStyle name="Percent 4 6 3 2 8" xfId="36677"/>
    <cellStyle name="Percent 4 6 3 2 9" xfId="36678"/>
    <cellStyle name="Percent 4 6 3 3" xfId="36679"/>
    <cellStyle name="Percent 4 6 3 3 2" xfId="36680"/>
    <cellStyle name="Percent 4 6 3 3 2 2" xfId="36681"/>
    <cellStyle name="Percent 4 6 3 3 2 2 2" xfId="36682"/>
    <cellStyle name="Percent 4 6 3 3 2 2 3" xfId="36683"/>
    <cellStyle name="Percent 4 6 3 3 2 3" xfId="36684"/>
    <cellStyle name="Percent 4 6 3 3 2 3 2" xfId="36685"/>
    <cellStyle name="Percent 4 6 3 3 2 3 3" xfId="36686"/>
    <cellStyle name="Percent 4 6 3 3 2 4" xfId="36687"/>
    <cellStyle name="Percent 4 6 3 3 2 5" xfId="36688"/>
    <cellStyle name="Percent 4 6 3 3 2 6" xfId="36689"/>
    <cellStyle name="Percent 4 6 3 3 2 7" xfId="36690"/>
    <cellStyle name="Percent 4 6 3 3 3" xfId="36691"/>
    <cellStyle name="Percent 4 6 3 3 3 2" xfId="36692"/>
    <cellStyle name="Percent 4 6 3 3 3 3" xfId="36693"/>
    <cellStyle name="Percent 4 6 3 3 4" xfId="36694"/>
    <cellStyle name="Percent 4 6 3 3 4 2" xfId="36695"/>
    <cellStyle name="Percent 4 6 3 3 4 3" xfId="36696"/>
    <cellStyle name="Percent 4 6 3 3 5" xfId="36697"/>
    <cellStyle name="Percent 4 6 3 3 6" xfId="36698"/>
    <cellStyle name="Percent 4 6 3 3 7" xfId="36699"/>
    <cellStyle name="Percent 4 6 3 3 8" xfId="36700"/>
    <cellStyle name="Percent 4 6 3 4" xfId="36701"/>
    <cellStyle name="Percent 4 6 3 4 2" xfId="36702"/>
    <cellStyle name="Percent 4 6 3 4 2 2" xfId="36703"/>
    <cellStyle name="Percent 4 6 3 4 2 2 2" xfId="36704"/>
    <cellStyle name="Percent 4 6 3 4 2 2 3" xfId="36705"/>
    <cellStyle name="Percent 4 6 3 4 2 3" xfId="36706"/>
    <cellStyle name="Percent 4 6 3 4 2 3 2" xfId="36707"/>
    <cellStyle name="Percent 4 6 3 4 2 3 3" xfId="36708"/>
    <cellStyle name="Percent 4 6 3 4 2 4" xfId="36709"/>
    <cellStyle name="Percent 4 6 3 4 2 5" xfId="36710"/>
    <cellStyle name="Percent 4 6 3 4 2 6" xfId="36711"/>
    <cellStyle name="Percent 4 6 3 4 2 7" xfId="36712"/>
    <cellStyle name="Percent 4 6 3 4 3" xfId="36713"/>
    <cellStyle name="Percent 4 6 3 4 3 2" xfId="36714"/>
    <cellStyle name="Percent 4 6 3 4 3 3" xfId="36715"/>
    <cellStyle name="Percent 4 6 3 4 4" xfId="36716"/>
    <cellStyle name="Percent 4 6 3 4 4 2" xfId="36717"/>
    <cellStyle name="Percent 4 6 3 4 4 3" xfId="36718"/>
    <cellStyle name="Percent 4 6 3 4 5" xfId="36719"/>
    <cellStyle name="Percent 4 6 3 4 6" xfId="36720"/>
    <cellStyle name="Percent 4 6 3 4 7" xfId="36721"/>
    <cellStyle name="Percent 4 6 3 4 8" xfId="36722"/>
    <cellStyle name="Percent 4 6 3 5" xfId="36723"/>
    <cellStyle name="Percent 4 6 3 5 2" xfId="36724"/>
    <cellStyle name="Percent 4 6 3 5 2 2" xfId="36725"/>
    <cellStyle name="Percent 4 6 3 5 2 3" xfId="36726"/>
    <cellStyle name="Percent 4 6 3 5 3" xfId="36727"/>
    <cellStyle name="Percent 4 6 3 5 3 2" xfId="36728"/>
    <cellStyle name="Percent 4 6 3 5 3 3" xfId="36729"/>
    <cellStyle name="Percent 4 6 3 5 4" xfId="36730"/>
    <cellStyle name="Percent 4 6 3 5 5" xfId="36731"/>
    <cellStyle name="Percent 4 6 3 5 6" xfId="36732"/>
    <cellStyle name="Percent 4 6 3 5 7" xfId="36733"/>
    <cellStyle name="Percent 4 6 3 6" xfId="36734"/>
    <cellStyle name="Percent 4 6 3 6 2" xfId="36735"/>
    <cellStyle name="Percent 4 6 3 6 3" xfId="36736"/>
    <cellStyle name="Percent 4 6 3 7" xfId="36737"/>
    <cellStyle name="Percent 4 6 3 7 2" xfId="36738"/>
    <cellStyle name="Percent 4 6 3 7 3" xfId="36739"/>
    <cellStyle name="Percent 4 6 3 8" xfId="36740"/>
    <cellStyle name="Percent 4 6 3 9" xfId="36741"/>
    <cellStyle name="Percent 4 6 4" xfId="36742"/>
    <cellStyle name="Percent 4 6 4 10" xfId="36743"/>
    <cellStyle name="Percent 4 6 4 11" xfId="36744"/>
    <cellStyle name="Percent 4 6 4 2" xfId="36745"/>
    <cellStyle name="Percent 4 6 4 2 2" xfId="36746"/>
    <cellStyle name="Percent 4 6 4 2 2 2" xfId="36747"/>
    <cellStyle name="Percent 4 6 4 2 2 2 2" xfId="36748"/>
    <cellStyle name="Percent 4 6 4 2 2 2 2 2" xfId="36749"/>
    <cellStyle name="Percent 4 6 4 2 2 2 2 3" xfId="36750"/>
    <cellStyle name="Percent 4 6 4 2 2 2 3" xfId="36751"/>
    <cellStyle name="Percent 4 6 4 2 2 2 3 2" xfId="36752"/>
    <cellStyle name="Percent 4 6 4 2 2 2 3 3" xfId="36753"/>
    <cellStyle name="Percent 4 6 4 2 2 2 4" xfId="36754"/>
    <cellStyle name="Percent 4 6 4 2 2 2 5" xfId="36755"/>
    <cellStyle name="Percent 4 6 4 2 2 2 6" xfId="36756"/>
    <cellStyle name="Percent 4 6 4 2 2 2 7" xfId="36757"/>
    <cellStyle name="Percent 4 6 4 2 2 3" xfId="36758"/>
    <cellStyle name="Percent 4 6 4 2 2 3 2" xfId="36759"/>
    <cellStyle name="Percent 4 6 4 2 2 3 3" xfId="36760"/>
    <cellStyle name="Percent 4 6 4 2 2 4" xfId="36761"/>
    <cellStyle name="Percent 4 6 4 2 2 4 2" xfId="36762"/>
    <cellStyle name="Percent 4 6 4 2 2 4 3" xfId="36763"/>
    <cellStyle name="Percent 4 6 4 2 2 5" xfId="36764"/>
    <cellStyle name="Percent 4 6 4 2 2 6" xfId="36765"/>
    <cellStyle name="Percent 4 6 4 2 2 7" xfId="36766"/>
    <cellStyle name="Percent 4 6 4 2 2 8" xfId="36767"/>
    <cellStyle name="Percent 4 6 4 2 3" xfId="36768"/>
    <cellStyle name="Percent 4 6 4 2 3 2" xfId="36769"/>
    <cellStyle name="Percent 4 6 4 2 3 2 2" xfId="36770"/>
    <cellStyle name="Percent 4 6 4 2 3 2 3" xfId="36771"/>
    <cellStyle name="Percent 4 6 4 2 3 3" xfId="36772"/>
    <cellStyle name="Percent 4 6 4 2 3 3 2" xfId="36773"/>
    <cellStyle name="Percent 4 6 4 2 3 3 3" xfId="36774"/>
    <cellStyle name="Percent 4 6 4 2 3 4" xfId="36775"/>
    <cellStyle name="Percent 4 6 4 2 3 5" xfId="36776"/>
    <cellStyle name="Percent 4 6 4 2 3 6" xfId="36777"/>
    <cellStyle name="Percent 4 6 4 2 3 7" xfId="36778"/>
    <cellStyle name="Percent 4 6 4 2 4" xfId="36779"/>
    <cellStyle name="Percent 4 6 4 2 4 2" xfId="36780"/>
    <cellStyle name="Percent 4 6 4 2 4 3" xfId="36781"/>
    <cellStyle name="Percent 4 6 4 2 5" xfId="36782"/>
    <cellStyle name="Percent 4 6 4 2 5 2" xfId="36783"/>
    <cellStyle name="Percent 4 6 4 2 5 3" xfId="36784"/>
    <cellStyle name="Percent 4 6 4 2 6" xfId="36785"/>
    <cellStyle name="Percent 4 6 4 2 7" xfId="36786"/>
    <cellStyle name="Percent 4 6 4 2 8" xfId="36787"/>
    <cellStyle name="Percent 4 6 4 2 9" xfId="36788"/>
    <cellStyle name="Percent 4 6 4 3" xfId="36789"/>
    <cellStyle name="Percent 4 6 4 3 2" xfId="36790"/>
    <cellStyle name="Percent 4 6 4 3 2 2" xfId="36791"/>
    <cellStyle name="Percent 4 6 4 3 2 2 2" xfId="36792"/>
    <cellStyle name="Percent 4 6 4 3 2 2 3" xfId="36793"/>
    <cellStyle name="Percent 4 6 4 3 2 3" xfId="36794"/>
    <cellStyle name="Percent 4 6 4 3 2 3 2" xfId="36795"/>
    <cellStyle name="Percent 4 6 4 3 2 3 3" xfId="36796"/>
    <cellStyle name="Percent 4 6 4 3 2 4" xfId="36797"/>
    <cellStyle name="Percent 4 6 4 3 2 5" xfId="36798"/>
    <cellStyle name="Percent 4 6 4 3 2 6" xfId="36799"/>
    <cellStyle name="Percent 4 6 4 3 2 7" xfId="36800"/>
    <cellStyle name="Percent 4 6 4 3 3" xfId="36801"/>
    <cellStyle name="Percent 4 6 4 3 3 2" xfId="36802"/>
    <cellStyle name="Percent 4 6 4 3 3 3" xfId="36803"/>
    <cellStyle name="Percent 4 6 4 3 4" xfId="36804"/>
    <cellStyle name="Percent 4 6 4 3 4 2" xfId="36805"/>
    <cellStyle name="Percent 4 6 4 3 4 3" xfId="36806"/>
    <cellStyle name="Percent 4 6 4 3 5" xfId="36807"/>
    <cellStyle name="Percent 4 6 4 3 6" xfId="36808"/>
    <cellStyle name="Percent 4 6 4 3 7" xfId="36809"/>
    <cellStyle name="Percent 4 6 4 3 8" xfId="36810"/>
    <cellStyle name="Percent 4 6 4 4" xfId="36811"/>
    <cellStyle name="Percent 4 6 4 4 2" xfId="36812"/>
    <cellStyle name="Percent 4 6 4 4 2 2" xfId="36813"/>
    <cellStyle name="Percent 4 6 4 4 2 2 2" xfId="36814"/>
    <cellStyle name="Percent 4 6 4 4 2 2 3" xfId="36815"/>
    <cellStyle name="Percent 4 6 4 4 2 3" xfId="36816"/>
    <cellStyle name="Percent 4 6 4 4 2 3 2" xfId="36817"/>
    <cellStyle name="Percent 4 6 4 4 2 3 3" xfId="36818"/>
    <cellStyle name="Percent 4 6 4 4 2 4" xfId="36819"/>
    <cellStyle name="Percent 4 6 4 4 2 5" xfId="36820"/>
    <cellStyle name="Percent 4 6 4 4 2 6" xfId="36821"/>
    <cellStyle name="Percent 4 6 4 4 2 7" xfId="36822"/>
    <cellStyle name="Percent 4 6 4 4 3" xfId="36823"/>
    <cellStyle name="Percent 4 6 4 4 3 2" xfId="36824"/>
    <cellStyle name="Percent 4 6 4 4 3 3" xfId="36825"/>
    <cellStyle name="Percent 4 6 4 4 4" xfId="36826"/>
    <cellStyle name="Percent 4 6 4 4 4 2" xfId="36827"/>
    <cellStyle name="Percent 4 6 4 4 4 3" xfId="36828"/>
    <cellStyle name="Percent 4 6 4 4 5" xfId="36829"/>
    <cellStyle name="Percent 4 6 4 4 6" xfId="36830"/>
    <cellStyle name="Percent 4 6 4 4 7" xfId="36831"/>
    <cellStyle name="Percent 4 6 4 4 8" xfId="36832"/>
    <cellStyle name="Percent 4 6 4 5" xfId="36833"/>
    <cellStyle name="Percent 4 6 4 5 2" xfId="36834"/>
    <cellStyle name="Percent 4 6 4 5 2 2" xfId="36835"/>
    <cellStyle name="Percent 4 6 4 5 2 3" xfId="36836"/>
    <cellStyle name="Percent 4 6 4 5 3" xfId="36837"/>
    <cellStyle name="Percent 4 6 4 5 3 2" xfId="36838"/>
    <cellStyle name="Percent 4 6 4 5 3 3" xfId="36839"/>
    <cellStyle name="Percent 4 6 4 5 4" xfId="36840"/>
    <cellStyle name="Percent 4 6 4 5 5" xfId="36841"/>
    <cellStyle name="Percent 4 6 4 5 6" xfId="36842"/>
    <cellStyle name="Percent 4 6 4 5 7" xfId="36843"/>
    <cellStyle name="Percent 4 6 4 6" xfId="36844"/>
    <cellStyle name="Percent 4 6 4 6 2" xfId="36845"/>
    <cellStyle name="Percent 4 6 4 6 3" xfId="36846"/>
    <cellStyle name="Percent 4 6 4 7" xfId="36847"/>
    <cellStyle name="Percent 4 6 4 7 2" xfId="36848"/>
    <cellStyle name="Percent 4 6 4 7 3" xfId="36849"/>
    <cellStyle name="Percent 4 6 4 8" xfId="36850"/>
    <cellStyle name="Percent 4 6 4 9" xfId="36851"/>
    <cellStyle name="Percent 4 6 5" xfId="36852"/>
    <cellStyle name="Percent 4 6 5 10" xfId="36853"/>
    <cellStyle name="Percent 4 6 5 11" xfId="36854"/>
    <cellStyle name="Percent 4 6 5 2" xfId="36855"/>
    <cellStyle name="Percent 4 6 5 2 2" xfId="36856"/>
    <cellStyle name="Percent 4 6 5 2 2 2" xfId="36857"/>
    <cellStyle name="Percent 4 6 5 2 2 2 2" xfId="36858"/>
    <cellStyle name="Percent 4 6 5 2 2 2 2 2" xfId="36859"/>
    <cellStyle name="Percent 4 6 5 2 2 2 2 3" xfId="36860"/>
    <cellStyle name="Percent 4 6 5 2 2 2 3" xfId="36861"/>
    <cellStyle name="Percent 4 6 5 2 2 2 3 2" xfId="36862"/>
    <cellStyle name="Percent 4 6 5 2 2 2 3 3" xfId="36863"/>
    <cellStyle name="Percent 4 6 5 2 2 2 4" xfId="36864"/>
    <cellStyle name="Percent 4 6 5 2 2 2 5" xfId="36865"/>
    <cellStyle name="Percent 4 6 5 2 2 2 6" xfId="36866"/>
    <cellStyle name="Percent 4 6 5 2 2 2 7" xfId="36867"/>
    <cellStyle name="Percent 4 6 5 2 2 3" xfId="36868"/>
    <cellStyle name="Percent 4 6 5 2 2 3 2" xfId="36869"/>
    <cellStyle name="Percent 4 6 5 2 2 3 3" xfId="36870"/>
    <cellStyle name="Percent 4 6 5 2 2 4" xfId="36871"/>
    <cellStyle name="Percent 4 6 5 2 2 4 2" xfId="36872"/>
    <cellStyle name="Percent 4 6 5 2 2 4 3" xfId="36873"/>
    <cellStyle name="Percent 4 6 5 2 2 5" xfId="36874"/>
    <cellStyle name="Percent 4 6 5 2 2 6" xfId="36875"/>
    <cellStyle name="Percent 4 6 5 2 2 7" xfId="36876"/>
    <cellStyle name="Percent 4 6 5 2 2 8" xfId="36877"/>
    <cellStyle name="Percent 4 6 5 2 3" xfId="36878"/>
    <cellStyle name="Percent 4 6 5 2 3 2" xfId="36879"/>
    <cellStyle name="Percent 4 6 5 2 3 2 2" xfId="36880"/>
    <cellStyle name="Percent 4 6 5 2 3 2 3" xfId="36881"/>
    <cellStyle name="Percent 4 6 5 2 3 3" xfId="36882"/>
    <cellStyle name="Percent 4 6 5 2 3 3 2" xfId="36883"/>
    <cellStyle name="Percent 4 6 5 2 3 3 3" xfId="36884"/>
    <cellStyle name="Percent 4 6 5 2 3 4" xfId="36885"/>
    <cellStyle name="Percent 4 6 5 2 3 5" xfId="36886"/>
    <cellStyle name="Percent 4 6 5 2 3 6" xfId="36887"/>
    <cellStyle name="Percent 4 6 5 2 3 7" xfId="36888"/>
    <cellStyle name="Percent 4 6 5 2 4" xfId="36889"/>
    <cellStyle name="Percent 4 6 5 2 4 2" xfId="36890"/>
    <cellStyle name="Percent 4 6 5 2 4 3" xfId="36891"/>
    <cellStyle name="Percent 4 6 5 2 5" xfId="36892"/>
    <cellStyle name="Percent 4 6 5 2 5 2" xfId="36893"/>
    <cellStyle name="Percent 4 6 5 2 5 3" xfId="36894"/>
    <cellStyle name="Percent 4 6 5 2 6" xfId="36895"/>
    <cellStyle name="Percent 4 6 5 2 7" xfId="36896"/>
    <cellStyle name="Percent 4 6 5 2 8" xfId="36897"/>
    <cellStyle name="Percent 4 6 5 2 9" xfId="36898"/>
    <cellStyle name="Percent 4 6 5 3" xfId="36899"/>
    <cellStyle name="Percent 4 6 5 3 2" xfId="36900"/>
    <cellStyle name="Percent 4 6 5 3 2 2" xfId="36901"/>
    <cellStyle name="Percent 4 6 5 3 2 2 2" xfId="36902"/>
    <cellStyle name="Percent 4 6 5 3 2 2 3" xfId="36903"/>
    <cellStyle name="Percent 4 6 5 3 2 3" xfId="36904"/>
    <cellStyle name="Percent 4 6 5 3 2 3 2" xfId="36905"/>
    <cellStyle name="Percent 4 6 5 3 2 3 3" xfId="36906"/>
    <cellStyle name="Percent 4 6 5 3 2 4" xfId="36907"/>
    <cellStyle name="Percent 4 6 5 3 2 5" xfId="36908"/>
    <cellStyle name="Percent 4 6 5 3 2 6" xfId="36909"/>
    <cellStyle name="Percent 4 6 5 3 2 7" xfId="36910"/>
    <cellStyle name="Percent 4 6 5 3 3" xfId="36911"/>
    <cellStyle name="Percent 4 6 5 3 3 2" xfId="36912"/>
    <cellStyle name="Percent 4 6 5 3 3 3" xfId="36913"/>
    <cellStyle name="Percent 4 6 5 3 4" xfId="36914"/>
    <cellStyle name="Percent 4 6 5 3 4 2" xfId="36915"/>
    <cellStyle name="Percent 4 6 5 3 4 3" xfId="36916"/>
    <cellStyle name="Percent 4 6 5 3 5" xfId="36917"/>
    <cellStyle name="Percent 4 6 5 3 6" xfId="36918"/>
    <cellStyle name="Percent 4 6 5 3 7" xfId="36919"/>
    <cellStyle name="Percent 4 6 5 3 8" xfId="36920"/>
    <cellStyle name="Percent 4 6 5 4" xfId="36921"/>
    <cellStyle name="Percent 4 6 5 4 2" xfId="36922"/>
    <cellStyle name="Percent 4 6 5 4 2 2" xfId="36923"/>
    <cellStyle name="Percent 4 6 5 4 2 2 2" xfId="36924"/>
    <cellStyle name="Percent 4 6 5 4 2 2 3" xfId="36925"/>
    <cellStyle name="Percent 4 6 5 4 2 3" xfId="36926"/>
    <cellStyle name="Percent 4 6 5 4 2 3 2" xfId="36927"/>
    <cellStyle name="Percent 4 6 5 4 2 3 3" xfId="36928"/>
    <cellStyle name="Percent 4 6 5 4 2 4" xfId="36929"/>
    <cellStyle name="Percent 4 6 5 4 2 5" xfId="36930"/>
    <cellStyle name="Percent 4 6 5 4 2 6" xfId="36931"/>
    <cellStyle name="Percent 4 6 5 4 2 7" xfId="36932"/>
    <cellStyle name="Percent 4 6 5 4 3" xfId="36933"/>
    <cellStyle name="Percent 4 6 5 4 3 2" xfId="36934"/>
    <cellStyle name="Percent 4 6 5 4 3 3" xfId="36935"/>
    <cellStyle name="Percent 4 6 5 4 4" xfId="36936"/>
    <cellStyle name="Percent 4 6 5 4 4 2" xfId="36937"/>
    <cellStyle name="Percent 4 6 5 4 4 3" xfId="36938"/>
    <cellStyle name="Percent 4 6 5 4 5" xfId="36939"/>
    <cellStyle name="Percent 4 6 5 4 6" xfId="36940"/>
    <cellStyle name="Percent 4 6 5 4 7" xfId="36941"/>
    <cellStyle name="Percent 4 6 5 4 8" xfId="36942"/>
    <cellStyle name="Percent 4 6 5 5" xfId="36943"/>
    <cellStyle name="Percent 4 6 5 5 2" xfId="36944"/>
    <cellStyle name="Percent 4 6 5 5 2 2" xfId="36945"/>
    <cellStyle name="Percent 4 6 5 5 2 3" xfId="36946"/>
    <cellStyle name="Percent 4 6 5 5 3" xfId="36947"/>
    <cellStyle name="Percent 4 6 5 5 3 2" xfId="36948"/>
    <cellStyle name="Percent 4 6 5 5 3 3" xfId="36949"/>
    <cellStyle name="Percent 4 6 5 5 4" xfId="36950"/>
    <cellStyle name="Percent 4 6 5 5 5" xfId="36951"/>
    <cellStyle name="Percent 4 6 5 5 6" xfId="36952"/>
    <cellStyle name="Percent 4 6 5 5 7" xfId="36953"/>
    <cellStyle name="Percent 4 6 5 6" xfId="36954"/>
    <cellStyle name="Percent 4 6 5 6 2" xfId="36955"/>
    <cellStyle name="Percent 4 6 5 6 3" xfId="36956"/>
    <cellStyle name="Percent 4 6 5 7" xfId="36957"/>
    <cellStyle name="Percent 4 6 5 7 2" xfId="36958"/>
    <cellStyle name="Percent 4 6 5 7 3" xfId="36959"/>
    <cellStyle name="Percent 4 6 5 8" xfId="36960"/>
    <cellStyle name="Percent 4 6 5 9" xfId="36961"/>
    <cellStyle name="Percent 4 6 6" xfId="36962"/>
    <cellStyle name="Percent 4 6 6 10" xfId="36963"/>
    <cellStyle name="Percent 4 6 6 11" xfId="36964"/>
    <cellStyle name="Percent 4 6 6 2" xfId="36965"/>
    <cellStyle name="Percent 4 6 6 2 2" xfId="36966"/>
    <cellStyle name="Percent 4 6 6 2 2 2" xfId="36967"/>
    <cellStyle name="Percent 4 6 6 2 2 2 2" xfId="36968"/>
    <cellStyle name="Percent 4 6 6 2 2 2 2 2" xfId="36969"/>
    <cellStyle name="Percent 4 6 6 2 2 2 2 3" xfId="36970"/>
    <cellStyle name="Percent 4 6 6 2 2 2 3" xfId="36971"/>
    <cellStyle name="Percent 4 6 6 2 2 2 3 2" xfId="36972"/>
    <cellStyle name="Percent 4 6 6 2 2 2 3 3" xfId="36973"/>
    <cellStyle name="Percent 4 6 6 2 2 2 4" xfId="36974"/>
    <cellStyle name="Percent 4 6 6 2 2 2 5" xfId="36975"/>
    <cellStyle name="Percent 4 6 6 2 2 2 6" xfId="36976"/>
    <cellStyle name="Percent 4 6 6 2 2 2 7" xfId="36977"/>
    <cellStyle name="Percent 4 6 6 2 2 3" xfId="36978"/>
    <cellStyle name="Percent 4 6 6 2 2 3 2" xfId="36979"/>
    <cellStyle name="Percent 4 6 6 2 2 3 3" xfId="36980"/>
    <cellStyle name="Percent 4 6 6 2 2 4" xfId="36981"/>
    <cellStyle name="Percent 4 6 6 2 2 4 2" xfId="36982"/>
    <cellStyle name="Percent 4 6 6 2 2 4 3" xfId="36983"/>
    <cellStyle name="Percent 4 6 6 2 2 5" xfId="36984"/>
    <cellStyle name="Percent 4 6 6 2 2 6" xfId="36985"/>
    <cellStyle name="Percent 4 6 6 2 2 7" xfId="36986"/>
    <cellStyle name="Percent 4 6 6 2 2 8" xfId="36987"/>
    <cellStyle name="Percent 4 6 6 2 3" xfId="36988"/>
    <cellStyle name="Percent 4 6 6 2 3 2" xfId="36989"/>
    <cellStyle name="Percent 4 6 6 2 3 2 2" xfId="36990"/>
    <cellStyle name="Percent 4 6 6 2 3 2 3" xfId="36991"/>
    <cellStyle name="Percent 4 6 6 2 3 3" xfId="36992"/>
    <cellStyle name="Percent 4 6 6 2 3 3 2" xfId="36993"/>
    <cellStyle name="Percent 4 6 6 2 3 3 3" xfId="36994"/>
    <cellStyle name="Percent 4 6 6 2 3 4" xfId="36995"/>
    <cellStyle name="Percent 4 6 6 2 3 5" xfId="36996"/>
    <cellStyle name="Percent 4 6 6 2 3 6" xfId="36997"/>
    <cellStyle name="Percent 4 6 6 2 3 7" xfId="36998"/>
    <cellStyle name="Percent 4 6 6 2 4" xfId="36999"/>
    <cellStyle name="Percent 4 6 6 2 4 2" xfId="37000"/>
    <cellStyle name="Percent 4 6 6 2 4 3" xfId="37001"/>
    <cellStyle name="Percent 4 6 6 2 5" xfId="37002"/>
    <cellStyle name="Percent 4 6 6 2 5 2" xfId="37003"/>
    <cellStyle name="Percent 4 6 6 2 5 3" xfId="37004"/>
    <cellStyle name="Percent 4 6 6 2 6" xfId="37005"/>
    <cellStyle name="Percent 4 6 6 2 7" xfId="37006"/>
    <cellStyle name="Percent 4 6 6 2 8" xfId="37007"/>
    <cellStyle name="Percent 4 6 6 2 9" xfId="37008"/>
    <cellStyle name="Percent 4 6 6 3" xfId="37009"/>
    <cellStyle name="Percent 4 6 6 3 2" xfId="37010"/>
    <cellStyle name="Percent 4 6 6 3 2 2" xfId="37011"/>
    <cellStyle name="Percent 4 6 6 3 2 2 2" xfId="37012"/>
    <cellStyle name="Percent 4 6 6 3 2 2 3" xfId="37013"/>
    <cellStyle name="Percent 4 6 6 3 2 3" xfId="37014"/>
    <cellStyle name="Percent 4 6 6 3 2 3 2" xfId="37015"/>
    <cellStyle name="Percent 4 6 6 3 2 3 3" xfId="37016"/>
    <cellStyle name="Percent 4 6 6 3 2 4" xfId="37017"/>
    <cellStyle name="Percent 4 6 6 3 2 5" xfId="37018"/>
    <cellStyle name="Percent 4 6 6 3 2 6" xfId="37019"/>
    <cellStyle name="Percent 4 6 6 3 2 7" xfId="37020"/>
    <cellStyle name="Percent 4 6 6 3 3" xfId="37021"/>
    <cellStyle name="Percent 4 6 6 3 3 2" xfId="37022"/>
    <cellStyle name="Percent 4 6 6 3 3 3" xfId="37023"/>
    <cellStyle name="Percent 4 6 6 3 4" xfId="37024"/>
    <cellStyle name="Percent 4 6 6 3 4 2" xfId="37025"/>
    <cellStyle name="Percent 4 6 6 3 4 3" xfId="37026"/>
    <cellStyle name="Percent 4 6 6 3 5" xfId="37027"/>
    <cellStyle name="Percent 4 6 6 3 6" xfId="37028"/>
    <cellStyle name="Percent 4 6 6 3 7" xfId="37029"/>
    <cellStyle name="Percent 4 6 6 3 8" xfId="37030"/>
    <cellStyle name="Percent 4 6 6 4" xfId="37031"/>
    <cellStyle name="Percent 4 6 6 4 2" xfId="37032"/>
    <cellStyle name="Percent 4 6 6 4 2 2" xfId="37033"/>
    <cellStyle name="Percent 4 6 6 4 2 2 2" xfId="37034"/>
    <cellStyle name="Percent 4 6 6 4 2 2 3" xfId="37035"/>
    <cellStyle name="Percent 4 6 6 4 2 3" xfId="37036"/>
    <cellStyle name="Percent 4 6 6 4 2 3 2" xfId="37037"/>
    <cellStyle name="Percent 4 6 6 4 2 3 3" xfId="37038"/>
    <cellStyle name="Percent 4 6 6 4 2 4" xfId="37039"/>
    <cellStyle name="Percent 4 6 6 4 2 5" xfId="37040"/>
    <cellStyle name="Percent 4 6 6 4 2 6" xfId="37041"/>
    <cellStyle name="Percent 4 6 6 4 2 7" xfId="37042"/>
    <cellStyle name="Percent 4 6 6 4 3" xfId="37043"/>
    <cellStyle name="Percent 4 6 6 4 3 2" xfId="37044"/>
    <cellStyle name="Percent 4 6 6 4 3 3" xfId="37045"/>
    <cellStyle name="Percent 4 6 6 4 4" xfId="37046"/>
    <cellStyle name="Percent 4 6 6 4 4 2" xfId="37047"/>
    <cellStyle name="Percent 4 6 6 4 4 3" xfId="37048"/>
    <cellStyle name="Percent 4 6 6 4 5" xfId="37049"/>
    <cellStyle name="Percent 4 6 6 4 6" xfId="37050"/>
    <cellStyle name="Percent 4 6 6 4 7" xfId="37051"/>
    <cellStyle name="Percent 4 6 6 4 8" xfId="37052"/>
    <cellStyle name="Percent 4 6 6 5" xfId="37053"/>
    <cellStyle name="Percent 4 6 6 5 2" xfId="37054"/>
    <cellStyle name="Percent 4 6 6 5 2 2" xfId="37055"/>
    <cellStyle name="Percent 4 6 6 5 2 3" xfId="37056"/>
    <cellStyle name="Percent 4 6 6 5 3" xfId="37057"/>
    <cellStyle name="Percent 4 6 6 5 3 2" xfId="37058"/>
    <cellStyle name="Percent 4 6 6 5 3 3" xfId="37059"/>
    <cellStyle name="Percent 4 6 6 5 4" xfId="37060"/>
    <cellStyle name="Percent 4 6 6 5 5" xfId="37061"/>
    <cellStyle name="Percent 4 6 6 5 6" xfId="37062"/>
    <cellStyle name="Percent 4 6 6 5 7" xfId="37063"/>
    <cellStyle name="Percent 4 6 6 6" xfId="37064"/>
    <cellStyle name="Percent 4 6 6 6 2" xfId="37065"/>
    <cellStyle name="Percent 4 6 6 6 3" xfId="37066"/>
    <cellStyle name="Percent 4 6 6 7" xfId="37067"/>
    <cellStyle name="Percent 4 6 6 7 2" xfId="37068"/>
    <cellStyle name="Percent 4 6 6 7 3" xfId="37069"/>
    <cellStyle name="Percent 4 6 6 8" xfId="37070"/>
    <cellStyle name="Percent 4 6 6 9" xfId="37071"/>
    <cellStyle name="Percent 4 6 7" xfId="37072"/>
    <cellStyle name="Percent 4 6 7 2" xfId="37073"/>
    <cellStyle name="Percent 4 6 7 2 2" xfId="37074"/>
    <cellStyle name="Percent 4 6 7 2 2 2" xfId="37075"/>
    <cellStyle name="Percent 4 6 7 2 2 2 2" xfId="37076"/>
    <cellStyle name="Percent 4 6 7 2 2 2 3" xfId="37077"/>
    <cellStyle name="Percent 4 6 7 2 2 3" xfId="37078"/>
    <cellStyle name="Percent 4 6 7 2 2 3 2" xfId="37079"/>
    <cellStyle name="Percent 4 6 7 2 2 3 3" xfId="37080"/>
    <cellStyle name="Percent 4 6 7 2 2 4" xfId="37081"/>
    <cellStyle name="Percent 4 6 7 2 2 5" xfId="37082"/>
    <cellStyle name="Percent 4 6 7 2 2 6" xfId="37083"/>
    <cellStyle name="Percent 4 6 7 2 2 7" xfId="37084"/>
    <cellStyle name="Percent 4 6 7 2 3" xfId="37085"/>
    <cellStyle name="Percent 4 6 7 2 3 2" xfId="37086"/>
    <cellStyle name="Percent 4 6 7 2 3 3" xfId="37087"/>
    <cellStyle name="Percent 4 6 7 2 4" xfId="37088"/>
    <cellStyle name="Percent 4 6 7 2 4 2" xfId="37089"/>
    <cellStyle name="Percent 4 6 7 2 4 3" xfId="37090"/>
    <cellStyle name="Percent 4 6 7 2 5" xfId="37091"/>
    <cellStyle name="Percent 4 6 7 2 6" xfId="37092"/>
    <cellStyle name="Percent 4 6 7 2 7" xfId="37093"/>
    <cellStyle name="Percent 4 6 7 2 8" xfId="37094"/>
    <cellStyle name="Percent 4 6 7 3" xfId="37095"/>
    <cellStyle name="Percent 4 6 7 3 2" xfId="37096"/>
    <cellStyle name="Percent 4 6 7 3 2 2" xfId="37097"/>
    <cellStyle name="Percent 4 6 7 3 2 3" xfId="37098"/>
    <cellStyle name="Percent 4 6 7 3 3" xfId="37099"/>
    <cellStyle name="Percent 4 6 7 3 3 2" xfId="37100"/>
    <cellStyle name="Percent 4 6 7 3 3 3" xfId="37101"/>
    <cellStyle name="Percent 4 6 7 3 4" xfId="37102"/>
    <cellStyle name="Percent 4 6 7 3 5" xfId="37103"/>
    <cellStyle name="Percent 4 6 7 3 6" xfId="37104"/>
    <cellStyle name="Percent 4 6 7 3 7" xfId="37105"/>
    <cellStyle name="Percent 4 6 7 4" xfId="37106"/>
    <cellStyle name="Percent 4 6 7 4 2" xfId="37107"/>
    <cellStyle name="Percent 4 6 7 4 3" xfId="37108"/>
    <cellStyle name="Percent 4 6 7 5" xfId="37109"/>
    <cellStyle name="Percent 4 6 7 5 2" xfId="37110"/>
    <cellStyle name="Percent 4 6 7 5 3" xfId="37111"/>
    <cellStyle name="Percent 4 6 7 6" xfId="37112"/>
    <cellStyle name="Percent 4 6 7 7" xfId="37113"/>
    <cellStyle name="Percent 4 6 7 8" xfId="37114"/>
    <cellStyle name="Percent 4 6 7 9" xfId="37115"/>
    <cellStyle name="Percent 4 6 8" xfId="37116"/>
    <cellStyle name="Percent 4 6 8 2" xfId="37117"/>
    <cellStyle name="Percent 4 6 8 2 2" xfId="37118"/>
    <cellStyle name="Percent 4 6 8 2 2 2" xfId="37119"/>
    <cellStyle name="Percent 4 6 8 2 2 3" xfId="37120"/>
    <cellStyle name="Percent 4 6 8 2 3" xfId="37121"/>
    <cellStyle name="Percent 4 6 8 2 3 2" xfId="37122"/>
    <cellStyle name="Percent 4 6 8 2 3 3" xfId="37123"/>
    <cellStyle name="Percent 4 6 8 2 4" xfId="37124"/>
    <cellStyle name="Percent 4 6 8 2 5" xfId="37125"/>
    <cellStyle name="Percent 4 6 8 2 6" xfId="37126"/>
    <cellStyle name="Percent 4 6 8 2 7" xfId="37127"/>
    <cellStyle name="Percent 4 6 8 3" xfId="37128"/>
    <cellStyle name="Percent 4 6 8 3 2" xfId="37129"/>
    <cellStyle name="Percent 4 6 8 3 3" xfId="37130"/>
    <cellStyle name="Percent 4 6 8 4" xfId="37131"/>
    <cellStyle name="Percent 4 6 8 4 2" xfId="37132"/>
    <cellStyle name="Percent 4 6 8 4 3" xfId="37133"/>
    <cellStyle name="Percent 4 6 8 5" xfId="37134"/>
    <cellStyle name="Percent 4 6 8 6" xfId="37135"/>
    <cellStyle name="Percent 4 6 8 7" xfId="37136"/>
    <cellStyle name="Percent 4 6 8 8" xfId="37137"/>
    <cellStyle name="Percent 4 6 9" xfId="37138"/>
    <cellStyle name="Percent 4 6 9 2" xfId="37139"/>
    <cellStyle name="Percent 4 6 9 2 2" xfId="37140"/>
    <cellStyle name="Percent 4 6 9 2 2 2" xfId="37141"/>
    <cellStyle name="Percent 4 6 9 2 2 3" xfId="37142"/>
    <cellStyle name="Percent 4 6 9 2 3" xfId="37143"/>
    <cellStyle name="Percent 4 6 9 2 3 2" xfId="37144"/>
    <cellStyle name="Percent 4 6 9 2 3 3" xfId="37145"/>
    <cellStyle name="Percent 4 6 9 2 4" xfId="37146"/>
    <cellStyle name="Percent 4 6 9 2 5" xfId="37147"/>
    <cellStyle name="Percent 4 6 9 2 6" xfId="37148"/>
    <cellStyle name="Percent 4 6 9 2 7" xfId="37149"/>
    <cellStyle name="Percent 4 6 9 3" xfId="37150"/>
    <cellStyle name="Percent 4 6 9 3 2" xfId="37151"/>
    <cellStyle name="Percent 4 6 9 3 3" xfId="37152"/>
    <cellStyle name="Percent 4 6 9 4" xfId="37153"/>
    <cellStyle name="Percent 4 6 9 4 2" xfId="37154"/>
    <cellStyle name="Percent 4 6 9 4 3" xfId="37155"/>
    <cellStyle name="Percent 4 6 9 5" xfId="37156"/>
    <cellStyle name="Percent 4 6 9 6" xfId="37157"/>
    <cellStyle name="Percent 4 6 9 7" xfId="37158"/>
    <cellStyle name="Percent 4 6 9 8" xfId="37159"/>
    <cellStyle name="Percent 4 7" xfId="37160"/>
    <cellStyle name="Percent 4 7 10" xfId="37161"/>
    <cellStyle name="Percent 4 7 10 2" xfId="37162"/>
    <cellStyle name="Percent 4 7 10 2 2" xfId="37163"/>
    <cellStyle name="Percent 4 7 10 2 3" xfId="37164"/>
    <cellStyle name="Percent 4 7 10 3" xfId="37165"/>
    <cellStyle name="Percent 4 7 10 3 2" xfId="37166"/>
    <cellStyle name="Percent 4 7 10 3 3" xfId="37167"/>
    <cellStyle name="Percent 4 7 10 4" xfId="37168"/>
    <cellStyle name="Percent 4 7 10 5" xfId="37169"/>
    <cellStyle name="Percent 4 7 10 6" xfId="37170"/>
    <cellStyle name="Percent 4 7 10 7" xfId="37171"/>
    <cellStyle name="Percent 4 7 11" xfId="37172"/>
    <cellStyle name="Percent 4 7 11 2" xfId="37173"/>
    <cellStyle name="Percent 4 7 12" xfId="37174"/>
    <cellStyle name="Percent 4 7 12 2" xfId="37175"/>
    <cellStyle name="Percent 4 7 12 3" xfId="37176"/>
    <cellStyle name="Percent 4 7 13" xfId="37177"/>
    <cellStyle name="Percent 4 7 13 2" xfId="37178"/>
    <cellStyle name="Percent 4 7 13 3" xfId="37179"/>
    <cellStyle name="Percent 4 7 14" xfId="37180"/>
    <cellStyle name="Percent 4 7 15" xfId="37181"/>
    <cellStyle name="Percent 4 7 16" xfId="37182"/>
    <cellStyle name="Percent 4 7 17" xfId="37183"/>
    <cellStyle name="Percent 4 7 2" xfId="37184"/>
    <cellStyle name="Percent 4 7 2 10" xfId="37185"/>
    <cellStyle name="Percent 4 7 2 11" xfId="37186"/>
    <cellStyle name="Percent 4 7 2 12" xfId="37187"/>
    <cellStyle name="Percent 4 7 2 13" xfId="37188"/>
    <cellStyle name="Percent 4 7 2 2" xfId="37189"/>
    <cellStyle name="Percent 4 7 2 2 10" xfId="37190"/>
    <cellStyle name="Percent 4 7 2 2 11" xfId="37191"/>
    <cellStyle name="Percent 4 7 2 2 2" xfId="37192"/>
    <cellStyle name="Percent 4 7 2 2 2 2" xfId="37193"/>
    <cellStyle name="Percent 4 7 2 2 2 2 2" xfId="37194"/>
    <cellStyle name="Percent 4 7 2 2 2 2 2 2" xfId="37195"/>
    <cellStyle name="Percent 4 7 2 2 2 2 2 2 2" xfId="37196"/>
    <cellStyle name="Percent 4 7 2 2 2 2 2 2 3" xfId="37197"/>
    <cellStyle name="Percent 4 7 2 2 2 2 2 3" xfId="37198"/>
    <cellStyle name="Percent 4 7 2 2 2 2 2 3 2" xfId="37199"/>
    <cellStyle name="Percent 4 7 2 2 2 2 2 3 3" xfId="37200"/>
    <cellStyle name="Percent 4 7 2 2 2 2 2 4" xfId="37201"/>
    <cellStyle name="Percent 4 7 2 2 2 2 2 5" xfId="37202"/>
    <cellStyle name="Percent 4 7 2 2 2 2 2 6" xfId="37203"/>
    <cellStyle name="Percent 4 7 2 2 2 2 2 7" xfId="37204"/>
    <cellStyle name="Percent 4 7 2 2 2 2 3" xfId="37205"/>
    <cellStyle name="Percent 4 7 2 2 2 2 3 2" xfId="37206"/>
    <cellStyle name="Percent 4 7 2 2 2 2 3 3" xfId="37207"/>
    <cellStyle name="Percent 4 7 2 2 2 2 4" xfId="37208"/>
    <cellStyle name="Percent 4 7 2 2 2 2 4 2" xfId="37209"/>
    <cellStyle name="Percent 4 7 2 2 2 2 4 3" xfId="37210"/>
    <cellStyle name="Percent 4 7 2 2 2 2 5" xfId="37211"/>
    <cellStyle name="Percent 4 7 2 2 2 2 6" xfId="37212"/>
    <cellStyle name="Percent 4 7 2 2 2 2 7" xfId="37213"/>
    <cellStyle name="Percent 4 7 2 2 2 2 8" xfId="37214"/>
    <cellStyle name="Percent 4 7 2 2 2 3" xfId="37215"/>
    <cellStyle name="Percent 4 7 2 2 2 3 2" xfId="37216"/>
    <cellStyle name="Percent 4 7 2 2 2 3 2 2" xfId="37217"/>
    <cellStyle name="Percent 4 7 2 2 2 3 2 3" xfId="37218"/>
    <cellStyle name="Percent 4 7 2 2 2 3 3" xfId="37219"/>
    <cellStyle name="Percent 4 7 2 2 2 3 3 2" xfId="37220"/>
    <cellStyle name="Percent 4 7 2 2 2 3 3 3" xfId="37221"/>
    <cellStyle name="Percent 4 7 2 2 2 3 4" xfId="37222"/>
    <cellStyle name="Percent 4 7 2 2 2 3 5" xfId="37223"/>
    <cellStyle name="Percent 4 7 2 2 2 3 6" xfId="37224"/>
    <cellStyle name="Percent 4 7 2 2 2 3 7" xfId="37225"/>
    <cellStyle name="Percent 4 7 2 2 2 4" xfId="37226"/>
    <cellStyle name="Percent 4 7 2 2 2 4 2" xfId="37227"/>
    <cellStyle name="Percent 4 7 2 2 2 4 3" xfId="37228"/>
    <cellStyle name="Percent 4 7 2 2 2 5" xfId="37229"/>
    <cellStyle name="Percent 4 7 2 2 2 5 2" xfId="37230"/>
    <cellStyle name="Percent 4 7 2 2 2 5 3" xfId="37231"/>
    <cellStyle name="Percent 4 7 2 2 2 6" xfId="37232"/>
    <cellStyle name="Percent 4 7 2 2 2 7" xfId="37233"/>
    <cellStyle name="Percent 4 7 2 2 2 8" xfId="37234"/>
    <cellStyle name="Percent 4 7 2 2 2 9" xfId="37235"/>
    <cellStyle name="Percent 4 7 2 2 3" xfId="37236"/>
    <cellStyle name="Percent 4 7 2 2 3 2" xfId="37237"/>
    <cellStyle name="Percent 4 7 2 2 3 2 2" xfId="37238"/>
    <cellStyle name="Percent 4 7 2 2 3 2 2 2" xfId="37239"/>
    <cellStyle name="Percent 4 7 2 2 3 2 2 3" xfId="37240"/>
    <cellStyle name="Percent 4 7 2 2 3 2 3" xfId="37241"/>
    <cellStyle name="Percent 4 7 2 2 3 2 3 2" xfId="37242"/>
    <cellStyle name="Percent 4 7 2 2 3 2 3 3" xfId="37243"/>
    <cellStyle name="Percent 4 7 2 2 3 2 4" xfId="37244"/>
    <cellStyle name="Percent 4 7 2 2 3 2 5" xfId="37245"/>
    <cellStyle name="Percent 4 7 2 2 3 2 6" xfId="37246"/>
    <cellStyle name="Percent 4 7 2 2 3 2 7" xfId="37247"/>
    <cellStyle name="Percent 4 7 2 2 3 3" xfId="37248"/>
    <cellStyle name="Percent 4 7 2 2 3 3 2" xfId="37249"/>
    <cellStyle name="Percent 4 7 2 2 3 3 3" xfId="37250"/>
    <cellStyle name="Percent 4 7 2 2 3 4" xfId="37251"/>
    <cellStyle name="Percent 4 7 2 2 3 4 2" xfId="37252"/>
    <cellStyle name="Percent 4 7 2 2 3 4 3" xfId="37253"/>
    <cellStyle name="Percent 4 7 2 2 3 5" xfId="37254"/>
    <cellStyle name="Percent 4 7 2 2 3 6" xfId="37255"/>
    <cellStyle name="Percent 4 7 2 2 3 7" xfId="37256"/>
    <cellStyle name="Percent 4 7 2 2 3 8" xfId="37257"/>
    <cellStyle name="Percent 4 7 2 2 4" xfId="37258"/>
    <cellStyle name="Percent 4 7 2 2 4 2" xfId="37259"/>
    <cellStyle name="Percent 4 7 2 2 4 2 2" xfId="37260"/>
    <cellStyle name="Percent 4 7 2 2 4 2 2 2" xfId="37261"/>
    <cellStyle name="Percent 4 7 2 2 4 2 2 3" xfId="37262"/>
    <cellStyle name="Percent 4 7 2 2 4 2 3" xfId="37263"/>
    <cellStyle name="Percent 4 7 2 2 4 2 3 2" xfId="37264"/>
    <cellStyle name="Percent 4 7 2 2 4 2 3 3" xfId="37265"/>
    <cellStyle name="Percent 4 7 2 2 4 2 4" xfId="37266"/>
    <cellStyle name="Percent 4 7 2 2 4 2 5" xfId="37267"/>
    <cellStyle name="Percent 4 7 2 2 4 2 6" xfId="37268"/>
    <cellStyle name="Percent 4 7 2 2 4 2 7" xfId="37269"/>
    <cellStyle name="Percent 4 7 2 2 4 3" xfId="37270"/>
    <cellStyle name="Percent 4 7 2 2 4 3 2" xfId="37271"/>
    <cellStyle name="Percent 4 7 2 2 4 3 3" xfId="37272"/>
    <cellStyle name="Percent 4 7 2 2 4 4" xfId="37273"/>
    <cellStyle name="Percent 4 7 2 2 4 4 2" xfId="37274"/>
    <cellStyle name="Percent 4 7 2 2 4 4 3" xfId="37275"/>
    <cellStyle name="Percent 4 7 2 2 4 5" xfId="37276"/>
    <cellStyle name="Percent 4 7 2 2 4 6" xfId="37277"/>
    <cellStyle name="Percent 4 7 2 2 4 7" xfId="37278"/>
    <cellStyle name="Percent 4 7 2 2 4 8" xfId="37279"/>
    <cellStyle name="Percent 4 7 2 2 5" xfId="37280"/>
    <cellStyle name="Percent 4 7 2 2 5 2" xfId="37281"/>
    <cellStyle name="Percent 4 7 2 2 5 2 2" xfId="37282"/>
    <cellStyle name="Percent 4 7 2 2 5 2 3" xfId="37283"/>
    <cellStyle name="Percent 4 7 2 2 5 3" xfId="37284"/>
    <cellStyle name="Percent 4 7 2 2 5 3 2" xfId="37285"/>
    <cellStyle name="Percent 4 7 2 2 5 3 3" xfId="37286"/>
    <cellStyle name="Percent 4 7 2 2 5 4" xfId="37287"/>
    <cellStyle name="Percent 4 7 2 2 5 5" xfId="37288"/>
    <cellStyle name="Percent 4 7 2 2 5 6" xfId="37289"/>
    <cellStyle name="Percent 4 7 2 2 5 7" xfId="37290"/>
    <cellStyle name="Percent 4 7 2 2 6" xfId="37291"/>
    <cellStyle name="Percent 4 7 2 2 6 2" xfId="37292"/>
    <cellStyle name="Percent 4 7 2 2 6 3" xfId="37293"/>
    <cellStyle name="Percent 4 7 2 2 7" xfId="37294"/>
    <cellStyle name="Percent 4 7 2 2 7 2" xfId="37295"/>
    <cellStyle name="Percent 4 7 2 2 7 3" xfId="37296"/>
    <cellStyle name="Percent 4 7 2 2 8" xfId="37297"/>
    <cellStyle name="Percent 4 7 2 2 9" xfId="37298"/>
    <cellStyle name="Percent 4 7 2 3" xfId="37299"/>
    <cellStyle name="Percent 4 7 2 3 10" xfId="37300"/>
    <cellStyle name="Percent 4 7 2 3 11" xfId="37301"/>
    <cellStyle name="Percent 4 7 2 3 2" xfId="37302"/>
    <cellStyle name="Percent 4 7 2 3 2 2" xfId="37303"/>
    <cellStyle name="Percent 4 7 2 3 2 2 2" xfId="37304"/>
    <cellStyle name="Percent 4 7 2 3 2 2 2 2" xfId="37305"/>
    <cellStyle name="Percent 4 7 2 3 2 2 2 2 2" xfId="37306"/>
    <cellStyle name="Percent 4 7 2 3 2 2 2 2 3" xfId="37307"/>
    <cellStyle name="Percent 4 7 2 3 2 2 2 3" xfId="37308"/>
    <cellStyle name="Percent 4 7 2 3 2 2 2 3 2" xfId="37309"/>
    <cellStyle name="Percent 4 7 2 3 2 2 2 3 3" xfId="37310"/>
    <cellStyle name="Percent 4 7 2 3 2 2 2 4" xfId="37311"/>
    <cellStyle name="Percent 4 7 2 3 2 2 2 5" xfId="37312"/>
    <cellStyle name="Percent 4 7 2 3 2 2 2 6" xfId="37313"/>
    <cellStyle name="Percent 4 7 2 3 2 2 2 7" xfId="37314"/>
    <cellStyle name="Percent 4 7 2 3 2 2 3" xfId="37315"/>
    <cellStyle name="Percent 4 7 2 3 2 2 3 2" xfId="37316"/>
    <cellStyle name="Percent 4 7 2 3 2 2 3 3" xfId="37317"/>
    <cellStyle name="Percent 4 7 2 3 2 2 4" xfId="37318"/>
    <cellStyle name="Percent 4 7 2 3 2 2 4 2" xfId="37319"/>
    <cellStyle name="Percent 4 7 2 3 2 2 4 3" xfId="37320"/>
    <cellStyle name="Percent 4 7 2 3 2 2 5" xfId="37321"/>
    <cellStyle name="Percent 4 7 2 3 2 2 6" xfId="37322"/>
    <cellStyle name="Percent 4 7 2 3 2 2 7" xfId="37323"/>
    <cellStyle name="Percent 4 7 2 3 2 2 8" xfId="37324"/>
    <cellStyle name="Percent 4 7 2 3 2 3" xfId="37325"/>
    <cellStyle name="Percent 4 7 2 3 2 3 2" xfId="37326"/>
    <cellStyle name="Percent 4 7 2 3 2 3 2 2" xfId="37327"/>
    <cellStyle name="Percent 4 7 2 3 2 3 2 3" xfId="37328"/>
    <cellStyle name="Percent 4 7 2 3 2 3 3" xfId="37329"/>
    <cellStyle name="Percent 4 7 2 3 2 3 3 2" xfId="37330"/>
    <cellStyle name="Percent 4 7 2 3 2 3 3 3" xfId="37331"/>
    <cellStyle name="Percent 4 7 2 3 2 3 4" xfId="37332"/>
    <cellStyle name="Percent 4 7 2 3 2 3 5" xfId="37333"/>
    <cellStyle name="Percent 4 7 2 3 2 3 6" xfId="37334"/>
    <cellStyle name="Percent 4 7 2 3 2 3 7" xfId="37335"/>
    <cellStyle name="Percent 4 7 2 3 2 4" xfId="37336"/>
    <cellStyle name="Percent 4 7 2 3 2 4 2" xfId="37337"/>
    <cellStyle name="Percent 4 7 2 3 2 4 3" xfId="37338"/>
    <cellStyle name="Percent 4 7 2 3 2 5" xfId="37339"/>
    <cellStyle name="Percent 4 7 2 3 2 5 2" xfId="37340"/>
    <cellStyle name="Percent 4 7 2 3 2 5 3" xfId="37341"/>
    <cellStyle name="Percent 4 7 2 3 2 6" xfId="37342"/>
    <cellStyle name="Percent 4 7 2 3 2 7" xfId="37343"/>
    <cellStyle name="Percent 4 7 2 3 2 8" xfId="37344"/>
    <cellStyle name="Percent 4 7 2 3 2 9" xfId="37345"/>
    <cellStyle name="Percent 4 7 2 3 3" xfId="37346"/>
    <cellStyle name="Percent 4 7 2 3 3 2" xfId="37347"/>
    <cellStyle name="Percent 4 7 2 3 3 2 2" xfId="37348"/>
    <cellStyle name="Percent 4 7 2 3 3 2 2 2" xfId="37349"/>
    <cellStyle name="Percent 4 7 2 3 3 2 2 3" xfId="37350"/>
    <cellStyle name="Percent 4 7 2 3 3 2 3" xfId="37351"/>
    <cellStyle name="Percent 4 7 2 3 3 2 3 2" xfId="37352"/>
    <cellStyle name="Percent 4 7 2 3 3 2 3 3" xfId="37353"/>
    <cellStyle name="Percent 4 7 2 3 3 2 4" xfId="37354"/>
    <cellStyle name="Percent 4 7 2 3 3 2 5" xfId="37355"/>
    <cellStyle name="Percent 4 7 2 3 3 2 6" xfId="37356"/>
    <cellStyle name="Percent 4 7 2 3 3 2 7" xfId="37357"/>
    <cellStyle name="Percent 4 7 2 3 3 3" xfId="37358"/>
    <cellStyle name="Percent 4 7 2 3 3 3 2" xfId="37359"/>
    <cellStyle name="Percent 4 7 2 3 3 3 3" xfId="37360"/>
    <cellStyle name="Percent 4 7 2 3 3 4" xfId="37361"/>
    <cellStyle name="Percent 4 7 2 3 3 4 2" xfId="37362"/>
    <cellStyle name="Percent 4 7 2 3 3 4 3" xfId="37363"/>
    <cellStyle name="Percent 4 7 2 3 3 5" xfId="37364"/>
    <cellStyle name="Percent 4 7 2 3 3 6" xfId="37365"/>
    <cellStyle name="Percent 4 7 2 3 3 7" xfId="37366"/>
    <cellStyle name="Percent 4 7 2 3 3 8" xfId="37367"/>
    <cellStyle name="Percent 4 7 2 3 4" xfId="37368"/>
    <cellStyle name="Percent 4 7 2 3 4 2" xfId="37369"/>
    <cellStyle name="Percent 4 7 2 3 4 2 2" xfId="37370"/>
    <cellStyle name="Percent 4 7 2 3 4 2 2 2" xfId="37371"/>
    <cellStyle name="Percent 4 7 2 3 4 2 2 3" xfId="37372"/>
    <cellStyle name="Percent 4 7 2 3 4 2 3" xfId="37373"/>
    <cellStyle name="Percent 4 7 2 3 4 2 3 2" xfId="37374"/>
    <cellStyle name="Percent 4 7 2 3 4 2 3 3" xfId="37375"/>
    <cellStyle name="Percent 4 7 2 3 4 2 4" xfId="37376"/>
    <cellStyle name="Percent 4 7 2 3 4 2 5" xfId="37377"/>
    <cellStyle name="Percent 4 7 2 3 4 2 6" xfId="37378"/>
    <cellStyle name="Percent 4 7 2 3 4 2 7" xfId="37379"/>
    <cellStyle name="Percent 4 7 2 3 4 3" xfId="37380"/>
    <cellStyle name="Percent 4 7 2 3 4 3 2" xfId="37381"/>
    <cellStyle name="Percent 4 7 2 3 4 3 3" xfId="37382"/>
    <cellStyle name="Percent 4 7 2 3 4 4" xfId="37383"/>
    <cellStyle name="Percent 4 7 2 3 4 4 2" xfId="37384"/>
    <cellStyle name="Percent 4 7 2 3 4 4 3" xfId="37385"/>
    <cellStyle name="Percent 4 7 2 3 4 5" xfId="37386"/>
    <cellStyle name="Percent 4 7 2 3 4 6" xfId="37387"/>
    <cellStyle name="Percent 4 7 2 3 4 7" xfId="37388"/>
    <cellStyle name="Percent 4 7 2 3 4 8" xfId="37389"/>
    <cellStyle name="Percent 4 7 2 3 5" xfId="37390"/>
    <cellStyle name="Percent 4 7 2 3 5 2" xfId="37391"/>
    <cellStyle name="Percent 4 7 2 3 5 2 2" xfId="37392"/>
    <cellStyle name="Percent 4 7 2 3 5 2 3" xfId="37393"/>
    <cellStyle name="Percent 4 7 2 3 5 3" xfId="37394"/>
    <cellStyle name="Percent 4 7 2 3 5 3 2" xfId="37395"/>
    <cellStyle name="Percent 4 7 2 3 5 3 3" xfId="37396"/>
    <cellStyle name="Percent 4 7 2 3 5 4" xfId="37397"/>
    <cellStyle name="Percent 4 7 2 3 5 5" xfId="37398"/>
    <cellStyle name="Percent 4 7 2 3 5 6" xfId="37399"/>
    <cellStyle name="Percent 4 7 2 3 5 7" xfId="37400"/>
    <cellStyle name="Percent 4 7 2 3 6" xfId="37401"/>
    <cellStyle name="Percent 4 7 2 3 6 2" xfId="37402"/>
    <cellStyle name="Percent 4 7 2 3 6 3" xfId="37403"/>
    <cellStyle name="Percent 4 7 2 3 7" xfId="37404"/>
    <cellStyle name="Percent 4 7 2 3 7 2" xfId="37405"/>
    <cellStyle name="Percent 4 7 2 3 7 3" xfId="37406"/>
    <cellStyle name="Percent 4 7 2 3 8" xfId="37407"/>
    <cellStyle name="Percent 4 7 2 3 9" xfId="37408"/>
    <cellStyle name="Percent 4 7 2 4" xfId="37409"/>
    <cellStyle name="Percent 4 7 2 4 2" xfId="37410"/>
    <cellStyle name="Percent 4 7 2 4 2 2" xfId="37411"/>
    <cellStyle name="Percent 4 7 2 4 2 2 2" xfId="37412"/>
    <cellStyle name="Percent 4 7 2 4 2 2 2 2" xfId="37413"/>
    <cellStyle name="Percent 4 7 2 4 2 2 2 3" xfId="37414"/>
    <cellStyle name="Percent 4 7 2 4 2 2 3" xfId="37415"/>
    <cellStyle name="Percent 4 7 2 4 2 2 3 2" xfId="37416"/>
    <cellStyle name="Percent 4 7 2 4 2 2 3 3" xfId="37417"/>
    <cellStyle name="Percent 4 7 2 4 2 2 4" xfId="37418"/>
    <cellStyle name="Percent 4 7 2 4 2 2 5" xfId="37419"/>
    <cellStyle name="Percent 4 7 2 4 2 2 6" xfId="37420"/>
    <cellStyle name="Percent 4 7 2 4 2 2 7" xfId="37421"/>
    <cellStyle name="Percent 4 7 2 4 2 3" xfId="37422"/>
    <cellStyle name="Percent 4 7 2 4 2 3 2" xfId="37423"/>
    <cellStyle name="Percent 4 7 2 4 2 3 3" xfId="37424"/>
    <cellStyle name="Percent 4 7 2 4 2 4" xfId="37425"/>
    <cellStyle name="Percent 4 7 2 4 2 4 2" xfId="37426"/>
    <cellStyle name="Percent 4 7 2 4 2 4 3" xfId="37427"/>
    <cellStyle name="Percent 4 7 2 4 2 5" xfId="37428"/>
    <cellStyle name="Percent 4 7 2 4 2 6" xfId="37429"/>
    <cellStyle name="Percent 4 7 2 4 2 7" xfId="37430"/>
    <cellStyle name="Percent 4 7 2 4 2 8" xfId="37431"/>
    <cellStyle name="Percent 4 7 2 4 3" xfId="37432"/>
    <cellStyle name="Percent 4 7 2 4 3 2" xfId="37433"/>
    <cellStyle name="Percent 4 7 2 4 3 2 2" xfId="37434"/>
    <cellStyle name="Percent 4 7 2 4 3 2 3" xfId="37435"/>
    <cellStyle name="Percent 4 7 2 4 3 3" xfId="37436"/>
    <cellStyle name="Percent 4 7 2 4 3 3 2" xfId="37437"/>
    <cellStyle name="Percent 4 7 2 4 3 3 3" xfId="37438"/>
    <cellStyle name="Percent 4 7 2 4 3 4" xfId="37439"/>
    <cellStyle name="Percent 4 7 2 4 3 5" xfId="37440"/>
    <cellStyle name="Percent 4 7 2 4 3 6" xfId="37441"/>
    <cellStyle name="Percent 4 7 2 4 3 7" xfId="37442"/>
    <cellStyle name="Percent 4 7 2 4 4" xfId="37443"/>
    <cellStyle name="Percent 4 7 2 4 4 2" xfId="37444"/>
    <cellStyle name="Percent 4 7 2 4 4 3" xfId="37445"/>
    <cellStyle name="Percent 4 7 2 4 5" xfId="37446"/>
    <cellStyle name="Percent 4 7 2 4 5 2" xfId="37447"/>
    <cellStyle name="Percent 4 7 2 4 5 3" xfId="37448"/>
    <cellStyle name="Percent 4 7 2 4 6" xfId="37449"/>
    <cellStyle name="Percent 4 7 2 4 7" xfId="37450"/>
    <cellStyle name="Percent 4 7 2 4 8" xfId="37451"/>
    <cellStyle name="Percent 4 7 2 4 9" xfId="37452"/>
    <cellStyle name="Percent 4 7 2 5" xfId="37453"/>
    <cellStyle name="Percent 4 7 2 5 2" xfId="37454"/>
    <cellStyle name="Percent 4 7 2 5 2 2" xfId="37455"/>
    <cellStyle name="Percent 4 7 2 5 2 2 2" xfId="37456"/>
    <cellStyle name="Percent 4 7 2 5 2 2 3" xfId="37457"/>
    <cellStyle name="Percent 4 7 2 5 2 3" xfId="37458"/>
    <cellStyle name="Percent 4 7 2 5 2 3 2" xfId="37459"/>
    <cellStyle name="Percent 4 7 2 5 2 3 3" xfId="37460"/>
    <cellStyle name="Percent 4 7 2 5 2 4" xfId="37461"/>
    <cellStyle name="Percent 4 7 2 5 2 5" xfId="37462"/>
    <cellStyle name="Percent 4 7 2 5 2 6" xfId="37463"/>
    <cellStyle name="Percent 4 7 2 5 2 7" xfId="37464"/>
    <cellStyle name="Percent 4 7 2 5 3" xfId="37465"/>
    <cellStyle name="Percent 4 7 2 5 3 2" xfId="37466"/>
    <cellStyle name="Percent 4 7 2 5 3 3" xfId="37467"/>
    <cellStyle name="Percent 4 7 2 5 4" xfId="37468"/>
    <cellStyle name="Percent 4 7 2 5 4 2" xfId="37469"/>
    <cellStyle name="Percent 4 7 2 5 4 3" xfId="37470"/>
    <cellStyle name="Percent 4 7 2 5 5" xfId="37471"/>
    <cellStyle name="Percent 4 7 2 5 6" xfId="37472"/>
    <cellStyle name="Percent 4 7 2 5 7" xfId="37473"/>
    <cellStyle name="Percent 4 7 2 5 8" xfId="37474"/>
    <cellStyle name="Percent 4 7 2 6" xfId="37475"/>
    <cellStyle name="Percent 4 7 2 6 2" xfId="37476"/>
    <cellStyle name="Percent 4 7 2 6 2 2" xfId="37477"/>
    <cellStyle name="Percent 4 7 2 6 2 2 2" xfId="37478"/>
    <cellStyle name="Percent 4 7 2 6 2 2 3" xfId="37479"/>
    <cellStyle name="Percent 4 7 2 6 2 3" xfId="37480"/>
    <cellStyle name="Percent 4 7 2 6 2 3 2" xfId="37481"/>
    <cellStyle name="Percent 4 7 2 6 2 3 3" xfId="37482"/>
    <cellStyle name="Percent 4 7 2 6 2 4" xfId="37483"/>
    <cellStyle name="Percent 4 7 2 6 2 5" xfId="37484"/>
    <cellStyle name="Percent 4 7 2 6 2 6" xfId="37485"/>
    <cellStyle name="Percent 4 7 2 6 2 7" xfId="37486"/>
    <cellStyle name="Percent 4 7 2 6 3" xfId="37487"/>
    <cellStyle name="Percent 4 7 2 6 3 2" xfId="37488"/>
    <cellStyle name="Percent 4 7 2 6 3 3" xfId="37489"/>
    <cellStyle name="Percent 4 7 2 6 4" xfId="37490"/>
    <cellStyle name="Percent 4 7 2 6 4 2" xfId="37491"/>
    <cellStyle name="Percent 4 7 2 6 4 3" xfId="37492"/>
    <cellStyle name="Percent 4 7 2 6 5" xfId="37493"/>
    <cellStyle name="Percent 4 7 2 6 6" xfId="37494"/>
    <cellStyle name="Percent 4 7 2 6 7" xfId="37495"/>
    <cellStyle name="Percent 4 7 2 6 8" xfId="37496"/>
    <cellStyle name="Percent 4 7 2 7" xfId="37497"/>
    <cellStyle name="Percent 4 7 2 7 2" xfId="37498"/>
    <cellStyle name="Percent 4 7 2 7 2 2" xfId="37499"/>
    <cellStyle name="Percent 4 7 2 7 2 3" xfId="37500"/>
    <cellStyle name="Percent 4 7 2 7 3" xfId="37501"/>
    <cellStyle name="Percent 4 7 2 7 3 2" xfId="37502"/>
    <cellStyle name="Percent 4 7 2 7 3 3" xfId="37503"/>
    <cellStyle name="Percent 4 7 2 7 4" xfId="37504"/>
    <cellStyle name="Percent 4 7 2 7 5" xfId="37505"/>
    <cellStyle name="Percent 4 7 2 7 6" xfId="37506"/>
    <cellStyle name="Percent 4 7 2 7 7" xfId="37507"/>
    <cellStyle name="Percent 4 7 2 8" xfId="37508"/>
    <cellStyle name="Percent 4 7 2 8 2" xfId="37509"/>
    <cellStyle name="Percent 4 7 2 8 3" xfId="37510"/>
    <cellStyle name="Percent 4 7 2 9" xfId="37511"/>
    <cellStyle name="Percent 4 7 2 9 2" xfId="37512"/>
    <cellStyle name="Percent 4 7 2 9 3" xfId="37513"/>
    <cellStyle name="Percent 4 7 3" xfId="37514"/>
    <cellStyle name="Percent 4 7 3 10" xfId="37515"/>
    <cellStyle name="Percent 4 7 3 11" xfId="37516"/>
    <cellStyle name="Percent 4 7 3 2" xfId="37517"/>
    <cellStyle name="Percent 4 7 3 2 2" xfId="37518"/>
    <cellStyle name="Percent 4 7 3 2 2 2" xfId="37519"/>
    <cellStyle name="Percent 4 7 3 2 2 2 2" xfId="37520"/>
    <cellStyle name="Percent 4 7 3 2 2 2 2 2" xfId="37521"/>
    <cellStyle name="Percent 4 7 3 2 2 2 2 3" xfId="37522"/>
    <cellStyle name="Percent 4 7 3 2 2 2 3" xfId="37523"/>
    <cellStyle name="Percent 4 7 3 2 2 2 3 2" xfId="37524"/>
    <cellStyle name="Percent 4 7 3 2 2 2 3 3" xfId="37525"/>
    <cellStyle name="Percent 4 7 3 2 2 2 4" xfId="37526"/>
    <cellStyle name="Percent 4 7 3 2 2 2 5" xfId="37527"/>
    <cellStyle name="Percent 4 7 3 2 2 2 6" xfId="37528"/>
    <cellStyle name="Percent 4 7 3 2 2 2 7" xfId="37529"/>
    <cellStyle name="Percent 4 7 3 2 2 3" xfId="37530"/>
    <cellStyle name="Percent 4 7 3 2 2 3 2" xfId="37531"/>
    <cellStyle name="Percent 4 7 3 2 2 3 3" xfId="37532"/>
    <cellStyle name="Percent 4 7 3 2 2 4" xfId="37533"/>
    <cellStyle name="Percent 4 7 3 2 2 4 2" xfId="37534"/>
    <cellStyle name="Percent 4 7 3 2 2 4 3" xfId="37535"/>
    <cellStyle name="Percent 4 7 3 2 2 5" xfId="37536"/>
    <cellStyle name="Percent 4 7 3 2 2 6" xfId="37537"/>
    <cellStyle name="Percent 4 7 3 2 2 7" xfId="37538"/>
    <cellStyle name="Percent 4 7 3 2 2 8" xfId="37539"/>
    <cellStyle name="Percent 4 7 3 2 3" xfId="37540"/>
    <cellStyle name="Percent 4 7 3 2 3 2" xfId="37541"/>
    <cellStyle name="Percent 4 7 3 2 3 2 2" xfId="37542"/>
    <cellStyle name="Percent 4 7 3 2 3 2 3" xfId="37543"/>
    <cellStyle name="Percent 4 7 3 2 3 3" xfId="37544"/>
    <cellStyle name="Percent 4 7 3 2 3 3 2" xfId="37545"/>
    <cellStyle name="Percent 4 7 3 2 3 3 3" xfId="37546"/>
    <cellStyle name="Percent 4 7 3 2 3 4" xfId="37547"/>
    <cellStyle name="Percent 4 7 3 2 3 5" xfId="37548"/>
    <cellStyle name="Percent 4 7 3 2 3 6" xfId="37549"/>
    <cellStyle name="Percent 4 7 3 2 3 7" xfId="37550"/>
    <cellStyle name="Percent 4 7 3 2 4" xfId="37551"/>
    <cellStyle name="Percent 4 7 3 2 4 2" xfId="37552"/>
    <cellStyle name="Percent 4 7 3 2 4 3" xfId="37553"/>
    <cellStyle name="Percent 4 7 3 2 5" xfId="37554"/>
    <cellStyle name="Percent 4 7 3 2 5 2" xfId="37555"/>
    <cellStyle name="Percent 4 7 3 2 5 3" xfId="37556"/>
    <cellStyle name="Percent 4 7 3 2 6" xfId="37557"/>
    <cellStyle name="Percent 4 7 3 2 7" xfId="37558"/>
    <cellStyle name="Percent 4 7 3 2 8" xfId="37559"/>
    <cellStyle name="Percent 4 7 3 2 9" xfId="37560"/>
    <cellStyle name="Percent 4 7 3 3" xfId="37561"/>
    <cellStyle name="Percent 4 7 3 3 2" xfId="37562"/>
    <cellStyle name="Percent 4 7 3 3 2 2" xfId="37563"/>
    <cellStyle name="Percent 4 7 3 3 2 2 2" xfId="37564"/>
    <cellStyle name="Percent 4 7 3 3 2 2 3" xfId="37565"/>
    <cellStyle name="Percent 4 7 3 3 2 3" xfId="37566"/>
    <cellStyle name="Percent 4 7 3 3 2 3 2" xfId="37567"/>
    <cellStyle name="Percent 4 7 3 3 2 3 3" xfId="37568"/>
    <cellStyle name="Percent 4 7 3 3 2 4" xfId="37569"/>
    <cellStyle name="Percent 4 7 3 3 2 5" xfId="37570"/>
    <cellStyle name="Percent 4 7 3 3 2 6" xfId="37571"/>
    <cellStyle name="Percent 4 7 3 3 2 7" xfId="37572"/>
    <cellStyle name="Percent 4 7 3 3 3" xfId="37573"/>
    <cellStyle name="Percent 4 7 3 3 3 2" xfId="37574"/>
    <cellStyle name="Percent 4 7 3 3 3 3" xfId="37575"/>
    <cellStyle name="Percent 4 7 3 3 4" xfId="37576"/>
    <cellStyle name="Percent 4 7 3 3 4 2" xfId="37577"/>
    <cellStyle name="Percent 4 7 3 3 4 3" xfId="37578"/>
    <cellStyle name="Percent 4 7 3 3 5" xfId="37579"/>
    <cellStyle name="Percent 4 7 3 3 6" xfId="37580"/>
    <cellStyle name="Percent 4 7 3 3 7" xfId="37581"/>
    <cellStyle name="Percent 4 7 3 3 8" xfId="37582"/>
    <cellStyle name="Percent 4 7 3 4" xfId="37583"/>
    <cellStyle name="Percent 4 7 3 4 2" xfId="37584"/>
    <cellStyle name="Percent 4 7 3 4 2 2" xfId="37585"/>
    <cellStyle name="Percent 4 7 3 4 2 2 2" xfId="37586"/>
    <cellStyle name="Percent 4 7 3 4 2 2 3" xfId="37587"/>
    <cellStyle name="Percent 4 7 3 4 2 3" xfId="37588"/>
    <cellStyle name="Percent 4 7 3 4 2 3 2" xfId="37589"/>
    <cellStyle name="Percent 4 7 3 4 2 3 3" xfId="37590"/>
    <cellStyle name="Percent 4 7 3 4 2 4" xfId="37591"/>
    <cellStyle name="Percent 4 7 3 4 2 5" xfId="37592"/>
    <cellStyle name="Percent 4 7 3 4 2 6" xfId="37593"/>
    <cellStyle name="Percent 4 7 3 4 2 7" xfId="37594"/>
    <cellStyle name="Percent 4 7 3 4 3" xfId="37595"/>
    <cellStyle name="Percent 4 7 3 4 3 2" xfId="37596"/>
    <cellStyle name="Percent 4 7 3 4 3 3" xfId="37597"/>
    <cellStyle name="Percent 4 7 3 4 4" xfId="37598"/>
    <cellStyle name="Percent 4 7 3 4 4 2" xfId="37599"/>
    <cellStyle name="Percent 4 7 3 4 4 3" xfId="37600"/>
    <cellStyle name="Percent 4 7 3 4 5" xfId="37601"/>
    <cellStyle name="Percent 4 7 3 4 6" xfId="37602"/>
    <cellStyle name="Percent 4 7 3 4 7" xfId="37603"/>
    <cellStyle name="Percent 4 7 3 4 8" xfId="37604"/>
    <cellStyle name="Percent 4 7 3 5" xfId="37605"/>
    <cellStyle name="Percent 4 7 3 5 2" xfId="37606"/>
    <cellStyle name="Percent 4 7 3 5 2 2" xfId="37607"/>
    <cellStyle name="Percent 4 7 3 5 2 3" xfId="37608"/>
    <cellStyle name="Percent 4 7 3 5 3" xfId="37609"/>
    <cellStyle name="Percent 4 7 3 5 3 2" xfId="37610"/>
    <cellStyle name="Percent 4 7 3 5 3 3" xfId="37611"/>
    <cellStyle name="Percent 4 7 3 5 4" xfId="37612"/>
    <cellStyle name="Percent 4 7 3 5 5" xfId="37613"/>
    <cellStyle name="Percent 4 7 3 5 6" xfId="37614"/>
    <cellStyle name="Percent 4 7 3 5 7" xfId="37615"/>
    <cellStyle name="Percent 4 7 3 6" xfId="37616"/>
    <cellStyle name="Percent 4 7 3 6 2" xfId="37617"/>
    <cellStyle name="Percent 4 7 3 6 3" xfId="37618"/>
    <cellStyle name="Percent 4 7 3 7" xfId="37619"/>
    <cellStyle name="Percent 4 7 3 7 2" xfId="37620"/>
    <cellStyle name="Percent 4 7 3 7 3" xfId="37621"/>
    <cellStyle name="Percent 4 7 3 8" xfId="37622"/>
    <cellStyle name="Percent 4 7 3 9" xfId="37623"/>
    <cellStyle name="Percent 4 7 4" xfId="37624"/>
    <cellStyle name="Percent 4 7 4 10" xfId="37625"/>
    <cellStyle name="Percent 4 7 4 11" xfId="37626"/>
    <cellStyle name="Percent 4 7 4 2" xfId="37627"/>
    <cellStyle name="Percent 4 7 4 2 2" xfId="37628"/>
    <cellStyle name="Percent 4 7 4 2 2 2" xfId="37629"/>
    <cellStyle name="Percent 4 7 4 2 2 2 2" xfId="37630"/>
    <cellStyle name="Percent 4 7 4 2 2 2 2 2" xfId="37631"/>
    <cellStyle name="Percent 4 7 4 2 2 2 2 3" xfId="37632"/>
    <cellStyle name="Percent 4 7 4 2 2 2 3" xfId="37633"/>
    <cellStyle name="Percent 4 7 4 2 2 2 3 2" xfId="37634"/>
    <cellStyle name="Percent 4 7 4 2 2 2 3 3" xfId="37635"/>
    <cellStyle name="Percent 4 7 4 2 2 2 4" xfId="37636"/>
    <cellStyle name="Percent 4 7 4 2 2 2 5" xfId="37637"/>
    <cellStyle name="Percent 4 7 4 2 2 2 6" xfId="37638"/>
    <cellStyle name="Percent 4 7 4 2 2 2 7" xfId="37639"/>
    <cellStyle name="Percent 4 7 4 2 2 3" xfId="37640"/>
    <cellStyle name="Percent 4 7 4 2 2 3 2" xfId="37641"/>
    <cellStyle name="Percent 4 7 4 2 2 3 3" xfId="37642"/>
    <cellStyle name="Percent 4 7 4 2 2 4" xfId="37643"/>
    <cellStyle name="Percent 4 7 4 2 2 4 2" xfId="37644"/>
    <cellStyle name="Percent 4 7 4 2 2 4 3" xfId="37645"/>
    <cellStyle name="Percent 4 7 4 2 2 5" xfId="37646"/>
    <cellStyle name="Percent 4 7 4 2 2 6" xfId="37647"/>
    <cellStyle name="Percent 4 7 4 2 2 7" xfId="37648"/>
    <cellStyle name="Percent 4 7 4 2 2 8" xfId="37649"/>
    <cellStyle name="Percent 4 7 4 2 3" xfId="37650"/>
    <cellStyle name="Percent 4 7 4 2 3 2" xfId="37651"/>
    <cellStyle name="Percent 4 7 4 2 3 2 2" xfId="37652"/>
    <cellStyle name="Percent 4 7 4 2 3 2 3" xfId="37653"/>
    <cellStyle name="Percent 4 7 4 2 3 3" xfId="37654"/>
    <cellStyle name="Percent 4 7 4 2 3 3 2" xfId="37655"/>
    <cellStyle name="Percent 4 7 4 2 3 3 3" xfId="37656"/>
    <cellStyle name="Percent 4 7 4 2 3 4" xfId="37657"/>
    <cellStyle name="Percent 4 7 4 2 3 5" xfId="37658"/>
    <cellStyle name="Percent 4 7 4 2 3 6" xfId="37659"/>
    <cellStyle name="Percent 4 7 4 2 3 7" xfId="37660"/>
    <cellStyle name="Percent 4 7 4 2 4" xfId="37661"/>
    <cellStyle name="Percent 4 7 4 2 4 2" xfId="37662"/>
    <cellStyle name="Percent 4 7 4 2 4 3" xfId="37663"/>
    <cellStyle name="Percent 4 7 4 2 5" xfId="37664"/>
    <cellStyle name="Percent 4 7 4 2 5 2" xfId="37665"/>
    <cellStyle name="Percent 4 7 4 2 5 3" xfId="37666"/>
    <cellStyle name="Percent 4 7 4 2 6" xfId="37667"/>
    <cellStyle name="Percent 4 7 4 2 7" xfId="37668"/>
    <cellStyle name="Percent 4 7 4 2 8" xfId="37669"/>
    <cellStyle name="Percent 4 7 4 2 9" xfId="37670"/>
    <cellStyle name="Percent 4 7 4 3" xfId="37671"/>
    <cellStyle name="Percent 4 7 4 3 2" xfId="37672"/>
    <cellStyle name="Percent 4 7 4 3 2 2" xfId="37673"/>
    <cellStyle name="Percent 4 7 4 3 2 2 2" xfId="37674"/>
    <cellStyle name="Percent 4 7 4 3 2 2 3" xfId="37675"/>
    <cellStyle name="Percent 4 7 4 3 2 3" xfId="37676"/>
    <cellStyle name="Percent 4 7 4 3 2 3 2" xfId="37677"/>
    <cellStyle name="Percent 4 7 4 3 2 3 3" xfId="37678"/>
    <cellStyle name="Percent 4 7 4 3 2 4" xfId="37679"/>
    <cellStyle name="Percent 4 7 4 3 2 5" xfId="37680"/>
    <cellStyle name="Percent 4 7 4 3 2 6" xfId="37681"/>
    <cellStyle name="Percent 4 7 4 3 2 7" xfId="37682"/>
    <cellStyle name="Percent 4 7 4 3 3" xfId="37683"/>
    <cellStyle name="Percent 4 7 4 3 3 2" xfId="37684"/>
    <cellStyle name="Percent 4 7 4 3 3 3" xfId="37685"/>
    <cellStyle name="Percent 4 7 4 3 4" xfId="37686"/>
    <cellStyle name="Percent 4 7 4 3 4 2" xfId="37687"/>
    <cellStyle name="Percent 4 7 4 3 4 3" xfId="37688"/>
    <cellStyle name="Percent 4 7 4 3 5" xfId="37689"/>
    <cellStyle name="Percent 4 7 4 3 6" xfId="37690"/>
    <cellStyle name="Percent 4 7 4 3 7" xfId="37691"/>
    <cellStyle name="Percent 4 7 4 3 8" xfId="37692"/>
    <cellStyle name="Percent 4 7 4 4" xfId="37693"/>
    <cellStyle name="Percent 4 7 4 4 2" xfId="37694"/>
    <cellStyle name="Percent 4 7 4 4 2 2" xfId="37695"/>
    <cellStyle name="Percent 4 7 4 4 2 2 2" xfId="37696"/>
    <cellStyle name="Percent 4 7 4 4 2 2 3" xfId="37697"/>
    <cellStyle name="Percent 4 7 4 4 2 3" xfId="37698"/>
    <cellStyle name="Percent 4 7 4 4 2 3 2" xfId="37699"/>
    <cellStyle name="Percent 4 7 4 4 2 3 3" xfId="37700"/>
    <cellStyle name="Percent 4 7 4 4 2 4" xfId="37701"/>
    <cellStyle name="Percent 4 7 4 4 2 5" xfId="37702"/>
    <cellStyle name="Percent 4 7 4 4 2 6" xfId="37703"/>
    <cellStyle name="Percent 4 7 4 4 2 7" xfId="37704"/>
    <cellStyle name="Percent 4 7 4 4 3" xfId="37705"/>
    <cellStyle name="Percent 4 7 4 4 3 2" xfId="37706"/>
    <cellStyle name="Percent 4 7 4 4 3 3" xfId="37707"/>
    <cellStyle name="Percent 4 7 4 4 4" xfId="37708"/>
    <cellStyle name="Percent 4 7 4 4 4 2" xfId="37709"/>
    <cellStyle name="Percent 4 7 4 4 4 3" xfId="37710"/>
    <cellStyle name="Percent 4 7 4 4 5" xfId="37711"/>
    <cellStyle name="Percent 4 7 4 4 6" xfId="37712"/>
    <cellStyle name="Percent 4 7 4 4 7" xfId="37713"/>
    <cellStyle name="Percent 4 7 4 4 8" xfId="37714"/>
    <cellStyle name="Percent 4 7 4 5" xfId="37715"/>
    <cellStyle name="Percent 4 7 4 5 2" xfId="37716"/>
    <cellStyle name="Percent 4 7 4 5 2 2" xfId="37717"/>
    <cellStyle name="Percent 4 7 4 5 2 3" xfId="37718"/>
    <cellStyle name="Percent 4 7 4 5 3" xfId="37719"/>
    <cellStyle name="Percent 4 7 4 5 3 2" xfId="37720"/>
    <cellStyle name="Percent 4 7 4 5 3 3" xfId="37721"/>
    <cellStyle name="Percent 4 7 4 5 4" xfId="37722"/>
    <cellStyle name="Percent 4 7 4 5 5" xfId="37723"/>
    <cellStyle name="Percent 4 7 4 5 6" xfId="37724"/>
    <cellStyle name="Percent 4 7 4 5 7" xfId="37725"/>
    <cellStyle name="Percent 4 7 4 6" xfId="37726"/>
    <cellStyle name="Percent 4 7 4 6 2" xfId="37727"/>
    <cellStyle name="Percent 4 7 4 6 3" xfId="37728"/>
    <cellStyle name="Percent 4 7 4 7" xfId="37729"/>
    <cellStyle name="Percent 4 7 4 7 2" xfId="37730"/>
    <cellStyle name="Percent 4 7 4 7 3" xfId="37731"/>
    <cellStyle name="Percent 4 7 4 8" xfId="37732"/>
    <cellStyle name="Percent 4 7 4 9" xfId="37733"/>
    <cellStyle name="Percent 4 7 5" xfId="37734"/>
    <cellStyle name="Percent 4 7 5 10" xfId="37735"/>
    <cellStyle name="Percent 4 7 5 11" xfId="37736"/>
    <cellStyle name="Percent 4 7 5 2" xfId="37737"/>
    <cellStyle name="Percent 4 7 5 2 2" xfId="37738"/>
    <cellStyle name="Percent 4 7 5 2 2 2" xfId="37739"/>
    <cellStyle name="Percent 4 7 5 2 2 2 2" xfId="37740"/>
    <cellStyle name="Percent 4 7 5 2 2 2 2 2" xfId="37741"/>
    <cellStyle name="Percent 4 7 5 2 2 2 2 3" xfId="37742"/>
    <cellStyle name="Percent 4 7 5 2 2 2 3" xfId="37743"/>
    <cellStyle name="Percent 4 7 5 2 2 2 3 2" xfId="37744"/>
    <cellStyle name="Percent 4 7 5 2 2 2 3 3" xfId="37745"/>
    <cellStyle name="Percent 4 7 5 2 2 2 4" xfId="37746"/>
    <cellStyle name="Percent 4 7 5 2 2 2 5" xfId="37747"/>
    <cellStyle name="Percent 4 7 5 2 2 2 6" xfId="37748"/>
    <cellStyle name="Percent 4 7 5 2 2 2 7" xfId="37749"/>
    <cellStyle name="Percent 4 7 5 2 2 3" xfId="37750"/>
    <cellStyle name="Percent 4 7 5 2 2 3 2" xfId="37751"/>
    <cellStyle name="Percent 4 7 5 2 2 3 3" xfId="37752"/>
    <cellStyle name="Percent 4 7 5 2 2 4" xfId="37753"/>
    <cellStyle name="Percent 4 7 5 2 2 4 2" xfId="37754"/>
    <cellStyle name="Percent 4 7 5 2 2 4 3" xfId="37755"/>
    <cellStyle name="Percent 4 7 5 2 2 5" xfId="37756"/>
    <cellStyle name="Percent 4 7 5 2 2 6" xfId="37757"/>
    <cellStyle name="Percent 4 7 5 2 2 7" xfId="37758"/>
    <cellStyle name="Percent 4 7 5 2 2 8" xfId="37759"/>
    <cellStyle name="Percent 4 7 5 2 3" xfId="37760"/>
    <cellStyle name="Percent 4 7 5 2 3 2" xfId="37761"/>
    <cellStyle name="Percent 4 7 5 2 3 2 2" xfId="37762"/>
    <cellStyle name="Percent 4 7 5 2 3 2 3" xfId="37763"/>
    <cellStyle name="Percent 4 7 5 2 3 3" xfId="37764"/>
    <cellStyle name="Percent 4 7 5 2 3 3 2" xfId="37765"/>
    <cellStyle name="Percent 4 7 5 2 3 3 3" xfId="37766"/>
    <cellStyle name="Percent 4 7 5 2 3 4" xfId="37767"/>
    <cellStyle name="Percent 4 7 5 2 3 5" xfId="37768"/>
    <cellStyle name="Percent 4 7 5 2 3 6" xfId="37769"/>
    <cellStyle name="Percent 4 7 5 2 3 7" xfId="37770"/>
    <cellStyle name="Percent 4 7 5 2 4" xfId="37771"/>
    <cellStyle name="Percent 4 7 5 2 4 2" xfId="37772"/>
    <cellStyle name="Percent 4 7 5 2 4 3" xfId="37773"/>
    <cellStyle name="Percent 4 7 5 2 5" xfId="37774"/>
    <cellStyle name="Percent 4 7 5 2 5 2" xfId="37775"/>
    <cellStyle name="Percent 4 7 5 2 5 3" xfId="37776"/>
    <cellStyle name="Percent 4 7 5 2 6" xfId="37777"/>
    <cellStyle name="Percent 4 7 5 2 7" xfId="37778"/>
    <cellStyle name="Percent 4 7 5 2 8" xfId="37779"/>
    <cellStyle name="Percent 4 7 5 2 9" xfId="37780"/>
    <cellStyle name="Percent 4 7 5 3" xfId="37781"/>
    <cellStyle name="Percent 4 7 5 3 2" xfId="37782"/>
    <cellStyle name="Percent 4 7 5 3 2 2" xfId="37783"/>
    <cellStyle name="Percent 4 7 5 3 2 2 2" xfId="37784"/>
    <cellStyle name="Percent 4 7 5 3 2 2 3" xfId="37785"/>
    <cellStyle name="Percent 4 7 5 3 2 3" xfId="37786"/>
    <cellStyle name="Percent 4 7 5 3 2 3 2" xfId="37787"/>
    <cellStyle name="Percent 4 7 5 3 2 3 3" xfId="37788"/>
    <cellStyle name="Percent 4 7 5 3 2 4" xfId="37789"/>
    <cellStyle name="Percent 4 7 5 3 2 5" xfId="37790"/>
    <cellStyle name="Percent 4 7 5 3 2 6" xfId="37791"/>
    <cellStyle name="Percent 4 7 5 3 2 7" xfId="37792"/>
    <cellStyle name="Percent 4 7 5 3 3" xfId="37793"/>
    <cellStyle name="Percent 4 7 5 3 3 2" xfId="37794"/>
    <cellStyle name="Percent 4 7 5 3 3 3" xfId="37795"/>
    <cellStyle name="Percent 4 7 5 3 4" xfId="37796"/>
    <cellStyle name="Percent 4 7 5 3 4 2" xfId="37797"/>
    <cellStyle name="Percent 4 7 5 3 4 3" xfId="37798"/>
    <cellStyle name="Percent 4 7 5 3 5" xfId="37799"/>
    <cellStyle name="Percent 4 7 5 3 6" xfId="37800"/>
    <cellStyle name="Percent 4 7 5 3 7" xfId="37801"/>
    <cellStyle name="Percent 4 7 5 3 8" xfId="37802"/>
    <cellStyle name="Percent 4 7 5 4" xfId="37803"/>
    <cellStyle name="Percent 4 7 5 4 2" xfId="37804"/>
    <cellStyle name="Percent 4 7 5 4 2 2" xfId="37805"/>
    <cellStyle name="Percent 4 7 5 4 2 2 2" xfId="37806"/>
    <cellStyle name="Percent 4 7 5 4 2 2 3" xfId="37807"/>
    <cellStyle name="Percent 4 7 5 4 2 3" xfId="37808"/>
    <cellStyle name="Percent 4 7 5 4 2 3 2" xfId="37809"/>
    <cellStyle name="Percent 4 7 5 4 2 3 3" xfId="37810"/>
    <cellStyle name="Percent 4 7 5 4 2 4" xfId="37811"/>
    <cellStyle name="Percent 4 7 5 4 2 5" xfId="37812"/>
    <cellStyle name="Percent 4 7 5 4 2 6" xfId="37813"/>
    <cellStyle name="Percent 4 7 5 4 2 7" xfId="37814"/>
    <cellStyle name="Percent 4 7 5 4 3" xfId="37815"/>
    <cellStyle name="Percent 4 7 5 4 3 2" xfId="37816"/>
    <cellStyle name="Percent 4 7 5 4 3 3" xfId="37817"/>
    <cellStyle name="Percent 4 7 5 4 4" xfId="37818"/>
    <cellStyle name="Percent 4 7 5 4 4 2" xfId="37819"/>
    <cellStyle name="Percent 4 7 5 4 4 3" xfId="37820"/>
    <cellStyle name="Percent 4 7 5 4 5" xfId="37821"/>
    <cellStyle name="Percent 4 7 5 4 6" xfId="37822"/>
    <cellStyle name="Percent 4 7 5 4 7" xfId="37823"/>
    <cellStyle name="Percent 4 7 5 4 8" xfId="37824"/>
    <cellStyle name="Percent 4 7 5 5" xfId="37825"/>
    <cellStyle name="Percent 4 7 5 5 2" xfId="37826"/>
    <cellStyle name="Percent 4 7 5 5 2 2" xfId="37827"/>
    <cellStyle name="Percent 4 7 5 5 2 3" xfId="37828"/>
    <cellStyle name="Percent 4 7 5 5 3" xfId="37829"/>
    <cellStyle name="Percent 4 7 5 5 3 2" xfId="37830"/>
    <cellStyle name="Percent 4 7 5 5 3 3" xfId="37831"/>
    <cellStyle name="Percent 4 7 5 5 4" xfId="37832"/>
    <cellStyle name="Percent 4 7 5 5 5" xfId="37833"/>
    <cellStyle name="Percent 4 7 5 5 6" xfId="37834"/>
    <cellStyle name="Percent 4 7 5 5 7" xfId="37835"/>
    <cellStyle name="Percent 4 7 5 6" xfId="37836"/>
    <cellStyle name="Percent 4 7 5 6 2" xfId="37837"/>
    <cellStyle name="Percent 4 7 5 6 3" xfId="37838"/>
    <cellStyle name="Percent 4 7 5 7" xfId="37839"/>
    <cellStyle name="Percent 4 7 5 7 2" xfId="37840"/>
    <cellStyle name="Percent 4 7 5 7 3" xfId="37841"/>
    <cellStyle name="Percent 4 7 5 8" xfId="37842"/>
    <cellStyle name="Percent 4 7 5 9" xfId="37843"/>
    <cellStyle name="Percent 4 7 6" xfId="37844"/>
    <cellStyle name="Percent 4 7 6 10" xfId="37845"/>
    <cellStyle name="Percent 4 7 6 11" xfId="37846"/>
    <cellStyle name="Percent 4 7 6 2" xfId="37847"/>
    <cellStyle name="Percent 4 7 6 2 2" xfId="37848"/>
    <cellStyle name="Percent 4 7 6 2 2 2" xfId="37849"/>
    <cellStyle name="Percent 4 7 6 2 2 2 2" xfId="37850"/>
    <cellStyle name="Percent 4 7 6 2 2 2 2 2" xfId="37851"/>
    <cellStyle name="Percent 4 7 6 2 2 2 2 3" xfId="37852"/>
    <cellStyle name="Percent 4 7 6 2 2 2 3" xfId="37853"/>
    <cellStyle name="Percent 4 7 6 2 2 2 3 2" xfId="37854"/>
    <cellStyle name="Percent 4 7 6 2 2 2 3 3" xfId="37855"/>
    <cellStyle name="Percent 4 7 6 2 2 2 4" xfId="37856"/>
    <cellStyle name="Percent 4 7 6 2 2 2 5" xfId="37857"/>
    <cellStyle name="Percent 4 7 6 2 2 2 6" xfId="37858"/>
    <cellStyle name="Percent 4 7 6 2 2 2 7" xfId="37859"/>
    <cellStyle name="Percent 4 7 6 2 2 3" xfId="37860"/>
    <cellStyle name="Percent 4 7 6 2 2 3 2" xfId="37861"/>
    <cellStyle name="Percent 4 7 6 2 2 3 3" xfId="37862"/>
    <cellStyle name="Percent 4 7 6 2 2 4" xfId="37863"/>
    <cellStyle name="Percent 4 7 6 2 2 4 2" xfId="37864"/>
    <cellStyle name="Percent 4 7 6 2 2 4 3" xfId="37865"/>
    <cellStyle name="Percent 4 7 6 2 2 5" xfId="37866"/>
    <cellStyle name="Percent 4 7 6 2 2 6" xfId="37867"/>
    <cellStyle name="Percent 4 7 6 2 2 7" xfId="37868"/>
    <cellStyle name="Percent 4 7 6 2 2 8" xfId="37869"/>
    <cellStyle name="Percent 4 7 6 2 3" xfId="37870"/>
    <cellStyle name="Percent 4 7 6 2 3 2" xfId="37871"/>
    <cellStyle name="Percent 4 7 6 2 3 2 2" xfId="37872"/>
    <cellStyle name="Percent 4 7 6 2 3 2 3" xfId="37873"/>
    <cellStyle name="Percent 4 7 6 2 3 3" xfId="37874"/>
    <cellStyle name="Percent 4 7 6 2 3 3 2" xfId="37875"/>
    <cellStyle name="Percent 4 7 6 2 3 3 3" xfId="37876"/>
    <cellStyle name="Percent 4 7 6 2 3 4" xfId="37877"/>
    <cellStyle name="Percent 4 7 6 2 3 5" xfId="37878"/>
    <cellStyle name="Percent 4 7 6 2 3 6" xfId="37879"/>
    <cellStyle name="Percent 4 7 6 2 3 7" xfId="37880"/>
    <cellStyle name="Percent 4 7 6 2 4" xfId="37881"/>
    <cellStyle name="Percent 4 7 6 2 4 2" xfId="37882"/>
    <cellStyle name="Percent 4 7 6 2 4 3" xfId="37883"/>
    <cellStyle name="Percent 4 7 6 2 5" xfId="37884"/>
    <cellStyle name="Percent 4 7 6 2 5 2" xfId="37885"/>
    <cellStyle name="Percent 4 7 6 2 5 3" xfId="37886"/>
    <cellStyle name="Percent 4 7 6 2 6" xfId="37887"/>
    <cellStyle name="Percent 4 7 6 2 7" xfId="37888"/>
    <cellStyle name="Percent 4 7 6 2 8" xfId="37889"/>
    <cellStyle name="Percent 4 7 6 2 9" xfId="37890"/>
    <cellStyle name="Percent 4 7 6 3" xfId="37891"/>
    <cellStyle name="Percent 4 7 6 3 2" xfId="37892"/>
    <cellStyle name="Percent 4 7 6 3 2 2" xfId="37893"/>
    <cellStyle name="Percent 4 7 6 3 2 2 2" xfId="37894"/>
    <cellStyle name="Percent 4 7 6 3 2 2 3" xfId="37895"/>
    <cellStyle name="Percent 4 7 6 3 2 3" xfId="37896"/>
    <cellStyle name="Percent 4 7 6 3 2 3 2" xfId="37897"/>
    <cellStyle name="Percent 4 7 6 3 2 3 3" xfId="37898"/>
    <cellStyle name="Percent 4 7 6 3 2 4" xfId="37899"/>
    <cellStyle name="Percent 4 7 6 3 2 5" xfId="37900"/>
    <cellStyle name="Percent 4 7 6 3 2 6" xfId="37901"/>
    <cellStyle name="Percent 4 7 6 3 2 7" xfId="37902"/>
    <cellStyle name="Percent 4 7 6 3 3" xfId="37903"/>
    <cellStyle name="Percent 4 7 6 3 3 2" xfId="37904"/>
    <cellStyle name="Percent 4 7 6 3 3 3" xfId="37905"/>
    <cellStyle name="Percent 4 7 6 3 4" xfId="37906"/>
    <cellStyle name="Percent 4 7 6 3 4 2" xfId="37907"/>
    <cellStyle name="Percent 4 7 6 3 4 3" xfId="37908"/>
    <cellStyle name="Percent 4 7 6 3 5" xfId="37909"/>
    <cellStyle name="Percent 4 7 6 3 6" xfId="37910"/>
    <cellStyle name="Percent 4 7 6 3 7" xfId="37911"/>
    <cellStyle name="Percent 4 7 6 3 8" xfId="37912"/>
    <cellStyle name="Percent 4 7 6 4" xfId="37913"/>
    <cellStyle name="Percent 4 7 6 4 2" xfId="37914"/>
    <cellStyle name="Percent 4 7 6 4 2 2" xfId="37915"/>
    <cellStyle name="Percent 4 7 6 4 2 2 2" xfId="37916"/>
    <cellStyle name="Percent 4 7 6 4 2 2 3" xfId="37917"/>
    <cellStyle name="Percent 4 7 6 4 2 3" xfId="37918"/>
    <cellStyle name="Percent 4 7 6 4 2 3 2" xfId="37919"/>
    <cellStyle name="Percent 4 7 6 4 2 3 3" xfId="37920"/>
    <cellStyle name="Percent 4 7 6 4 2 4" xfId="37921"/>
    <cellStyle name="Percent 4 7 6 4 2 5" xfId="37922"/>
    <cellStyle name="Percent 4 7 6 4 2 6" xfId="37923"/>
    <cellStyle name="Percent 4 7 6 4 2 7" xfId="37924"/>
    <cellStyle name="Percent 4 7 6 4 3" xfId="37925"/>
    <cellStyle name="Percent 4 7 6 4 3 2" xfId="37926"/>
    <cellStyle name="Percent 4 7 6 4 3 3" xfId="37927"/>
    <cellStyle name="Percent 4 7 6 4 4" xfId="37928"/>
    <cellStyle name="Percent 4 7 6 4 4 2" xfId="37929"/>
    <cellStyle name="Percent 4 7 6 4 4 3" xfId="37930"/>
    <cellStyle name="Percent 4 7 6 4 5" xfId="37931"/>
    <cellStyle name="Percent 4 7 6 4 6" xfId="37932"/>
    <cellStyle name="Percent 4 7 6 4 7" xfId="37933"/>
    <cellStyle name="Percent 4 7 6 4 8" xfId="37934"/>
    <cellStyle name="Percent 4 7 6 5" xfId="37935"/>
    <cellStyle name="Percent 4 7 6 5 2" xfId="37936"/>
    <cellStyle name="Percent 4 7 6 5 2 2" xfId="37937"/>
    <cellStyle name="Percent 4 7 6 5 2 3" xfId="37938"/>
    <cellStyle name="Percent 4 7 6 5 3" xfId="37939"/>
    <cellStyle name="Percent 4 7 6 5 3 2" xfId="37940"/>
    <cellStyle name="Percent 4 7 6 5 3 3" xfId="37941"/>
    <cellStyle name="Percent 4 7 6 5 4" xfId="37942"/>
    <cellStyle name="Percent 4 7 6 5 5" xfId="37943"/>
    <cellStyle name="Percent 4 7 6 5 6" xfId="37944"/>
    <cellStyle name="Percent 4 7 6 5 7" xfId="37945"/>
    <cellStyle name="Percent 4 7 6 6" xfId="37946"/>
    <cellStyle name="Percent 4 7 6 6 2" xfId="37947"/>
    <cellStyle name="Percent 4 7 6 6 3" xfId="37948"/>
    <cellStyle name="Percent 4 7 6 7" xfId="37949"/>
    <cellStyle name="Percent 4 7 6 7 2" xfId="37950"/>
    <cellStyle name="Percent 4 7 6 7 3" xfId="37951"/>
    <cellStyle name="Percent 4 7 6 8" xfId="37952"/>
    <cellStyle name="Percent 4 7 6 9" xfId="37953"/>
    <cellStyle name="Percent 4 7 7" xfId="37954"/>
    <cellStyle name="Percent 4 7 7 2" xfId="37955"/>
    <cellStyle name="Percent 4 7 7 2 2" xfId="37956"/>
    <cellStyle name="Percent 4 7 7 2 2 2" xfId="37957"/>
    <cellStyle name="Percent 4 7 7 2 2 2 2" xfId="37958"/>
    <cellStyle name="Percent 4 7 7 2 2 2 3" xfId="37959"/>
    <cellStyle name="Percent 4 7 7 2 2 3" xfId="37960"/>
    <cellStyle name="Percent 4 7 7 2 2 3 2" xfId="37961"/>
    <cellStyle name="Percent 4 7 7 2 2 3 3" xfId="37962"/>
    <cellStyle name="Percent 4 7 7 2 2 4" xfId="37963"/>
    <cellStyle name="Percent 4 7 7 2 2 5" xfId="37964"/>
    <cellStyle name="Percent 4 7 7 2 2 6" xfId="37965"/>
    <cellStyle name="Percent 4 7 7 2 2 7" xfId="37966"/>
    <cellStyle name="Percent 4 7 7 2 3" xfId="37967"/>
    <cellStyle name="Percent 4 7 7 2 3 2" xfId="37968"/>
    <cellStyle name="Percent 4 7 7 2 3 3" xfId="37969"/>
    <cellStyle name="Percent 4 7 7 2 4" xfId="37970"/>
    <cellStyle name="Percent 4 7 7 2 4 2" xfId="37971"/>
    <cellStyle name="Percent 4 7 7 2 4 3" xfId="37972"/>
    <cellStyle name="Percent 4 7 7 2 5" xfId="37973"/>
    <cellStyle name="Percent 4 7 7 2 6" xfId="37974"/>
    <cellStyle name="Percent 4 7 7 2 7" xfId="37975"/>
    <cellStyle name="Percent 4 7 7 2 8" xfId="37976"/>
    <cellStyle name="Percent 4 7 7 3" xfId="37977"/>
    <cellStyle name="Percent 4 7 7 3 2" xfId="37978"/>
    <cellStyle name="Percent 4 7 7 3 2 2" xfId="37979"/>
    <cellStyle name="Percent 4 7 7 3 2 3" xfId="37980"/>
    <cellStyle name="Percent 4 7 7 3 3" xfId="37981"/>
    <cellStyle name="Percent 4 7 7 3 3 2" xfId="37982"/>
    <cellStyle name="Percent 4 7 7 3 3 3" xfId="37983"/>
    <cellStyle name="Percent 4 7 7 3 4" xfId="37984"/>
    <cellStyle name="Percent 4 7 7 3 5" xfId="37985"/>
    <cellStyle name="Percent 4 7 7 3 6" xfId="37986"/>
    <cellStyle name="Percent 4 7 7 3 7" xfId="37987"/>
    <cellStyle name="Percent 4 7 7 4" xfId="37988"/>
    <cellStyle name="Percent 4 7 7 4 2" xfId="37989"/>
    <cellStyle name="Percent 4 7 7 4 3" xfId="37990"/>
    <cellStyle name="Percent 4 7 7 5" xfId="37991"/>
    <cellStyle name="Percent 4 7 7 5 2" xfId="37992"/>
    <cellStyle name="Percent 4 7 7 5 3" xfId="37993"/>
    <cellStyle name="Percent 4 7 7 6" xfId="37994"/>
    <cellStyle name="Percent 4 7 7 7" xfId="37995"/>
    <cellStyle name="Percent 4 7 7 8" xfId="37996"/>
    <cellStyle name="Percent 4 7 7 9" xfId="37997"/>
    <cellStyle name="Percent 4 7 8" xfId="37998"/>
    <cellStyle name="Percent 4 7 8 2" xfId="37999"/>
    <cellStyle name="Percent 4 7 8 2 2" xfId="38000"/>
    <cellStyle name="Percent 4 7 8 2 2 2" xfId="38001"/>
    <cellStyle name="Percent 4 7 8 2 2 3" xfId="38002"/>
    <cellStyle name="Percent 4 7 8 2 3" xfId="38003"/>
    <cellStyle name="Percent 4 7 8 2 3 2" xfId="38004"/>
    <cellStyle name="Percent 4 7 8 2 3 3" xfId="38005"/>
    <cellStyle name="Percent 4 7 8 2 4" xfId="38006"/>
    <cellStyle name="Percent 4 7 8 2 5" xfId="38007"/>
    <cellStyle name="Percent 4 7 8 2 6" xfId="38008"/>
    <cellStyle name="Percent 4 7 8 2 7" xfId="38009"/>
    <cellStyle name="Percent 4 7 8 3" xfId="38010"/>
    <cellStyle name="Percent 4 7 8 3 2" xfId="38011"/>
    <cellStyle name="Percent 4 7 8 3 3" xfId="38012"/>
    <cellStyle name="Percent 4 7 8 4" xfId="38013"/>
    <cellStyle name="Percent 4 7 8 4 2" xfId="38014"/>
    <cellStyle name="Percent 4 7 8 4 3" xfId="38015"/>
    <cellStyle name="Percent 4 7 8 5" xfId="38016"/>
    <cellStyle name="Percent 4 7 8 6" xfId="38017"/>
    <cellStyle name="Percent 4 7 8 7" xfId="38018"/>
    <cellStyle name="Percent 4 7 8 8" xfId="38019"/>
    <cellStyle name="Percent 4 7 9" xfId="38020"/>
    <cellStyle name="Percent 4 7 9 2" xfId="38021"/>
    <cellStyle name="Percent 4 7 9 2 2" xfId="38022"/>
    <cellStyle name="Percent 4 7 9 2 2 2" xfId="38023"/>
    <cellStyle name="Percent 4 7 9 2 2 3" xfId="38024"/>
    <cellStyle name="Percent 4 7 9 2 3" xfId="38025"/>
    <cellStyle name="Percent 4 7 9 2 3 2" xfId="38026"/>
    <cellStyle name="Percent 4 7 9 2 3 3" xfId="38027"/>
    <cellStyle name="Percent 4 7 9 2 4" xfId="38028"/>
    <cellStyle name="Percent 4 7 9 2 5" xfId="38029"/>
    <cellStyle name="Percent 4 7 9 2 6" xfId="38030"/>
    <cellStyle name="Percent 4 7 9 2 7" xfId="38031"/>
    <cellStyle name="Percent 4 7 9 3" xfId="38032"/>
    <cellStyle name="Percent 4 7 9 3 2" xfId="38033"/>
    <cellStyle name="Percent 4 7 9 3 3" xfId="38034"/>
    <cellStyle name="Percent 4 7 9 4" xfId="38035"/>
    <cellStyle name="Percent 4 7 9 4 2" xfId="38036"/>
    <cellStyle name="Percent 4 7 9 4 3" xfId="38037"/>
    <cellStyle name="Percent 4 7 9 5" xfId="38038"/>
    <cellStyle name="Percent 4 7 9 6" xfId="38039"/>
    <cellStyle name="Percent 4 7 9 7" xfId="38040"/>
    <cellStyle name="Percent 4 7 9 8" xfId="38041"/>
    <cellStyle name="Percent 4 8" xfId="38042"/>
    <cellStyle name="Percent 4 8 10" xfId="38043"/>
    <cellStyle name="Percent 4 8 10 2" xfId="38044"/>
    <cellStyle name="Percent 4 8 10 2 2" xfId="38045"/>
    <cellStyle name="Percent 4 8 10 2 3" xfId="38046"/>
    <cellStyle name="Percent 4 8 10 3" xfId="38047"/>
    <cellStyle name="Percent 4 8 10 3 2" xfId="38048"/>
    <cellStyle name="Percent 4 8 10 3 3" xfId="38049"/>
    <cellStyle name="Percent 4 8 10 4" xfId="38050"/>
    <cellStyle name="Percent 4 8 10 5" xfId="38051"/>
    <cellStyle name="Percent 4 8 10 6" xfId="38052"/>
    <cellStyle name="Percent 4 8 10 7" xfId="38053"/>
    <cellStyle name="Percent 4 8 11" xfId="38054"/>
    <cellStyle name="Percent 4 8 11 2" xfId="38055"/>
    <cellStyle name="Percent 4 8 12" xfId="38056"/>
    <cellStyle name="Percent 4 8 12 2" xfId="38057"/>
    <cellStyle name="Percent 4 8 12 3" xfId="38058"/>
    <cellStyle name="Percent 4 8 13" xfId="38059"/>
    <cellStyle name="Percent 4 8 13 2" xfId="38060"/>
    <cellStyle name="Percent 4 8 13 3" xfId="38061"/>
    <cellStyle name="Percent 4 8 14" xfId="38062"/>
    <cellStyle name="Percent 4 8 15" xfId="38063"/>
    <cellStyle name="Percent 4 8 16" xfId="38064"/>
    <cellStyle name="Percent 4 8 17" xfId="38065"/>
    <cellStyle name="Percent 4 8 2" xfId="38066"/>
    <cellStyle name="Percent 4 8 2 10" xfId="38067"/>
    <cellStyle name="Percent 4 8 2 11" xfId="38068"/>
    <cellStyle name="Percent 4 8 2 12" xfId="38069"/>
    <cellStyle name="Percent 4 8 2 13" xfId="38070"/>
    <cellStyle name="Percent 4 8 2 2" xfId="38071"/>
    <cellStyle name="Percent 4 8 2 2 10" xfId="38072"/>
    <cellStyle name="Percent 4 8 2 2 11" xfId="38073"/>
    <cellStyle name="Percent 4 8 2 2 2" xfId="38074"/>
    <cellStyle name="Percent 4 8 2 2 2 2" xfId="38075"/>
    <cellStyle name="Percent 4 8 2 2 2 2 2" xfId="38076"/>
    <cellStyle name="Percent 4 8 2 2 2 2 2 2" xfId="38077"/>
    <cellStyle name="Percent 4 8 2 2 2 2 2 2 2" xfId="38078"/>
    <cellStyle name="Percent 4 8 2 2 2 2 2 2 3" xfId="38079"/>
    <cellStyle name="Percent 4 8 2 2 2 2 2 3" xfId="38080"/>
    <cellStyle name="Percent 4 8 2 2 2 2 2 3 2" xfId="38081"/>
    <cellStyle name="Percent 4 8 2 2 2 2 2 3 3" xfId="38082"/>
    <cellStyle name="Percent 4 8 2 2 2 2 2 4" xfId="38083"/>
    <cellStyle name="Percent 4 8 2 2 2 2 2 5" xfId="38084"/>
    <cellStyle name="Percent 4 8 2 2 2 2 2 6" xfId="38085"/>
    <cellStyle name="Percent 4 8 2 2 2 2 2 7" xfId="38086"/>
    <cellStyle name="Percent 4 8 2 2 2 2 3" xfId="38087"/>
    <cellStyle name="Percent 4 8 2 2 2 2 3 2" xfId="38088"/>
    <cellStyle name="Percent 4 8 2 2 2 2 3 3" xfId="38089"/>
    <cellStyle name="Percent 4 8 2 2 2 2 4" xfId="38090"/>
    <cellStyle name="Percent 4 8 2 2 2 2 4 2" xfId="38091"/>
    <cellStyle name="Percent 4 8 2 2 2 2 4 3" xfId="38092"/>
    <cellStyle name="Percent 4 8 2 2 2 2 5" xfId="38093"/>
    <cellStyle name="Percent 4 8 2 2 2 2 6" xfId="38094"/>
    <cellStyle name="Percent 4 8 2 2 2 2 7" xfId="38095"/>
    <cellStyle name="Percent 4 8 2 2 2 2 8" xfId="38096"/>
    <cellStyle name="Percent 4 8 2 2 2 3" xfId="38097"/>
    <cellStyle name="Percent 4 8 2 2 2 3 2" xfId="38098"/>
    <cellStyle name="Percent 4 8 2 2 2 3 2 2" xfId="38099"/>
    <cellStyle name="Percent 4 8 2 2 2 3 2 3" xfId="38100"/>
    <cellStyle name="Percent 4 8 2 2 2 3 3" xfId="38101"/>
    <cellStyle name="Percent 4 8 2 2 2 3 3 2" xfId="38102"/>
    <cellStyle name="Percent 4 8 2 2 2 3 3 3" xfId="38103"/>
    <cellStyle name="Percent 4 8 2 2 2 3 4" xfId="38104"/>
    <cellStyle name="Percent 4 8 2 2 2 3 5" xfId="38105"/>
    <cellStyle name="Percent 4 8 2 2 2 3 6" xfId="38106"/>
    <cellStyle name="Percent 4 8 2 2 2 3 7" xfId="38107"/>
    <cellStyle name="Percent 4 8 2 2 2 4" xfId="38108"/>
    <cellStyle name="Percent 4 8 2 2 2 4 2" xfId="38109"/>
    <cellStyle name="Percent 4 8 2 2 2 4 3" xfId="38110"/>
    <cellStyle name="Percent 4 8 2 2 2 5" xfId="38111"/>
    <cellStyle name="Percent 4 8 2 2 2 5 2" xfId="38112"/>
    <cellStyle name="Percent 4 8 2 2 2 5 3" xfId="38113"/>
    <cellStyle name="Percent 4 8 2 2 2 6" xfId="38114"/>
    <cellStyle name="Percent 4 8 2 2 2 7" xfId="38115"/>
    <cellStyle name="Percent 4 8 2 2 2 8" xfId="38116"/>
    <cellStyle name="Percent 4 8 2 2 2 9" xfId="38117"/>
    <cellStyle name="Percent 4 8 2 2 3" xfId="38118"/>
    <cellStyle name="Percent 4 8 2 2 3 2" xfId="38119"/>
    <cellStyle name="Percent 4 8 2 2 3 2 2" xfId="38120"/>
    <cellStyle name="Percent 4 8 2 2 3 2 2 2" xfId="38121"/>
    <cellStyle name="Percent 4 8 2 2 3 2 2 3" xfId="38122"/>
    <cellStyle name="Percent 4 8 2 2 3 2 3" xfId="38123"/>
    <cellStyle name="Percent 4 8 2 2 3 2 3 2" xfId="38124"/>
    <cellStyle name="Percent 4 8 2 2 3 2 3 3" xfId="38125"/>
    <cellStyle name="Percent 4 8 2 2 3 2 4" xfId="38126"/>
    <cellStyle name="Percent 4 8 2 2 3 2 5" xfId="38127"/>
    <cellStyle name="Percent 4 8 2 2 3 2 6" xfId="38128"/>
    <cellStyle name="Percent 4 8 2 2 3 2 7" xfId="38129"/>
    <cellStyle name="Percent 4 8 2 2 3 3" xfId="38130"/>
    <cellStyle name="Percent 4 8 2 2 3 3 2" xfId="38131"/>
    <cellStyle name="Percent 4 8 2 2 3 3 3" xfId="38132"/>
    <cellStyle name="Percent 4 8 2 2 3 4" xfId="38133"/>
    <cellStyle name="Percent 4 8 2 2 3 4 2" xfId="38134"/>
    <cellStyle name="Percent 4 8 2 2 3 4 3" xfId="38135"/>
    <cellStyle name="Percent 4 8 2 2 3 5" xfId="38136"/>
    <cellStyle name="Percent 4 8 2 2 3 6" xfId="38137"/>
    <cellStyle name="Percent 4 8 2 2 3 7" xfId="38138"/>
    <cellStyle name="Percent 4 8 2 2 3 8" xfId="38139"/>
    <cellStyle name="Percent 4 8 2 2 4" xfId="38140"/>
    <cellStyle name="Percent 4 8 2 2 4 2" xfId="38141"/>
    <cellStyle name="Percent 4 8 2 2 4 2 2" xfId="38142"/>
    <cellStyle name="Percent 4 8 2 2 4 2 2 2" xfId="38143"/>
    <cellStyle name="Percent 4 8 2 2 4 2 2 3" xfId="38144"/>
    <cellStyle name="Percent 4 8 2 2 4 2 3" xfId="38145"/>
    <cellStyle name="Percent 4 8 2 2 4 2 3 2" xfId="38146"/>
    <cellStyle name="Percent 4 8 2 2 4 2 3 3" xfId="38147"/>
    <cellStyle name="Percent 4 8 2 2 4 2 4" xfId="38148"/>
    <cellStyle name="Percent 4 8 2 2 4 2 5" xfId="38149"/>
    <cellStyle name="Percent 4 8 2 2 4 2 6" xfId="38150"/>
    <cellStyle name="Percent 4 8 2 2 4 2 7" xfId="38151"/>
    <cellStyle name="Percent 4 8 2 2 4 3" xfId="38152"/>
    <cellStyle name="Percent 4 8 2 2 4 3 2" xfId="38153"/>
    <cellStyle name="Percent 4 8 2 2 4 3 3" xfId="38154"/>
    <cellStyle name="Percent 4 8 2 2 4 4" xfId="38155"/>
    <cellStyle name="Percent 4 8 2 2 4 4 2" xfId="38156"/>
    <cellStyle name="Percent 4 8 2 2 4 4 3" xfId="38157"/>
    <cellStyle name="Percent 4 8 2 2 4 5" xfId="38158"/>
    <cellStyle name="Percent 4 8 2 2 4 6" xfId="38159"/>
    <cellStyle name="Percent 4 8 2 2 4 7" xfId="38160"/>
    <cellStyle name="Percent 4 8 2 2 4 8" xfId="38161"/>
    <cellStyle name="Percent 4 8 2 2 5" xfId="38162"/>
    <cellStyle name="Percent 4 8 2 2 5 2" xfId="38163"/>
    <cellStyle name="Percent 4 8 2 2 5 2 2" xfId="38164"/>
    <cellStyle name="Percent 4 8 2 2 5 2 3" xfId="38165"/>
    <cellStyle name="Percent 4 8 2 2 5 3" xfId="38166"/>
    <cellStyle name="Percent 4 8 2 2 5 3 2" xfId="38167"/>
    <cellStyle name="Percent 4 8 2 2 5 3 3" xfId="38168"/>
    <cellStyle name="Percent 4 8 2 2 5 4" xfId="38169"/>
    <cellStyle name="Percent 4 8 2 2 5 5" xfId="38170"/>
    <cellStyle name="Percent 4 8 2 2 5 6" xfId="38171"/>
    <cellStyle name="Percent 4 8 2 2 5 7" xfId="38172"/>
    <cellStyle name="Percent 4 8 2 2 6" xfId="38173"/>
    <cellStyle name="Percent 4 8 2 2 6 2" xfId="38174"/>
    <cellStyle name="Percent 4 8 2 2 6 3" xfId="38175"/>
    <cellStyle name="Percent 4 8 2 2 7" xfId="38176"/>
    <cellStyle name="Percent 4 8 2 2 7 2" xfId="38177"/>
    <cellStyle name="Percent 4 8 2 2 7 3" xfId="38178"/>
    <cellStyle name="Percent 4 8 2 2 8" xfId="38179"/>
    <cellStyle name="Percent 4 8 2 2 9" xfId="38180"/>
    <cellStyle name="Percent 4 8 2 3" xfId="38181"/>
    <cellStyle name="Percent 4 8 2 3 10" xfId="38182"/>
    <cellStyle name="Percent 4 8 2 3 11" xfId="38183"/>
    <cellStyle name="Percent 4 8 2 3 2" xfId="38184"/>
    <cellStyle name="Percent 4 8 2 3 2 2" xfId="38185"/>
    <cellStyle name="Percent 4 8 2 3 2 2 2" xfId="38186"/>
    <cellStyle name="Percent 4 8 2 3 2 2 2 2" xfId="38187"/>
    <cellStyle name="Percent 4 8 2 3 2 2 2 2 2" xfId="38188"/>
    <cellStyle name="Percent 4 8 2 3 2 2 2 2 3" xfId="38189"/>
    <cellStyle name="Percent 4 8 2 3 2 2 2 3" xfId="38190"/>
    <cellStyle name="Percent 4 8 2 3 2 2 2 3 2" xfId="38191"/>
    <cellStyle name="Percent 4 8 2 3 2 2 2 3 3" xfId="38192"/>
    <cellStyle name="Percent 4 8 2 3 2 2 2 4" xfId="38193"/>
    <cellStyle name="Percent 4 8 2 3 2 2 2 5" xfId="38194"/>
    <cellStyle name="Percent 4 8 2 3 2 2 2 6" xfId="38195"/>
    <cellStyle name="Percent 4 8 2 3 2 2 2 7" xfId="38196"/>
    <cellStyle name="Percent 4 8 2 3 2 2 3" xfId="38197"/>
    <cellStyle name="Percent 4 8 2 3 2 2 3 2" xfId="38198"/>
    <cellStyle name="Percent 4 8 2 3 2 2 3 3" xfId="38199"/>
    <cellStyle name="Percent 4 8 2 3 2 2 4" xfId="38200"/>
    <cellStyle name="Percent 4 8 2 3 2 2 4 2" xfId="38201"/>
    <cellStyle name="Percent 4 8 2 3 2 2 4 3" xfId="38202"/>
    <cellStyle name="Percent 4 8 2 3 2 2 5" xfId="38203"/>
    <cellStyle name="Percent 4 8 2 3 2 2 6" xfId="38204"/>
    <cellStyle name="Percent 4 8 2 3 2 2 7" xfId="38205"/>
    <cellStyle name="Percent 4 8 2 3 2 2 8" xfId="38206"/>
    <cellStyle name="Percent 4 8 2 3 2 3" xfId="38207"/>
    <cellStyle name="Percent 4 8 2 3 2 3 2" xfId="38208"/>
    <cellStyle name="Percent 4 8 2 3 2 3 2 2" xfId="38209"/>
    <cellStyle name="Percent 4 8 2 3 2 3 2 3" xfId="38210"/>
    <cellStyle name="Percent 4 8 2 3 2 3 3" xfId="38211"/>
    <cellStyle name="Percent 4 8 2 3 2 3 3 2" xfId="38212"/>
    <cellStyle name="Percent 4 8 2 3 2 3 3 3" xfId="38213"/>
    <cellStyle name="Percent 4 8 2 3 2 3 4" xfId="38214"/>
    <cellStyle name="Percent 4 8 2 3 2 3 5" xfId="38215"/>
    <cellStyle name="Percent 4 8 2 3 2 3 6" xfId="38216"/>
    <cellStyle name="Percent 4 8 2 3 2 3 7" xfId="38217"/>
    <cellStyle name="Percent 4 8 2 3 2 4" xfId="38218"/>
    <cellStyle name="Percent 4 8 2 3 2 4 2" xfId="38219"/>
    <cellStyle name="Percent 4 8 2 3 2 4 3" xfId="38220"/>
    <cellStyle name="Percent 4 8 2 3 2 5" xfId="38221"/>
    <cellStyle name="Percent 4 8 2 3 2 5 2" xfId="38222"/>
    <cellStyle name="Percent 4 8 2 3 2 5 3" xfId="38223"/>
    <cellStyle name="Percent 4 8 2 3 2 6" xfId="38224"/>
    <cellStyle name="Percent 4 8 2 3 2 7" xfId="38225"/>
    <cellStyle name="Percent 4 8 2 3 2 8" xfId="38226"/>
    <cellStyle name="Percent 4 8 2 3 2 9" xfId="38227"/>
    <cellStyle name="Percent 4 8 2 3 3" xfId="38228"/>
    <cellStyle name="Percent 4 8 2 3 3 2" xfId="38229"/>
    <cellStyle name="Percent 4 8 2 3 3 2 2" xfId="38230"/>
    <cellStyle name="Percent 4 8 2 3 3 2 2 2" xfId="38231"/>
    <cellStyle name="Percent 4 8 2 3 3 2 2 3" xfId="38232"/>
    <cellStyle name="Percent 4 8 2 3 3 2 3" xfId="38233"/>
    <cellStyle name="Percent 4 8 2 3 3 2 3 2" xfId="38234"/>
    <cellStyle name="Percent 4 8 2 3 3 2 3 3" xfId="38235"/>
    <cellStyle name="Percent 4 8 2 3 3 2 4" xfId="38236"/>
    <cellStyle name="Percent 4 8 2 3 3 2 5" xfId="38237"/>
    <cellStyle name="Percent 4 8 2 3 3 2 6" xfId="38238"/>
    <cellStyle name="Percent 4 8 2 3 3 2 7" xfId="38239"/>
    <cellStyle name="Percent 4 8 2 3 3 3" xfId="38240"/>
    <cellStyle name="Percent 4 8 2 3 3 3 2" xfId="38241"/>
    <cellStyle name="Percent 4 8 2 3 3 3 3" xfId="38242"/>
    <cellStyle name="Percent 4 8 2 3 3 4" xfId="38243"/>
    <cellStyle name="Percent 4 8 2 3 3 4 2" xfId="38244"/>
    <cellStyle name="Percent 4 8 2 3 3 4 3" xfId="38245"/>
    <cellStyle name="Percent 4 8 2 3 3 5" xfId="38246"/>
    <cellStyle name="Percent 4 8 2 3 3 6" xfId="38247"/>
    <cellStyle name="Percent 4 8 2 3 3 7" xfId="38248"/>
    <cellStyle name="Percent 4 8 2 3 3 8" xfId="38249"/>
    <cellStyle name="Percent 4 8 2 3 4" xfId="38250"/>
    <cellStyle name="Percent 4 8 2 3 4 2" xfId="38251"/>
    <cellStyle name="Percent 4 8 2 3 4 2 2" xfId="38252"/>
    <cellStyle name="Percent 4 8 2 3 4 2 2 2" xfId="38253"/>
    <cellStyle name="Percent 4 8 2 3 4 2 2 3" xfId="38254"/>
    <cellStyle name="Percent 4 8 2 3 4 2 3" xfId="38255"/>
    <cellStyle name="Percent 4 8 2 3 4 2 3 2" xfId="38256"/>
    <cellStyle name="Percent 4 8 2 3 4 2 3 3" xfId="38257"/>
    <cellStyle name="Percent 4 8 2 3 4 2 4" xfId="38258"/>
    <cellStyle name="Percent 4 8 2 3 4 2 5" xfId="38259"/>
    <cellStyle name="Percent 4 8 2 3 4 2 6" xfId="38260"/>
    <cellStyle name="Percent 4 8 2 3 4 2 7" xfId="38261"/>
    <cellStyle name="Percent 4 8 2 3 4 3" xfId="38262"/>
    <cellStyle name="Percent 4 8 2 3 4 3 2" xfId="38263"/>
    <cellStyle name="Percent 4 8 2 3 4 3 3" xfId="38264"/>
    <cellStyle name="Percent 4 8 2 3 4 4" xfId="38265"/>
    <cellStyle name="Percent 4 8 2 3 4 4 2" xfId="38266"/>
    <cellStyle name="Percent 4 8 2 3 4 4 3" xfId="38267"/>
    <cellStyle name="Percent 4 8 2 3 4 5" xfId="38268"/>
    <cellStyle name="Percent 4 8 2 3 4 6" xfId="38269"/>
    <cellStyle name="Percent 4 8 2 3 4 7" xfId="38270"/>
    <cellStyle name="Percent 4 8 2 3 4 8" xfId="38271"/>
    <cellStyle name="Percent 4 8 2 3 5" xfId="38272"/>
    <cellStyle name="Percent 4 8 2 3 5 2" xfId="38273"/>
    <cellStyle name="Percent 4 8 2 3 5 2 2" xfId="38274"/>
    <cellStyle name="Percent 4 8 2 3 5 2 3" xfId="38275"/>
    <cellStyle name="Percent 4 8 2 3 5 3" xfId="38276"/>
    <cellStyle name="Percent 4 8 2 3 5 3 2" xfId="38277"/>
    <cellStyle name="Percent 4 8 2 3 5 3 3" xfId="38278"/>
    <cellStyle name="Percent 4 8 2 3 5 4" xfId="38279"/>
    <cellStyle name="Percent 4 8 2 3 5 5" xfId="38280"/>
    <cellStyle name="Percent 4 8 2 3 5 6" xfId="38281"/>
    <cellStyle name="Percent 4 8 2 3 5 7" xfId="38282"/>
    <cellStyle name="Percent 4 8 2 3 6" xfId="38283"/>
    <cellStyle name="Percent 4 8 2 3 6 2" xfId="38284"/>
    <cellStyle name="Percent 4 8 2 3 6 3" xfId="38285"/>
    <cellStyle name="Percent 4 8 2 3 7" xfId="38286"/>
    <cellStyle name="Percent 4 8 2 3 7 2" xfId="38287"/>
    <cellStyle name="Percent 4 8 2 3 7 3" xfId="38288"/>
    <cellStyle name="Percent 4 8 2 3 8" xfId="38289"/>
    <cellStyle name="Percent 4 8 2 3 9" xfId="38290"/>
    <cellStyle name="Percent 4 8 2 4" xfId="38291"/>
    <cellStyle name="Percent 4 8 2 4 2" xfId="38292"/>
    <cellStyle name="Percent 4 8 2 4 2 2" xfId="38293"/>
    <cellStyle name="Percent 4 8 2 4 2 2 2" xfId="38294"/>
    <cellStyle name="Percent 4 8 2 4 2 2 2 2" xfId="38295"/>
    <cellStyle name="Percent 4 8 2 4 2 2 2 3" xfId="38296"/>
    <cellStyle name="Percent 4 8 2 4 2 2 3" xfId="38297"/>
    <cellStyle name="Percent 4 8 2 4 2 2 3 2" xfId="38298"/>
    <cellStyle name="Percent 4 8 2 4 2 2 3 3" xfId="38299"/>
    <cellStyle name="Percent 4 8 2 4 2 2 4" xfId="38300"/>
    <cellStyle name="Percent 4 8 2 4 2 2 5" xfId="38301"/>
    <cellStyle name="Percent 4 8 2 4 2 2 6" xfId="38302"/>
    <cellStyle name="Percent 4 8 2 4 2 2 7" xfId="38303"/>
    <cellStyle name="Percent 4 8 2 4 2 3" xfId="38304"/>
    <cellStyle name="Percent 4 8 2 4 2 3 2" xfId="38305"/>
    <cellStyle name="Percent 4 8 2 4 2 3 3" xfId="38306"/>
    <cellStyle name="Percent 4 8 2 4 2 4" xfId="38307"/>
    <cellStyle name="Percent 4 8 2 4 2 4 2" xfId="38308"/>
    <cellStyle name="Percent 4 8 2 4 2 4 3" xfId="38309"/>
    <cellStyle name="Percent 4 8 2 4 2 5" xfId="38310"/>
    <cellStyle name="Percent 4 8 2 4 2 6" xfId="38311"/>
    <cellStyle name="Percent 4 8 2 4 2 7" xfId="38312"/>
    <cellStyle name="Percent 4 8 2 4 2 8" xfId="38313"/>
    <cellStyle name="Percent 4 8 2 4 3" xfId="38314"/>
    <cellStyle name="Percent 4 8 2 4 3 2" xfId="38315"/>
    <cellStyle name="Percent 4 8 2 4 3 2 2" xfId="38316"/>
    <cellStyle name="Percent 4 8 2 4 3 2 3" xfId="38317"/>
    <cellStyle name="Percent 4 8 2 4 3 3" xfId="38318"/>
    <cellStyle name="Percent 4 8 2 4 3 3 2" xfId="38319"/>
    <cellStyle name="Percent 4 8 2 4 3 3 3" xfId="38320"/>
    <cellStyle name="Percent 4 8 2 4 3 4" xfId="38321"/>
    <cellStyle name="Percent 4 8 2 4 3 5" xfId="38322"/>
    <cellStyle name="Percent 4 8 2 4 3 6" xfId="38323"/>
    <cellStyle name="Percent 4 8 2 4 3 7" xfId="38324"/>
    <cellStyle name="Percent 4 8 2 4 4" xfId="38325"/>
    <cellStyle name="Percent 4 8 2 4 4 2" xfId="38326"/>
    <cellStyle name="Percent 4 8 2 4 4 3" xfId="38327"/>
    <cellStyle name="Percent 4 8 2 4 5" xfId="38328"/>
    <cellStyle name="Percent 4 8 2 4 5 2" xfId="38329"/>
    <cellStyle name="Percent 4 8 2 4 5 3" xfId="38330"/>
    <cellStyle name="Percent 4 8 2 4 6" xfId="38331"/>
    <cellStyle name="Percent 4 8 2 4 7" xfId="38332"/>
    <cellStyle name="Percent 4 8 2 4 8" xfId="38333"/>
    <cellStyle name="Percent 4 8 2 4 9" xfId="38334"/>
    <cellStyle name="Percent 4 8 2 5" xfId="38335"/>
    <cellStyle name="Percent 4 8 2 5 2" xfId="38336"/>
    <cellStyle name="Percent 4 8 2 5 2 2" xfId="38337"/>
    <cellStyle name="Percent 4 8 2 5 2 2 2" xfId="38338"/>
    <cellStyle name="Percent 4 8 2 5 2 2 3" xfId="38339"/>
    <cellStyle name="Percent 4 8 2 5 2 3" xfId="38340"/>
    <cellStyle name="Percent 4 8 2 5 2 3 2" xfId="38341"/>
    <cellStyle name="Percent 4 8 2 5 2 3 3" xfId="38342"/>
    <cellStyle name="Percent 4 8 2 5 2 4" xfId="38343"/>
    <cellStyle name="Percent 4 8 2 5 2 5" xfId="38344"/>
    <cellStyle name="Percent 4 8 2 5 2 6" xfId="38345"/>
    <cellStyle name="Percent 4 8 2 5 2 7" xfId="38346"/>
    <cellStyle name="Percent 4 8 2 5 3" xfId="38347"/>
    <cellStyle name="Percent 4 8 2 5 3 2" xfId="38348"/>
    <cellStyle name="Percent 4 8 2 5 3 3" xfId="38349"/>
    <cellStyle name="Percent 4 8 2 5 4" xfId="38350"/>
    <cellStyle name="Percent 4 8 2 5 4 2" xfId="38351"/>
    <cellStyle name="Percent 4 8 2 5 4 3" xfId="38352"/>
    <cellStyle name="Percent 4 8 2 5 5" xfId="38353"/>
    <cellStyle name="Percent 4 8 2 5 6" xfId="38354"/>
    <cellStyle name="Percent 4 8 2 5 7" xfId="38355"/>
    <cellStyle name="Percent 4 8 2 5 8" xfId="38356"/>
    <cellStyle name="Percent 4 8 2 6" xfId="38357"/>
    <cellStyle name="Percent 4 8 2 6 2" xfId="38358"/>
    <cellStyle name="Percent 4 8 2 6 2 2" xfId="38359"/>
    <cellStyle name="Percent 4 8 2 6 2 2 2" xfId="38360"/>
    <cellStyle name="Percent 4 8 2 6 2 2 3" xfId="38361"/>
    <cellStyle name="Percent 4 8 2 6 2 3" xfId="38362"/>
    <cellStyle name="Percent 4 8 2 6 2 3 2" xfId="38363"/>
    <cellStyle name="Percent 4 8 2 6 2 3 3" xfId="38364"/>
    <cellStyle name="Percent 4 8 2 6 2 4" xfId="38365"/>
    <cellStyle name="Percent 4 8 2 6 2 5" xfId="38366"/>
    <cellStyle name="Percent 4 8 2 6 2 6" xfId="38367"/>
    <cellStyle name="Percent 4 8 2 6 2 7" xfId="38368"/>
    <cellStyle name="Percent 4 8 2 6 3" xfId="38369"/>
    <cellStyle name="Percent 4 8 2 6 3 2" xfId="38370"/>
    <cellStyle name="Percent 4 8 2 6 3 3" xfId="38371"/>
    <cellStyle name="Percent 4 8 2 6 4" xfId="38372"/>
    <cellStyle name="Percent 4 8 2 6 4 2" xfId="38373"/>
    <cellStyle name="Percent 4 8 2 6 4 3" xfId="38374"/>
    <cellStyle name="Percent 4 8 2 6 5" xfId="38375"/>
    <cellStyle name="Percent 4 8 2 6 6" xfId="38376"/>
    <cellStyle name="Percent 4 8 2 6 7" xfId="38377"/>
    <cellStyle name="Percent 4 8 2 6 8" xfId="38378"/>
    <cellStyle name="Percent 4 8 2 7" xfId="38379"/>
    <cellStyle name="Percent 4 8 2 7 2" xfId="38380"/>
    <cellStyle name="Percent 4 8 2 7 2 2" xfId="38381"/>
    <cellStyle name="Percent 4 8 2 7 2 3" xfId="38382"/>
    <cellStyle name="Percent 4 8 2 7 3" xfId="38383"/>
    <cellStyle name="Percent 4 8 2 7 3 2" xfId="38384"/>
    <cellStyle name="Percent 4 8 2 7 3 3" xfId="38385"/>
    <cellStyle name="Percent 4 8 2 7 4" xfId="38386"/>
    <cellStyle name="Percent 4 8 2 7 5" xfId="38387"/>
    <cellStyle name="Percent 4 8 2 7 6" xfId="38388"/>
    <cellStyle name="Percent 4 8 2 7 7" xfId="38389"/>
    <cellStyle name="Percent 4 8 2 8" xfId="38390"/>
    <cellStyle name="Percent 4 8 2 8 2" xfId="38391"/>
    <cellStyle name="Percent 4 8 2 8 3" xfId="38392"/>
    <cellStyle name="Percent 4 8 2 9" xfId="38393"/>
    <cellStyle name="Percent 4 8 2 9 2" xfId="38394"/>
    <cellStyle name="Percent 4 8 2 9 3" xfId="38395"/>
    <cellStyle name="Percent 4 8 3" xfId="38396"/>
    <cellStyle name="Percent 4 8 3 10" xfId="38397"/>
    <cellStyle name="Percent 4 8 3 11" xfId="38398"/>
    <cellStyle name="Percent 4 8 3 2" xfId="38399"/>
    <cellStyle name="Percent 4 8 3 2 2" xfId="38400"/>
    <cellStyle name="Percent 4 8 3 2 2 2" xfId="38401"/>
    <cellStyle name="Percent 4 8 3 2 2 2 2" xfId="38402"/>
    <cellStyle name="Percent 4 8 3 2 2 2 2 2" xfId="38403"/>
    <cellStyle name="Percent 4 8 3 2 2 2 2 3" xfId="38404"/>
    <cellStyle name="Percent 4 8 3 2 2 2 3" xfId="38405"/>
    <cellStyle name="Percent 4 8 3 2 2 2 3 2" xfId="38406"/>
    <cellStyle name="Percent 4 8 3 2 2 2 3 3" xfId="38407"/>
    <cellStyle name="Percent 4 8 3 2 2 2 4" xfId="38408"/>
    <cellStyle name="Percent 4 8 3 2 2 2 5" xfId="38409"/>
    <cellStyle name="Percent 4 8 3 2 2 2 6" xfId="38410"/>
    <cellStyle name="Percent 4 8 3 2 2 2 7" xfId="38411"/>
    <cellStyle name="Percent 4 8 3 2 2 3" xfId="38412"/>
    <cellStyle name="Percent 4 8 3 2 2 3 2" xfId="38413"/>
    <cellStyle name="Percent 4 8 3 2 2 3 3" xfId="38414"/>
    <cellStyle name="Percent 4 8 3 2 2 4" xfId="38415"/>
    <cellStyle name="Percent 4 8 3 2 2 4 2" xfId="38416"/>
    <cellStyle name="Percent 4 8 3 2 2 4 3" xfId="38417"/>
    <cellStyle name="Percent 4 8 3 2 2 5" xfId="38418"/>
    <cellStyle name="Percent 4 8 3 2 2 6" xfId="38419"/>
    <cellStyle name="Percent 4 8 3 2 2 7" xfId="38420"/>
    <cellStyle name="Percent 4 8 3 2 2 8" xfId="38421"/>
    <cellStyle name="Percent 4 8 3 2 3" xfId="38422"/>
    <cellStyle name="Percent 4 8 3 2 3 2" xfId="38423"/>
    <cellStyle name="Percent 4 8 3 2 3 2 2" xfId="38424"/>
    <cellStyle name="Percent 4 8 3 2 3 2 3" xfId="38425"/>
    <cellStyle name="Percent 4 8 3 2 3 3" xfId="38426"/>
    <cellStyle name="Percent 4 8 3 2 3 3 2" xfId="38427"/>
    <cellStyle name="Percent 4 8 3 2 3 3 3" xfId="38428"/>
    <cellStyle name="Percent 4 8 3 2 3 4" xfId="38429"/>
    <cellStyle name="Percent 4 8 3 2 3 5" xfId="38430"/>
    <cellStyle name="Percent 4 8 3 2 3 6" xfId="38431"/>
    <cellStyle name="Percent 4 8 3 2 3 7" xfId="38432"/>
    <cellStyle name="Percent 4 8 3 2 4" xfId="38433"/>
    <cellStyle name="Percent 4 8 3 2 4 2" xfId="38434"/>
    <cellStyle name="Percent 4 8 3 2 4 3" xfId="38435"/>
    <cellStyle name="Percent 4 8 3 2 5" xfId="38436"/>
    <cellStyle name="Percent 4 8 3 2 5 2" xfId="38437"/>
    <cellStyle name="Percent 4 8 3 2 5 3" xfId="38438"/>
    <cellStyle name="Percent 4 8 3 2 6" xfId="38439"/>
    <cellStyle name="Percent 4 8 3 2 7" xfId="38440"/>
    <cellStyle name="Percent 4 8 3 2 8" xfId="38441"/>
    <cellStyle name="Percent 4 8 3 2 9" xfId="38442"/>
    <cellStyle name="Percent 4 8 3 3" xfId="38443"/>
    <cellStyle name="Percent 4 8 3 3 2" xfId="38444"/>
    <cellStyle name="Percent 4 8 3 3 2 2" xfId="38445"/>
    <cellStyle name="Percent 4 8 3 3 2 2 2" xfId="38446"/>
    <cellStyle name="Percent 4 8 3 3 2 2 3" xfId="38447"/>
    <cellStyle name="Percent 4 8 3 3 2 3" xfId="38448"/>
    <cellStyle name="Percent 4 8 3 3 2 3 2" xfId="38449"/>
    <cellStyle name="Percent 4 8 3 3 2 3 3" xfId="38450"/>
    <cellStyle name="Percent 4 8 3 3 2 4" xfId="38451"/>
    <cellStyle name="Percent 4 8 3 3 2 5" xfId="38452"/>
    <cellStyle name="Percent 4 8 3 3 2 6" xfId="38453"/>
    <cellStyle name="Percent 4 8 3 3 2 7" xfId="38454"/>
    <cellStyle name="Percent 4 8 3 3 3" xfId="38455"/>
    <cellStyle name="Percent 4 8 3 3 3 2" xfId="38456"/>
    <cellStyle name="Percent 4 8 3 3 3 3" xfId="38457"/>
    <cellStyle name="Percent 4 8 3 3 4" xfId="38458"/>
    <cellStyle name="Percent 4 8 3 3 4 2" xfId="38459"/>
    <cellStyle name="Percent 4 8 3 3 4 3" xfId="38460"/>
    <cellStyle name="Percent 4 8 3 3 5" xfId="38461"/>
    <cellStyle name="Percent 4 8 3 3 6" xfId="38462"/>
    <cellStyle name="Percent 4 8 3 3 7" xfId="38463"/>
    <cellStyle name="Percent 4 8 3 3 8" xfId="38464"/>
    <cellStyle name="Percent 4 8 3 4" xfId="38465"/>
    <cellStyle name="Percent 4 8 3 4 2" xfId="38466"/>
    <cellStyle name="Percent 4 8 3 4 2 2" xfId="38467"/>
    <cellStyle name="Percent 4 8 3 4 2 2 2" xfId="38468"/>
    <cellStyle name="Percent 4 8 3 4 2 2 3" xfId="38469"/>
    <cellStyle name="Percent 4 8 3 4 2 3" xfId="38470"/>
    <cellStyle name="Percent 4 8 3 4 2 3 2" xfId="38471"/>
    <cellStyle name="Percent 4 8 3 4 2 3 3" xfId="38472"/>
    <cellStyle name="Percent 4 8 3 4 2 4" xfId="38473"/>
    <cellStyle name="Percent 4 8 3 4 2 5" xfId="38474"/>
    <cellStyle name="Percent 4 8 3 4 2 6" xfId="38475"/>
    <cellStyle name="Percent 4 8 3 4 2 7" xfId="38476"/>
    <cellStyle name="Percent 4 8 3 4 3" xfId="38477"/>
    <cellStyle name="Percent 4 8 3 4 3 2" xfId="38478"/>
    <cellStyle name="Percent 4 8 3 4 3 3" xfId="38479"/>
    <cellStyle name="Percent 4 8 3 4 4" xfId="38480"/>
    <cellStyle name="Percent 4 8 3 4 4 2" xfId="38481"/>
    <cellStyle name="Percent 4 8 3 4 4 3" xfId="38482"/>
    <cellStyle name="Percent 4 8 3 4 5" xfId="38483"/>
    <cellStyle name="Percent 4 8 3 4 6" xfId="38484"/>
    <cellStyle name="Percent 4 8 3 4 7" xfId="38485"/>
    <cellStyle name="Percent 4 8 3 4 8" xfId="38486"/>
    <cellStyle name="Percent 4 8 3 5" xfId="38487"/>
    <cellStyle name="Percent 4 8 3 5 2" xfId="38488"/>
    <cellStyle name="Percent 4 8 3 5 2 2" xfId="38489"/>
    <cellStyle name="Percent 4 8 3 5 2 3" xfId="38490"/>
    <cellStyle name="Percent 4 8 3 5 3" xfId="38491"/>
    <cellStyle name="Percent 4 8 3 5 3 2" xfId="38492"/>
    <cellStyle name="Percent 4 8 3 5 3 3" xfId="38493"/>
    <cellStyle name="Percent 4 8 3 5 4" xfId="38494"/>
    <cellStyle name="Percent 4 8 3 5 5" xfId="38495"/>
    <cellStyle name="Percent 4 8 3 5 6" xfId="38496"/>
    <cellStyle name="Percent 4 8 3 5 7" xfId="38497"/>
    <cellStyle name="Percent 4 8 3 6" xfId="38498"/>
    <cellStyle name="Percent 4 8 3 6 2" xfId="38499"/>
    <cellStyle name="Percent 4 8 3 6 3" xfId="38500"/>
    <cellStyle name="Percent 4 8 3 7" xfId="38501"/>
    <cellStyle name="Percent 4 8 3 7 2" xfId="38502"/>
    <cellStyle name="Percent 4 8 3 7 3" xfId="38503"/>
    <cellStyle name="Percent 4 8 3 8" xfId="38504"/>
    <cellStyle name="Percent 4 8 3 9" xfId="38505"/>
    <cellStyle name="Percent 4 8 4" xfId="38506"/>
    <cellStyle name="Percent 4 8 4 10" xfId="38507"/>
    <cellStyle name="Percent 4 8 4 11" xfId="38508"/>
    <cellStyle name="Percent 4 8 4 2" xfId="38509"/>
    <cellStyle name="Percent 4 8 4 2 2" xfId="38510"/>
    <cellStyle name="Percent 4 8 4 2 2 2" xfId="38511"/>
    <cellStyle name="Percent 4 8 4 2 2 2 2" xfId="38512"/>
    <cellStyle name="Percent 4 8 4 2 2 2 2 2" xfId="38513"/>
    <cellStyle name="Percent 4 8 4 2 2 2 2 3" xfId="38514"/>
    <cellStyle name="Percent 4 8 4 2 2 2 3" xfId="38515"/>
    <cellStyle name="Percent 4 8 4 2 2 2 3 2" xfId="38516"/>
    <cellStyle name="Percent 4 8 4 2 2 2 3 3" xfId="38517"/>
    <cellStyle name="Percent 4 8 4 2 2 2 4" xfId="38518"/>
    <cellStyle name="Percent 4 8 4 2 2 2 5" xfId="38519"/>
    <cellStyle name="Percent 4 8 4 2 2 2 6" xfId="38520"/>
    <cellStyle name="Percent 4 8 4 2 2 2 7" xfId="38521"/>
    <cellStyle name="Percent 4 8 4 2 2 3" xfId="38522"/>
    <cellStyle name="Percent 4 8 4 2 2 3 2" xfId="38523"/>
    <cellStyle name="Percent 4 8 4 2 2 3 3" xfId="38524"/>
    <cellStyle name="Percent 4 8 4 2 2 4" xfId="38525"/>
    <cellStyle name="Percent 4 8 4 2 2 4 2" xfId="38526"/>
    <cellStyle name="Percent 4 8 4 2 2 4 3" xfId="38527"/>
    <cellStyle name="Percent 4 8 4 2 2 5" xfId="38528"/>
    <cellStyle name="Percent 4 8 4 2 2 6" xfId="38529"/>
    <cellStyle name="Percent 4 8 4 2 2 7" xfId="38530"/>
    <cellStyle name="Percent 4 8 4 2 2 8" xfId="38531"/>
    <cellStyle name="Percent 4 8 4 2 3" xfId="38532"/>
    <cellStyle name="Percent 4 8 4 2 3 2" xfId="38533"/>
    <cellStyle name="Percent 4 8 4 2 3 2 2" xfId="38534"/>
    <cellStyle name="Percent 4 8 4 2 3 2 3" xfId="38535"/>
    <cellStyle name="Percent 4 8 4 2 3 3" xfId="38536"/>
    <cellStyle name="Percent 4 8 4 2 3 3 2" xfId="38537"/>
    <cellStyle name="Percent 4 8 4 2 3 3 3" xfId="38538"/>
    <cellStyle name="Percent 4 8 4 2 3 4" xfId="38539"/>
    <cellStyle name="Percent 4 8 4 2 3 5" xfId="38540"/>
    <cellStyle name="Percent 4 8 4 2 3 6" xfId="38541"/>
    <cellStyle name="Percent 4 8 4 2 3 7" xfId="38542"/>
    <cellStyle name="Percent 4 8 4 2 4" xfId="38543"/>
    <cellStyle name="Percent 4 8 4 2 4 2" xfId="38544"/>
    <cellStyle name="Percent 4 8 4 2 4 3" xfId="38545"/>
    <cellStyle name="Percent 4 8 4 2 5" xfId="38546"/>
    <cellStyle name="Percent 4 8 4 2 5 2" xfId="38547"/>
    <cellStyle name="Percent 4 8 4 2 5 3" xfId="38548"/>
    <cellStyle name="Percent 4 8 4 2 6" xfId="38549"/>
    <cellStyle name="Percent 4 8 4 2 7" xfId="38550"/>
    <cellStyle name="Percent 4 8 4 2 8" xfId="38551"/>
    <cellStyle name="Percent 4 8 4 2 9" xfId="38552"/>
    <cellStyle name="Percent 4 8 4 3" xfId="38553"/>
    <cellStyle name="Percent 4 8 4 3 2" xfId="38554"/>
    <cellStyle name="Percent 4 8 4 3 2 2" xfId="38555"/>
    <cellStyle name="Percent 4 8 4 3 2 2 2" xfId="38556"/>
    <cellStyle name="Percent 4 8 4 3 2 2 3" xfId="38557"/>
    <cellStyle name="Percent 4 8 4 3 2 3" xfId="38558"/>
    <cellStyle name="Percent 4 8 4 3 2 3 2" xfId="38559"/>
    <cellStyle name="Percent 4 8 4 3 2 3 3" xfId="38560"/>
    <cellStyle name="Percent 4 8 4 3 2 4" xfId="38561"/>
    <cellStyle name="Percent 4 8 4 3 2 5" xfId="38562"/>
    <cellStyle name="Percent 4 8 4 3 2 6" xfId="38563"/>
    <cellStyle name="Percent 4 8 4 3 2 7" xfId="38564"/>
    <cellStyle name="Percent 4 8 4 3 3" xfId="38565"/>
    <cellStyle name="Percent 4 8 4 3 3 2" xfId="38566"/>
    <cellStyle name="Percent 4 8 4 3 3 3" xfId="38567"/>
    <cellStyle name="Percent 4 8 4 3 4" xfId="38568"/>
    <cellStyle name="Percent 4 8 4 3 4 2" xfId="38569"/>
    <cellStyle name="Percent 4 8 4 3 4 3" xfId="38570"/>
    <cellStyle name="Percent 4 8 4 3 5" xfId="38571"/>
    <cellStyle name="Percent 4 8 4 3 6" xfId="38572"/>
    <cellStyle name="Percent 4 8 4 3 7" xfId="38573"/>
    <cellStyle name="Percent 4 8 4 3 8" xfId="38574"/>
    <cellStyle name="Percent 4 8 4 4" xfId="38575"/>
    <cellStyle name="Percent 4 8 4 4 2" xfId="38576"/>
    <cellStyle name="Percent 4 8 4 4 2 2" xfId="38577"/>
    <cellStyle name="Percent 4 8 4 4 2 2 2" xfId="38578"/>
    <cellStyle name="Percent 4 8 4 4 2 2 3" xfId="38579"/>
    <cellStyle name="Percent 4 8 4 4 2 3" xfId="38580"/>
    <cellStyle name="Percent 4 8 4 4 2 3 2" xfId="38581"/>
    <cellStyle name="Percent 4 8 4 4 2 3 3" xfId="38582"/>
    <cellStyle name="Percent 4 8 4 4 2 4" xfId="38583"/>
    <cellStyle name="Percent 4 8 4 4 2 5" xfId="38584"/>
    <cellStyle name="Percent 4 8 4 4 2 6" xfId="38585"/>
    <cellStyle name="Percent 4 8 4 4 2 7" xfId="38586"/>
    <cellStyle name="Percent 4 8 4 4 3" xfId="38587"/>
    <cellStyle name="Percent 4 8 4 4 3 2" xfId="38588"/>
    <cellStyle name="Percent 4 8 4 4 3 3" xfId="38589"/>
    <cellStyle name="Percent 4 8 4 4 4" xfId="38590"/>
    <cellStyle name="Percent 4 8 4 4 4 2" xfId="38591"/>
    <cellStyle name="Percent 4 8 4 4 4 3" xfId="38592"/>
    <cellStyle name="Percent 4 8 4 4 5" xfId="38593"/>
    <cellStyle name="Percent 4 8 4 4 6" xfId="38594"/>
    <cellStyle name="Percent 4 8 4 4 7" xfId="38595"/>
    <cellStyle name="Percent 4 8 4 4 8" xfId="38596"/>
    <cellStyle name="Percent 4 8 4 5" xfId="38597"/>
    <cellStyle name="Percent 4 8 4 5 2" xfId="38598"/>
    <cellStyle name="Percent 4 8 4 5 2 2" xfId="38599"/>
    <cellStyle name="Percent 4 8 4 5 2 3" xfId="38600"/>
    <cellStyle name="Percent 4 8 4 5 3" xfId="38601"/>
    <cellStyle name="Percent 4 8 4 5 3 2" xfId="38602"/>
    <cellStyle name="Percent 4 8 4 5 3 3" xfId="38603"/>
    <cellStyle name="Percent 4 8 4 5 4" xfId="38604"/>
    <cellStyle name="Percent 4 8 4 5 5" xfId="38605"/>
    <cellStyle name="Percent 4 8 4 5 6" xfId="38606"/>
    <cellStyle name="Percent 4 8 4 5 7" xfId="38607"/>
    <cellStyle name="Percent 4 8 4 6" xfId="38608"/>
    <cellStyle name="Percent 4 8 4 6 2" xfId="38609"/>
    <cellStyle name="Percent 4 8 4 6 3" xfId="38610"/>
    <cellStyle name="Percent 4 8 4 7" xfId="38611"/>
    <cellStyle name="Percent 4 8 4 7 2" xfId="38612"/>
    <cellStyle name="Percent 4 8 4 7 3" xfId="38613"/>
    <cellStyle name="Percent 4 8 4 8" xfId="38614"/>
    <cellStyle name="Percent 4 8 4 9" xfId="38615"/>
    <cellStyle name="Percent 4 8 5" xfId="38616"/>
    <cellStyle name="Percent 4 8 5 10" xfId="38617"/>
    <cellStyle name="Percent 4 8 5 11" xfId="38618"/>
    <cellStyle name="Percent 4 8 5 2" xfId="38619"/>
    <cellStyle name="Percent 4 8 5 2 2" xfId="38620"/>
    <cellStyle name="Percent 4 8 5 2 2 2" xfId="38621"/>
    <cellStyle name="Percent 4 8 5 2 2 2 2" xfId="38622"/>
    <cellStyle name="Percent 4 8 5 2 2 2 2 2" xfId="38623"/>
    <cellStyle name="Percent 4 8 5 2 2 2 2 3" xfId="38624"/>
    <cellStyle name="Percent 4 8 5 2 2 2 3" xfId="38625"/>
    <cellStyle name="Percent 4 8 5 2 2 2 3 2" xfId="38626"/>
    <cellStyle name="Percent 4 8 5 2 2 2 3 3" xfId="38627"/>
    <cellStyle name="Percent 4 8 5 2 2 2 4" xfId="38628"/>
    <cellStyle name="Percent 4 8 5 2 2 2 5" xfId="38629"/>
    <cellStyle name="Percent 4 8 5 2 2 2 6" xfId="38630"/>
    <cellStyle name="Percent 4 8 5 2 2 2 7" xfId="38631"/>
    <cellStyle name="Percent 4 8 5 2 2 3" xfId="38632"/>
    <cellStyle name="Percent 4 8 5 2 2 3 2" xfId="38633"/>
    <cellStyle name="Percent 4 8 5 2 2 3 3" xfId="38634"/>
    <cellStyle name="Percent 4 8 5 2 2 4" xfId="38635"/>
    <cellStyle name="Percent 4 8 5 2 2 4 2" xfId="38636"/>
    <cellStyle name="Percent 4 8 5 2 2 4 3" xfId="38637"/>
    <cellStyle name="Percent 4 8 5 2 2 5" xfId="38638"/>
    <cellStyle name="Percent 4 8 5 2 2 6" xfId="38639"/>
    <cellStyle name="Percent 4 8 5 2 2 7" xfId="38640"/>
    <cellStyle name="Percent 4 8 5 2 2 8" xfId="38641"/>
    <cellStyle name="Percent 4 8 5 2 3" xfId="38642"/>
    <cellStyle name="Percent 4 8 5 2 3 2" xfId="38643"/>
    <cellStyle name="Percent 4 8 5 2 3 2 2" xfId="38644"/>
    <cellStyle name="Percent 4 8 5 2 3 2 3" xfId="38645"/>
    <cellStyle name="Percent 4 8 5 2 3 3" xfId="38646"/>
    <cellStyle name="Percent 4 8 5 2 3 3 2" xfId="38647"/>
    <cellStyle name="Percent 4 8 5 2 3 3 3" xfId="38648"/>
    <cellStyle name="Percent 4 8 5 2 3 4" xfId="38649"/>
    <cellStyle name="Percent 4 8 5 2 3 5" xfId="38650"/>
    <cellStyle name="Percent 4 8 5 2 3 6" xfId="38651"/>
    <cellStyle name="Percent 4 8 5 2 3 7" xfId="38652"/>
    <cellStyle name="Percent 4 8 5 2 4" xfId="38653"/>
    <cellStyle name="Percent 4 8 5 2 4 2" xfId="38654"/>
    <cellStyle name="Percent 4 8 5 2 4 3" xfId="38655"/>
    <cellStyle name="Percent 4 8 5 2 5" xfId="38656"/>
    <cellStyle name="Percent 4 8 5 2 5 2" xfId="38657"/>
    <cellStyle name="Percent 4 8 5 2 5 3" xfId="38658"/>
    <cellStyle name="Percent 4 8 5 2 6" xfId="38659"/>
    <cellStyle name="Percent 4 8 5 2 7" xfId="38660"/>
    <cellStyle name="Percent 4 8 5 2 8" xfId="38661"/>
    <cellStyle name="Percent 4 8 5 2 9" xfId="38662"/>
    <cellStyle name="Percent 4 8 5 3" xfId="38663"/>
    <cellStyle name="Percent 4 8 5 3 2" xfId="38664"/>
    <cellStyle name="Percent 4 8 5 3 2 2" xfId="38665"/>
    <cellStyle name="Percent 4 8 5 3 2 2 2" xfId="38666"/>
    <cellStyle name="Percent 4 8 5 3 2 2 3" xfId="38667"/>
    <cellStyle name="Percent 4 8 5 3 2 3" xfId="38668"/>
    <cellStyle name="Percent 4 8 5 3 2 3 2" xfId="38669"/>
    <cellStyle name="Percent 4 8 5 3 2 3 3" xfId="38670"/>
    <cellStyle name="Percent 4 8 5 3 2 4" xfId="38671"/>
    <cellStyle name="Percent 4 8 5 3 2 5" xfId="38672"/>
    <cellStyle name="Percent 4 8 5 3 2 6" xfId="38673"/>
    <cellStyle name="Percent 4 8 5 3 2 7" xfId="38674"/>
    <cellStyle name="Percent 4 8 5 3 3" xfId="38675"/>
    <cellStyle name="Percent 4 8 5 3 3 2" xfId="38676"/>
    <cellStyle name="Percent 4 8 5 3 3 3" xfId="38677"/>
    <cellStyle name="Percent 4 8 5 3 4" xfId="38678"/>
    <cellStyle name="Percent 4 8 5 3 4 2" xfId="38679"/>
    <cellStyle name="Percent 4 8 5 3 4 3" xfId="38680"/>
    <cellStyle name="Percent 4 8 5 3 5" xfId="38681"/>
    <cellStyle name="Percent 4 8 5 3 6" xfId="38682"/>
    <cellStyle name="Percent 4 8 5 3 7" xfId="38683"/>
    <cellStyle name="Percent 4 8 5 3 8" xfId="38684"/>
    <cellStyle name="Percent 4 8 5 4" xfId="38685"/>
    <cellStyle name="Percent 4 8 5 4 2" xfId="38686"/>
    <cellStyle name="Percent 4 8 5 4 2 2" xfId="38687"/>
    <cellStyle name="Percent 4 8 5 4 2 2 2" xfId="38688"/>
    <cellStyle name="Percent 4 8 5 4 2 2 3" xfId="38689"/>
    <cellStyle name="Percent 4 8 5 4 2 3" xfId="38690"/>
    <cellStyle name="Percent 4 8 5 4 2 3 2" xfId="38691"/>
    <cellStyle name="Percent 4 8 5 4 2 3 3" xfId="38692"/>
    <cellStyle name="Percent 4 8 5 4 2 4" xfId="38693"/>
    <cellStyle name="Percent 4 8 5 4 2 5" xfId="38694"/>
    <cellStyle name="Percent 4 8 5 4 2 6" xfId="38695"/>
    <cellStyle name="Percent 4 8 5 4 2 7" xfId="38696"/>
    <cellStyle name="Percent 4 8 5 4 3" xfId="38697"/>
    <cellStyle name="Percent 4 8 5 4 3 2" xfId="38698"/>
    <cellStyle name="Percent 4 8 5 4 3 3" xfId="38699"/>
    <cellStyle name="Percent 4 8 5 4 4" xfId="38700"/>
    <cellStyle name="Percent 4 8 5 4 4 2" xfId="38701"/>
    <cellStyle name="Percent 4 8 5 4 4 3" xfId="38702"/>
    <cellStyle name="Percent 4 8 5 4 5" xfId="38703"/>
    <cellStyle name="Percent 4 8 5 4 6" xfId="38704"/>
    <cellStyle name="Percent 4 8 5 4 7" xfId="38705"/>
    <cellStyle name="Percent 4 8 5 4 8" xfId="38706"/>
    <cellStyle name="Percent 4 8 5 5" xfId="38707"/>
    <cellStyle name="Percent 4 8 5 5 2" xfId="38708"/>
    <cellStyle name="Percent 4 8 5 5 2 2" xfId="38709"/>
    <cellStyle name="Percent 4 8 5 5 2 3" xfId="38710"/>
    <cellStyle name="Percent 4 8 5 5 3" xfId="38711"/>
    <cellStyle name="Percent 4 8 5 5 3 2" xfId="38712"/>
    <cellStyle name="Percent 4 8 5 5 3 3" xfId="38713"/>
    <cellStyle name="Percent 4 8 5 5 4" xfId="38714"/>
    <cellStyle name="Percent 4 8 5 5 5" xfId="38715"/>
    <cellStyle name="Percent 4 8 5 5 6" xfId="38716"/>
    <cellStyle name="Percent 4 8 5 5 7" xfId="38717"/>
    <cellStyle name="Percent 4 8 5 6" xfId="38718"/>
    <cellStyle name="Percent 4 8 5 6 2" xfId="38719"/>
    <cellStyle name="Percent 4 8 5 6 3" xfId="38720"/>
    <cellStyle name="Percent 4 8 5 7" xfId="38721"/>
    <cellStyle name="Percent 4 8 5 7 2" xfId="38722"/>
    <cellStyle name="Percent 4 8 5 7 3" xfId="38723"/>
    <cellStyle name="Percent 4 8 5 8" xfId="38724"/>
    <cellStyle name="Percent 4 8 5 9" xfId="38725"/>
    <cellStyle name="Percent 4 8 6" xfId="38726"/>
    <cellStyle name="Percent 4 8 6 10" xfId="38727"/>
    <cellStyle name="Percent 4 8 6 11" xfId="38728"/>
    <cellStyle name="Percent 4 8 6 2" xfId="38729"/>
    <cellStyle name="Percent 4 8 6 2 2" xfId="38730"/>
    <cellStyle name="Percent 4 8 6 2 2 2" xfId="38731"/>
    <cellStyle name="Percent 4 8 6 2 2 2 2" xfId="38732"/>
    <cellStyle name="Percent 4 8 6 2 2 2 2 2" xfId="38733"/>
    <cellStyle name="Percent 4 8 6 2 2 2 2 3" xfId="38734"/>
    <cellStyle name="Percent 4 8 6 2 2 2 3" xfId="38735"/>
    <cellStyle name="Percent 4 8 6 2 2 2 3 2" xfId="38736"/>
    <cellStyle name="Percent 4 8 6 2 2 2 3 3" xfId="38737"/>
    <cellStyle name="Percent 4 8 6 2 2 2 4" xfId="38738"/>
    <cellStyle name="Percent 4 8 6 2 2 2 5" xfId="38739"/>
    <cellStyle name="Percent 4 8 6 2 2 2 6" xfId="38740"/>
    <cellStyle name="Percent 4 8 6 2 2 2 7" xfId="38741"/>
    <cellStyle name="Percent 4 8 6 2 2 3" xfId="38742"/>
    <cellStyle name="Percent 4 8 6 2 2 3 2" xfId="38743"/>
    <cellStyle name="Percent 4 8 6 2 2 3 3" xfId="38744"/>
    <cellStyle name="Percent 4 8 6 2 2 4" xfId="38745"/>
    <cellStyle name="Percent 4 8 6 2 2 4 2" xfId="38746"/>
    <cellStyle name="Percent 4 8 6 2 2 4 3" xfId="38747"/>
    <cellStyle name="Percent 4 8 6 2 2 5" xfId="38748"/>
    <cellStyle name="Percent 4 8 6 2 2 6" xfId="38749"/>
    <cellStyle name="Percent 4 8 6 2 2 7" xfId="38750"/>
    <cellStyle name="Percent 4 8 6 2 2 8" xfId="38751"/>
    <cellStyle name="Percent 4 8 6 2 3" xfId="38752"/>
    <cellStyle name="Percent 4 8 6 2 3 2" xfId="38753"/>
    <cellStyle name="Percent 4 8 6 2 3 2 2" xfId="38754"/>
    <cellStyle name="Percent 4 8 6 2 3 2 3" xfId="38755"/>
    <cellStyle name="Percent 4 8 6 2 3 3" xfId="38756"/>
    <cellStyle name="Percent 4 8 6 2 3 3 2" xfId="38757"/>
    <cellStyle name="Percent 4 8 6 2 3 3 3" xfId="38758"/>
    <cellStyle name="Percent 4 8 6 2 3 4" xfId="38759"/>
    <cellStyle name="Percent 4 8 6 2 3 5" xfId="38760"/>
    <cellStyle name="Percent 4 8 6 2 3 6" xfId="38761"/>
    <cellStyle name="Percent 4 8 6 2 3 7" xfId="38762"/>
    <cellStyle name="Percent 4 8 6 2 4" xfId="38763"/>
    <cellStyle name="Percent 4 8 6 2 4 2" xfId="38764"/>
    <cellStyle name="Percent 4 8 6 2 4 3" xfId="38765"/>
    <cellStyle name="Percent 4 8 6 2 5" xfId="38766"/>
    <cellStyle name="Percent 4 8 6 2 5 2" xfId="38767"/>
    <cellStyle name="Percent 4 8 6 2 5 3" xfId="38768"/>
    <cellStyle name="Percent 4 8 6 2 6" xfId="38769"/>
    <cellStyle name="Percent 4 8 6 2 7" xfId="38770"/>
    <cellStyle name="Percent 4 8 6 2 8" xfId="38771"/>
    <cellStyle name="Percent 4 8 6 2 9" xfId="38772"/>
    <cellStyle name="Percent 4 8 6 3" xfId="38773"/>
    <cellStyle name="Percent 4 8 6 3 2" xfId="38774"/>
    <cellStyle name="Percent 4 8 6 3 2 2" xfId="38775"/>
    <cellStyle name="Percent 4 8 6 3 2 2 2" xfId="38776"/>
    <cellStyle name="Percent 4 8 6 3 2 2 3" xfId="38777"/>
    <cellStyle name="Percent 4 8 6 3 2 3" xfId="38778"/>
    <cellStyle name="Percent 4 8 6 3 2 3 2" xfId="38779"/>
    <cellStyle name="Percent 4 8 6 3 2 3 3" xfId="38780"/>
    <cellStyle name="Percent 4 8 6 3 2 4" xfId="38781"/>
    <cellStyle name="Percent 4 8 6 3 2 5" xfId="38782"/>
    <cellStyle name="Percent 4 8 6 3 2 6" xfId="38783"/>
    <cellStyle name="Percent 4 8 6 3 2 7" xfId="38784"/>
    <cellStyle name="Percent 4 8 6 3 3" xfId="38785"/>
    <cellStyle name="Percent 4 8 6 3 3 2" xfId="38786"/>
    <cellStyle name="Percent 4 8 6 3 3 3" xfId="38787"/>
    <cellStyle name="Percent 4 8 6 3 4" xfId="38788"/>
    <cellStyle name="Percent 4 8 6 3 4 2" xfId="38789"/>
    <cellStyle name="Percent 4 8 6 3 4 3" xfId="38790"/>
    <cellStyle name="Percent 4 8 6 3 5" xfId="38791"/>
    <cellStyle name="Percent 4 8 6 3 6" xfId="38792"/>
    <cellStyle name="Percent 4 8 6 3 7" xfId="38793"/>
    <cellStyle name="Percent 4 8 6 3 8" xfId="38794"/>
    <cellStyle name="Percent 4 8 6 4" xfId="38795"/>
    <cellStyle name="Percent 4 8 6 4 2" xfId="38796"/>
    <cellStyle name="Percent 4 8 6 4 2 2" xfId="38797"/>
    <cellStyle name="Percent 4 8 6 4 2 2 2" xfId="38798"/>
    <cellStyle name="Percent 4 8 6 4 2 2 3" xfId="38799"/>
    <cellStyle name="Percent 4 8 6 4 2 3" xfId="38800"/>
    <cellStyle name="Percent 4 8 6 4 2 3 2" xfId="38801"/>
    <cellStyle name="Percent 4 8 6 4 2 3 3" xfId="38802"/>
    <cellStyle name="Percent 4 8 6 4 2 4" xfId="38803"/>
    <cellStyle name="Percent 4 8 6 4 2 5" xfId="38804"/>
    <cellStyle name="Percent 4 8 6 4 2 6" xfId="38805"/>
    <cellStyle name="Percent 4 8 6 4 2 7" xfId="38806"/>
    <cellStyle name="Percent 4 8 6 4 3" xfId="38807"/>
    <cellStyle name="Percent 4 8 6 4 3 2" xfId="38808"/>
    <cellStyle name="Percent 4 8 6 4 3 3" xfId="38809"/>
    <cellStyle name="Percent 4 8 6 4 4" xfId="38810"/>
    <cellStyle name="Percent 4 8 6 4 4 2" xfId="38811"/>
    <cellStyle name="Percent 4 8 6 4 4 3" xfId="38812"/>
    <cellStyle name="Percent 4 8 6 4 5" xfId="38813"/>
    <cellStyle name="Percent 4 8 6 4 6" xfId="38814"/>
    <cellStyle name="Percent 4 8 6 4 7" xfId="38815"/>
    <cellStyle name="Percent 4 8 6 4 8" xfId="38816"/>
    <cellStyle name="Percent 4 8 6 5" xfId="38817"/>
    <cellStyle name="Percent 4 8 6 5 2" xfId="38818"/>
    <cellStyle name="Percent 4 8 6 5 2 2" xfId="38819"/>
    <cellStyle name="Percent 4 8 6 5 2 3" xfId="38820"/>
    <cellStyle name="Percent 4 8 6 5 3" xfId="38821"/>
    <cellStyle name="Percent 4 8 6 5 3 2" xfId="38822"/>
    <cellStyle name="Percent 4 8 6 5 3 3" xfId="38823"/>
    <cellStyle name="Percent 4 8 6 5 4" xfId="38824"/>
    <cellStyle name="Percent 4 8 6 5 5" xfId="38825"/>
    <cellStyle name="Percent 4 8 6 5 6" xfId="38826"/>
    <cellStyle name="Percent 4 8 6 5 7" xfId="38827"/>
    <cellStyle name="Percent 4 8 6 6" xfId="38828"/>
    <cellStyle name="Percent 4 8 6 6 2" xfId="38829"/>
    <cellStyle name="Percent 4 8 6 6 3" xfId="38830"/>
    <cellStyle name="Percent 4 8 6 7" xfId="38831"/>
    <cellStyle name="Percent 4 8 6 7 2" xfId="38832"/>
    <cellStyle name="Percent 4 8 6 7 3" xfId="38833"/>
    <cellStyle name="Percent 4 8 6 8" xfId="38834"/>
    <cellStyle name="Percent 4 8 6 9" xfId="38835"/>
    <cellStyle name="Percent 4 8 7" xfId="38836"/>
    <cellStyle name="Percent 4 8 7 2" xfId="38837"/>
    <cellStyle name="Percent 4 8 7 2 2" xfId="38838"/>
    <cellStyle name="Percent 4 8 7 2 2 2" xfId="38839"/>
    <cellStyle name="Percent 4 8 7 2 2 2 2" xfId="38840"/>
    <cellStyle name="Percent 4 8 7 2 2 2 3" xfId="38841"/>
    <cellStyle name="Percent 4 8 7 2 2 3" xfId="38842"/>
    <cellStyle name="Percent 4 8 7 2 2 3 2" xfId="38843"/>
    <cellStyle name="Percent 4 8 7 2 2 3 3" xfId="38844"/>
    <cellStyle name="Percent 4 8 7 2 2 4" xfId="38845"/>
    <cellStyle name="Percent 4 8 7 2 2 5" xfId="38846"/>
    <cellStyle name="Percent 4 8 7 2 2 6" xfId="38847"/>
    <cellStyle name="Percent 4 8 7 2 2 7" xfId="38848"/>
    <cellStyle name="Percent 4 8 7 2 3" xfId="38849"/>
    <cellStyle name="Percent 4 8 7 2 3 2" xfId="38850"/>
    <cellStyle name="Percent 4 8 7 2 3 3" xfId="38851"/>
    <cellStyle name="Percent 4 8 7 2 4" xfId="38852"/>
    <cellStyle name="Percent 4 8 7 2 4 2" xfId="38853"/>
    <cellStyle name="Percent 4 8 7 2 4 3" xfId="38854"/>
    <cellStyle name="Percent 4 8 7 2 5" xfId="38855"/>
    <cellStyle name="Percent 4 8 7 2 6" xfId="38856"/>
    <cellStyle name="Percent 4 8 7 2 7" xfId="38857"/>
    <cellStyle name="Percent 4 8 7 2 8" xfId="38858"/>
    <cellStyle name="Percent 4 8 7 3" xfId="38859"/>
    <cellStyle name="Percent 4 8 7 3 2" xfId="38860"/>
    <cellStyle name="Percent 4 8 7 3 2 2" xfId="38861"/>
    <cellStyle name="Percent 4 8 7 3 2 3" xfId="38862"/>
    <cellStyle name="Percent 4 8 7 3 3" xfId="38863"/>
    <cellStyle name="Percent 4 8 7 3 3 2" xfId="38864"/>
    <cellStyle name="Percent 4 8 7 3 3 3" xfId="38865"/>
    <cellStyle name="Percent 4 8 7 3 4" xfId="38866"/>
    <cellStyle name="Percent 4 8 7 3 5" xfId="38867"/>
    <cellStyle name="Percent 4 8 7 3 6" xfId="38868"/>
    <cellStyle name="Percent 4 8 7 3 7" xfId="38869"/>
    <cellStyle name="Percent 4 8 7 4" xfId="38870"/>
    <cellStyle name="Percent 4 8 7 4 2" xfId="38871"/>
    <cellStyle name="Percent 4 8 7 4 3" xfId="38872"/>
    <cellStyle name="Percent 4 8 7 5" xfId="38873"/>
    <cellStyle name="Percent 4 8 7 5 2" xfId="38874"/>
    <cellStyle name="Percent 4 8 7 5 3" xfId="38875"/>
    <cellStyle name="Percent 4 8 7 6" xfId="38876"/>
    <cellStyle name="Percent 4 8 7 7" xfId="38877"/>
    <cellStyle name="Percent 4 8 7 8" xfId="38878"/>
    <cellStyle name="Percent 4 8 7 9" xfId="38879"/>
    <cellStyle name="Percent 4 8 8" xfId="38880"/>
    <cellStyle name="Percent 4 8 8 2" xfId="38881"/>
    <cellStyle name="Percent 4 8 8 2 2" xfId="38882"/>
    <cellStyle name="Percent 4 8 8 2 2 2" xfId="38883"/>
    <cellStyle name="Percent 4 8 8 2 2 3" xfId="38884"/>
    <cellStyle name="Percent 4 8 8 2 3" xfId="38885"/>
    <cellStyle name="Percent 4 8 8 2 3 2" xfId="38886"/>
    <cellStyle name="Percent 4 8 8 2 3 3" xfId="38887"/>
    <cellStyle name="Percent 4 8 8 2 4" xfId="38888"/>
    <cellStyle name="Percent 4 8 8 2 5" xfId="38889"/>
    <cellStyle name="Percent 4 8 8 2 6" xfId="38890"/>
    <cellStyle name="Percent 4 8 8 2 7" xfId="38891"/>
    <cellStyle name="Percent 4 8 8 3" xfId="38892"/>
    <cellStyle name="Percent 4 8 8 3 2" xfId="38893"/>
    <cellStyle name="Percent 4 8 8 3 3" xfId="38894"/>
    <cellStyle name="Percent 4 8 8 4" xfId="38895"/>
    <cellStyle name="Percent 4 8 8 4 2" xfId="38896"/>
    <cellStyle name="Percent 4 8 8 4 3" xfId="38897"/>
    <cellStyle name="Percent 4 8 8 5" xfId="38898"/>
    <cellStyle name="Percent 4 8 8 6" xfId="38899"/>
    <cellStyle name="Percent 4 8 8 7" xfId="38900"/>
    <cellStyle name="Percent 4 8 8 8" xfId="38901"/>
    <cellStyle name="Percent 4 8 9" xfId="38902"/>
    <cellStyle name="Percent 4 8 9 2" xfId="38903"/>
    <cellStyle name="Percent 4 8 9 2 2" xfId="38904"/>
    <cellStyle name="Percent 4 8 9 2 2 2" xfId="38905"/>
    <cellStyle name="Percent 4 8 9 2 2 3" xfId="38906"/>
    <cellStyle name="Percent 4 8 9 2 3" xfId="38907"/>
    <cellStyle name="Percent 4 8 9 2 3 2" xfId="38908"/>
    <cellStyle name="Percent 4 8 9 2 3 3" xfId="38909"/>
    <cellStyle name="Percent 4 8 9 2 4" xfId="38910"/>
    <cellStyle name="Percent 4 8 9 2 5" xfId="38911"/>
    <cellStyle name="Percent 4 8 9 2 6" xfId="38912"/>
    <cellStyle name="Percent 4 8 9 2 7" xfId="38913"/>
    <cellStyle name="Percent 4 8 9 3" xfId="38914"/>
    <cellStyle name="Percent 4 8 9 3 2" xfId="38915"/>
    <cellStyle name="Percent 4 8 9 3 3" xfId="38916"/>
    <cellStyle name="Percent 4 8 9 4" xfId="38917"/>
    <cellStyle name="Percent 4 8 9 4 2" xfId="38918"/>
    <cellStyle name="Percent 4 8 9 4 3" xfId="38919"/>
    <cellStyle name="Percent 4 8 9 5" xfId="38920"/>
    <cellStyle name="Percent 4 8 9 6" xfId="38921"/>
    <cellStyle name="Percent 4 8 9 7" xfId="38922"/>
    <cellStyle name="Percent 4 8 9 8" xfId="38923"/>
    <cellStyle name="Percent 4 9" xfId="38924"/>
    <cellStyle name="Percent 4 9 2" xfId="38925"/>
    <cellStyle name="Percent 4 9 2 2" xfId="38926"/>
    <cellStyle name="Percent 4 9 3" xfId="38927"/>
    <cellStyle name="Percent 4 9 4" xfId="38928"/>
    <cellStyle name="Percent 4 9 5" xfId="38929"/>
    <cellStyle name="Percent 4_Design" xfId="38930"/>
    <cellStyle name="Percent 40" xfId="38931"/>
    <cellStyle name="Percent 40 2" xfId="38932"/>
    <cellStyle name="Percent 41" xfId="38933"/>
    <cellStyle name="Percent 42" xfId="38934"/>
    <cellStyle name="Percent 43" xfId="38935"/>
    <cellStyle name="Percent 44" xfId="38936"/>
    <cellStyle name="Percent 45" xfId="38937"/>
    <cellStyle name="Percent 46" xfId="38938"/>
    <cellStyle name="Percent 47" xfId="38939"/>
    <cellStyle name="Percent 48" xfId="38940"/>
    <cellStyle name="Percent 49" xfId="38941"/>
    <cellStyle name="Percent 5" xfId="38942"/>
    <cellStyle name="Percent 5 10" xfId="38943"/>
    <cellStyle name="Percent 5 11" xfId="38944"/>
    <cellStyle name="Percent 5 12" xfId="38945"/>
    <cellStyle name="Percent 5 13" xfId="38946"/>
    <cellStyle name="Percent 5 14" xfId="38947"/>
    <cellStyle name="Percent 5 15" xfId="38948"/>
    <cellStyle name="Percent 5 16" xfId="38949"/>
    <cellStyle name="Percent 5 17" xfId="38950"/>
    <cellStyle name="Percent 5 18" xfId="38951"/>
    <cellStyle name="Percent 5 2" xfId="38952"/>
    <cellStyle name="Percent 5 2 2" xfId="38953"/>
    <cellStyle name="Percent 5 2 2 2" xfId="38954"/>
    <cellStyle name="Percent 5 2 2 3" xfId="38955"/>
    <cellStyle name="Percent 5 2 2 4" xfId="38956"/>
    <cellStyle name="Percent 5 2 3" xfId="38957"/>
    <cellStyle name="Percent 5 2 3 2" xfId="38958"/>
    <cellStyle name="Percent 5 2 4" xfId="38959"/>
    <cellStyle name="Percent 5 2 5" xfId="38960"/>
    <cellStyle name="Percent 5 2 6" xfId="38961"/>
    <cellStyle name="Percent 5 3" xfId="38962"/>
    <cellStyle name="Percent 5 3 2" xfId="38963"/>
    <cellStyle name="Percent 5 3 2 2" xfId="38964"/>
    <cellStyle name="Percent 5 3 3" xfId="38965"/>
    <cellStyle name="Percent 5 3 4" xfId="38966"/>
    <cellStyle name="Percent 5 3 5" xfId="38967"/>
    <cellStyle name="Percent 5 4" xfId="38968"/>
    <cellStyle name="Percent 5 4 2" xfId="38969"/>
    <cellStyle name="Percent 5 4 2 2" xfId="38970"/>
    <cellStyle name="Percent 5 4 3" xfId="38971"/>
    <cellStyle name="Percent 5 4 4" xfId="38972"/>
    <cellStyle name="Percent 5 4 5" xfId="38973"/>
    <cellStyle name="Percent 5 5" xfId="38974"/>
    <cellStyle name="Percent 5 5 2" xfId="38975"/>
    <cellStyle name="Percent 5 5 2 2" xfId="38976"/>
    <cellStyle name="Percent 5 5 3" xfId="38977"/>
    <cellStyle name="Percent 5 5 4" xfId="38978"/>
    <cellStyle name="Percent 5 5 5" xfId="38979"/>
    <cellStyle name="Percent 5 6" xfId="38980"/>
    <cellStyle name="Percent 5 6 2" xfId="38981"/>
    <cellStyle name="Percent 5 6 2 2" xfId="38982"/>
    <cellStyle name="Percent 5 6 3" xfId="38983"/>
    <cellStyle name="Percent 5 6 4" xfId="38984"/>
    <cellStyle name="Percent 5 6 5" xfId="38985"/>
    <cellStyle name="Percent 5 7" xfId="38986"/>
    <cellStyle name="Percent 5 7 2" xfId="38987"/>
    <cellStyle name="Percent 5 8" xfId="38988"/>
    <cellStyle name="Percent 5 8 2" xfId="38989"/>
    <cellStyle name="Percent 5 9" xfId="38990"/>
    <cellStyle name="Percent 5 9 2" xfId="38991"/>
    <cellStyle name="Percent 50" xfId="38992"/>
    <cellStyle name="Percent 51" xfId="38993"/>
    <cellStyle name="Percent 52" xfId="38994"/>
    <cellStyle name="Percent 53" xfId="38995"/>
    <cellStyle name="Percent 54" xfId="38996"/>
    <cellStyle name="Percent 6" xfId="38997"/>
    <cellStyle name="Percent 6 10" xfId="38998"/>
    <cellStyle name="Percent 6 10 2" xfId="38999"/>
    <cellStyle name="Percent 6 11" xfId="39000"/>
    <cellStyle name="Percent 6 12" xfId="39001"/>
    <cellStyle name="Percent 6 13" xfId="39002"/>
    <cellStyle name="Percent 6 14" xfId="39003"/>
    <cellStyle name="Percent 6 15" xfId="39004"/>
    <cellStyle name="Percent 6 16" xfId="39005"/>
    <cellStyle name="Percent 6 17" xfId="39006"/>
    <cellStyle name="Percent 6 18" xfId="39007"/>
    <cellStyle name="Percent 6 19" xfId="39008"/>
    <cellStyle name="Percent 6 2" xfId="39009"/>
    <cellStyle name="Percent 6 2 10" xfId="39010"/>
    <cellStyle name="Percent 6 2 11" xfId="39011"/>
    <cellStyle name="Percent 6 2 12" xfId="39012"/>
    <cellStyle name="Percent 6 2 13" xfId="39013"/>
    <cellStyle name="Percent 6 2 14" xfId="39014"/>
    <cellStyle name="Percent 6 2 15" xfId="39015"/>
    <cellStyle name="Percent 6 2 16" xfId="39016"/>
    <cellStyle name="Percent 6 2 17" xfId="39017"/>
    <cellStyle name="Percent 6 2 18" xfId="39018"/>
    <cellStyle name="Percent 6 2 2" xfId="39019"/>
    <cellStyle name="Percent 6 2 2 2" xfId="39020"/>
    <cellStyle name="Percent 6 2 2 2 2" xfId="39021"/>
    <cellStyle name="Percent 6 2 2 3" xfId="39022"/>
    <cellStyle name="Percent 6 2 2 4" xfId="39023"/>
    <cellStyle name="Percent 6 2 2 5" xfId="39024"/>
    <cellStyle name="Percent 6 2 3" xfId="39025"/>
    <cellStyle name="Percent 6 2 3 2" xfId="39026"/>
    <cellStyle name="Percent 6 2 3 2 2" xfId="39027"/>
    <cellStyle name="Percent 6 2 3 3" xfId="39028"/>
    <cellStyle name="Percent 6 2 3 4" xfId="39029"/>
    <cellStyle name="Percent 6 2 3 5" xfId="39030"/>
    <cellStyle name="Percent 6 2 4" xfId="39031"/>
    <cellStyle name="Percent 6 2 4 2" xfId="39032"/>
    <cellStyle name="Percent 6 2 4 2 2" xfId="39033"/>
    <cellStyle name="Percent 6 2 4 3" xfId="39034"/>
    <cellStyle name="Percent 6 2 4 4" xfId="39035"/>
    <cellStyle name="Percent 6 2 4 5" xfId="39036"/>
    <cellStyle name="Percent 6 2 5" xfId="39037"/>
    <cellStyle name="Percent 6 2 5 2" xfId="39038"/>
    <cellStyle name="Percent 6 2 5 2 2" xfId="39039"/>
    <cellStyle name="Percent 6 2 5 3" xfId="39040"/>
    <cellStyle name="Percent 6 2 5 4" xfId="39041"/>
    <cellStyle name="Percent 6 2 5 5" xfId="39042"/>
    <cellStyle name="Percent 6 2 6" xfId="39043"/>
    <cellStyle name="Percent 6 2 6 2" xfId="39044"/>
    <cellStyle name="Percent 6 2 6 2 2" xfId="39045"/>
    <cellStyle name="Percent 6 2 6 3" xfId="39046"/>
    <cellStyle name="Percent 6 2 6 4" xfId="39047"/>
    <cellStyle name="Percent 6 2 6 5" xfId="39048"/>
    <cellStyle name="Percent 6 2 7" xfId="39049"/>
    <cellStyle name="Percent 6 2 7 2" xfId="39050"/>
    <cellStyle name="Percent 6 2 8" xfId="39051"/>
    <cellStyle name="Percent 6 2 8 2" xfId="39052"/>
    <cellStyle name="Percent 6 2 9" xfId="39053"/>
    <cellStyle name="Percent 6 2 9 2" xfId="39054"/>
    <cellStyle name="Percent 6 3" xfId="39055"/>
    <cellStyle name="Percent 6 3 2" xfId="39056"/>
    <cellStyle name="Percent 6 3 2 2" xfId="39057"/>
    <cellStyle name="Percent 6 3 3" xfId="39058"/>
    <cellStyle name="Percent 6 3 4" xfId="39059"/>
    <cellStyle name="Percent 6 3 5" xfId="39060"/>
    <cellStyle name="Percent 6 4" xfId="39061"/>
    <cellStyle name="Percent 6 4 2" xfId="39062"/>
    <cellStyle name="Percent 6 4 2 2" xfId="39063"/>
    <cellStyle name="Percent 6 4 3" xfId="39064"/>
    <cellStyle name="Percent 6 4 4" xfId="39065"/>
    <cellStyle name="Percent 6 4 5" xfId="39066"/>
    <cellStyle name="Percent 6 5" xfId="39067"/>
    <cellStyle name="Percent 6 5 2" xfId="39068"/>
    <cellStyle name="Percent 6 5 2 2" xfId="39069"/>
    <cellStyle name="Percent 6 5 3" xfId="39070"/>
    <cellStyle name="Percent 6 5 4" xfId="39071"/>
    <cellStyle name="Percent 6 5 5" xfId="39072"/>
    <cellStyle name="Percent 6 6" xfId="39073"/>
    <cellStyle name="Percent 6 6 2" xfId="39074"/>
    <cellStyle name="Percent 6 6 2 2" xfId="39075"/>
    <cellStyle name="Percent 6 6 3" xfId="39076"/>
    <cellStyle name="Percent 6 6 4" xfId="39077"/>
    <cellStyle name="Percent 6 6 5" xfId="39078"/>
    <cellStyle name="Percent 6 7" xfId="39079"/>
    <cellStyle name="Percent 6 7 2" xfId="39080"/>
    <cellStyle name="Percent 6 7 2 2" xfId="39081"/>
    <cellStyle name="Percent 6 7 3" xfId="39082"/>
    <cellStyle name="Percent 6 7 4" xfId="39083"/>
    <cellStyle name="Percent 6 7 5" xfId="39084"/>
    <cellStyle name="Percent 6 8" xfId="39085"/>
    <cellStyle name="Percent 6 8 2" xfId="39086"/>
    <cellStyle name="Percent 6 9" xfId="39087"/>
    <cellStyle name="Percent 6 9 2" xfId="39088"/>
    <cellStyle name="Percent 7" xfId="39089"/>
    <cellStyle name="Percent 7 2" xfId="39090"/>
    <cellStyle name="Percent 7 2 2" xfId="39091"/>
    <cellStyle name="Percent 7 2 2 2" xfId="39092"/>
    <cellStyle name="Percent 7 2 2 3" xfId="39093"/>
    <cellStyle name="Percent 7 2 2 4" xfId="39094"/>
    <cellStyle name="Percent 7 2 3" xfId="39095"/>
    <cellStyle name="Percent 7 2 3 2" xfId="39096"/>
    <cellStyle name="Percent 7 2 4" xfId="39097"/>
    <cellStyle name="Percent 7 2 5" xfId="39098"/>
    <cellStyle name="Percent 7 2 6" xfId="39099"/>
    <cellStyle name="Percent 7 3" xfId="39100"/>
    <cellStyle name="Percent 7 3 2" xfId="39101"/>
    <cellStyle name="Percent 7 3 3" xfId="39102"/>
    <cellStyle name="Percent 7 3 4" xfId="39103"/>
    <cellStyle name="Percent 7 4" xfId="39104"/>
    <cellStyle name="Percent 7 4 2" xfId="39105"/>
    <cellStyle name="Percent 7 5" xfId="39106"/>
    <cellStyle name="Percent 7 6" xfId="39107"/>
    <cellStyle name="Percent 7 7" xfId="39108"/>
    <cellStyle name="Percent 8" xfId="39109"/>
    <cellStyle name="Percent 8 2" xfId="39110"/>
    <cellStyle name="Percent 8 2 10" xfId="39111"/>
    <cellStyle name="Percent 8 2 11" xfId="39112"/>
    <cellStyle name="Percent 8 2 12" xfId="39113"/>
    <cellStyle name="Percent 8 2 13" xfId="39114"/>
    <cellStyle name="Percent 8 2 14" xfId="39115"/>
    <cellStyle name="Percent 8 2 15" xfId="39116"/>
    <cellStyle name="Percent 8 2 16" xfId="39117"/>
    <cellStyle name="Percent 8 2 17" xfId="39118"/>
    <cellStyle name="Percent 8 2 18" xfId="39119"/>
    <cellStyle name="Percent 8 2 2" xfId="39120"/>
    <cellStyle name="Percent 8 2 2 2" xfId="39121"/>
    <cellStyle name="Percent 8 2 2 2 2" xfId="39122"/>
    <cellStyle name="Percent 8 2 2 3" xfId="39123"/>
    <cellStyle name="Percent 8 2 2 4" xfId="39124"/>
    <cellStyle name="Percent 8 2 2 5" xfId="39125"/>
    <cellStyle name="Percent 8 2 3" xfId="39126"/>
    <cellStyle name="Percent 8 2 3 2" xfId="39127"/>
    <cellStyle name="Percent 8 2 3 2 2" xfId="39128"/>
    <cellStyle name="Percent 8 2 3 3" xfId="39129"/>
    <cellStyle name="Percent 8 2 3 4" xfId="39130"/>
    <cellStyle name="Percent 8 2 3 5" xfId="39131"/>
    <cellStyle name="Percent 8 2 4" xfId="39132"/>
    <cellStyle name="Percent 8 2 4 2" xfId="39133"/>
    <cellStyle name="Percent 8 2 4 2 2" xfId="39134"/>
    <cellStyle name="Percent 8 2 4 3" xfId="39135"/>
    <cellStyle name="Percent 8 2 4 4" xfId="39136"/>
    <cellStyle name="Percent 8 2 4 5" xfId="39137"/>
    <cellStyle name="Percent 8 2 5" xfId="39138"/>
    <cellStyle name="Percent 8 2 5 2" xfId="39139"/>
    <cellStyle name="Percent 8 2 5 2 2" xfId="39140"/>
    <cellStyle name="Percent 8 2 5 3" xfId="39141"/>
    <cellStyle name="Percent 8 2 5 4" xfId="39142"/>
    <cellStyle name="Percent 8 2 5 5" xfId="39143"/>
    <cellStyle name="Percent 8 2 6" xfId="39144"/>
    <cellStyle name="Percent 8 2 6 2" xfId="39145"/>
    <cellStyle name="Percent 8 2 6 2 2" xfId="39146"/>
    <cellStyle name="Percent 8 2 6 3" xfId="39147"/>
    <cellStyle name="Percent 8 2 6 4" xfId="39148"/>
    <cellStyle name="Percent 8 2 6 5" xfId="39149"/>
    <cellStyle name="Percent 8 2 7" xfId="39150"/>
    <cellStyle name="Percent 8 2 7 2" xfId="39151"/>
    <cellStyle name="Percent 8 2 8" xfId="39152"/>
    <cellStyle name="Percent 8 2 8 2" xfId="39153"/>
    <cellStyle name="Percent 8 2 9" xfId="39154"/>
    <cellStyle name="Percent 8 2 9 2" xfId="39155"/>
    <cellStyle name="Percent 8 3" xfId="39156"/>
    <cellStyle name="Percent 8 4" xfId="39157"/>
    <cellStyle name="Percent 8 5" xfId="39158"/>
    <cellStyle name="Percent 9" xfId="39159"/>
    <cellStyle name="Percent 9 2" xfId="39160"/>
    <cellStyle name="Percent 9 2 2" xfId="39161"/>
    <cellStyle name="Percent 9 2 3" xfId="39162"/>
    <cellStyle name="Percent 9 2 4" xfId="39163"/>
    <cellStyle name="Percent 9 3" xfId="39164"/>
    <cellStyle name="Percent 9 4" xfId="39165"/>
    <cellStyle name="Percent 9 5" xfId="39166"/>
    <cellStyle name="RevList" xfId="39167"/>
    <cellStyle name="RevList 2" xfId="39168"/>
    <cellStyle name="RevList 2 2" xfId="39169"/>
    <cellStyle name="RevList 2 2 2" xfId="39170"/>
    <cellStyle name="RevList 2 3" xfId="39171"/>
    <cellStyle name="RevList 2 4" xfId="39172"/>
    <cellStyle name="RevList 2 5" xfId="39173"/>
    <cellStyle name="RevList 3" xfId="39174"/>
    <cellStyle name="RevList 3 2" xfId="39175"/>
    <cellStyle name="RevList 3 2 2" xfId="39176"/>
    <cellStyle name="RevList 3 3" xfId="39177"/>
    <cellStyle name="RevList 3 4" xfId="39178"/>
    <cellStyle name="RevList 3 5" xfId="39179"/>
    <cellStyle name="RevList 4" xfId="39180"/>
    <cellStyle name="RevList 4 2" xfId="39181"/>
    <cellStyle name="RevList 5" xfId="39182"/>
    <cellStyle name="RevList 6" xfId="39183"/>
    <cellStyle name="RevList 7" xfId="39184"/>
    <cellStyle name="RowLevel_0" xfId="39185"/>
    <cellStyle name="Sheet Title" xfId="39186"/>
    <cellStyle name="Sheet Title 2" xfId="39187"/>
    <cellStyle name="Sheet Title 2 2" xfId="39188"/>
    <cellStyle name="Sheet Title 2 2 2" xfId="39189"/>
    <cellStyle name="Sheet Title 2 3" xfId="39190"/>
    <cellStyle name="Sheet Title 2 4" xfId="39191"/>
    <cellStyle name="Sheet Title 2 5" xfId="39192"/>
    <cellStyle name="Sheet Title 3" xfId="39193"/>
    <cellStyle name="Sheet Title 3 2" xfId="39194"/>
    <cellStyle name="Sheet Title 3 2 2" xfId="39195"/>
    <cellStyle name="Sheet Title 3 3" xfId="39196"/>
    <cellStyle name="Sheet Title 3 4" xfId="39197"/>
    <cellStyle name="Sheet Title 3 5" xfId="39198"/>
    <cellStyle name="Sheet Title 4" xfId="39199"/>
    <cellStyle name="Sheet Title 4 2" xfId="39200"/>
    <cellStyle name="Sheet Title 5" xfId="39201"/>
    <cellStyle name="Sheet Title 6" xfId="39202"/>
    <cellStyle name="Sheet Title 7" xfId="39203"/>
    <cellStyle name="style" xfId="39204"/>
    <cellStyle name="Style 1" xfId="39205"/>
    <cellStyle name="Style 1 2" xfId="39206"/>
    <cellStyle name="Style 1 2 2" xfId="39207"/>
    <cellStyle name="Style 1 2 2 2" xfId="39208"/>
    <cellStyle name="Style 1 2 3" xfId="39209"/>
    <cellStyle name="Style 1 2 4" xfId="39210"/>
    <cellStyle name="Style 1 2 5" xfId="39211"/>
    <cellStyle name="Style 1 3" xfId="39212"/>
    <cellStyle name="Style 1 3 2" xfId="39213"/>
    <cellStyle name="Style 1 3 2 2" xfId="39214"/>
    <cellStyle name="Style 1 3 3" xfId="39215"/>
    <cellStyle name="Style 1 3 4" xfId="39216"/>
    <cellStyle name="Style 1 3 5" xfId="39217"/>
    <cellStyle name="Style 1 4" xfId="39218"/>
    <cellStyle name="Style 1 4 2" xfId="39219"/>
    <cellStyle name="Style 1 5" xfId="39220"/>
    <cellStyle name="Style 1 6" xfId="39221"/>
    <cellStyle name="Style 1 7" xfId="39222"/>
    <cellStyle name="Style 1_Hostel building est silparupa" xfId="39223"/>
    <cellStyle name="style 10" xfId="39224"/>
    <cellStyle name="style 11" xfId="39225"/>
    <cellStyle name="style 12" xfId="39226"/>
    <cellStyle name="style 13" xfId="39227"/>
    <cellStyle name="style 14" xfId="39228"/>
    <cellStyle name="style 15" xfId="39229"/>
    <cellStyle name="style 16" xfId="39230"/>
    <cellStyle name="style 2" xfId="39231"/>
    <cellStyle name="style 2 2" xfId="39232"/>
    <cellStyle name="style 2 2 2" xfId="39233"/>
    <cellStyle name="style 2 2 3" xfId="39234"/>
    <cellStyle name="style 2 2 4" xfId="39235"/>
    <cellStyle name="style 2 3" xfId="39236"/>
    <cellStyle name="style 2 3 2" xfId="39237"/>
    <cellStyle name="style 2 4" xfId="39238"/>
    <cellStyle name="style 2 5" xfId="39239"/>
    <cellStyle name="style 2 6" xfId="39240"/>
    <cellStyle name="style 2_PMGSY Check list" xfId="39241"/>
    <cellStyle name="style 3" xfId="39242"/>
    <cellStyle name="style 3 2" xfId="39243"/>
    <cellStyle name="style 3 2 2" xfId="39244"/>
    <cellStyle name="style 3 3" xfId="39245"/>
    <cellStyle name="style 3 4" xfId="39246"/>
    <cellStyle name="style 3 5" xfId="39247"/>
    <cellStyle name="style 4" xfId="39248"/>
    <cellStyle name="style 4 2" xfId="39249"/>
    <cellStyle name="style 5" xfId="39250"/>
    <cellStyle name="style 5 2" xfId="39251"/>
    <cellStyle name="style 6" xfId="39252"/>
    <cellStyle name="style 7" xfId="39253"/>
    <cellStyle name="style 8" xfId="39254"/>
    <cellStyle name="style 9" xfId="39255"/>
    <cellStyle name="style_1_Pattapupalem_road estt-NCRMP" xfId="39256"/>
    <cellStyle name="style1" xfId="39257"/>
    <cellStyle name="style1 2" xfId="39258"/>
    <cellStyle name="style1 2 2" xfId="39259"/>
    <cellStyle name="style1 2 2 2" xfId="39260"/>
    <cellStyle name="style1 2 2 3" xfId="39261"/>
    <cellStyle name="style1 2 2 4" xfId="39262"/>
    <cellStyle name="style1 2 3" xfId="39263"/>
    <cellStyle name="style1 2 3 2" xfId="39264"/>
    <cellStyle name="style1 2 4" xfId="39265"/>
    <cellStyle name="style1 2 5" xfId="39266"/>
    <cellStyle name="style1 2 6" xfId="39267"/>
    <cellStyle name="style1 2_PMGSY Check list" xfId="39268"/>
    <cellStyle name="style1 3" xfId="39269"/>
    <cellStyle name="style1 3 2" xfId="39270"/>
    <cellStyle name="style1 3 2 2" xfId="39271"/>
    <cellStyle name="style1 3 3" xfId="39272"/>
    <cellStyle name="style1 3 4" xfId="39273"/>
    <cellStyle name="style1 3 5" xfId="39274"/>
    <cellStyle name="style1 4" xfId="39275"/>
    <cellStyle name="style1 4 2" xfId="39276"/>
    <cellStyle name="style1 5" xfId="39277"/>
    <cellStyle name="style1 5 2" xfId="39278"/>
    <cellStyle name="style1 6" xfId="39279"/>
    <cellStyle name="style1 7" xfId="39280"/>
    <cellStyle name="style1_Kallepally-Gunturpalli (Bejjenki)6m-2v" xfId="39281"/>
    <cellStyle name="style2" xfId="39282"/>
    <cellStyle name="style2 2" xfId="39283"/>
    <cellStyle name="style2 2 2" xfId="39284"/>
    <cellStyle name="style2 2 2 2" xfId="39285"/>
    <cellStyle name="style2 2 2 3" xfId="39286"/>
    <cellStyle name="style2 2 2 4" xfId="39287"/>
    <cellStyle name="style2 2 3" xfId="39288"/>
    <cellStyle name="style2 2 3 2" xfId="39289"/>
    <cellStyle name="style2 2 4" xfId="39290"/>
    <cellStyle name="style2 2 5" xfId="39291"/>
    <cellStyle name="style2 2 6" xfId="39292"/>
    <cellStyle name="style2 2_PMGSY Check list" xfId="39293"/>
    <cellStyle name="style2 3" xfId="39294"/>
    <cellStyle name="style2 3 2" xfId="39295"/>
    <cellStyle name="style2 3 2 2" xfId="39296"/>
    <cellStyle name="style2 3 3" xfId="39297"/>
    <cellStyle name="style2 3 4" xfId="39298"/>
    <cellStyle name="style2 3 5" xfId="39299"/>
    <cellStyle name="style2 4" xfId="39300"/>
    <cellStyle name="style2 4 2" xfId="39301"/>
    <cellStyle name="style2 5" xfId="39302"/>
    <cellStyle name="style2 5 2" xfId="39303"/>
    <cellStyle name="style2 6" xfId="39304"/>
    <cellStyle name="style2 7" xfId="39305"/>
    <cellStyle name="style2_Kallepally-Gunturpalli (Bejjenki)6m-2v" xfId="39306"/>
    <cellStyle name="Sub Head" xfId="39307"/>
    <cellStyle name="Sub Head 2" xfId="39308"/>
    <cellStyle name="Sub Head 2 2" xfId="39309"/>
    <cellStyle name="Sub Head 2 2 2" xfId="39310"/>
    <cellStyle name="Sub Head 2 3" xfId="39311"/>
    <cellStyle name="Sub Head 2 4" xfId="39312"/>
    <cellStyle name="Sub Head 2 5" xfId="39313"/>
    <cellStyle name="Sub Head 3" xfId="39314"/>
    <cellStyle name="Sub Head 3 2" xfId="39315"/>
    <cellStyle name="Sub Head 3 2 2" xfId="39316"/>
    <cellStyle name="Sub Head 3 3" xfId="39317"/>
    <cellStyle name="Sub Head 3 4" xfId="39318"/>
    <cellStyle name="Sub Head 3 5" xfId="39319"/>
    <cellStyle name="Sub Head 4" xfId="39320"/>
    <cellStyle name="Sub Head 4 2" xfId="39321"/>
    <cellStyle name="Sub Head 5" xfId="39322"/>
    <cellStyle name="Sub Head 6" xfId="39323"/>
    <cellStyle name="Sub Head 7" xfId="39324"/>
    <cellStyle name="Subtotal" xfId="39325"/>
    <cellStyle name="Subtotal 2" xfId="39326"/>
    <cellStyle name="Subtotal 2 2" xfId="39327"/>
    <cellStyle name="Subtotal 2 2 2" xfId="39328"/>
    <cellStyle name="Subtotal 2 3" xfId="39329"/>
    <cellStyle name="Subtotal 2 4" xfId="39330"/>
    <cellStyle name="Subtotal 2 5" xfId="39331"/>
    <cellStyle name="Subtotal 3" xfId="39332"/>
    <cellStyle name="Subtotal 3 2" xfId="39333"/>
    <cellStyle name="Subtotal 3 2 2" xfId="39334"/>
    <cellStyle name="Subtotal 3 3" xfId="39335"/>
    <cellStyle name="Subtotal 3 4" xfId="39336"/>
    <cellStyle name="Subtotal 3 5" xfId="39337"/>
    <cellStyle name="Subtotal 4" xfId="39338"/>
    <cellStyle name="Subtotal 4 2" xfId="39339"/>
    <cellStyle name="Subtotal 5" xfId="39340"/>
    <cellStyle name="Subtotal 6" xfId="39341"/>
    <cellStyle name="Subtotal 7" xfId="39342"/>
    <cellStyle name="text" xfId="39343"/>
    <cellStyle name="text 2" xfId="39344"/>
    <cellStyle name="text 2 2" xfId="39345"/>
    <cellStyle name="text 3" xfId="39346"/>
    <cellStyle name="text 4" xfId="39347"/>
    <cellStyle name="text 5" xfId="39348"/>
    <cellStyle name="þ_x001d_ð &amp;ý&amp;†ýG_x0008_ X_x000a__x0007__x0001__x0001_" xfId="39349"/>
    <cellStyle name="þ_x001d_ð &amp;ý&amp;†ýG_x0008_ X_x000a__x0007__x0001__x0001_ 10" xfId="39350"/>
    <cellStyle name="þ_x001d_ð &amp;ý&amp;†ýG_x0008_ X_x000a__x0007__x0001__x0001_ 11" xfId="39351"/>
    <cellStyle name="þ_x001d_ð &amp;ý&amp;†ýG_x0008_ X_x000a__x0007__x0001__x0001_ 12" xfId="39352"/>
    <cellStyle name="þ_x001d_ð &amp;ý&amp;†ýG_x0008_ X_x000a__x0007__x0001__x0001_ 13" xfId="39353"/>
    <cellStyle name="þ_x001d_ð &amp;ý&amp;†ýG_x0008_ X_x000a__x0007__x0001__x0001_ 14" xfId="39354"/>
    <cellStyle name="þ_x001d_ð &amp;ý&amp;†ýG_x0008_ X_x000a__x0007__x0001__x0001_ 15" xfId="39355"/>
    <cellStyle name="þ_x001d_ð &amp;ý&amp;†ýG_x0008_ X_x000a__x0007__x0001__x0001_ 16" xfId="39356"/>
    <cellStyle name="þ_x001d_ð &amp;ý&amp;†ýG_x0008_ X_x000a__x0007__x0001__x0001_ 17" xfId="39357"/>
    <cellStyle name="þ_x001d_ð &amp;ý&amp;†ýG_x0008_ X_x000a__x0007__x0001__x0001_ 18" xfId="39358"/>
    <cellStyle name="þ_x001d_ð &amp;ý&amp;†ýG_x0008_ X_x000a__x0007__x0001__x0001_ 2" xfId="39359"/>
    <cellStyle name="þ_x001d_ð &amp;ý&amp;†ýG_x0008_ X_x000a__x0007__x0001__x0001_ 2 2" xfId="39360"/>
    <cellStyle name="þ_x001d_ð &amp;ý&amp;†ýG_x0008_ X_x000a__x0007__x0001__x0001_ 2 2 2" xfId="39361"/>
    <cellStyle name="þ_x001d_ð &amp;ý&amp;†ýG_x0008_ X_x000a__x0007__x0001__x0001_ 2 3" xfId="39362"/>
    <cellStyle name="þ_x001d_ð &amp;ý&amp;†ýG_x0008_ X_x000a__x0007__x0001__x0001_ 2 4" xfId="39363"/>
    <cellStyle name="þ_x001d_ð &amp;ý&amp;†ýG_x0008_ X_x000a__x0007__x0001__x0001_ 2 5" xfId="39364"/>
    <cellStyle name="þ_x001d_ð &amp;ý&amp;†ýG_x0008_ X_x000a__x0007__x0001__x0001_ 3" xfId="39365"/>
    <cellStyle name="þ_x001d_ð &amp;ý&amp;†ýG_x0008_ X_x000a__x0007__x0001__x0001_ 3 2" xfId="39366"/>
    <cellStyle name="þ_x001d_ð &amp;ý&amp;†ýG_x0008_ X_x000a__x0007__x0001__x0001_ 3 2 2" xfId="39367"/>
    <cellStyle name="þ_x001d_ð &amp;ý&amp;†ýG_x0008_ X_x000a__x0007__x0001__x0001_ 3 3" xfId="39368"/>
    <cellStyle name="þ_x001d_ð &amp;ý&amp;†ýG_x0008_ X_x000a__x0007__x0001__x0001_ 3 4" xfId="39369"/>
    <cellStyle name="þ_x001d_ð &amp;ý&amp;†ýG_x0008_ X_x000a__x0007__x0001__x0001_ 3 5" xfId="39370"/>
    <cellStyle name="þ_x001d_ð &amp;ý&amp;†ýG_x0008_ X_x000a__x0007__x0001__x0001_ 4" xfId="39371"/>
    <cellStyle name="þ_x001d_ð &amp;ý&amp;†ýG_x0008_ X_x000a__x0007__x0001__x0001_ 4 2" xfId="39372"/>
    <cellStyle name="þ_x001d_ð &amp;ý&amp;†ýG_x0008_ X_x000a__x0007__x0001__x0001_ 4 2 2" xfId="39373"/>
    <cellStyle name="þ_x001d_ð &amp;ý&amp;†ýG_x0008_ X_x000a__x0007__x0001__x0001_ 4 3" xfId="39374"/>
    <cellStyle name="þ_x001d_ð &amp;ý&amp;†ýG_x0008_ X_x000a__x0007__x0001__x0001_ 4 4" xfId="39375"/>
    <cellStyle name="þ_x001d_ð &amp;ý&amp;†ýG_x0008_ X_x000a__x0007__x0001__x0001_ 4 5" xfId="39376"/>
    <cellStyle name="þ_x001d_ð &amp;ý&amp;†ýG_x0008_ X_x000a__x0007__x0001__x0001_ 5" xfId="39377"/>
    <cellStyle name="þ_x001d_ð &amp;ý&amp;†ýG_x0008_ X_x000a__x0007__x0001__x0001_ 5 2" xfId="39378"/>
    <cellStyle name="þ_x001d_ð &amp;ý&amp;†ýG_x0008_ X_x000a__x0007__x0001__x0001_ 5 2 2" xfId="39379"/>
    <cellStyle name="þ_x001d_ð &amp;ý&amp;†ýG_x0008_ X_x000a__x0007__x0001__x0001_ 5 3" xfId="39380"/>
    <cellStyle name="þ_x001d_ð &amp;ý&amp;†ýG_x0008_ X_x000a__x0007__x0001__x0001_ 5 4" xfId="39381"/>
    <cellStyle name="þ_x001d_ð &amp;ý&amp;†ýG_x0008_ X_x000a__x0007__x0001__x0001_ 5 5" xfId="39382"/>
    <cellStyle name="þ_x001d_ð &amp;ý&amp;†ýG_x0008_ X_x000a__x0007__x0001__x0001_ 6" xfId="39383"/>
    <cellStyle name="þ_x001d_ð &amp;ý&amp;†ýG_x0008_ X_x000a__x0007__x0001__x0001_ 6 2" xfId="39384"/>
    <cellStyle name="þ_x001d_ð &amp;ý&amp;†ýG_x0008_ X_x000a__x0007__x0001__x0001_ 6 2 2" xfId="39385"/>
    <cellStyle name="þ_x001d_ð &amp;ý&amp;†ýG_x0008_ X_x000a__x0007__x0001__x0001_ 6 3" xfId="39386"/>
    <cellStyle name="þ_x001d_ð &amp;ý&amp;†ýG_x0008_ X_x000a__x0007__x0001__x0001_ 6 4" xfId="39387"/>
    <cellStyle name="þ_x001d_ð &amp;ý&amp;†ýG_x0008_ X_x000a__x0007__x0001__x0001_ 6 5" xfId="39388"/>
    <cellStyle name="þ_x001d_ð &amp;ý&amp;†ýG_x0008_ X_x000a__x0007__x0001__x0001_ 7" xfId="39389"/>
    <cellStyle name="þ_x001d_ð &amp;ý&amp;†ýG_x0008_ X_x000a__x0007__x0001__x0001_ 7 2" xfId="39390"/>
    <cellStyle name="þ_x001d_ð &amp;ý&amp;†ýG_x0008_ X_x000a__x0007__x0001__x0001_ 8" xfId="39391"/>
    <cellStyle name="þ_x001d_ð &amp;ý&amp;†ýG_x0008_ X_x000a__x0007__x0001__x0001_ 8 2" xfId="39392"/>
    <cellStyle name="þ_x001d_ð &amp;ý&amp;†ýG_x0008_ X_x000a__x0007__x0001__x0001_ 9" xfId="39393"/>
    <cellStyle name="þ_x001d_ð &amp;ý&amp;†ýG_x0008_ X_x000a__x0007__x0001__x0001_ 9 2" xfId="39394"/>
    <cellStyle name="þ_x001d_ð&quot;_x000c_Býò_x000c_5ýU_x0001_e_x0005_¹,_x0007__x0001__x0001_" xfId="39395"/>
    <cellStyle name="þ_x001d_ð&quot;_x000c_Býò_x000c_5ýU_x0001_e_x0005_¹,_x0007__x0001__x0001_ 10" xfId="39396"/>
    <cellStyle name="þ_x001d_ð&quot;_x000c_Býò_x000c_5ýU_x0001_e_x0005_¹,_x0007__x0001__x0001_ 11" xfId="39397"/>
    <cellStyle name="þ_x001d_ð&quot;_x000c_Býò_x000c_5ýU_x0001_e_x0005_¹,_x0007__x0001__x0001_ 12" xfId="39398"/>
    <cellStyle name="þ_x001d_ð&quot;_x000c_Býò_x000c_5ýU_x0001_e_x0005_¹,_x0007__x0001__x0001_ 13" xfId="39399"/>
    <cellStyle name="þ_x001d_ð&quot;_x000c_Býò_x000c_5ýU_x0001_e_x0005_¹,_x0007__x0001__x0001_ 14" xfId="39400"/>
    <cellStyle name="þ_x001d_ð&quot;_x000c_Býò_x000c_5ýU_x0001_e_x0005_¹,_x0007__x0001__x0001_ 15" xfId="39401"/>
    <cellStyle name="þ_x001d_ð&quot;_x000c_Býò_x000c_5ýU_x0001_e_x0005_¹,_x0007__x0001__x0001_ 16" xfId="39402"/>
    <cellStyle name="þ_x001d_ð&quot;_x000c_Býò_x000c_5ýU_x0001_e_x0005_¹,_x0007__x0001__x0001_ 17" xfId="39403"/>
    <cellStyle name="þ_x001d_ð&quot;_x000c_Býò_x000c_5ýU_x0001_e_x0005_¹,_x0007__x0001__x0001_ 18" xfId="39404"/>
    <cellStyle name="þ_x001d_ð&quot;_x000c_Býò_x000c_5ýU_x0001_e_x0005_¹,_x0007__x0001__x0001_ 2" xfId="39405"/>
    <cellStyle name="þ_x001d_ð&quot;_x000c_Býò_x000c_5ýU_x0001_e_x0005_¹,_x0007__x0001__x0001_ 2 2" xfId="39406"/>
    <cellStyle name="þ_x001d_ð&quot;_x000c_Býò_x000c_5ýU_x0001_e_x0005_¹,_x0007__x0001__x0001_ 2 2 2" xfId="39407"/>
    <cellStyle name="þ_x001d_ð&quot;_x000c_Býò_x000c_5ýU_x0001_e_x0005_¹,_x0007__x0001__x0001_ 2 3" xfId="39408"/>
    <cellStyle name="þ_x001d_ð&quot;_x000c_Býò_x000c_5ýU_x0001_e_x0005_¹,_x0007__x0001__x0001_ 2 4" xfId="39409"/>
    <cellStyle name="þ_x001d_ð&quot;_x000c_Býò_x000c_5ýU_x0001_e_x0005_¹,_x0007__x0001__x0001_ 3" xfId="39410"/>
    <cellStyle name="þ_x001d_ð&quot;_x000c_Býò_x000c_5ýU_x0001_e_x0005_¹,_x0007__x0001__x0001_ 3 2" xfId="39411"/>
    <cellStyle name="þ_x001d_ð&quot;_x000c_Býò_x000c_5ýU_x0001_e_x0005_¹,_x0007__x0001__x0001_ 3 2 2" xfId="39412"/>
    <cellStyle name="þ_x001d_ð&quot;_x000c_Býò_x000c_5ýU_x0001_e_x0005_¹,_x0007__x0001__x0001_ 3 3" xfId="39413"/>
    <cellStyle name="þ_x001d_ð&quot;_x000c_Býò_x000c_5ýU_x0001_e_x0005_¹,_x0007__x0001__x0001_ 3 4" xfId="39414"/>
    <cellStyle name="þ_x001d_ð&quot;_x000c_Býò_x000c_5ýU_x0001_e_x0005_¹,_x0007__x0001__x0001_ 4" xfId="39415"/>
    <cellStyle name="þ_x001d_ð&quot;_x000c_Býò_x000c_5ýU_x0001_e_x0005_¹,_x0007__x0001__x0001_ 4 2" xfId="39416"/>
    <cellStyle name="þ_x001d_ð&quot;_x000c_Býò_x000c_5ýU_x0001_e_x0005_¹,_x0007__x0001__x0001_ 4 2 2" xfId="39417"/>
    <cellStyle name="þ_x001d_ð&quot;_x000c_Býò_x000c_5ýU_x0001_e_x0005_¹,_x0007__x0001__x0001_ 4 3" xfId="39418"/>
    <cellStyle name="þ_x001d_ð&quot;_x000c_Býò_x000c_5ýU_x0001_e_x0005_¹,_x0007__x0001__x0001_ 4 4" xfId="39419"/>
    <cellStyle name="þ_x001d_ð&quot;_x000c_Býò_x000c_5ýU_x0001_e_x0005_¹,_x0007__x0001__x0001_ 5" xfId="39420"/>
    <cellStyle name="þ_x001d_ð&quot;_x000c_Býò_x000c_5ýU_x0001_e_x0005_¹,_x0007__x0001__x0001_ 5 2" xfId="39421"/>
    <cellStyle name="þ_x001d_ð&quot;_x000c_Býò_x000c_5ýU_x0001_e_x0005_¹,_x0007__x0001__x0001_ 5 2 2" xfId="39422"/>
    <cellStyle name="þ_x001d_ð&quot;_x000c_Býò_x000c_5ýU_x0001_e_x0005_¹,_x0007__x0001__x0001_ 5 3" xfId="39423"/>
    <cellStyle name="þ_x001d_ð&quot;_x000c_Býò_x000c_5ýU_x0001_e_x0005_¹,_x0007__x0001__x0001_ 5 4" xfId="39424"/>
    <cellStyle name="þ_x001d_ð&quot;_x000c_Býò_x000c_5ýU_x0001_e_x0005_¹,_x0007__x0001__x0001_ 6" xfId="39425"/>
    <cellStyle name="þ_x001d_ð&quot;_x000c_Býò_x000c_5ýU_x0001_e_x0005_¹,_x0007__x0001__x0001_ 6 2" xfId="39426"/>
    <cellStyle name="þ_x001d_ð&quot;_x000c_Býò_x000c_5ýU_x0001_e_x0005_¹,_x0007__x0001__x0001_ 6 2 2" xfId="39427"/>
    <cellStyle name="þ_x001d_ð&quot;_x000c_Býò_x000c_5ýU_x0001_e_x0005_¹,_x0007__x0001__x0001_ 6 3" xfId="39428"/>
    <cellStyle name="þ_x001d_ð&quot;_x000c_Býò_x000c_5ýU_x0001_e_x0005_¹,_x0007__x0001__x0001_ 6 4" xfId="39429"/>
    <cellStyle name="þ_x001d_ð&quot;_x000c_Býò_x000c_5ýU_x0001_e_x0005_¹,_x0007__x0001__x0001_ 7" xfId="39430"/>
    <cellStyle name="þ_x001d_ð&quot;_x000c_Býò_x000c_5ýU_x0001_e_x0005_¹,_x0007__x0001__x0001_ 7 2" xfId="39431"/>
    <cellStyle name="þ_x001d_ð&quot;_x000c_Býò_x000c_5ýU_x0001_e_x0005_¹,_x0007__x0001__x0001_ 8" xfId="39432"/>
    <cellStyle name="þ_x001d_ð&quot;_x000c_Býò_x000c_5ýU_x0001_e_x0005_¹,_x0007__x0001__x0001_ 8 2" xfId="39433"/>
    <cellStyle name="þ_x001d_ð&quot;_x000c_Býò_x000c_5ýU_x0001_e_x0005_¹,_x0007__x0001__x0001_ 9" xfId="39434"/>
    <cellStyle name="þ_x001d_ð&quot;_x000c_Býò_x000c_5ýU_x0001_e_x0005_¹,_x0007__x0001__x0001_ 9 2" xfId="39435"/>
    <cellStyle name="þ_x001d_ð&quot;_x000c_Býò_x000c_5ýU_x0001_e_x0005_¹,_x0007__x0001__x0001__2015-16 MASTER CC ROAD &amp; DRAIN" xfId="39436"/>
    <cellStyle name="Times New Roman" xfId="39437"/>
    <cellStyle name="Times New Roman 2" xfId="39438"/>
    <cellStyle name="Times New Roman 2 2" xfId="39439"/>
    <cellStyle name="Times New Roman 2 2 2" xfId="39440"/>
    <cellStyle name="Times New Roman 2 3" xfId="39441"/>
    <cellStyle name="Times New Roman 2 4" xfId="39442"/>
    <cellStyle name="Times New Roman 2 5" xfId="39443"/>
    <cellStyle name="Times New Roman 3" xfId="39444"/>
    <cellStyle name="Times New Roman 3 2" xfId="39445"/>
    <cellStyle name="Times New Roman 3 2 2" xfId="39446"/>
    <cellStyle name="Times New Roman 3 3" xfId="39447"/>
    <cellStyle name="Times New Roman 3 4" xfId="39448"/>
    <cellStyle name="Times New Roman 3 5" xfId="39449"/>
    <cellStyle name="Times New Roman 4" xfId="39450"/>
    <cellStyle name="Times New Roman 4 2" xfId="39451"/>
    <cellStyle name="Times New Roman 5" xfId="39452"/>
    <cellStyle name="Times New Roman 6" xfId="39453"/>
    <cellStyle name="Times New Roman 7" xfId="39454"/>
    <cellStyle name="Title 2" xfId="39455"/>
    <cellStyle name="Title 2 2" xfId="39456"/>
    <cellStyle name="Title 2 2 2" xfId="39457"/>
    <cellStyle name="Title 2 2 2 2" xfId="39458"/>
    <cellStyle name="Title 2 2 3" xfId="39459"/>
    <cellStyle name="Title 2 2 4" xfId="39460"/>
    <cellStyle name="Title 2 2 5" xfId="39461"/>
    <cellStyle name="Title 2 3" xfId="39462"/>
    <cellStyle name="Title 2 3 2" xfId="39463"/>
    <cellStyle name="Title 2 3 2 2" xfId="39464"/>
    <cellStyle name="Title 2 3 3" xfId="39465"/>
    <cellStyle name="Title 2 3 4" xfId="39466"/>
    <cellStyle name="Title 2 3 5" xfId="39467"/>
    <cellStyle name="Title 2 4" xfId="39468"/>
    <cellStyle name="Title 2 4 2" xfId="39469"/>
    <cellStyle name="Title 2 5" xfId="39470"/>
    <cellStyle name="Title 2 6" xfId="39471"/>
    <cellStyle name="Title 2 7" xfId="39472"/>
    <cellStyle name="Title 3" xfId="39473"/>
    <cellStyle name="Title 3 2" xfId="39474"/>
    <cellStyle name="Title 3 2 2" xfId="39475"/>
    <cellStyle name="Title 3 3" xfId="39476"/>
    <cellStyle name="Title 3 4" xfId="39477"/>
    <cellStyle name="Title 3 5" xfId="39478"/>
    <cellStyle name="Title 4" xfId="39479"/>
    <cellStyle name="Title 4 2" xfId="39480"/>
    <cellStyle name="Title 4 3" xfId="39481"/>
    <cellStyle name="Title 4 4" xfId="39482"/>
    <cellStyle name="Title 5" xfId="39483"/>
    <cellStyle name="Title 5 2" xfId="39484"/>
    <cellStyle name="Title 5 3" xfId="39485"/>
    <cellStyle name="Title 5 4" xfId="39486"/>
    <cellStyle name="Title 6" xfId="39487"/>
    <cellStyle name="Title 6 2" xfId="39488"/>
    <cellStyle name="Total 2" xfId="39489"/>
    <cellStyle name="Total 2 2" xfId="39490"/>
    <cellStyle name="Total 2 2 2" xfId="39491"/>
    <cellStyle name="Total 2 2 2 2" xfId="39492"/>
    <cellStyle name="Total 2 2 3" xfId="39493"/>
    <cellStyle name="Total 2 2 4" xfId="39494"/>
    <cellStyle name="Total 2 2 5" xfId="39495"/>
    <cellStyle name="Total 2 3" xfId="39496"/>
    <cellStyle name="Total 2 3 2" xfId="39497"/>
    <cellStyle name="Total 2 3 2 2" xfId="39498"/>
    <cellStyle name="Total 2 3 3" xfId="39499"/>
    <cellStyle name="Total 2 3 4" xfId="39500"/>
    <cellStyle name="Total 2 3 5" xfId="39501"/>
    <cellStyle name="Total 2 4" xfId="39502"/>
    <cellStyle name="Total 2 4 2" xfId="39503"/>
    <cellStyle name="Total 2 5" xfId="39504"/>
    <cellStyle name="Total 2 6" xfId="39505"/>
    <cellStyle name="Total 2 7" xfId="39506"/>
    <cellStyle name="Total 3" xfId="39507"/>
    <cellStyle name="Total 3 2" xfId="39508"/>
    <cellStyle name="Total 3 2 2" xfId="39509"/>
    <cellStyle name="Total 3 3" xfId="39510"/>
    <cellStyle name="Total 3 4" xfId="39511"/>
    <cellStyle name="Total 3 5" xfId="39512"/>
    <cellStyle name="Total 4" xfId="39513"/>
    <cellStyle name="Total 4 2" xfId="39514"/>
    <cellStyle name="Total 4 3" xfId="39515"/>
    <cellStyle name="Total 4 4" xfId="39516"/>
    <cellStyle name="Total 5" xfId="39517"/>
    <cellStyle name="Total 5 2" xfId="39518"/>
    <cellStyle name="Total 5 3" xfId="39519"/>
    <cellStyle name="Total 5 4" xfId="39520"/>
    <cellStyle name="Total 6" xfId="39521"/>
    <cellStyle name="Total 6 2" xfId="39522"/>
    <cellStyle name="TRS" xfId="39523"/>
    <cellStyle name="TRS 2" xfId="39524"/>
    <cellStyle name="TRS 3" xfId="39525"/>
    <cellStyle name="TRS 4" xfId="39526"/>
    <cellStyle name="v" xfId="39527"/>
    <cellStyle name="v_25-8-2010  ABS &amp; Det" xfId="39528"/>
    <cellStyle name="v_Deverkadra 13.00" xfId="39529"/>
    <cellStyle name="v_Hajilapur 1.00 ( Bore well )" xfId="39530"/>
    <cellStyle name="v_Working Estimate 10.00" xfId="39531"/>
    <cellStyle name="Value" xfId="39532"/>
    <cellStyle name="Value 10" xfId="39533"/>
    <cellStyle name="Value 10 10" xfId="39534"/>
    <cellStyle name="Value 10 11" xfId="39535"/>
    <cellStyle name="Value 10 12" xfId="39536"/>
    <cellStyle name="Value 10 13" xfId="39537"/>
    <cellStyle name="Value 10 14" xfId="39538"/>
    <cellStyle name="Value 10 15" xfId="39539"/>
    <cellStyle name="Value 10 16" xfId="39540"/>
    <cellStyle name="Value 10 17" xfId="39541"/>
    <cellStyle name="Value 10 18" xfId="39542"/>
    <cellStyle name="Value 10 2" xfId="39543"/>
    <cellStyle name="Value 10 2 2" xfId="39544"/>
    <cellStyle name="Value 10 2 2 2" xfId="39545"/>
    <cellStyle name="Value 10 2 3" xfId="39546"/>
    <cellStyle name="Value 10 2 4" xfId="39547"/>
    <cellStyle name="Value 10 2 5" xfId="39548"/>
    <cellStyle name="Value 10 3" xfId="39549"/>
    <cellStyle name="Value 10 3 2" xfId="39550"/>
    <cellStyle name="Value 10 3 2 2" xfId="39551"/>
    <cellStyle name="Value 10 3 3" xfId="39552"/>
    <cellStyle name="Value 10 3 4" xfId="39553"/>
    <cellStyle name="Value 10 3 5" xfId="39554"/>
    <cellStyle name="Value 10 4" xfId="39555"/>
    <cellStyle name="Value 10 4 2" xfId="39556"/>
    <cellStyle name="Value 10 4 2 2" xfId="39557"/>
    <cellStyle name="Value 10 4 3" xfId="39558"/>
    <cellStyle name="Value 10 4 4" xfId="39559"/>
    <cellStyle name="Value 10 4 5" xfId="39560"/>
    <cellStyle name="Value 10 5" xfId="39561"/>
    <cellStyle name="Value 10 5 2" xfId="39562"/>
    <cellStyle name="Value 10 5 2 2" xfId="39563"/>
    <cellStyle name="Value 10 5 3" xfId="39564"/>
    <cellStyle name="Value 10 5 4" xfId="39565"/>
    <cellStyle name="Value 10 5 5" xfId="39566"/>
    <cellStyle name="Value 10 6" xfId="39567"/>
    <cellStyle name="Value 10 6 2" xfId="39568"/>
    <cellStyle name="Value 10 6 2 2" xfId="39569"/>
    <cellStyle name="Value 10 6 3" xfId="39570"/>
    <cellStyle name="Value 10 6 4" xfId="39571"/>
    <cellStyle name="Value 10 6 5" xfId="39572"/>
    <cellStyle name="Value 10 7" xfId="39573"/>
    <cellStyle name="Value 10 7 2" xfId="39574"/>
    <cellStyle name="Value 10 8" xfId="39575"/>
    <cellStyle name="Value 10 8 2" xfId="39576"/>
    <cellStyle name="Value 10 9" xfId="39577"/>
    <cellStyle name="Value 10 9 2" xfId="39578"/>
    <cellStyle name="Value 11" xfId="39579"/>
    <cellStyle name="Value 11 2" xfId="39580"/>
    <cellStyle name="Value 11 2 2" xfId="39581"/>
    <cellStyle name="Value 11 3" xfId="39582"/>
    <cellStyle name="Value 11 4" xfId="39583"/>
    <cellStyle name="Value 11 5" xfId="39584"/>
    <cellStyle name="Value 12" xfId="39585"/>
    <cellStyle name="Value 12 2" xfId="39586"/>
    <cellStyle name="Value 12 2 2" xfId="39587"/>
    <cellStyle name="Value 12 3" xfId="39588"/>
    <cellStyle name="Value 12 4" xfId="39589"/>
    <cellStyle name="Value 12 5" xfId="39590"/>
    <cellStyle name="Value 13" xfId="39591"/>
    <cellStyle name="Value 13 2" xfId="39592"/>
    <cellStyle name="Value 13 2 2" xfId="39593"/>
    <cellStyle name="Value 13 3" xfId="39594"/>
    <cellStyle name="Value 13 4" xfId="39595"/>
    <cellStyle name="Value 13 5" xfId="39596"/>
    <cellStyle name="Value 14" xfId="39597"/>
    <cellStyle name="Value 14 2" xfId="39598"/>
    <cellStyle name="Value 14 2 2" xfId="39599"/>
    <cellStyle name="Value 14 3" xfId="39600"/>
    <cellStyle name="Value 14 4" xfId="39601"/>
    <cellStyle name="Value 14 5" xfId="39602"/>
    <cellStyle name="Value 15" xfId="39603"/>
    <cellStyle name="Value 15 2" xfId="39604"/>
    <cellStyle name="Value 15 2 2" xfId="39605"/>
    <cellStyle name="Value 15 3" xfId="39606"/>
    <cellStyle name="Value 15 4" xfId="39607"/>
    <cellStyle name="Value 15 5" xfId="39608"/>
    <cellStyle name="Value 16" xfId="39609"/>
    <cellStyle name="Value 16 2" xfId="39610"/>
    <cellStyle name="Value 17" xfId="39611"/>
    <cellStyle name="Value 17 2" xfId="39612"/>
    <cellStyle name="Value 18" xfId="39613"/>
    <cellStyle name="Value 18 2" xfId="39614"/>
    <cellStyle name="Value 19" xfId="39615"/>
    <cellStyle name="Value 2" xfId="39616"/>
    <cellStyle name="Value 2 10" xfId="39617"/>
    <cellStyle name="Value 2 11" xfId="39618"/>
    <cellStyle name="Value 2 12" xfId="39619"/>
    <cellStyle name="Value 2 13" xfId="39620"/>
    <cellStyle name="Value 2 14" xfId="39621"/>
    <cellStyle name="Value 2 15" xfId="39622"/>
    <cellStyle name="Value 2 16" xfId="39623"/>
    <cellStyle name="Value 2 17" xfId="39624"/>
    <cellStyle name="Value 2 18" xfId="39625"/>
    <cellStyle name="Value 2 2" xfId="39626"/>
    <cellStyle name="Value 2 2 2" xfId="39627"/>
    <cellStyle name="Value 2 2 2 2" xfId="39628"/>
    <cellStyle name="Value 2 2 3" xfId="39629"/>
    <cellStyle name="Value 2 2 4" xfId="39630"/>
    <cellStyle name="Value 2 2 5" xfId="39631"/>
    <cellStyle name="Value 2 3" xfId="39632"/>
    <cellStyle name="Value 2 3 2" xfId="39633"/>
    <cellStyle name="Value 2 3 2 2" xfId="39634"/>
    <cellStyle name="Value 2 3 3" xfId="39635"/>
    <cellStyle name="Value 2 3 4" xfId="39636"/>
    <cellStyle name="Value 2 3 5" xfId="39637"/>
    <cellStyle name="Value 2 4" xfId="39638"/>
    <cellStyle name="Value 2 4 2" xfId="39639"/>
    <cellStyle name="Value 2 4 2 2" xfId="39640"/>
    <cellStyle name="Value 2 4 3" xfId="39641"/>
    <cellStyle name="Value 2 4 4" xfId="39642"/>
    <cellStyle name="Value 2 4 5" xfId="39643"/>
    <cellStyle name="Value 2 5" xfId="39644"/>
    <cellStyle name="Value 2 5 2" xfId="39645"/>
    <cellStyle name="Value 2 5 2 2" xfId="39646"/>
    <cellStyle name="Value 2 5 3" xfId="39647"/>
    <cellStyle name="Value 2 5 4" xfId="39648"/>
    <cellStyle name="Value 2 5 5" xfId="39649"/>
    <cellStyle name="Value 2 6" xfId="39650"/>
    <cellStyle name="Value 2 6 2" xfId="39651"/>
    <cellStyle name="Value 2 6 2 2" xfId="39652"/>
    <cellStyle name="Value 2 6 3" xfId="39653"/>
    <cellStyle name="Value 2 6 4" xfId="39654"/>
    <cellStyle name="Value 2 6 5" xfId="39655"/>
    <cellStyle name="Value 2 7" xfId="39656"/>
    <cellStyle name="Value 2 7 2" xfId="39657"/>
    <cellStyle name="Value 2 8" xfId="39658"/>
    <cellStyle name="Value 2 8 2" xfId="39659"/>
    <cellStyle name="Value 2 9" xfId="39660"/>
    <cellStyle name="Value 2 9 2" xfId="39661"/>
    <cellStyle name="Value 20" xfId="39662"/>
    <cellStyle name="Value 21" xfId="39663"/>
    <cellStyle name="Value 22" xfId="39664"/>
    <cellStyle name="Value 23" xfId="39665"/>
    <cellStyle name="Value 24" xfId="39666"/>
    <cellStyle name="Value 25" xfId="39667"/>
    <cellStyle name="Value 26" xfId="39668"/>
    <cellStyle name="Value 27" xfId="39669"/>
    <cellStyle name="Value 3" xfId="39670"/>
    <cellStyle name="Value 3 10" xfId="39671"/>
    <cellStyle name="Value 3 11" xfId="39672"/>
    <cellStyle name="Value 3 12" xfId="39673"/>
    <cellStyle name="Value 3 13" xfId="39674"/>
    <cellStyle name="Value 3 14" xfId="39675"/>
    <cellStyle name="Value 3 15" xfId="39676"/>
    <cellStyle name="Value 3 16" xfId="39677"/>
    <cellStyle name="Value 3 17" xfId="39678"/>
    <cellStyle name="Value 3 18" xfId="39679"/>
    <cellStyle name="Value 3 2" xfId="39680"/>
    <cellStyle name="Value 3 2 2" xfId="39681"/>
    <cellStyle name="Value 3 2 2 2" xfId="39682"/>
    <cellStyle name="Value 3 2 3" xfId="39683"/>
    <cellStyle name="Value 3 2 4" xfId="39684"/>
    <cellStyle name="Value 3 2 5" xfId="39685"/>
    <cellStyle name="Value 3 3" xfId="39686"/>
    <cellStyle name="Value 3 3 2" xfId="39687"/>
    <cellStyle name="Value 3 3 2 2" xfId="39688"/>
    <cellStyle name="Value 3 3 3" xfId="39689"/>
    <cellStyle name="Value 3 3 4" xfId="39690"/>
    <cellStyle name="Value 3 3 5" xfId="39691"/>
    <cellStyle name="Value 3 4" xfId="39692"/>
    <cellStyle name="Value 3 4 2" xfId="39693"/>
    <cellStyle name="Value 3 4 2 2" xfId="39694"/>
    <cellStyle name="Value 3 4 3" xfId="39695"/>
    <cellStyle name="Value 3 4 4" xfId="39696"/>
    <cellStyle name="Value 3 4 5" xfId="39697"/>
    <cellStyle name="Value 3 5" xfId="39698"/>
    <cellStyle name="Value 3 5 2" xfId="39699"/>
    <cellStyle name="Value 3 5 2 2" xfId="39700"/>
    <cellStyle name="Value 3 5 3" xfId="39701"/>
    <cellStyle name="Value 3 5 4" xfId="39702"/>
    <cellStyle name="Value 3 5 5" xfId="39703"/>
    <cellStyle name="Value 3 6" xfId="39704"/>
    <cellStyle name="Value 3 6 2" xfId="39705"/>
    <cellStyle name="Value 3 6 2 2" xfId="39706"/>
    <cellStyle name="Value 3 6 3" xfId="39707"/>
    <cellStyle name="Value 3 6 4" xfId="39708"/>
    <cellStyle name="Value 3 6 5" xfId="39709"/>
    <cellStyle name="Value 3 7" xfId="39710"/>
    <cellStyle name="Value 3 7 2" xfId="39711"/>
    <cellStyle name="Value 3 8" xfId="39712"/>
    <cellStyle name="Value 3 8 2" xfId="39713"/>
    <cellStyle name="Value 3 9" xfId="39714"/>
    <cellStyle name="Value 3 9 2" xfId="39715"/>
    <cellStyle name="Value 4" xfId="39716"/>
    <cellStyle name="Value 4 10" xfId="39717"/>
    <cellStyle name="Value 4 11" xfId="39718"/>
    <cellStyle name="Value 4 12" xfId="39719"/>
    <cellStyle name="Value 4 13" xfId="39720"/>
    <cellStyle name="Value 4 14" xfId="39721"/>
    <cellStyle name="Value 4 15" xfId="39722"/>
    <cellStyle name="Value 4 16" xfId="39723"/>
    <cellStyle name="Value 4 17" xfId="39724"/>
    <cellStyle name="Value 4 18" xfId="39725"/>
    <cellStyle name="Value 4 2" xfId="39726"/>
    <cellStyle name="Value 4 2 2" xfId="39727"/>
    <cellStyle name="Value 4 2 2 2" xfId="39728"/>
    <cellStyle name="Value 4 2 3" xfId="39729"/>
    <cellStyle name="Value 4 2 4" xfId="39730"/>
    <cellStyle name="Value 4 2 5" xfId="39731"/>
    <cellStyle name="Value 4 3" xfId="39732"/>
    <cellStyle name="Value 4 3 2" xfId="39733"/>
    <cellStyle name="Value 4 3 2 2" xfId="39734"/>
    <cellStyle name="Value 4 3 3" xfId="39735"/>
    <cellStyle name="Value 4 3 4" xfId="39736"/>
    <cellStyle name="Value 4 3 5" xfId="39737"/>
    <cellStyle name="Value 4 4" xfId="39738"/>
    <cellStyle name="Value 4 4 2" xfId="39739"/>
    <cellStyle name="Value 4 4 2 2" xfId="39740"/>
    <cellStyle name="Value 4 4 3" xfId="39741"/>
    <cellStyle name="Value 4 4 4" xfId="39742"/>
    <cellStyle name="Value 4 4 5" xfId="39743"/>
    <cellStyle name="Value 4 5" xfId="39744"/>
    <cellStyle name="Value 4 5 2" xfId="39745"/>
    <cellStyle name="Value 4 5 2 2" xfId="39746"/>
    <cellStyle name="Value 4 5 3" xfId="39747"/>
    <cellStyle name="Value 4 5 4" xfId="39748"/>
    <cellStyle name="Value 4 5 5" xfId="39749"/>
    <cellStyle name="Value 4 6" xfId="39750"/>
    <cellStyle name="Value 4 6 2" xfId="39751"/>
    <cellStyle name="Value 4 6 2 2" xfId="39752"/>
    <cellStyle name="Value 4 6 3" xfId="39753"/>
    <cellStyle name="Value 4 6 4" xfId="39754"/>
    <cellStyle name="Value 4 6 5" xfId="39755"/>
    <cellStyle name="Value 4 7" xfId="39756"/>
    <cellStyle name="Value 4 7 2" xfId="39757"/>
    <cellStyle name="Value 4 8" xfId="39758"/>
    <cellStyle name="Value 4 8 2" xfId="39759"/>
    <cellStyle name="Value 4 9" xfId="39760"/>
    <cellStyle name="Value 4 9 2" xfId="39761"/>
    <cellStyle name="Value 5" xfId="39762"/>
    <cellStyle name="Value 5 10" xfId="39763"/>
    <cellStyle name="Value 5 11" xfId="39764"/>
    <cellStyle name="Value 5 12" xfId="39765"/>
    <cellStyle name="Value 5 13" xfId="39766"/>
    <cellStyle name="Value 5 14" xfId="39767"/>
    <cellStyle name="Value 5 15" xfId="39768"/>
    <cellStyle name="Value 5 16" xfId="39769"/>
    <cellStyle name="Value 5 17" xfId="39770"/>
    <cellStyle name="Value 5 18" xfId="39771"/>
    <cellStyle name="Value 5 2" xfId="39772"/>
    <cellStyle name="Value 5 2 2" xfId="39773"/>
    <cellStyle name="Value 5 2 2 2" xfId="39774"/>
    <cellStyle name="Value 5 2 3" xfId="39775"/>
    <cellStyle name="Value 5 2 4" xfId="39776"/>
    <cellStyle name="Value 5 2 5" xfId="39777"/>
    <cellStyle name="Value 5 3" xfId="39778"/>
    <cellStyle name="Value 5 3 2" xfId="39779"/>
    <cellStyle name="Value 5 3 2 2" xfId="39780"/>
    <cellStyle name="Value 5 3 3" xfId="39781"/>
    <cellStyle name="Value 5 3 4" xfId="39782"/>
    <cellStyle name="Value 5 3 5" xfId="39783"/>
    <cellStyle name="Value 5 4" xfId="39784"/>
    <cellStyle name="Value 5 4 2" xfId="39785"/>
    <cellStyle name="Value 5 4 2 2" xfId="39786"/>
    <cellStyle name="Value 5 4 3" xfId="39787"/>
    <cellStyle name="Value 5 4 4" xfId="39788"/>
    <cellStyle name="Value 5 4 5" xfId="39789"/>
    <cellStyle name="Value 5 5" xfId="39790"/>
    <cellStyle name="Value 5 5 2" xfId="39791"/>
    <cellStyle name="Value 5 5 2 2" xfId="39792"/>
    <cellStyle name="Value 5 5 3" xfId="39793"/>
    <cellStyle name="Value 5 5 4" xfId="39794"/>
    <cellStyle name="Value 5 5 5" xfId="39795"/>
    <cellStyle name="Value 5 6" xfId="39796"/>
    <cellStyle name="Value 5 6 2" xfId="39797"/>
    <cellStyle name="Value 5 6 2 2" xfId="39798"/>
    <cellStyle name="Value 5 6 3" xfId="39799"/>
    <cellStyle name="Value 5 6 4" xfId="39800"/>
    <cellStyle name="Value 5 6 5" xfId="39801"/>
    <cellStyle name="Value 5 7" xfId="39802"/>
    <cellStyle name="Value 5 7 2" xfId="39803"/>
    <cellStyle name="Value 5 8" xfId="39804"/>
    <cellStyle name="Value 5 8 2" xfId="39805"/>
    <cellStyle name="Value 5 9" xfId="39806"/>
    <cellStyle name="Value 5 9 2" xfId="39807"/>
    <cellStyle name="Value 6" xfId="39808"/>
    <cellStyle name="Value 6 10" xfId="39809"/>
    <cellStyle name="Value 6 11" xfId="39810"/>
    <cellStyle name="Value 6 12" xfId="39811"/>
    <cellStyle name="Value 6 13" xfId="39812"/>
    <cellStyle name="Value 6 14" xfId="39813"/>
    <cellStyle name="Value 6 15" xfId="39814"/>
    <cellStyle name="Value 6 16" xfId="39815"/>
    <cellStyle name="Value 6 17" xfId="39816"/>
    <cellStyle name="Value 6 18" xfId="39817"/>
    <cellStyle name="Value 6 2" xfId="39818"/>
    <cellStyle name="Value 6 2 2" xfId="39819"/>
    <cellStyle name="Value 6 2 2 2" xfId="39820"/>
    <cellStyle name="Value 6 2 3" xfId="39821"/>
    <cellStyle name="Value 6 2 4" xfId="39822"/>
    <cellStyle name="Value 6 2 5" xfId="39823"/>
    <cellStyle name="Value 6 3" xfId="39824"/>
    <cellStyle name="Value 6 3 2" xfId="39825"/>
    <cellStyle name="Value 6 3 2 2" xfId="39826"/>
    <cellStyle name="Value 6 3 3" xfId="39827"/>
    <cellStyle name="Value 6 3 4" xfId="39828"/>
    <cellStyle name="Value 6 3 5" xfId="39829"/>
    <cellStyle name="Value 6 4" xfId="39830"/>
    <cellStyle name="Value 6 4 2" xfId="39831"/>
    <cellStyle name="Value 6 4 2 2" xfId="39832"/>
    <cellStyle name="Value 6 4 3" xfId="39833"/>
    <cellStyle name="Value 6 4 4" xfId="39834"/>
    <cellStyle name="Value 6 4 5" xfId="39835"/>
    <cellStyle name="Value 6 5" xfId="39836"/>
    <cellStyle name="Value 6 5 2" xfId="39837"/>
    <cellStyle name="Value 6 5 2 2" xfId="39838"/>
    <cellStyle name="Value 6 5 3" xfId="39839"/>
    <cellStyle name="Value 6 5 4" xfId="39840"/>
    <cellStyle name="Value 6 5 5" xfId="39841"/>
    <cellStyle name="Value 6 6" xfId="39842"/>
    <cellStyle name="Value 6 6 2" xfId="39843"/>
    <cellStyle name="Value 6 6 2 2" xfId="39844"/>
    <cellStyle name="Value 6 6 3" xfId="39845"/>
    <cellStyle name="Value 6 6 4" xfId="39846"/>
    <cellStyle name="Value 6 6 5" xfId="39847"/>
    <cellStyle name="Value 6 7" xfId="39848"/>
    <cellStyle name="Value 6 7 2" xfId="39849"/>
    <cellStyle name="Value 6 8" xfId="39850"/>
    <cellStyle name="Value 6 8 2" xfId="39851"/>
    <cellStyle name="Value 6 9" xfId="39852"/>
    <cellStyle name="Value 6 9 2" xfId="39853"/>
    <cellStyle name="Value 7" xfId="39854"/>
    <cellStyle name="Value 7 10" xfId="39855"/>
    <cellStyle name="Value 7 11" xfId="39856"/>
    <cellStyle name="Value 7 12" xfId="39857"/>
    <cellStyle name="Value 7 13" xfId="39858"/>
    <cellStyle name="Value 7 14" xfId="39859"/>
    <cellStyle name="Value 7 15" xfId="39860"/>
    <cellStyle name="Value 7 16" xfId="39861"/>
    <cellStyle name="Value 7 17" xfId="39862"/>
    <cellStyle name="Value 7 18" xfId="39863"/>
    <cellStyle name="Value 7 2" xfId="39864"/>
    <cellStyle name="Value 7 2 2" xfId="39865"/>
    <cellStyle name="Value 7 2 2 2" xfId="39866"/>
    <cellStyle name="Value 7 2 3" xfId="39867"/>
    <cellStyle name="Value 7 2 4" xfId="39868"/>
    <cellStyle name="Value 7 2 5" xfId="39869"/>
    <cellStyle name="Value 7 3" xfId="39870"/>
    <cellStyle name="Value 7 3 2" xfId="39871"/>
    <cellStyle name="Value 7 3 2 2" xfId="39872"/>
    <cellStyle name="Value 7 3 3" xfId="39873"/>
    <cellStyle name="Value 7 3 4" xfId="39874"/>
    <cellStyle name="Value 7 3 5" xfId="39875"/>
    <cellStyle name="Value 7 4" xfId="39876"/>
    <cellStyle name="Value 7 4 2" xfId="39877"/>
    <cellStyle name="Value 7 4 2 2" xfId="39878"/>
    <cellStyle name="Value 7 4 3" xfId="39879"/>
    <cellStyle name="Value 7 4 4" xfId="39880"/>
    <cellStyle name="Value 7 4 5" xfId="39881"/>
    <cellStyle name="Value 7 5" xfId="39882"/>
    <cellStyle name="Value 7 5 2" xfId="39883"/>
    <cellStyle name="Value 7 5 2 2" xfId="39884"/>
    <cellStyle name="Value 7 5 3" xfId="39885"/>
    <cellStyle name="Value 7 5 4" xfId="39886"/>
    <cellStyle name="Value 7 5 5" xfId="39887"/>
    <cellStyle name="Value 7 6" xfId="39888"/>
    <cellStyle name="Value 7 6 2" xfId="39889"/>
    <cellStyle name="Value 7 6 2 2" xfId="39890"/>
    <cellStyle name="Value 7 6 3" xfId="39891"/>
    <cellStyle name="Value 7 6 4" xfId="39892"/>
    <cellStyle name="Value 7 6 5" xfId="39893"/>
    <cellStyle name="Value 7 7" xfId="39894"/>
    <cellStyle name="Value 7 7 2" xfId="39895"/>
    <cellStyle name="Value 7 8" xfId="39896"/>
    <cellStyle name="Value 7 8 2" xfId="39897"/>
    <cellStyle name="Value 7 9" xfId="39898"/>
    <cellStyle name="Value 7 9 2" xfId="39899"/>
    <cellStyle name="Value 8" xfId="39900"/>
    <cellStyle name="Value 8 10" xfId="39901"/>
    <cellStyle name="Value 8 11" xfId="39902"/>
    <cellStyle name="Value 8 12" xfId="39903"/>
    <cellStyle name="Value 8 13" xfId="39904"/>
    <cellStyle name="Value 8 14" xfId="39905"/>
    <cellStyle name="Value 8 15" xfId="39906"/>
    <cellStyle name="Value 8 16" xfId="39907"/>
    <cellStyle name="Value 8 17" xfId="39908"/>
    <cellStyle name="Value 8 18" xfId="39909"/>
    <cellStyle name="Value 8 2" xfId="39910"/>
    <cellStyle name="Value 8 2 2" xfId="39911"/>
    <cellStyle name="Value 8 2 2 2" xfId="39912"/>
    <cellStyle name="Value 8 2 3" xfId="39913"/>
    <cellStyle name="Value 8 2 4" xfId="39914"/>
    <cellStyle name="Value 8 2 5" xfId="39915"/>
    <cellStyle name="Value 8 3" xfId="39916"/>
    <cellStyle name="Value 8 3 2" xfId="39917"/>
    <cellStyle name="Value 8 3 2 2" xfId="39918"/>
    <cellStyle name="Value 8 3 3" xfId="39919"/>
    <cellStyle name="Value 8 3 4" xfId="39920"/>
    <cellStyle name="Value 8 3 5" xfId="39921"/>
    <cellStyle name="Value 8 4" xfId="39922"/>
    <cellStyle name="Value 8 4 2" xfId="39923"/>
    <cellStyle name="Value 8 4 2 2" xfId="39924"/>
    <cellStyle name="Value 8 4 3" xfId="39925"/>
    <cellStyle name="Value 8 4 4" xfId="39926"/>
    <cellStyle name="Value 8 4 5" xfId="39927"/>
    <cellStyle name="Value 8 5" xfId="39928"/>
    <cellStyle name="Value 8 5 2" xfId="39929"/>
    <cellStyle name="Value 8 5 2 2" xfId="39930"/>
    <cellStyle name="Value 8 5 3" xfId="39931"/>
    <cellStyle name="Value 8 5 4" xfId="39932"/>
    <cellStyle name="Value 8 5 5" xfId="39933"/>
    <cellStyle name="Value 8 6" xfId="39934"/>
    <cellStyle name="Value 8 6 2" xfId="39935"/>
    <cellStyle name="Value 8 6 2 2" xfId="39936"/>
    <cellStyle name="Value 8 6 3" xfId="39937"/>
    <cellStyle name="Value 8 6 4" xfId="39938"/>
    <cellStyle name="Value 8 6 5" xfId="39939"/>
    <cellStyle name="Value 8 7" xfId="39940"/>
    <cellStyle name="Value 8 7 2" xfId="39941"/>
    <cellStyle name="Value 8 8" xfId="39942"/>
    <cellStyle name="Value 8 8 2" xfId="39943"/>
    <cellStyle name="Value 8 9" xfId="39944"/>
    <cellStyle name="Value 8 9 2" xfId="39945"/>
    <cellStyle name="Value 9" xfId="39946"/>
    <cellStyle name="Value 9 10" xfId="39947"/>
    <cellStyle name="Value 9 11" xfId="39948"/>
    <cellStyle name="Value 9 12" xfId="39949"/>
    <cellStyle name="Value 9 13" xfId="39950"/>
    <cellStyle name="Value 9 14" xfId="39951"/>
    <cellStyle name="Value 9 15" xfId="39952"/>
    <cellStyle name="Value 9 16" xfId="39953"/>
    <cellStyle name="Value 9 17" xfId="39954"/>
    <cellStyle name="Value 9 18" xfId="39955"/>
    <cellStyle name="Value 9 2" xfId="39956"/>
    <cellStyle name="Value 9 2 2" xfId="39957"/>
    <cellStyle name="Value 9 2 2 2" xfId="39958"/>
    <cellStyle name="Value 9 2 3" xfId="39959"/>
    <cellStyle name="Value 9 2 4" xfId="39960"/>
    <cellStyle name="Value 9 2 5" xfId="39961"/>
    <cellStyle name="Value 9 3" xfId="39962"/>
    <cellStyle name="Value 9 3 2" xfId="39963"/>
    <cellStyle name="Value 9 3 2 2" xfId="39964"/>
    <cellStyle name="Value 9 3 3" xfId="39965"/>
    <cellStyle name="Value 9 3 4" xfId="39966"/>
    <cellStyle name="Value 9 3 5" xfId="39967"/>
    <cellStyle name="Value 9 4" xfId="39968"/>
    <cellStyle name="Value 9 4 2" xfId="39969"/>
    <cellStyle name="Value 9 4 2 2" xfId="39970"/>
    <cellStyle name="Value 9 4 3" xfId="39971"/>
    <cellStyle name="Value 9 4 4" xfId="39972"/>
    <cellStyle name="Value 9 4 5" xfId="39973"/>
    <cellStyle name="Value 9 5" xfId="39974"/>
    <cellStyle name="Value 9 5 2" xfId="39975"/>
    <cellStyle name="Value 9 5 2 2" xfId="39976"/>
    <cellStyle name="Value 9 5 3" xfId="39977"/>
    <cellStyle name="Value 9 5 4" xfId="39978"/>
    <cellStyle name="Value 9 5 5" xfId="39979"/>
    <cellStyle name="Value 9 6" xfId="39980"/>
    <cellStyle name="Value 9 6 2" xfId="39981"/>
    <cellStyle name="Value 9 6 2 2" xfId="39982"/>
    <cellStyle name="Value 9 6 3" xfId="39983"/>
    <cellStyle name="Value 9 6 4" xfId="39984"/>
    <cellStyle name="Value 9 6 5" xfId="39985"/>
    <cellStyle name="Value 9 7" xfId="39986"/>
    <cellStyle name="Value 9 7 2" xfId="39987"/>
    <cellStyle name="Value 9 8" xfId="39988"/>
    <cellStyle name="Value 9 8 2" xfId="39989"/>
    <cellStyle name="Value 9 9" xfId="39990"/>
    <cellStyle name="Value 9 9 2" xfId="39991"/>
    <cellStyle name="Value_Achampally-Gattubuthkur-Ganga-CRR" xfId="39992"/>
    <cellStyle name="Warning Text 2" xfId="39993"/>
    <cellStyle name="Warning Text 2 2" xfId="39994"/>
    <cellStyle name="Warning Text 2 2 2" xfId="39995"/>
    <cellStyle name="Warning Text 2 2 2 2" xfId="39996"/>
    <cellStyle name="Warning Text 2 2 3" xfId="39997"/>
    <cellStyle name="Warning Text 2 2 4" xfId="39998"/>
    <cellStyle name="Warning Text 2 2 5" xfId="39999"/>
    <cellStyle name="Warning Text 2 3" xfId="40000"/>
    <cellStyle name="Warning Text 2 3 2" xfId="40001"/>
    <cellStyle name="Warning Text 2 3 2 2" xfId="40002"/>
    <cellStyle name="Warning Text 2 3 3" xfId="40003"/>
    <cellStyle name="Warning Text 2 3 4" xfId="40004"/>
    <cellStyle name="Warning Text 2 3 5" xfId="40005"/>
    <cellStyle name="Warning Text 2 4" xfId="40006"/>
    <cellStyle name="Warning Text 2 4 2" xfId="40007"/>
    <cellStyle name="Warning Text 2 5" xfId="40008"/>
    <cellStyle name="Warning Text 2 6" xfId="40009"/>
    <cellStyle name="Warning Text 2 7" xfId="40010"/>
    <cellStyle name="Warning Text 3" xfId="40011"/>
    <cellStyle name="Warning Text 3 2" xfId="40012"/>
    <cellStyle name="Warning Text 3 2 2" xfId="40013"/>
    <cellStyle name="Warning Text 3 3" xfId="40014"/>
    <cellStyle name="Warning Text 3 4" xfId="40015"/>
    <cellStyle name="Warning Text 3 5" xfId="40016"/>
    <cellStyle name="Warning Text 4" xfId="40017"/>
    <cellStyle name="Warning Text 4 2" xfId="40018"/>
    <cellStyle name="Warning Text 4 3" xfId="40019"/>
    <cellStyle name="Warning Text 4 4" xfId="40020"/>
    <cellStyle name="Warning Text 5" xfId="40021"/>
    <cellStyle name="Warning Text 5 2" xfId="40022"/>
    <cellStyle name="Warning Text 5 3" xfId="40023"/>
    <cellStyle name="Warning Text 5 4" xfId="40024"/>
    <cellStyle name="Warning Text 6" xfId="40025"/>
    <cellStyle name="Warning Text 6 2" xfId="40026"/>
    <cellStyle name="సాధారణ_Copy of Model estimate-Basnapally--07-05-06-Final" xfId="40027"/>
  </cellStyles>
  <dxfs count="39">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ill>
        <patternFill patternType="solid">
          <bgColor rgb="FFFFFF00"/>
        </patternFill>
      </fill>
    </dxf>
    <dxf>
      <font>
        <color theme="0"/>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theme="0"/>
      </font>
    </dxf>
    <dxf>
      <font>
        <color theme="0"/>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s>
  <tableStyles count="0" defaultTableStyle="TableStyleMedium9" defaultPivotStyle="PivotStyleLight16"/>
  <colors>
    <mruColors>
      <color rgb="FFCCECFF"/>
      <color rgb="FF66FFFF"/>
      <color rgb="FF0000FF"/>
      <color rgb="FFFF00FF"/>
      <color rgb="FFFF0066"/>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 Id="rId3" Type="http://schemas.openxmlformats.org/officeDocument/2006/relationships/worksheet" Target="worksheets/sheet3.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14</xdr:col>
      <xdr:colOff>289242</xdr:colOff>
      <xdr:row>0</xdr:row>
      <xdr:rowOff>323532</xdr:rowOff>
    </xdr:from>
    <xdr:to>
      <xdr:col>16</xdr:col>
      <xdr:colOff>64452</xdr:colOff>
      <xdr:row>2</xdr:row>
      <xdr:rowOff>266382</xdr:rowOff>
    </xdr:to>
    <xdr:sp macro="" textlink="">
      <xdr:nvSpPr>
        <xdr:cNvPr id="2" name="PubHalfFrame">
          <a:extLst>
            <a:ext uri="{FF2B5EF4-FFF2-40B4-BE49-F238E27FC236}">
              <a16:creationId xmlns:a16="http://schemas.microsoft.com/office/drawing/2014/main" xmlns="" id="{00000000-0008-0000-0500-000002000000}"/>
            </a:ext>
          </a:extLst>
        </xdr:cNvPr>
        <xdr:cNvSpPr>
          <a:spLocks noEditPoints="1" noChangeArrowheads="1"/>
        </xdr:cNvSpPr>
      </xdr:nvSpPr>
      <xdr:spPr>
        <a:xfrm rot="5400000">
          <a:off x="5238750" y="325755"/>
          <a:ext cx="590550" cy="58483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3" name="PubHalfFrame">
          <a:extLst>
            <a:ext uri="{FF2B5EF4-FFF2-40B4-BE49-F238E27FC236}">
              <a16:creationId xmlns:a16="http://schemas.microsoft.com/office/drawing/2014/main" xmlns="" id="{00000000-0008-0000-0500-000003000000}"/>
            </a:ext>
          </a:extLst>
        </xdr:cNvPr>
        <xdr:cNvSpPr>
          <a:spLocks noEditPoints="1" noChangeArrowheads="1"/>
        </xdr:cNvSpPr>
      </xdr:nvSpPr>
      <xdr:spPr>
        <a:xfrm rot="5400000" flipV="1">
          <a:off x="316230" y="330835"/>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14</xdr:col>
      <xdr:colOff>227647</xdr:colOff>
      <xdr:row>28</xdr:row>
      <xdr:rowOff>6667</xdr:rowOff>
    </xdr:from>
    <xdr:to>
      <xdr:col>16</xdr:col>
      <xdr:colOff>18097</xdr:colOff>
      <xdr:row>30</xdr:row>
      <xdr:rowOff>10477</xdr:rowOff>
    </xdr:to>
    <xdr:sp macro="" textlink="">
      <xdr:nvSpPr>
        <xdr:cNvPr id="4" name="PubHalfFrame">
          <a:extLst>
            <a:ext uri="{FF2B5EF4-FFF2-40B4-BE49-F238E27FC236}">
              <a16:creationId xmlns:a16="http://schemas.microsoft.com/office/drawing/2014/main" xmlns="" id="{00000000-0008-0000-0500-000004000000}"/>
            </a:ext>
          </a:extLst>
        </xdr:cNvPr>
        <xdr:cNvSpPr>
          <a:spLocks noEditPoints="1" noChangeArrowheads="1"/>
        </xdr:cNvSpPr>
      </xdr:nvSpPr>
      <xdr:spPr>
        <a:xfrm rot="5400000" flipH="1">
          <a:off x="5125720" y="7870825"/>
          <a:ext cx="708660" cy="6000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322897</xdr:colOff>
      <xdr:row>27</xdr:row>
      <xdr:rowOff>380047</xdr:rowOff>
    </xdr:from>
    <xdr:to>
      <xdr:col>2</xdr:col>
      <xdr:colOff>193992</xdr:colOff>
      <xdr:row>29</xdr:row>
      <xdr:rowOff>265747</xdr:rowOff>
    </xdr:to>
    <xdr:sp macro="" textlink="">
      <xdr:nvSpPr>
        <xdr:cNvPr id="5" name="PubHalfFrame">
          <a:extLst>
            <a:ext uri="{FF2B5EF4-FFF2-40B4-BE49-F238E27FC236}">
              <a16:creationId xmlns:a16="http://schemas.microsoft.com/office/drawing/2014/main" xmlns="" id="{00000000-0008-0000-0500-000005000000}"/>
            </a:ext>
          </a:extLst>
        </xdr:cNvPr>
        <xdr:cNvSpPr>
          <a:spLocks noEditPoints="1" noChangeArrowheads="1"/>
        </xdr:cNvSpPr>
      </xdr:nvSpPr>
      <xdr:spPr>
        <a:xfrm rot="-5400000">
          <a:off x="286385" y="7844790"/>
          <a:ext cx="64770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30</xdr:row>
      <xdr:rowOff>142875</xdr:rowOff>
    </xdr:to>
    <xdr:sp macro="" textlink="">
      <xdr:nvSpPr>
        <xdr:cNvPr id="6" name="AutoShape 5">
          <a:extLst>
            <a:ext uri="{FF2B5EF4-FFF2-40B4-BE49-F238E27FC236}">
              <a16:creationId xmlns:a16="http://schemas.microsoft.com/office/drawing/2014/main" xmlns="" id="{00000000-0008-0000-0500-000006000000}"/>
            </a:ext>
          </a:extLst>
        </xdr:cNvPr>
        <xdr:cNvSpPr>
          <a:spLocks noChangeArrowheads="1"/>
        </xdr:cNvSpPr>
      </xdr:nvSpPr>
      <xdr:spPr>
        <a:xfrm>
          <a:off x="200025" y="190500"/>
          <a:ext cx="5715000" cy="8467725"/>
        </a:xfrm>
        <a:prstGeom prst="roundRect">
          <a:avLst>
            <a:gd name="adj" fmla="val 0"/>
          </a:avLst>
        </a:prstGeom>
        <a:noFill/>
        <a:ln w="44450">
          <a:solidFill>
            <a:srgbClr val="FF0000"/>
          </a:solidFill>
          <a:round/>
        </a:ln>
      </xdr:spPr>
    </xdr:sp>
    <xdr:clientData/>
  </xdr:twoCellAnchor>
  <xdr:twoCellAnchor>
    <xdr:from>
      <xdr:col>0</xdr:col>
      <xdr:colOff>285750</xdr:colOff>
      <xdr:row>0</xdr:row>
      <xdr:rowOff>266700</xdr:rowOff>
    </xdr:from>
    <xdr:to>
      <xdr:col>16</xdr:col>
      <xdr:colOff>95250</xdr:colOff>
      <xdr:row>30</xdr:row>
      <xdr:rowOff>66675</xdr:rowOff>
    </xdr:to>
    <xdr:sp macro="" textlink="">
      <xdr:nvSpPr>
        <xdr:cNvPr id="7" name="AutoShape 6">
          <a:extLst>
            <a:ext uri="{FF2B5EF4-FFF2-40B4-BE49-F238E27FC236}">
              <a16:creationId xmlns:a16="http://schemas.microsoft.com/office/drawing/2014/main" xmlns="" id="{00000000-0008-0000-0500-000007000000}"/>
            </a:ext>
          </a:extLst>
        </xdr:cNvPr>
        <xdr:cNvSpPr>
          <a:spLocks noChangeArrowheads="1"/>
        </xdr:cNvSpPr>
      </xdr:nvSpPr>
      <xdr:spPr>
        <a:xfrm>
          <a:off x="285750" y="266700"/>
          <a:ext cx="5572125" cy="8315325"/>
        </a:xfrm>
        <a:prstGeom prst="roundRect">
          <a:avLst>
            <a:gd name="adj" fmla="val 0"/>
          </a:avLst>
        </a:prstGeom>
        <a:noFill/>
        <a:ln w="28575">
          <a:solidFill>
            <a:srgbClr val="0000FF"/>
          </a:solidFill>
          <a:rou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15</xdr:row>
      <xdr:rowOff>76200</xdr:rowOff>
    </xdr:from>
    <xdr:to>
      <xdr:col>1</xdr:col>
      <xdr:colOff>138675</xdr:colOff>
      <xdr:row>15</xdr:row>
      <xdr:rowOff>148200</xdr:rowOff>
    </xdr:to>
    <xdr:sp macro="" textlink="">
      <xdr:nvSpPr>
        <xdr:cNvPr id="2" name="Chevron 1">
          <a:extLst>
            <a:ext uri="{FF2B5EF4-FFF2-40B4-BE49-F238E27FC236}">
              <a16:creationId xmlns:a16="http://schemas.microsoft.com/office/drawing/2014/main" xmlns="" id="{00000000-0008-0000-0600-000002000000}"/>
            </a:ext>
          </a:extLst>
        </xdr:cNvPr>
        <xdr:cNvSpPr/>
      </xdr:nvSpPr>
      <xdr:spPr>
        <a:xfrm>
          <a:off x="371475" y="425894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57150</xdr:colOff>
      <xdr:row>16</xdr:row>
      <xdr:rowOff>57150</xdr:rowOff>
    </xdr:from>
    <xdr:to>
      <xdr:col>1</xdr:col>
      <xdr:colOff>129150</xdr:colOff>
      <xdr:row>16</xdr:row>
      <xdr:rowOff>129150</xdr:rowOff>
    </xdr:to>
    <xdr:sp macro="" textlink="">
      <xdr:nvSpPr>
        <xdr:cNvPr id="3" name="Chevron 2">
          <a:extLst>
            <a:ext uri="{FF2B5EF4-FFF2-40B4-BE49-F238E27FC236}">
              <a16:creationId xmlns:a16="http://schemas.microsoft.com/office/drawing/2014/main" xmlns="" id="{00000000-0008-0000-0600-000003000000}"/>
            </a:ext>
          </a:extLst>
        </xdr:cNvPr>
        <xdr:cNvSpPr/>
      </xdr:nvSpPr>
      <xdr:spPr>
        <a:xfrm>
          <a:off x="361950" y="463994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66675</xdr:colOff>
      <xdr:row>17</xdr:row>
      <xdr:rowOff>66675</xdr:rowOff>
    </xdr:from>
    <xdr:to>
      <xdr:col>1</xdr:col>
      <xdr:colOff>138675</xdr:colOff>
      <xdr:row>17</xdr:row>
      <xdr:rowOff>138675</xdr:rowOff>
    </xdr:to>
    <xdr:sp macro="" textlink="">
      <xdr:nvSpPr>
        <xdr:cNvPr id="4" name="Chevron 3">
          <a:extLst>
            <a:ext uri="{FF2B5EF4-FFF2-40B4-BE49-F238E27FC236}">
              <a16:creationId xmlns:a16="http://schemas.microsoft.com/office/drawing/2014/main" xmlns="" id="{00000000-0008-0000-0600-000004000000}"/>
            </a:ext>
          </a:extLst>
        </xdr:cNvPr>
        <xdr:cNvSpPr/>
      </xdr:nvSpPr>
      <xdr:spPr>
        <a:xfrm>
          <a:off x="371475" y="5278120"/>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99060</xdr:colOff>
      <xdr:row>1</xdr:row>
      <xdr:rowOff>0</xdr:rowOff>
    </xdr:from>
    <xdr:to>
      <xdr:col>15</xdr:col>
      <xdr:colOff>331597</xdr:colOff>
      <xdr:row>2</xdr:row>
      <xdr:rowOff>266700</xdr:rowOff>
    </xdr:to>
    <xdr:sp macro="" textlink="">
      <xdr:nvSpPr>
        <xdr:cNvPr id="47574" name="PubHalfFrame">
          <a:extLst>
            <a:ext uri="{FF2B5EF4-FFF2-40B4-BE49-F238E27FC236}">
              <a16:creationId xmlns:a16="http://schemas.microsoft.com/office/drawing/2014/main" xmlns="" id="{00000000-0008-0000-1000-0000D6B90000}"/>
            </a:ext>
          </a:extLst>
        </xdr:cNvPr>
        <xdr:cNvSpPr>
          <a:spLocks noEditPoints="1" noChangeArrowheads="1"/>
        </xdr:cNvSpPr>
      </xdr:nvSpPr>
      <xdr:spPr>
        <a:xfrm rot="5400000">
          <a:off x="5029835" y="326390"/>
          <a:ext cx="590550" cy="58483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47575" name="PubHalfFrame">
          <a:extLst>
            <a:ext uri="{FF2B5EF4-FFF2-40B4-BE49-F238E27FC236}">
              <a16:creationId xmlns:a16="http://schemas.microsoft.com/office/drawing/2014/main" xmlns="" id="{00000000-0008-0000-1000-0000D7B90000}"/>
            </a:ext>
          </a:extLst>
        </xdr:cNvPr>
        <xdr:cNvSpPr>
          <a:spLocks noEditPoints="1" noChangeArrowheads="1"/>
        </xdr:cNvSpPr>
      </xdr:nvSpPr>
      <xdr:spPr>
        <a:xfrm rot="5400000" flipV="1">
          <a:off x="316230" y="330835"/>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14</xdr:col>
      <xdr:colOff>38100</xdr:colOff>
      <xdr:row>28</xdr:row>
      <xdr:rowOff>198120</xdr:rowOff>
    </xdr:from>
    <xdr:to>
      <xdr:col>15</xdr:col>
      <xdr:colOff>285832</xdr:colOff>
      <xdr:row>30</xdr:row>
      <xdr:rowOff>144780</xdr:rowOff>
    </xdr:to>
    <xdr:sp macro="" textlink="">
      <xdr:nvSpPr>
        <xdr:cNvPr id="47576" name="PubHalfFrame">
          <a:extLst>
            <a:ext uri="{FF2B5EF4-FFF2-40B4-BE49-F238E27FC236}">
              <a16:creationId xmlns:a16="http://schemas.microsoft.com/office/drawing/2014/main" xmlns="" id="{00000000-0008-0000-1000-0000D8B90000}"/>
            </a:ext>
          </a:extLst>
        </xdr:cNvPr>
        <xdr:cNvSpPr>
          <a:spLocks noEditPoints="1" noChangeArrowheads="1"/>
        </xdr:cNvSpPr>
      </xdr:nvSpPr>
      <xdr:spPr>
        <a:xfrm rot="5400000" flipH="1">
          <a:off x="4974590" y="8395970"/>
          <a:ext cx="594360" cy="6000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29</xdr:row>
      <xdr:rowOff>0</xdr:rowOff>
    </xdr:from>
    <xdr:to>
      <xdr:col>2</xdr:col>
      <xdr:colOff>194404</xdr:colOff>
      <xdr:row>30</xdr:row>
      <xdr:rowOff>266700</xdr:rowOff>
    </xdr:to>
    <xdr:sp macro="" textlink="">
      <xdr:nvSpPr>
        <xdr:cNvPr id="47577" name="PubHalfFrame">
          <a:extLst>
            <a:ext uri="{FF2B5EF4-FFF2-40B4-BE49-F238E27FC236}">
              <a16:creationId xmlns:a16="http://schemas.microsoft.com/office/drawing/2014/main" xmlns="" id="{00000000-0008-0000-1000-0000D9B90000}"/>
            </a:ext>
          </a:extLst>
        </xdr:cNvPr>
        <xdr:cNvSpPr>
          <a:spLocks noEditPoints="1" noChangeArrowheads="1"/>
        </xdr:cNvSpPr>
      </xdr:nvSpPr>
      <xdr:spPr>
        <a:xfrm rot="-5400000">
          <a:off x="316230" y="8531860"/>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31</xdr:row>
      <xdr:rowOff>142875</xdr:rowOff>
    </xdr:to>
    <xdr:sp macro="" textlink="">
      <xdr:nvSpPr>
        <xdr:cNvPr id="48408" name="AutoShape 5">
          <a:extLst>
            <a:ext uri="{FF2B5EF4-FFF2-40B4-BE49-F238E27FC236}">
              <a16:creationId xmlns:a16="http://schemas.microsoft.com/office/drawing/2014/main" xmlns="" id="{00000000-0008-0000-1000-000018BD0000}"/>
            </a:ext>
          </a:extLst>
        </xdr:cNvPr>
        <xdr:cNvSpPr>
          <a:spLocks noChangeArrowheads="1"/>
        </xdr:cNvSpPr>
      </xdr:nvSpPr>
      <xdr:spPr>
        <a:xfrm>
          <a:off x="200025" y="190500"/>
          <a:ext cx="5591175" cy="9124950"/>
        </a:xfrm>
        <a:prstGeom prst="roundRect">
          <a:avLst>
            <a:gd name="adj" fmla="val 0"/>
          </a:avLst>
        </a:prstGeom>
        <a:noFill/>
        <a:ln w="44450">
          <a:solidFill>
            <a:srgbClr val="FF0000"/>
          </a:solidFill>
          <a:round/>
        </a:ln>
      </xdr:spPr>
    </xdr:sp>
    <xdr:clientData/>
  </xdr:twoCellAnchor>
  <xdr:twoCellAnchor>
    <xdr:from>
      <xdr:col>0</xdr:col>
      <xdr:colOff>342900</xdr:colOff>
      <xdr:row>0</xdr:row>
      <xdr:rowOff>266700</xdr:rowOff>
    </xdr:from>
    <xdr:to>
      <xdr:col>16</xdr:col>
      <xdr:colOff>152400</xdr:colOff>
      <xdr:row>31</xdr:row>
      <xdr:rowOff>66675</xdr:rowOff>
    </xdr:to>
    <xdr:sp macro="" textlink="">
      <xdr:nvSpPr>
        <xdr:cNvPr id="48409" name="AutoShape 6">
          <a:extLst>
            <a:ext uri="{FF2B5EF4-FFF2-40B4-BE49-F238E27FC236}">
              <a16:creationId xmlns:a16="http://schemas.microsoft.com/office/drawing/2014/main" xmlns="" id="{00000000-0008-0000-1000-000019BD0000}"/>
            </a:ext>
          </a:extLst>
        </xdr:cNvPr>
        <xdr:cNvSpPr>
          <a:spLocks noChangeArrowheads="1"/>
        </xdr:cNvSpPr>
      </xdr:nvSpPr>
      <xdr:spPr>
        <a:xfrm>
          <a:off x="342900" y="266700"/>
          <a:ext cx="5448300" cy="8972550"/>
        </a:xfrm>
        <a:prstGeom prst="roundRect">
          <a:avLst>
            <a:gd name="adj" fmla="val 0"/>
          </a:avLst>
        </a:prstGeom>
        <a:noFill/>
        <a:ln w="28575">
          <a:solidFill>
            <a:srgbClr val="0000FF"/>
          </a:solidFill>
          <a:round/>
        </a:ln>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504825</xdr:colOff>
      <xdr:row>29</xdr:row>
      <xdr:rowOff>43525</xdr:rowOff>
    </xdr:to>
    <xdr:pic>
      <xdr:nvPicPr>
        <xdr:cNvPr id="17410" name="Picture 2">
          <a:extLst>
            <a:ext uri="{FF2B5EF4-FFF2-40B4-BE49-F238E27FC236}">
              <a16:creationId xmlns:a16="http://schemas.microsoft.com/office/drawing/2014/main" xmlns="" id="{00000000-0008-0000-1100-00000244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8305800" cy="4739005"/>
        </a:xfrm>
        <a:prstGeom prst="rect">
          <a:avLst/>
        </a:prstGeom>
        <a:noFill/>
        <a:ln w="1">
          <a:noFill/>
          <a:miter lim="800000"/>
          <a:headEnd/>
          <a:tailEnd type="none" w="med" len="med"/>
        </a:ln>
        <a:effec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25</xdr:col>
      <xdr:colOff>0</xdr:colOff>
      <xdr:row>88</xdr:row>
      <xdr:rowOff>190500</xdr:rowOff>
    </xdr:from>
    <xdr:to>
      <xdr:col>25</xdr:col>
      <xdr:colOff>200025</xdr:colOff>
      <xdr:row>88</xdr:row>
      <xdr:rowOff>190500</xdr:rowOff>
    </xdr:to>
    <xdr:sp macro="" textlink="">
      <xdr:nvSpPr>
        <xdr:cNvPr id="23" name="Line 1">
          <a:extLst>
            <a:ext uri="{FF2B5EF4-FFF2-40B4-BE49-F238E27FC236}">
              <a16:creationId xmlns:a16="http://schemas.microsoft.com/office/drawing/2014/main" xmlns="" id="{00000000-0008-0000-2100-000017000000}"/>
            </a:ext>
          </a:extLst>
        </xdr:cNvPr>
        <xdr:cNvSpPr>
          <a:spLocks noChangeShapeType="1"/>
        </xdr:cNvSpPr>
      </xdr:nvSpPr>
      <xdr:spPr>
        <a:xfrm flipH="1">
          <a:off x="6591300" y="14592935"/>
          <a:ext cx="200025" cy="0"/>
        </a:xfrm>
        <a:prstGeom prst="line">
          <a:avLst/>
        </a:prstGeom>
        <a:noFill/>
        <a:ln w="9525">
          <a:solidFill>
            <a:srgbClr val="000000"/>
          </a:solidFill>
          <a:round/>
          <a:tailEnd type="triangle" w="med" len="med"/>
        </a:ln>
      </xdr:spPr>
    </xdr:sp>
    <xdr:clientData/>
  </xdr:twoCellAnchor>
  <xdr:twoCellAnchor>
    <xdr:from>
      <xdr:col>25</xdr:col>
      <xdr:colOff>28575</xdr:colOff>
      <xdr:row>88</xdr:row>
      <xdr:rowOff>0</xdr:rowOff>
    </xdr:from>
    <xdr:to>
      <xdr:col>26</xdr:col>
      <xdr:colOff>47625</xdr:colOff>
      <xdr:row>88</xdr:row>
      <xdr:rowOff>0</xdr:rowOff>
    </xdr:to>
    <xdr:sp macro="" textlink="">
      <xdr:nvSpPr>
        <xdr:cNvPr id="24" name="Line 5">
          <a:extLst>
            <a:ext uri="{FF2B5EF4-FFF2-40B4-BE49-F238E27FC236}">
              <a16:creationId xmlns:a16="http://schemas.microsoft.com/office/drawing/2014/main" xmlns="" id="{00000000-0008-0000-2100-000018000000}"/>
            </a:ext>
          </a:extLst>
        </xdr:cNvPr>
        <xdr:cNvSpPr>
          <a:spLocks noChangeShapeType="1"/>
        </xdr:cNvSpPr>
      </xdr:nvSpPr>
      <xdr:spPr>
        <a:xfrm flipH="1">
          <a:off x="6619875" y="14431010"/>
          <a:ext cx="247650" cy="0"/>
        </a:xfrm>
        <a:prstGeom prst="line">
          <a:avLst/>
        </a:prstGeom>
        <a:noFill/>
        <a:ln w="9525">
          <a:solidFill>
            <a:srgbClr val="000000"/>
          </a:solidFill>
          <a:round/>
          <a:tailEnd type="triangle" w="med" len="med"/>
        </a:ln>
      </xdr:spPr>
    </xdr:sp>
    <xdr:clientData/>
  </xdr:twoCellAnchor>
  <xdr:twoCellAnchor>
    <xdr:from>
      <xdr:col>12</xdr:col>
      <xdr:colOff>1028700</xdr:colOff>
      <xdr:row>86</xdr:row>
      <xdr:rowOff>523875</xdr:rowOff>
    </xdr:from>
    <xdr:to>
      <xdr:col>12</xdr:col>
      <xdr:colOff>1028700</xdr:colOff>
      <xdr:row>86</xdr:row>
      <xdr:rowOff>523875</xdr:rowOff>
    </xdr:to>
    <xdr:cxnSp macro="">
      <xdr:nvCxnSpPr>
        <xdr:cNvPr id="25" name="Straight Connector 35">
          <a:extLst>
            <a:ext uri="{FF2B5EF4-FFF2-40B4-BE49-F238E27FC236}">
              <a16:creationId xmlns:a16="http://schemas.microsoft.com/office/drawing/2014/main" xmlns="" id="{00000000-0008-0000-2100-000019000000}"/>
            </a:ext>
          </a:extLst>
        </xdr:cNvPr>
        <xdr:cNvCxnSpPr>
          <a:cxnSpLocks noChangeShapeType="1"/>
        </xdr:cNvCxnSpPr>
      </xdr:nvCxnSpPr>
      <xdr:spPr>
        <a:xfrm>
          <a:off x="4191000" y="14269085"/>
          <a:ext cx="0" cy="0"/>
        </a:xfrm>
        <a:prstGeom prst="line">
          <a:avLst/>
        </a:prstGeom>
        <a:noFill/>
        <a:ln w="9525" algn="ctr">
          <a:solidFill>
            <a:srgbClr val="000000"/>
          </a:solidFill>
          <a:round/>
        </a:ln>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showGridLines="0" showRowColHeaders="0" showZeros="0" showOutlineSymbols="0" topLeftCell="B31091" zoomScaleSheetLayoutView="68" workbookViewId="0"/>
  </sheetViews>
  <sheetFormatPr defaultColWidth="9" defaultRowHeight="13.2"/>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showGridLines="0" showRowColHeaders="0" showZeros="0" showOutlineSymbols="0" topLeftCell="B29558" zoomScaleSheetLayoutView="68" workbookViewId="0"/>
  </sheetViews>
  <sheetFormatPr defaultColWidth="9" defaultRowHeight="13.2"/>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theme="6" tint="-0.249977111117893"/>
  </sheetPr>
  <dimension ref="A1:O1482"/>
  <sheetViews>
    <sheetView view="pageBreakPreview" topLeftCell="A648" zoomScale="130" zoomScaleNormal="85" workbookViewId="0">
      <selection activeCell="D699" sqref="D699:F699"/>
    </sheetView>
  </sheetViews>
  <sheetFormatPr defaultColWidth="9.109375" defaultRowHeight="15"/>
  <cols>
    <col min="1" max="1" width="7.44140625" style="1683" customWidth="1"/>
    <col min="2" max="3" width="9.5546875" style="1684" customWidth="1"/>
    <col min="4" max="4" width="9.88671875" style="1684" customWidth="1"/>
    <col min="5" max="5" width="10.5546875" style="1684" customWidth="1"/>
    <col min="6" max="6" width="8.5546875" style="1684" customWidth="1"/>
    <col min="7" max="7" width="10.33203125" style="1684" customWidth="1"/>
    <col min="8" max="8" width="13.5546875" style="1684" customWidth="1"/>
    <col min="9" max="9" width="7.33203125" style="1684" customWidth="1"/>
    <col min="10" max="10" width="13.5546875" style="1685" customWidth="1"/>
    <col min="11" max="11" width="14" style="1684" customWidth="1"/>
    <col min="12" max="14" width="9.109375" style="1684"/>
    <col min="15" max="15" width="18.44140625" style="1684" customWidth="1"/>
    <col min="16" max="16384" width="9.109375" style="1684"/>
  </cols>
  <sheetData>
    <row r="1" spans="1:15" ht="22.5" customHeight="1">
      <c r="B1" s="2933" t="s">
        <v>0</v>
      </c>
      <c r="C1" s="2934"/>
      <c r="D1" s="2934"/>
      <c r="E1" s="2934"/>
      <c r="F1" s="2934"/>
      <c r="G1" s="2934"/>
      <c r="H1" s="2934"/>
      <c r="I1" s="2934"/>
      <c r="J1" s="2934"/>
    </row>
    <row r="2" spans="1:15">
      <c r="B2" s="1686" t="s">
        <v>1</v>
      </c>
      <c r="C2" s="1687"/>
      <c r="D2" s="3001" t="e">
        <f>#REF!</f>
        <v>#REF!</v>
      </c>
      <c r="E2" s="3002"/>
      <c r="F2" s="3002"/>
      <c r="G2" s="3002"/>
      <c r="H2" s="3002"/>
      <c r="I2" s="3002"/>
      <c r="J2" s="3002"/>
    </row>
    <row r="3" spans="1:15" ht="36.75" customHeight="1">
      <c r="B3" s="1688"/>
      <c r="C3" s="1687"/>
      <c r="D3" s="3002"/>
      <c r="E3" s="3002"/>
      <c r="F3" s="3002"/>
      <c r="G3" s="3002"/>
      <c r="H3" s="3002"/>
      <c r="I3" s="3002"/>
      <c r="J3" s="3002"/>
    </row>
    <row r="4" spans="1:15" ht="45" customHeight="1">
      <c r="A4" s="1689" t="s">
        <v>2</v>
      </c>
      <c r="B4" s="2935" t="s">
        <v>3</v>
      </c>
      <c r="C4" s="2935"/>
      <c r="D4" s="2936" t="s">
        <v>4</v>
      </c>
      <c r="E4" s="2936"/>
      <c r="F4" s="2936"/>
      <c r="G4" s="2936"/>
      <c r="H4" s="773" t="s">
        <v>5</v>
      </c>
      <c r="I4" s="773" t="s">
        <v>6</v>
      </c>
      <c r="J4" s="1723" t="s">
        <v>7</v>
      </c>
      <c r="K4" s="1724"/>
    </row>
    <row r="5" spans="1:15">
      <c r="A5" s="2937"/>
      <c r="B5" s="2937"/>
      <c r="C5" s="2937"/>
      <c r="D5" s="2937"/>
      <c r="E5" s="2937"/>
      <c r="F5" s="2937"/>
      <c r="G5" s="2937"/>
      <c r="H5" s="2937"/>
      <c r="I5" s="2937"/>
      <c r="J5" s="2937"/>
    </row>
    <row r="6" spans="1:15" s="1680" customFormat="1" ht="88.5" hidden="1" customHeight="1">
      <c r="A6" s="1690">
        <v>1</v>
      </c>
      <c r="B6" s="2938" t="s">
        <v>8</v>
      </c>
      <c r="C6" s="2939"/>
      <c r="D6" s="2939"/>
      <c r="E6" s="2939"/>
      <c r="F6" s="2939"/>
      <c r="G6" s="2939"/>
      <c r="H6" s="2939"/>
      <c r="I6" s="2939"/>
      <c r="J6" s="2940"/>
    </row>
    <row r="7" spans="1:15" s="1680" customFormat="1" ht="15" hidden="1" customHeight="1">
      <c r="A7" s="1691"/>
      <c r="B7" s="1692"/>
      <c r="C7" s="1692"/>
      <c r="D7" s="2941" t="s">
        <v>9</v>
      </c>
      <c r="E7" s="2941"/>
      <c r="F7" s="2941"/>
      <c r="G7" s="2941"/>
      <c r="H7" s="1692"/>
      <c r="I7" s="1692"/>
      <c r="J7" s="1725"/>
    </row>
    <row r="8" spans="1:15" s="1680" customFormat="1" ht="15" hidden="1" customHeight="1">
      <c r="A8" s="1691"/>
      <c r="B8" s="1694" t="s">
        <v>10</v>
      </c>
      <c r="C8" s="1692"/>
      <c r="E8" s="1695"/>
      <c r="F8" s="1695"/>
      <c r="G8" s="1696"/>
      <c r="H8" s="1692"/>
      <c r="I8" s="1692"/>
      <c r="J8" s="1725"/>
    </row>
    <row r="9" spans="1:15" s="1680" customFormat="1" ht="15" hidden="1" customHeight="1">
      <c r="A9" s="1691"/>
      <c r="B9" s="1694" t="s">
        <v>11</v>
      </c>
      <c r="C9" s="1697"/>
      <c r="E9" s="1695"/>
      <c r="F9" s="1695"/>
      <c r="G9" s="1696"/>
      <c r="H9" s="1692"/>
      <c r="I9" s="1692"/>
      <c r="J9" s="1725"/>
    </row>
    <row r="10" spans="1:15" s="1680" customFormat="1" ht="15" hidden="1" customHeight="1">
      <c r="A10" s="1691"/>
      <c r="B10" s="1692"/>
      <c r="C10" s="1698"/>
      <c r="D10" s="2941" t="s">
        <v>12</v>
      </c>
      <c r="E10" s="2941"/>
      <c r="F10" s="2941"/>
      <c r="G10" s="2941"/>
      <c r="H10" s="1692"/>
      <c r="I10" s="1692"/>
      <c r="J10" s="1725"/>
    </row>
    <row r="11" spans="1:15" s="1680" customFormat="1" ht="15" hidden="1" customHeight="1">
      <c r="A11" s="1691"/>
      <c r="B11" s="1699">
        <v>0.02</v>
      </c>
      <c r="C11" s="1692" t="s">
        <v>13</v>
      </c>
      <c r="D11" s="2942" t="s">
        <v>14</v>
      </c>
      <c r="E11" s="2942"/>
      <c r="F11" s="2942"/>
      <c r="G11" s="2942"/>
      <c r="H11" s="1701">
        <f>'SSR-rates'!$H$58</f>
        <v>490</v>
      </c>
      <c r="I11" s="1707">
        <v>1</v>
      </c>
      <c r="J11" s="1726">
        <f>ROUND(B11*H11,2)</f>
        <v>9.8000000000000007</v>
      </c>
    </row>
    <row r="12" spans="1:15" s="1680" customFormat="1" ht="15" hidden="1" customHeight="1">
      <c r="A12" s="1691"/>
      <c r="B12" s="1699">
        <v>0.25</v>
      </c>
      <c r="C12" s="1692" t="s">
        <v>13</v>
      </c>
      <c r="D12" s="2942" t="s">
        <v>15</v>
      </c>
      <c r="E12" s="2942"/>
      <c r="F12" s="2942"/>
      <c r="G12" s="2942"/>
      <c r="H12" s="1701">
        <f>'SSR-rates'!$H$59</f>
        <v>524</v>
      </c>
      <c r="I12" s="1707">
        <v>1</v>
      </c>
      <c r="J12" s="1726">
        <f>ROUND(B12*H12,2)</f>
        <v>131</v>
      </c>
    </row>
    <row r="13" spans="1:15" s="1680" customFormat="1" ht="15" hidden="1" customHeight="1">
      <c r="A13" s="1691"/>
      <c r="B13" s="1699">
        <v>0.25</v>
      </c>
      <c r="C13" s="1692" t="s">
        <v>13</v>
      </c>
      <c r="D13" s="2942" t="s">
        <v>16</v>
      </c>
      <c r="E13" s="2942"/>
      <c r="F13" s="2942"/>
      <c r="G13" s="2942"/>
      <c r="H13" s="1701">
        <f>'SSR-rates'!$H$60</f>
        <v>490</v>
      </c>
      <c r="I13" s="1707">
        <v>1</v>
      </c>
      <c r="J13" s="1726">
        <f>ROUND(B13*H13,2)</f>
        <v>122.5</v>
      </c>
    </row>
    <row r="14" spans="1:15" s="1680" customFormat="1" ht="15" hidden="1" customHeight="1">
      <c r="A14" s="1691"/>
      <c r="B14" s="1702">
        <f>'Input Data'!$D$23</f>
        <v>0</v>
      </c>
      <c r="C14" s="1688"/>
      <c r="D14" s="1684" t="s">
        <v>17</v>
      </c>
      <c r="E14" s="1684"/>
      <c r="F14" s="1683"/>
      <c r="G14" s="1683"/>
      <c r="H14" s="1701">
        <f>SUM(J11:J13)</f>
        <v>263.3</v>
      </c>
      <c r="I14" s="1716"/>
      <c r="J14" s="1701">
        <f>B14*H14</f>
        <v>0</v>
      </c>
    </row>
    <row r="15" spans="1:15" s="1680" customFormat="1" ht="15" hidden="1" customHeight="1">
      <c r="A15" s="1691"/>
      <c r="B15" s="1697"/>
      <c r="C15" s="1697"/>
      <c r="D15" s="2943" t="s">
        <v>18</v>
      </c>
      <c r="E15" s="2943"/>
      <c r="F15" s="2943"/>
      <c r="G15" s="2943"/>
      <c r="H15" s="1697"/>
      <c r="I15" s="1727" t="s">
        <v>19</v>
      </c>
      <c r="J15" s="1728">
        <f>SUM(J11:J14)</f>
        <v>263.3</v>
      </c>
    </row>
    <row r="16" spans="1:15" s="1680" customFormat="1" ht="15" hidden="1" customHeight="1">
      <c r="A16" s="1691"/>
      <c r="B16" s="1697"/>
      <c r="C16" s="1698"/>
      <c r="D16" s="2941" t="s">
        <v>20</v>
      </c>
      <c r="E16" s="2941"/>
      <c r="F16" s="2941"/>
      <c r="G16" s="2941"/>
      <c r="H16" s="1697"/>
      <c r="I16" s="1697"/>
      <c r="J16" s="1726"/>
      <c r="L16" s="2944" t="s">
        <v>21</v>
      </c>
      <c r="M16" s="2944"/>
      <c r="N16" s="2944"/>
      <c r="O16" s="2944"/>
    </row>
    <row r="17" spans="1:15" s="1680" customFormat="1" ht="15" hidden="1" customHeight="1">
      <c r="A17" s="1691"/>
      <c r="B17" s="1697"/>
      <c r="C17" s="1698"/>
      <c r="D17" s="2944" t="s">
        <v>21</v>
      </c>
      <c r="E17" s="2944"/>
      <c r="F17" s="2944"/>
      <c r="G17" s="2944"/>
      <c r="H17" s="1697"/>
      <c r="I17" s="1697"/>
      <c r="J17" s="1726"/>
      <c r="L17" s="1704"/>
      <c r="M17" s="1704"/>
      <c r="N17" s="1704"/>
      <c r="O17" s="1704"/>
    </row>
    <row r="18" spans="1:15" s="1680" customFormat="1" ht="15" hidden="1" customHeight="1">
      <c r="A18" s="1691"/>
      <c r="B18" s="1697">
        <v>0.67</v>
      </c>
      <c r="C18" s="1698"/>
      <c r="D18" s="2944" t="s">
        <v>22</v>
      </c>
      <c r="E18" s="2944"/>
      <c r="F18" s="2944"/>
      <c r="G18" s="2944"/>
      <c r="H18" s="1697">
        <f>'SSR-rates'!$H$73</f>
        <v>619.5</v>
      </c>
      <c r="I18" s="1697"/>
      <c r="J18" s="1726">
        <f>ROUND(B18*H18,2)</f>
        <v>415.07</v>
      </c>
      <c r="L18" s="2944" t="s">
        <v>22</v>
      </c>
      <c r="M18" s="2944"/>
      <c r="N18" s="2944"/>
      <c r="O18" s="2944"/>
    </row>
    <row r="19" spans="1:15" s="1680" customFormat="1" ht="15" hidden="1" customHeight="1">
      <c r="A19" s="1691"/>
      <c r="B19" s="1699">
        <v>0.27</v>
      </c>
      <c r="C19" s="1692" t="s">
        <v>23</v>
      </c>
      <c r="D19" s="2942" t="s">
        <v>24</v>
      </c>
      <c r="E19" s="2942"/>
      <c r="F19" s="2942"/>
      <c r="G19" s="2942"/>
      <c r="H19" s="1697">
        <f>'SSR-rates'!$H$70</f>
        <v>465</v>
      </c>
      <c r="I19" s="1697">
        <v>1</v>
      </c>
      <c r="J19" s="1726">
        <f>ROUND(B19*H19,2)</f>
        <v>125.55</v>
      </c>
    </row>
    <row r="20" spans="1:15" s="1680" customFormat="1" ht="15" hidden="1" customHeight="1">
      <c r="A20" s="1691"/>
      <c r="B20" s="1697"/>
      <c r="C20" s="1697"/>
      <c r="D20" s="2943" t="s">
        <v>18</v>
      </c>
      <c r="E20" s="2943"/>
      <c r="F20" s="2943"/>
      <c r="G20" s="2943"/>
      <c r="H20" s="1697"/>
      <c r="I20" s="1727" t="s">
        <v>25</v>
      </c>
      <c r="J20" s="1728">
        <f>SUM(J18:J19)</f>
        <v>540.62</v>
      </c>
    </row>
    <row r="21" spans="1:15" s="1680" customFormat="1" ht="15" hidden="1" customHeight="1">
      <c r="A21" s="1691"/>
      <c r="B21" s="1697"/>
      <c r="C21" s="1692"/>
      <c r="D21" s="2941" t="s">
        <v>26</v>
      </c>
      <c r="E21" s="2941"/>
      <c r="F21" s="2941"/>
      <c r="G21" s="2941"/>
      <c r="H21" s="1697"/>
      <c r="I21" s="1697"/>
      <c r="J21" s="1728">
        <f>J15+J20</f>
        <v>803.92000000000007</v>
      </c>
    </row>
    <row r="22" spans="1:15" s="1680" customFormat="1" ht="15" hidden="1" customHeight="1">
      <c r="A22" s="1691"/>
      <c r="B22" s="1697"/>
      <c r="C22" s="1705" t="s">
        <v>27</v>
      </c>
      <c r="D22" s="2941" t="s">
        <v>28</v>
      </c>
      <c r="E22" s="2941"/>
      <c r="F22" s="2941"/>
      <c r="G22" s="2941"/>
      <c r="H22" s="1697"/>
      <c r="I22" s="1697"/>
      <c r="J22" s="1726"/>
    </row>
    <row r="23" spans="1:15" s="1680" customFormat="1" ht="15" hidden="1" customHeight="1">
      <c r="A23" s="1691"/>
      <c r="B23" s="1706">
        <f>'Input Data'!$D$24</f>
        <v>0.13614999999999999</v>
      </c>
      <c r="C23" s="1707"/>
      <c r="D23" s="2941" t="str">
        <f>"Over head charges "&amp;'Input Data'!$D$24*100&amp;"%  on (A) + (B)"</f>
        <v>Over head charges 13.615%  on (A) + (B)</v>
      </c>
      <c r="E23" s="2941"/>
      <c r="F23" s="2941"/>
      <c r="G23" s="2941"/>
      <c r="H23" s="1707">
        <f>J21</f>
        <v>803.92000000000007</v>
      </c>
      <c r="I23" s="1729"/>
      <c r="J23" s="1730">
        <f>H23*B23</f>
        <v>109.45370800000001</v>
      </c>
    </row>
    <row r="24" spans="1:15" s="1680" customFormat="1" ht="15" hidden="1" customHeight="1">
      <c r="A24" s="1691"/>
      <c r="B24" s="1707"/>
      <c r="C24" s="1707"/>
      <c r="D24" s="2941"/>
      <c r="E24" s="2941"/>
      <c r="F24" s="2941"/>
      <c r="G24" s="2941"/>
      <c r="H24" s="1707"/>
      <c r="I24" s="1729"/>
      <c r="J24" s="1730"/>
    </row>
    <row r="25" spans="1:15" s="1680" customFormat="1" ht="15" hidden="1" customHeight="1">
      <c r="A25" s="1691"/>
      <c r="B25" s="1707">
        <v>10</v>
      </c>
      <c r="C25" s="1707" t="s">
        <v>29</v>
      </c>
      <c r="D25" s="2941" t="s">
        <v>30</v>
      </c>
      <c r="E25" s="2941"/>
      <c r="F25" s="2941"/>
      <c r="G25" s="2941"/>
      <c r="H25" s="1707">
        <f>H23+J23</f>
        <v>913.37370800000008</v>
      </c>
      <c r="I25" s="1729"/>
      <c r="J25" s="1730">
        <f>ROUND(B25*H25/100,2)</f>
        <v>91.34</v>
      </c>
    </row>
    <row r="26" spans="1:15" s="1680" customFormat="1" ht="15" hidden="1" customHeight="1">
      <c r="A26" s="1691"/>
      <c r="B26" s="1707"/>
      <c r="C26" s="1707"/>
      <c r="D26" s="2941"/>
      <c r="E26" s="2941"/>
      <c r="F26" s="2941"/>
      <c r="G26" s="2941"/>
      <c r="H26" s="1707"/>
      <c r="I26" s="1729"/>
      <c r="J26" s="1731"/>
    </row>
    <row r="27" spans="1:15" s="1680" customFormat="1" ht="15" hidden="1" customHeight="1">
      <c r="A27" s="1691"/>
      <c r="B27" s="1708">
        <v>1.25</v>
      </c>
      <c r="C27" s="1707" t="s">
        <v>31</v>
      </c>
      <c r="D27" s="2943" t="str">
        <f>CONCATENATE("TOTAL Cost for ",B27,"  ",C27,"  =  (A+B+C+D)",)</f>
        <v>TOTAL Cost for 1.25  cum  =  (A+B+C+D)</v>
      </c>
      <c r="E27" s="2943"/>
      <c r="F27" s="2943"/>
      <c r="G27" s="2943"/>
      <c r="H27" s="1707"/>
      <c r="I27" s="1707"/>
      <c r="J27" s="1730">
        <f>SUM(J21:J25)</f>
        <v>1004.7137080000001</v>
      </c>
    </row>
    <row r="28" spans="1:15" s="1680" customFormat="1" ht="15" hidden="1" customHeight="1">
      <c r="A28" s="1691"/>
      <c r="B28" s="1707"/>
      <c r="C28" s="1707"/>
      <c r="D28" s="2945" t="str">
        <f>CONCATENATE("Rate per  1  ",C27)</f>
        <v>Rate per  1  cum</v>
      </c>
      <c r="E28" s="2945"/>
      <c r="F28" s="2945"/>
      <c r="G28" s="2945"/>
      <c r="H28" s="1707"/>
      <c r="I28" s="1707"/>
      <c r="J28" s="1726">
        <f>J27/B27</f>
        <v>803.77096640000013</v>
      </c>
    </row>
    <row r="29" spans="1:15" s="1680" customFormat="1" ht="15" hidden="1" customHeight="1">
      <c r="A29" s="1691"/>
      <c r="B29" s="1697"/>
      <c r="C29" s="1697"/>
      <c r="D29" s="2941" t="str">
        <f>D28</f>
        <v>Rate per  1  cum</v>
      </c>
      <c r="E29" s="2941"/>
      <c r="F29" s="2941"/>
      <c r="G29" s="2941"/>
      <c r="H29" s="1707"/>
      <c r="I29" s="1707"/>
      <c r="J29" s="1728">
        <f>ROUND(J28,0)</f>
        <v>804</v>
      </c>
    </row>
    <row r="30" spans="1:15" s="1680" customFormat="1" ht="94.5" customHeight="1">
      <c r="A30" s="1710"/>
      <c r="B30" s="2946" t="s">
        <v>32</v>
      </c>
      <c r="C30" s="2946"/>
      <c r="D30" s="2946"/>
      <c r="E30" s="2946"/>
      <c r="F30" s="2946"/>
      <c r="G30" s="2946"/>
      <c r="H30" s="2946"/>
      <c r="I30" s="2946"/>
      <c r="J30" s="2946"/>
    </row>
    <row r="31" spans="1:15" s="1680" customFormat="1" ht="15" customHeight="1">
      <c r="A31" s="1711"/>
      <c r="B31" s="2947" t="s">
        <v>33</v>
      </c>
      <c r="C31" s="2947"/>
      <c r="D31" s="1712"/>
      <c r="E31" s="1712"/>
      <c r="F31" s="1713" t="s">
        <v>34</v>
      </c>
      <c r="G31" s="1712"/>
      <c r="H31" s="1714"/>
      <c r="I31" s="1714"/>
      <c r="J31" s="1732"/>
    </row>
    <row r="32" spans="1:15" s="1680" customFormat="1" ht="15" customHeight="1">
      <c r="A32" s="1711"/>
      <c r="B32" s="2947" t="s">
        <v>35</v>
      </c>
      <c r="C32" s="2947"/>
      <c r="D32" s="2947"/>
      <c r="E32" s="2947"/>
      <c r="F32" s="1712"/>
      <c r="G32" s="1712"/>
      <c r="H32" s="1714"/>
      <c r="I32" s="1714"/>
      <c r="J32" s="1732"/>
    </row>
    <row r="33" spans="1:10" s="1680" customFormat="1" ht="15" customHeight="1">
      <c r="A33" s="1711"/>
      <c r="B33" s="1715" t="s">
        <v>36</v>
      </c>
      <c r="C33" s="1713" t="s">
        <v>37</v>
      </c>
      <c r="D33" s="1684"/>
      <c r="E33" s="1712"/>
      <c r="F33" s="1712"/>
      <c r="G33" s="1712"/>
      <c r="H33" s="1714"/>
      <c r="I33" s="1714"/>
      <c r="J33" s="1732"/>
    </row>
    <row r="34" spans="1:10" s="1680" customFormat="1" ht="15" customHeight="1">
      <c r="A34" s="1711"/>
      <c r="B34" s="1705">
        <v>0.32</v>
      </c>
      <c r="C34" s="1688" t="s">
        <v>38</v>
      </c>
      <c r="D34" s="1683" t="s">
        <v>14</v>
      </c>
      <c r="E34" s="1684"/>
      <c r="F34" s="1683"/>
      <c r="G34" s="1683"/>
      <c r="H34" s="1701">
        <f>'SSR-rates'!$H$58</f>
        <v>490</v>
      </c>
      <c r="I34" s="1716" t="s">
        <v>38</v>
      </c>
      <c r="J34" s="1705">
        <f>ROUND(B34*H34,2)</f>
        <v>156.80000000000001</v>
      </c>
    </row>
    <row r="35" spans="1:10" s="1680" customFormat="1" ht="15.75" customHeight="1">
      <c r="A35" s="1711"/>
      <c r="B35" s="1705">
        <v>8</v>
      </c>
      <c r="C35" s="1688" t="s">
        <v>38</v>
      </c>
      <c r="D35" s="1683" t="s">
        <v>16</v>
      </c>
      <c r="E35" s="1684"/>
      <c r="F35" s="1683"/>
      <c r="G35" s="1683"/>
      <c r="H35" s="1701">
        <f>'SSR-rates'!$H$60</f>
        <v>490</v>
      </c>
      <c r="I35" s="1716" t="s">
        <v>38</v>
      </c>
      <c r="J35" s="1705">
        <f>ROUND(B35*H35,2)</f>
        <v>3920</v>
      </c>
    </row>
    <row r="36" spans="1:10">
      <c r="A36" s="1713"/>
      <c r="B36" s="1702">
        <f>'Input Data'!$D$23</f>
        <v>0</v>
      </c>
      <c r="C36" s="1688"/>
      <c r="D36" s="1684" t="s">
        <v>17</v>
      </c>
      <c r="F36" s="1683"/>
      <c r="G36" s="1683"/>
      <c r="H36" s="1701">
        <f>SUM(J34:J35)</f>
        <v>4076.8</v>
      </c>
      <c r="I36" s="1716"/>
      <c r="J36" s="1701">
        <f>B36*H36</f>
        <v>0</v>
      </c>
    </row>
    <row r="37" spans="1:10" s="1680" customFormat="1" ht="15" customHeight="1">
      <c r="A37" s="1711"/>
      <c r="B37" s="1705"/>
      <c r="C37" s="1688"/>
      <c r="D37" s="1683"/>
      <c r="E37" s="1683"/>
      <c r="F37" s="1683"/>
      <c r="G37" s="1683"/>
      <c r="H37" s="1701"/>
      <c r="I37" s="1716"/>
      <c r="J37" s="1733">
        <f>SUM(J34:J36)</f>
        <v>4076.8</v>
      </c>
    </row>
    <row r="38" spans="1:10" s="1680" customFormat="1" ht="15" customHeight="1">
      <c r="A38" s="1711"/>
      <c r="B38" s="1715" t="s">
        <v>39</v>
      </c>
      <c r="C38" s="1713" t="s">
        <v>40</v>
      </c>
      <c r="D38" s="1684"/>
      <c r="E38" s="1684"/>
      <c r="F38" s="1683"/>
      <c r="G38" s="1683"/>
      <c r="H38" s="1683"/>
      <c r="I38" s="1683"/>
      <c r="J38" s="1734"/>
    </row>
    <row r="39" spans="1:10" ht="34.5" customHeight="1">
      <c r="A39" s="1716"/>
      <c r="B39" s="1717">
        <v>6</v>
      </c>
      <c r="C39" s="1718" t="s">
        <v>41</v>
      </c>
      <c r="D39" s="2948" t="s">
        <v>42</v>
      </c>
      <c r="E39" s="2949"/>
      <c r="F39" s="2949"/>
      <c r="G39" s="2950"/>
      <c r="H39" s="1719">
        <f>'SSR-rates'!$H$64</f>
        <v>3331.2</v>
      </c>
      <c r="I39" s="1719" t="s">
        <v>41</v>
      </c>
      <c r="J39" s="1719">
        <f>ROUND(B39*H39,2)</f>
        <v>19987.2</v>
      </c>
    </row>
    <row r="40" spans="1:10" s="1680" customFormat="1" ht="15" hidden="1" customHeight="1">
      <c r="A40" s="1711"/>
      <c r="B40" s="1717"/>
      <c r="C40" s="1718" t="s">
        <v>31</v>
      </c>
      <c r="D40" s="2951" t="s">
        <v>43</v>
      </c>
      <c r="E40" s="2951"/>
      <c r="F40" s="2951"/>
      <c r="G40" s="2951"/>
      <c r="H40" s="1719">
        <v>13</v>
      </c>
      <c r="I40" s="1719" t="s">
        <v>31</v>
      </c>
      <c r="J40" s="1717">
        <f>ROUND(B40*H40,2)</f>
        <v>0</v>
      </c>
    </row>
    <row r="41" spans="1:10" s="1680" customFormat="1" ht="15" customHeight="1">
      <c r="A41" s="1711"/>
      <c r="B41" s="1705"/>
      <c r="C41" s="1688"/>
      <c r="D41" s="1683"/>
      <c r="E41" s="1684"/>
      <c r="F41" s="1683"/>
      <c r="G41" s="1683"/>
      <c r="H41" s="1701"/>
      <c r="I41" s="1701"/>
      <c r="J41" s="1705"/>
    </row>
    <row r="42" spans="1:10" s="1680" customFormat="1" ht="15" customHeight="1">
      <c r="A42" s="1711"/>
      <c r="B42" s="1715" t="s">
        <v>27</v>
      </c>
      <c r="C42" s="1713" t="s">
        <v>44</v>
      </c>
      <c r="D42" s="1683"/>
      <c r="E42" s="1684"/>
      <c r="F42" s="1683"/>
      <c r="G42" s="1683"/>
      <c r="H42" s="1701"/>
      <c r="I42" s="1701"/>
      <c r="J42" s="1734"/>
    </row>
    <row r="43" spans="1:10" s="1680" customFormat="1" ht="15" customHeight="1">
      <c r="A43" s="1710"/>
      <c r="B43" s="1706">
        <f>'Input Data'!$D$25</f>
        <v>0</v>
      </c>
      <c r="C43" s="1713" t="str">
        <f>"Over head charges "&amp;'Input Data'!$D$25*100&amp;"%  on (A) + (B)"</f>
        <v>Over head charges 0%  on (A) + (B)</v>
      </c>
      <c r="D43" s="1684"/>
      <c r="E43" s="1684"/>
      <c r="F43" s="1684"/>
      <c r="G43" s="1684"/>
      <c r="H43" s="1687">
        <f>J39+J37</f>
        <v>24064</v>
      </c>
      <c r="I43" s="1684"/>
      <c r="J43" s="1705">
        <f>H43*B43</f>
        <v>0</v>
      </c>
    </row>
    <row r="44" spans="1:10" s="1680" customFormat="1" ht="15" customHeight="1">
      <c r="A44" s="1710"/>
      <c r="B44" s="1715" t="s">
        <v>45</v>
      </c>
      <c r="C44" s="1713" t="s">
        <v>46</v>
      </c>
      <c r="D44" s="1684"/>
      <c r="E44" s="1684"/>
      <c r="F44" s="1684"/>
      <c r="G44" s="1684"/>
      <c r="H44" s="1684"/>
      <c r="I44" s="1684"/>
      <c r="J44" s="1733">
        <f>J37+J40+J41+J43</f>
        <v>4076.8</v>
      </c>
    </row>
    <row r="45" spans="1:10" s="1680" customFormat="1" ht="15" customHeight="1">
      <c r="A45" s="1711"/>
      <c r="B45" s="1715" t="s">
        <v>47</v>
      </c>
      <c r="C45" s="1713" t="s">
        <v>48</v>
      </c>
      <c r="D45" s="1684"/>
      <c r="E45" s="1684"/>
      <c r="F45" s="1683"/>
      <c r="G45" s="1683"/>
      <c r="H45" s="1683"/>
      <c r="I45" s="1683"/>
      <c r="J45" s="1733">
        <f>J44*10/100</f>
        <v>407.68</v>
      </c>
    </row>
    <row r="46" spans="1:10" s="1680" customFormat="1" ht="15" customHeight="1">
      <c r="A46" s="1711"/>
      <c r="B46" s="1683"/>
      <c r="C46" s="1683"/>
      <c r="D46" s="1713" t="s">
        <v>49</v>
      </c>
      <c r="E46" s="1684"/>
      <c r="F46" s="1683"/>
      <c r="G46" s="1683"/>
      <c r="H46" s="1683"/>
      <c r="I46" s="1683"/>
      <c r="J46" s="1733">
        <f>SUM(J44:J45)</f>
        <v>4484.4800000000005</v>
      </c>
    </row>
    <row r="47" spans="1:10" s="1680" customFormat="1" ht="15" customHeight="1">
      <c r="A47" s="1710"/>
      <c r="B47" s="1684"/>
      <c r="C47" s="1684"/>
      <c r="D47" s="1684" t="s">
        <v>50</v>
      </c>
      <c r="E47" s="1684"/>
      <c r="F47" s="1684"/>
      <c r="G47" s="1684"/>
      <c r="H47" s="1716"/>
      <c r="I47" s="1716"/>
      <c r="J47" s="1705">
        <f>J46/240</f>
        <v>18.685333333333336</v>
      </c>
    </row>
    <row r="48" spans="1:10" s="1680" customFormat="1" ht="15" hidden="1" customHeight="1">
      <c r="A48" s="1711"/>
      <c r="B48" s="1721"/>
      <c r="C48" s="1721"/>
      <c r="D48" s="1721"/>
      <c r="E48" s="1721"/>
      <c r="F48" s="1721" t="s">
        <v>51</v>
      </c>
      <c r="G48" s="1721"/>
      <c r="H48" s="1721"/>
      <c r="I48" s="1721"/>
      <c r="J48" s="1735"/>
    </row>
    <row r="49" spans="1:10" s="1680" customFormat="1" ht="15" hidden="1" customHeight="1">
      <c r="A49" s="1711"/>
      <c r="B49" s="1721"/>
      <c r="C49" s="1721"/>
      <c r="D49" s="1721"/>
      <c r="E49" s="1721"/>
      <c r="F49" s="1721"/>
      <c r="G49" s="1721"/>
      <c r="H49" s="1721"/>
      <c r="I49" s="1721"/>
      <c r="J49" s="1735">
        <f>SUM(J47:J48)</f>
        <v>18.685333333333336</v>
      </c>
    </row>
    <row r="50" spans="1:10" s="1680" customFormat="1" ht="15" customHeight="1">
      <c r="A50" s="1710"/>
      <c r="B50" s="1684"/>
      <c r="C50" s="1684"/>
      <c r="D50" s="1684" t="s">
        <v>52</v>
      </c>
      <c r="E50" s="1684"/>
      <c r="F50" s="1684"/>
      <c r="G50" s="1684"/>
      <c r="H50" s="1684"/>
      <c r="I50" s="1684"/>
      <c r="J50" s="1736">
        <f>ROUND(J49,0)</f>
        <v>19</v>
      </c>
    </row>
    <row r="51" spans="1:10" s="1680" customFormat="1" ht="15" customHeight="1">
      <c r="A51" s="1710"/>
      <c r="B51" s="1684"/>
      <c r="C51" s="1684"/>
      <c r="D51" s="1684"/>
      <c r="E51" s="1684"/>
      <c r="F51" s="1684"/>
      <c r="G51" s="1684"/>
      <c r="H51" s="1684"/>
      <c r="I51" s="1684"/>
      <c r="J51" s="1737" t="s">
        <v>53</v>
      </c>
    </row>
    <row r="52" spans="1:10" s="1680" customFormat="1" ht="15" customHeight="1">
      <c r="A52" s="1710"/>
      <c r="B52" s="1684"/>
      <c r="C52" s="1684"/>
      <c r="D52" s="1684"/>
      <c r="E52" s="1684"/>
      <c r="F52" s="1684"/>
      <c r="G52" s="1684"/>
      <c r="H52" s="1684"/>
      <c r="I52" s="1684"/>
      <c r="J52" s="1737"/>
    </row>
    <row r="53" spans="1:10" ht="108" customHeight="1">
      <c r="A53" s="1710"/>
      <c r="B53" s="2946" t="s">
        <v>54</v>
      </c>
      <c r="C53" s="2946"/>
      <c r="D53" s="2946"/>
      <c r="E53" s="2946"/>
      <c r="F53" s="2946"/>
      <c r="G53" s="2946"/>
      <c r="H53" s="2946"/>
      <c r="I53" s="2946"/>
      <c r="J53" s="2946"/>
    </row>
    <row r="54" spans="1:10">
      <c r="D54" s="1687" t="s">
        <v>10</v>
      </c>
      <c r="F54" s="1713" t="s">
        <v>55</v>
      </c>
      <c r="J54" s="1684"/>
    </row>
    <row r="55" spans="1:10">
      <c r="D55" s="1687" t="s">
        <v>56</v>
      </c>
      <c r="J55" s="1684"/>
    </row>
    <row r="56" spans="1:10">
      <c r="B56" s="1715" t="s">
        <v>36</v>
      </c>
      <c r="C56" s="1722" t="s">
        <v>37</v>
      </c>
      <c r="J56" s="1684"/>
    </row>
    <row r="57" spans="1:10">
      <c r="B57" s="1705">
        <v>0.86</v>
      </c>
      <c r="C57" s="1683" t="s">
        <v>57</v>
      </c>
      <c r="D57" s="1687" t="s">
        <v>14</v>
      </c>
      <c r="H57" s="1701">
        <f>'SSR-rates'!$H$58</f>
        <v>490</v>
      </c>
      <c r="I57" s="1716" t="s">
        <v>38</v>
      </c>
      <c r="J57" s="1705">
        <f>ROUND(B57*H57,2)</f>
        <v>421.4</v>
      </c>
    </row>
    <row r="58" spans="1:10">
      <c r="B58" s="1705">
        <v>1.5</v>
      </c>
      <c r="C58" s="1683" t="s">
        <v>57</v>
      </c>
      <c r="D58" s="1687" t="s">
        <v>58</v>
      </c>
      <c r="H58" s="1701">
        <f>'SSR-rates'!$H$59</f>
        <v>524</v>
      </c>
      <c r="I58" s="1716" t="s">
        <v>38</v>
      </c>
      <c r="J58" s="1705">
        <f>ROUND(B58*H58,2)</f>
        <v>786</v>
      </c>
    </row>
    <row r="59" spans="1:10">
      <c r="B59" s="1705">
        <v>20</v>
      </c>
      <c r="C59" s="1683" t="s">
        <v>57</v>
      </c>
      <c r="D59" s="1687" t="s">
        <v>59</v>
      </c>
      <c r="H59" s="1701">
        <f>'SSR-rates'!$H$60</f>
        <v>490</v>
      </c>
      <c r="I59" s="1716" t="s">
        <v>38</v>
      </c>
      <c r="J59" s="1705">
        <f>ROUND(B59*H59,2)</f>
        <v>9800</v>
      </c>
    </row>
    <row r="60" spans="1:10">
      <c r="A60" s="1713"/>
      <c r="B60" s="1702">
        <f>'Input Data'!$D$23</f>
        <v>0</v>
      </c>
      <c r="C60" s="1688"/>
      <c r="D60" s="1684" t="s">
        <v>17</v>
      </c>
      <c r="F60" s="1683"/>
      <c r="G60" s="1683"/>
      <c r="H60" s="1701">
        <f>SUM(J57:J59)</f>
        <v>11007.4</v>
      </c>
      <c r="I60" s="1716"/>
      <c r="J60" s="1701">
        <f>B60*H60</f>
        <v>0</v>
      </c>
    </row>
    <row r="61" spans="1:10">
      <c r="B61" s="1705"/>
      <c r="C61" s="1683"/>
      <c r="D61" s="1687" t="s">
        <v>60</v>
      </c>
      <c r="H61" s="1701"/>
      <c r="I61" s="1701"/>
      <c r="J61" s="1705">
        <f>SUM(J57:J60)</f>
        <v>11007.4</v>
      </c>
    </row>
    <row r="62" spans="1:10">
      <c r="B62" s="1715" t="s">
        <v>39</v>
      </c>
      <c r="C62" s="1722" t="s">
        <v>61</v>
      </c>
      <c r="H62" s="1701"/>
      <c r="I62" s="1701"/>
      <c r="J62" s="1701"/>
    </row>
    <row r="63" spans="1:10">
      <c r="B63" s="1705">
        <v>8.1</v>
      </c>
      <c r="C63" s="1683" t="s">
        <v>31</v>
      </c>
      <c r="D63" s="1684" t="s">
        <v>62</v>
      </c>
      <c r="H63" s="1701">
        <f>lead!$J$14</f>
        <v>1732.2187651278443</v>
      </c>
      <c r="I63" s="1701" t="s">
        <v>31</v>
      </c>
      <c r="J63" s="1701">
        <f>ROUND(B63*H63,2)</f>
        <v>14030.97</v>
      </c>
    </row>
    <row r="64" spans="1:10">
      <c r="B64" s="1705">
        <v>4.05</v>
      </c>
      <c r="C64" s="1683" t="s">
        <v>31</v>
      </c>
      <c r="D64" s="1684" t="s">
        <v>63</v>
      </c>
      <c r="H64" s="1701">
        <f>lead!J16</f>
        <v>2031.2187651278443</v>
      </c>
      <c r="I64" s="1701" t="s">
        <v>31</v>
      </c>
      <c r="J64" s="1701">
        <f>ROUND(B64*H64,2)</f>
        <v>8226.44</v>
      </c>
    </row>
    <row r="65" spans="1:10">
      <c r="B65" s="1705">
        <v>1.35</v>
      </c>
      <c r="C65" s="1683" t="s">
        <v>31</v>
      </c>
      <c r="D65" s="1684" t="s">
        <v>64</v>
      </c>
      <c r="H65" s="1701">
        <f>lead!J18</f>
        <v>1780.2187651278443</v>
      </c>
      <c r="I65" s="1701" t="s">
        <v>31</v>
      </c>
      <c r="J65" s="1701">
        <f>ROUND(B65*H65,2)</f>
        <v>2403.3000000000002</v>
      </c>
    </row>
    <row r="66" spans="1:10">
      <c r="B66" s="1705">
        <v>6.75</v>
      </c>
      <c r="C66" s="1683" t="s">
        <v>31</v>
      </c>
      <c r="D66" s="1687" t="s">
        <v>65</v>
      </c>
      <c r="H66" s="1738">
        <f>lead!J12</f>
        <v>1684.4687651278443</v>
      </c>
      <c r="I66" s="1701" t="s">
        <v>31</v>
      </c>
      <c r="J66" s="1701">
        <f>ROUND(B66*H66,2)</f>
        <v>11370.16</v>
      </c>
    </row>
    <row r="67" spans="1:10">
      <c r="B67" s="1739">
        <v>4.13</v>
      </c>
      <c r="C67" s="1683" t="s">
        <v>66</v>
      </c>
      <c r="D67" s="1687" t="s">
        <v>67</v>
      </c>
      <c r="H67" s="1701">
        <f>'Input Data'!$I$24</f>
        <v>5000</v>
      </c>
      <c r="I67" s="1701" t="s">
        <v>66</v>
      </c>
      <c r="J67" s="1701">
        <f>ROUND(B67*H67,2)</f>
        <v>20650</v>
      </c>
    </row>
    <row r="68" spans="1:10">
      <c r="B68" s="1687"/>
      <c r="D68" s="1687" t="s">
        <v>60</v>
      </c>
      <c r="H68" s="1701"/>
      <c r="I68" s="1701"/>
      <c r="J68" s="1701">
        <f>SUM(J63:J67)</f>
        <v>56680.869999999995</v>
      </c>
    </row>
    <row r="69" spans="1:10">
      <c r="B69" s="1715" t="s">
        <v>27</v>
      </c>
      <c r="C69" s="1722" t="s">
        <v>40</v>
      </c>
      <c r="H69" s="1701"/>
      <c r="I69" s="1701"/>
      <c r="J69" s="1701"/>
    </row>
    <row r="70" spans="1:10">
      <c r="B70" s="1705">
        <v>6</v>
      </c>
      <c r="C70" s="1683" t="s">
        <v>41</v>
      </c>
      <c r="D70" s="1687" t="s">
        <v>68</v>
      </c>
      <c r="H70" s="1701">
        <f>'SSR-rates'!$H$88</f>
        <v>627.6</v>
      </c>
      <c r="I70" s="1701" t="s">
        <v>41</v>
      </c>
      <c r="J70" s="1701">
        <f>ROUND(B70*H70,2)</f>
        <v>3765.6</v>
      </c>
    </row>
    <row r="71" spans="1:10">
      <c r="B71" s="1705">
        <v>6</v>
      </c>
      <c r="C71" s="1683" t="s">
        <v>41</v>
      </c>
      <c r="D71" s="1687" t="s">
        <v>69</v>
      </c>
      <c r="H71" s="1701">
        <f>'SSR-rates'!$H$87</f>
        <v>1237.4000000000001</v>
      </c>
      <c r="I71" s="1701" t="s">
        <v>41</v>
      </c>
      <c r="J71" s="1701">
        <f>ROUND(B71*H71,2)</f>
        <v>7424.4</v>
      </c>
    </row>
    <row r="72" spans="1:10">
      <c r="B72" s="1705"/>
      <c r="C72" s="1683" t="s">
        <v>41</v>
      </c>
      <c r="D72" s="1687" t="s">
        <v>70</v>
      </c>
      <c r="H72" s="1701">
        <f>'SSR-rates'!$H$69</f>
        <v>699</v>
      </c>
      <c r="I72" s="1701" t="s">
        <v>41</v>
      </c>
      <c r="J72" s="1701">
        <f>ROUND(B72*H72,2)</f>
        <v>0</v>
      </c>
    </row>
    <row r="73" spans="1:10">
      <c r="B73" s="1705"/>
      <c r="C73" s="1688"/>
      <c r="D73" s="1687" t="s">
        <v>60</v>
      </c>
      <c r="H73" s="1701"/>
      <c r="I73" s="1701"/>
      <c r="J73" s="1701">
        <f>SUM(J70:J72)</f>
        <v>11190</v>
      </c>
    </row>
    <row r="74" spans="1:10">
      <c r="B74" s="1715" t="s">
        <v>45</v>
      </c>
      <c r="C74" s="1722" t="s">
        <v>71</v>
      </c>
      <c r="H74" s="1701"/>
      <c r="I74" s="1701"/>
      <c r="J74" s="1701"/>
    </row>
    <row r="75" spans="1:10">
      <c r="B75" s="1687"/>
      <c r="C75" s="1683" t="s">
        <v>29</v>
      </c>
      <c r="D75" s="1684" t="s">
        <v>72</v>
      </c>
      <c r="H75" s="1701">
        <f>J61+J68+J73</f>
        <v>78878.26999999999</v>
      </c>
      <c r="I75" s="1716" t="s">
        <v>73</v>
      </c>
      <c r="J75" s="1701">
        <f>H75*B75</f>
        <v>0</v>
      </c>
    </row>
    <row r="76" spans="1:10">
      <c r="A76" s="1713"/>
      <c r="B76" s="1715" t="s">
        <v>47</v>
      </c>
      <c r="C76" s="1713" t="s">
        <v>74</v>
      </c>
      <c r="F76" s="1683"/>
      <c r="G76" s="1683"/>
      <c r="H76" s="1683"/>
      <c r="I76" s="1683"/>
      <c r="J76" s="1741"/>
    </row>
    <row r="77" spans="1:10">
      <c r="A77" s="1713"/>
      <c r="B77" s="1706">
        <f>'Input Data'!$D$25</f>
        <v>0</v>
      </c>
      <c r="C77" s="2952" t="s">
        <v>75</v>
      </c>
      <c r="D77" s="2953"/>
      <c r="E77" s="2953"/>
      <c r="F77" s="2953"/>
      <c r="G77" s="2954"/>
      <c r="H77" s="1688">
        <f>J75+J73+J68+J61</f>
        <v>78878.26999999999</v>
      </c>
      <c r="I77" s="1683"/>
      <c r="J77" s="1701">
        <f>H77*B77</f>
        <v>0</v>
      </c>
    </row>
    <row r="78" spans="1:10">
      <c r="A78" s="1713"/>
      <c r="B78" s="1715" t="s">
        <v>76</v>
      </c>
      <c r="C78" s="1713" t="s">
        <v>77</v>
      </c>
      <c r="F78" s="1683"/>
      <c r="G78" s="1683"/>
      <c r="H78" s="1683"/>
      <c r="I78" s="1683"/>
      <c r="J78" s="1741">
        <f>J61+J68+J73+J75+J77</f>
        <v>78878.26999999999</v>
      </c>
    </row>
    <row r="79" spans="1:10">
      <c r="A79" s="1713"/>
      <c r="B79" s="1715" t="s">
        <v>78</v>
      </c>
      <c r="C79" s="1713" t="s">
        <v>79</v>
      </c>
      <c r="F79" s="1683"/>
      <c r="G79" s="1683"/>
      <c r="H79" s="1683"/>
      <c r="I79" s="1683"/>
      <c r="J79" s="1741">
        <f>J78*10/100</f>
        <v>7887.8269999999993</v>
      </c>
    </row>
    <row r="80" spans="1:10">
      <c r="B80" s="1705"/>
      <c r="C80" s="1683"/>
      <c r="D80" s="1722" t="s">
        <v>80</v>
      </c>
      <c r="H80" s="1701"/>
      <c r="I80" s="1701"/>
      <c r="J80" s="1741">
        <f>SUM(J78:J79)</f>
        <v>86766.096999999994</v>
      </c>
    </row>
    <row r="81" spans="1:10">
      <c r="B81" s="1705"/>
      <c r="C81" s="1683"/>
      <c r="D81" s="1687" t="s">
        <v>81</v>
      </c>
      <c r="H81" s="1701"/>
      <c r="I81" s="1701"/>
      <c r="J81" s="1701">
        <f>ROUND(J80/15,2)</f>
        <v>5784.41</v>
      </c>
    </row>
    <row r="82" spans="1:10">
      <c r="D82" s="1687" t="s">
        <v>52</v>
      </c>
      <c r="H82" s="1701"/>
      <c r="I82" s="1701"/>
      <c r="J82" s="1742">
        <f>ROUND(J81,0)</f>
        <v>5784</v>
      </c>
    </row>
    <row r="83" spans="1:10">
      <c r="D83" s="1687"/>
      <c r="H83" s="1701"/>
      <c r="I83" s="1701"/>
      <c r="J83" s="1741" t="s">
        <v>53</v>
      </c>
    </row>
    <row r="84" spans="1:10">
      <c r="D84" s="1687"/>
      <c r="H84" s="1701"/>
      <c r="I84" s="1701"/>
      <c r="J84" s="1741"/>
    </row>
    <row r="85" spans="1:10" ht="69.75" customHeight="1">
      <c r="A85" s="1710"/>
      <c r="B85" s="2946" t="s">
        <v>82</v>
      </c>
      <c r="C85" s="2946"/>
      <c r="D85" s="2946"/>
      <c r="E85" s="2946"/>
      <c r="F85" s="2946"/>
      <c r="G85" s="2946"/>
      <c r="H85" s="2946"/>
      <c r="I85" s="2946"/>
      <c r="J85" s="2946"/>
    </row>
    <row r="86" spans="1:10">
      <c r="D86" s="1687" t="s">
        <v>10</v>
      </c>
      <c r="F86" s="1713" t="s">
        <v>83</v>
      </c>
      <c r="J86" s="1684"/>
    </row>
    <row r="87" spans="1:10">
      <c r="D87" s="1687" t="s">
        <v>84</v>
      </c>
      <c r="J87" s="1684"/>
    </row>
    <row r="88" spans="1:10">
      <c r="B88" s="1715" t="s">
        <v>36</v>
      </c>
      <c r="C88" s="1722" t="s">
        <v>37</v>
      </c>
      <c r="J88" s="1684"/>
    </row>
    <row r="89" spans="1:10">
      <c r="B89" s="1705">
        <v>0.28000000000000003</v>
      </c>
      <c r="C89" s="1683" t="s">
        <v>57</v>
      </c>
      <c r="D89" s="1687" t="s">
        <v>14</v>
      </c>
      <c r="H89" s="1701">
        <f>'SSR-rates'!$H$58</f>
        <v>490</v>
      </c>
      <c r="I89" s="1716" t="s">
        <v>38</v>
      </c>
      <c r="J89" s="1701">
        <f>ROUND(B89*H89,2)</f>
        <v>137.19999999999999</v>
      </c>
    </row>
    <row r="90" spans="1:10">
      <c r="B90" s="1705">
        <v>7</v>
      </c>
      <c r="C90" s="1683" t="s">
        <v>57</v>
      </c>
      <c r="D90" s="1687" t="s">
        <v>59</v>
      </c>
      <c r="H90" s="1701">
        <f>'SSR-rates'!$H$60</f>
        <v>490</v>
      </c>
      <c r="I90" s="1716" t="s">
        <v>38</v>
      </c>
      <c r="J90" s="1701">
        <f>ROUND(B90*H90,2)</f>
        <v>3430</v>
      </c>
    </row>
    <row r="91" spans="1:10">
      <c r="A91" s="1713"/>
      <c r="B91" s="1702">
        <f>'Input Data'!$D$23</f>
        <v>0</v>
      </c>
      <c r="C91" s="1688"/>
      <c r="D91" s="1684" t="s">
        <v>17</v>
      </c>
      <c r="F91" s="1683"/>
      <c r="G91" s="1683"/>
      <c r="H91" s="1701">
        <f>SUM(J89:$J$90)</f>
        <v>3567.2</v>
      </c>
      <c r="I91" s="1716"/>
      <c r="J91" s="1701">
        <f>B91*H91</f>
        <v>0</v>
      </c>
    </row>
    <row r="92" spans="1:10" ht="13.5" customHeight="1">
      <c r="B92" s="1687" t="s">
        <v>85</v>
      </c>
      <c r="D92" s="1687" t="s">
        <v>60</v>
      </c>
      <c r="H92" s="1701"/>
      <c r="I92" s="1716"/>
      <c r="J92" s="1701">
        <f>SUM(J89:J91)</f>
        <v>3567.2</v>
      </c>
    </row>
    <row r="93" spans="1:10" hidden="1">
      <c r="B93" s="1687"/>
      <c r="D93" s="1687"/>
      <c r="H93" s="1701"/>
      <c r="I93" s="1701"/>
      <c r="J93" s="1701"/>
    </row>
    <row r="94" spans="1:10">
      <c r="B94" s="1715" t="s">
        <v>39</v>
      </c>
      <c r="C94" s="1722" t="s">
        <v>61</v>
      </c>
      <c r="H94" s="1701"/>
      <c r="I94" s="1701"/>
      <c r="J94" s="1701"/>
    </row>
    <row r="95" spans="1:10">
      <c r="B95" s="1705">
        <v>12</v>
      </c>
      <c r="C95" s="1683" t="s">
        <v>31</v>
      </c>
      <c r="D95" s="1687" t="s">
        <v>86</v>
      </c>
      <c r="H95" s="1701">
        <f>lead!$J$34</f>
        <v>219.2847335299036</v>
      </c>
      <c r="I95" s="1701" t="s">
        <v>31</v>
      </c>
      <c r="J95" s="1701">
        <f>ROUND(B95*H95,2)</f>
        <v>2631.42</v>
      </c>
    </row>
    <row r="96" spans="1:10">
      <c r="B96" s="1687"/>
      <c r="D96" s="1687" t="s">
        <v>60</v>
      </c>
      <c r="H96" s="1701"/>
      <c r="I96" s="1701"/>
      <c r="J96" s="1701">
        <f>SUM(J95:J95)</f>
        <v>2631.42</v>
      </c>
    </row>
    <row r="97" spans="1:11">
      <c r="B97" s="1715" t="s">
        <v>87</v>
      </c>
      <c r="C97" s="1722" t="s">
        <v>40</v>
      </c>
      <c r="H97" s="1701"/>
      <c r="I97" s="1701"/>
      <c r="J97" s="1701"/>
    </row>
    <row r="98" spans="1:11" ht="30" customHeight="1">
      <c r="B98" s="1705">
        <v>2.5</v>
      </c>
      <c r="C98" s="1683" t="s">
        <v>41</v>
      </c>
      <c r="D98" s="2955" t="s">
        <v>88</v>
      </c>
      <c r="E98" s="2956"/>
      <c r="F98" s="2956"/>
      <c r="G98" s="2957"/>
      <c r="H98" s="1701">
        <f>'SSR-rates'!$H$91</f>
        <v>54</v>
      </c>
      <c r="I98" s="1701" t="s">
        <v>41</v>
      </c>
      <c r="J98" s="1701">
        <f>ROUND(B98*H98,2)</f>
        <v>135</v>
      </c>
    </row>
    <row r="99" spans="1:11">
      <c r="B99" s="1705">
        <v>0.05</v>
      </c>
      <c r="C99" s="1683" t="s">
        <v>41</v>
      </c>
      <c r="D99" s="1687" t="s">
        <v>70</v>
      </c>
      <c r="H99" s="1701">
        <f>'SSR-rates'!$H$69</f>
        <v>699</v>
      </c>
      <c r="I99" s="1701" t="s">
        <v>41</v>
      </c>
      <c r="J99" s="1701">
        <f>ROUND(B99*H99,2)</f>
        <v>34.950000000000003</v>
      </c>
    </row>
    <row r="100" spans="1:11">
      <c r="B100" s="1705"/>
      <c r="C100" s="1683"/>
      <c r="D100" s="1687" t="s">
        <v>60</v>
      </c>
      <c r="H100" s="1701"/>
      <c r="I100" s="1701"/>
      <c r="J100" s="1701">
        <f>SUM(J98:J99)</f>
        <v>169.95</v>
      </c>
    </row>
    <row r="101" spans="1:11">
      <c r="A101" s="1713"/>
      <c r="B101" s="1715" t="s">
        <v>45</v>
      </c>
      <c r="C101" s="1713" t="s">
        <v>44</v>
      </c>
      <c r="F101" s="1683"/>
      <c r="G101" s="1683"/>
      <c r="H101" s="1683"/>
      <c r="I101" s="1683"/>
      <c r="J101" s="1741"/>
    </row>
    <row r="102" spans="1:11" ht="34.5" customHeight="1">
      <c r="A102" s="1713"/>
      <c r="B102" s="1706">
        <f>'Input Data'!$D$25</f>
        <v>0</v>
      </c>
      <c r="C102" s="2955" t="str">
        <f>"Over head charges "&amp;'Input Data'!$D$25*100&amp;"%  on (A) + (B)+(C)"</f>
        <v>Over head charges 0%  on (A) + (B)+(C)</v>
      </c>
      <c r="D102" s="2956"/>
      <c r="E102" s="2956"/>
      <c r="F102" s="2956"/>
      <c r="G102" s="2957"/>
      <c r="H102" s="1688">
        <f>J100+J96+J92</f>
        <v>6368.57</v>
      </c>
      <c r="I102" s="1683"/>
      <c r="J102" s="1701">
        <f>H102*B102</f>
        <v>0</v>
      </c>
    </row>
    <row r="103" spans="1:11">
      <c r="A103" s="1713"/>
      <c r="B103" s="1715" t="s">
        <v>47</v>
      </c>
      <c r="C103" s="1713" t="s">
        <v>89</v>
      </c>
      <c r="F103" s="1683"/>
      <c r="G103" s="1683"/>
      <c r="H103" s="1683"/>
      <c r="I103" s="1683"/>
      <c r="J103" s="1741">
        <f>J92+J96+J100+J102</f>
        <v>6368.57</v>
      </c>
    </row>
    <row r="104" spans="1:11">
      <c r="A104" s="1713"/>
      <c r="B104" s="1715" t="s">
        <v>76</v>
      </c>
      <c r="C104" s="1713" t="s">
        <v>90</v>
      </c>
      <c r="F104" s="1683"/>
      <c r="G104" s="1683"/>
      <c r="H104" s="1683"/>
      <c r="I104" s="1683"/>
      <c r="J104" s="1741">
        <f>J103*10/100</f>
        <v>636.85699999999997</v>
      </c>
    </row>
    <row r="105" spans="1:11">
      <c r="B105" s="1705"/>
      <c r="C105" s="1683"/>
      <c r="D105" s="1722" t="s">
        <v>91</v>
      </c>
      <c r="H105" s="1701"/>
      <c r="I105" s="1701"/>
      <c r="J105" s="1741">
        <f>SUM(J103:J104)</f>
        <v>7005.4269999999997</v>
      </c>
    </row>
    <row r="106" spans="1:11">
      <c r="B106" s="1705"/>
      <c r="C106" s="1683"/>
      <c r="D106" s="1687" t="s">
        <v>50</v>
      </c>
      <c r="H106" s="1701"/>
      <c r="I106" s="1701"/>
      <c r="J106" s="1701">
        <f>J105/10</f>
        <v>700.54269999999997</v>
      </c>
    </row>
    <row r="107" spans="1:11">
      <c r="D107" s="1687" t="s">
        <v>52</v>
      </c>
      <c r="H107" s="1701"/>
      <c r="I107" s="1701"/>
      <c r="J107" s="1742">
        <f>ROUND(J106,0)</f>
        <v>701</v>
      </c>
      <c r="K107" s="1684">
        <v>512</v>
      </c>
    </row>
    <row r="108" spans="1:11">
      <c r="D108" s="1687"/>
      <c r="H108" s="1701"/>
      <c r="I108" s="1701"/>
      <c r="J108" s="1741" t="s">
        <v>53</v>
      </c>
    </row>
    <row r="109" spans="1:11">
      <c r="D109" s="1687"/>
      <c r="H109" s="1701"/>
      <c r="I109" s="1701"/>
      <c r="J109" s="1741"/>
    </row>
    <row r="110" spans="1:11" ht="120" customHeight="1">
      <c r="A110" s="1710"/>
      <c r="B110" s="2946" t="s">
        <v>92</v>
      </c>
      <c r="C110" s="2946"/>
      <c r="D110" s="2946"/>
      <c r="E110" s="2946"/>
      <c r="F110" s="2946"/>
      <c r="G110" s="2946"/>
      <c r="H110" s="2946"/>
      <c r="I110" s="2946"/>
      <c r="J110" s="2946"/>
    </row>
    <row r="111" spans="1:11">
      <c r="D111" s="1687" t="s">
        <v>10</v>
      </c>
      <c r="F111" s="1713" t="s">
        <v>93</v>
      </c>
      <c r="J111" s="1684"/>
    </row>
    <row r="112" spans="1:11">
      <c r="D112" s="1687" t="s">
        <v>56</v>
      </c>
      <c r="J112" s="1684"/>
    </row>
    <row r="113" spans="1:13">
      <c r="B113" s="1715" t="s">
        <v>36</v>
      </c>
      <c r="C113" s="1722" t="s">
        <v>37</v>
      </c>
      <c r="J113" s="1684"/>
    </row>
    <row r="114" spans="1:13">
      <c r="B114" s="1705">
        <v>0.86</v>
      </c>
      <c r="C114" s="1683" t="s">
        <v>57</v>
      </c>
      <c r="D114" s="1687" t="s">
        <v>14</v>
      </c>
      <c r="H114" s="1701">
        <f>'SSR-rates'!$H$58</f>
        <v>490</v>
      </c>
      <c r="I114" s="1716" t="s">
        <v>38</v>
      </c>
      <c r="J114" s="1705">
        <f>ROUND(B114*H114,2)</f>
        <v>421.4</v>
      </c>
      <c r="K114" s="1687"/>
    </row>
    <row r="115" spans="1:13">
      <c r="B115" s="1705">
        <v>1.5</v>
      </c>
      <c r="C115" s="1683" t="s">
        <v>57</v>
      </c>
      <c r="D115" s="1687" t="s">
        <v>58</v>
      </c>
      <c r="H115" s="1701">
        <f>'SSR-rates'!$H$59</f>
        <v>524</v>
      </c>
      <c r="I115" s="1716" t="s">
        <v>38</v>
      </c>
      <c r="J115" s="1705">
        <f>ROUND(B115*H115,2)</f>
        <v>786</v>
      </c>
    </row>
    <row r="116" spans="1:13">
      <c r="B116" s="1705">
        <v>20</v>
      </c>
      <c r="C116" s="1683" t="s">
        <v>57</v>
      </c>
      <c r="D116" s="1687" t="s">
        <v>59</v>
      </c>
      <c r="H116" s="1701">
        <f>'SSR-rates'!$H$60</f>
        <v>490</v>
      </c>
      <c r="I116" s="1716" t="s">
        <v>38</v>
      </c>
      <c r="J116" s="1705">
        <f>ROUND(B116*H116,2)</f>
        <v>9800</v>
      </c>
    </row>
    <row r="117" spans="1:13">
      <c r="A117" s="1713"/>
      <c r="B117" s="1702">
        <f>'Input Data'!$D$23</f>
        <v>0</v>
      </c>
      <c r="C117" s="1688"/>
      <c r="D117" s="1684" t="s">
        <v>17</v>
      </c>
      <c r="F117" s="1683"/>
      <c r="G117" s="1683"/>
      <c r="H117" s="1701">
        <f>SUM(J114:J116)</f>
        <v>11007.4</v>
      </c>
      <c r="I117" s="1716"/>
      <c r="J117" s="1701">
        <f>B117*H117</f>
        <v>0</v>
      </c>
    </row>
    <row r="118" spans="1:13" ht="15" customHeight="1">
      <c r="B118" s="1705"/>
      <c r="D118" s="1687" t="s">
        <v>60</v>
      </c>
      <c r="H118" s="1701"/>
      <c r="I118" s="1701"/>
      <c r="J118" s="1705">
        <f>SUM(J114:J117)</f>
        <v>11007.4</v>
      </c>
    </row>
    <row r="119" spans="1:13">
      <c r="B119" s="1715" t="s">
        <v>39</v>
      </c>
      <c r="C119" s="1722" t="s">
        <v>61</v>
      </c>
      <c r="H119" s="1701"/>
      <c r="I119" s="1701"/>
      <c r="J119" s="1701"/>
    </row>
    <row r="120" spans="1:13">
      <c r="B120" s="1705">
        <v>5.4</v>
      </c>
      <c r="C120" s="1683" t="s">
        <v>31</v>
      </c>
      <c r="D120" s="1687" t="s">
        <v>62</v>
      </c>
      <c r="H120" s="1701">
        <f>lead!$J$14</f>
        <v>1732.2187651278443</v>
      </c>
      <c r="I120" s="1701" t="s">
        <v>31</v>
      </c>
      <c r="J120" s="1701">
        <f>ROUND(B120*H120,2)</f>
        <v>9353.98</v>
      </c>
      <c r="K120" s="1684">
        <v>5.16</v>
      </c>
      <c r="L120" s="1684">
        <v>5.4</v>
      </c>
      <c r="M120" s="1684">
        <v>1139.82456140351</v>
      </c>
    </row>
    <row r="121" spans="1:13" ht="15" customHeight="1">
      <c r="B121" s="1705">
        <v>5.4</v>
      </c>
      <c r="C121" s="1683" t="s">
        <v>31</v>
      </c>
      <c r="D121" s="1684" t="s">
        <v>63</v>
      </c>
      <c r="H121" s="1701">
        <f>lead!$J$16</f>
        <v>2031.2187651278443</v>
      </c>
      <c r="I121" s="1701" t="s">
        <v>31</v>
      </c>
      <c r="J121" s="1701">
        <f>ROUND(B121*H121,2)</f>
        <v>10968.58</v>
      </c>
      <c r="L121" s="1684">
        <v>5.4</v>
      </c>
      <c r="M121" s="1684">
        <v>1659.82456140351</v>
      </c>
    </row>
    <row r="122" spans="1:13" ht="15" customHeight="1">
      <c r="B122" s="1705">
        <v>2.7</v>
      </c>
      <c r="C122" s="1683" t="s">
        <v>31</v>
      </c>
      <c r="D122" s="1684" t="s">
        <v>64</v>
      </c>
      <c r="H122" s="1701">
        <f>lead!$J$18</f>
        <v>1780.2187651278443</v>
      </c>
      <c r="I122" s="1701" t="s">
        <v>31</v>
      </c>
      <c r="J122" s="1701">
        <f>ROUND(B122*H122,2)</f>
        <v>4806.59</v>
      </c>
      <c r="L122" s="1684">
        <v>2.7</v>
      </c>
      <c r="M122" s="1684">
        <v>1229.82456140351</v>
      </c>
    </row>
    <row r="123" spans="1:13" ht="15" customHeight="1">
      <c r="B123" s="1705">
        <v>6.75</v>
      </c>
      <c r="C123" s="1683" t="s">
        <v>31</v>
      </c>
      <c r="D123" s="1687" t="s">
        <v>65</v>
      </c>
      <c r="H123" s="1701">
        <f>lead!J12</f>
        <v>1684.4687651278443</v>
      </c>
      <c r="I123" s="1701" t="s">
        <v>31</v>
      </c>
      <c r="J123" s="1701">
        <f>ROUND(B123*H123,2)</f>
        <v>11370.16</v>
      </c>
      <c r="L123" s="1684">
        <v>6.75</v>
      </c>
      <c r="M123" s="1684">
        <v>1207.0087719298201</v>
      </c>
    </row>
    <row r="124" spans="1:13" ht="15" customHeight="1">
      <c r="B124" s="1705">
        <v>5.16</v>
      </c>
      <c r="C124" s="1683" t="s">
        <v>66</v>
      </c>
      <c r="D124" s="1687" t="s">
        <v>67</v>
      </c>
      <c r="H124" s="1701">
        <f>lead!$J$36</f>
        <v>5000</v>
      </c>
      <c r="I124" s="1701" t="s">
        <v>66</v>
      </c>
      <c r="J124" s="1701">
        <f>ROUND(B124*H124,2)</f>
        <v>25800</v>
      </c>
      <c r="L124" s="1684">
        <v>5.16</v>
      </c>
      <c r="M124" s="1684">
        <v>6300</v>
      </c>
    </row>
    <row r="125" spans="1:13">
      <c r="B125" s="1705"/>
      <c r="C125" s="1688"/>
      <c r="D125" s="1687" t="s">
        <v>60</v>
      </c>
      <c r="H125" s="1701"/>
      <c r="I125" s="1701"/>
      <c r="J125" s="1701">
        <f>SUM(J120:J124)</f>
        <v>62299.31</v>
      </c>
    </row>
    <row r="126" spans="1:13">
      <c r="B126" s="1715" t="s">
        <v>94</v>
      </c>
      <c r="C126" s="1722" t="s">
        <v>40</v>
      </c>
      <c r="H126" s="1701"/>
      <c r="I126" s="1701"/>
      <c r="J126" s="1701"/>
    </row>
    <row r="127" spans="1:13">
      <c r="B127" s="1705">
        <v>6</v>
      </c>
      <c r="C127" s="1683" t="s">
        <v>41</v>
      </c>
      <c r="D127" s="1687" t="s">
        <v>68</v>
      </c>
      <c r="H127" s="1701">
        <f>'SSR-rates'!$H$88</f>
        <v>627.6</v>
      </c>
      <c r="I127" s="1701" t="s">
        <v>41</v>
      </c>
      <c r="J127" s="1701">
        <f>ROUND(B127*H127,2)</f>
        <v>3765.6</v>
      </c>
    </row>
    <row r="128" spans="1:13">
      <c r="B128" s="1705">
        <v>6</v>
      </c>
      <c r="C128" s="1683" t="s">
        <v>41</v>
      </c>
      <c r="D128" s="1687" t="s">
        <v>69</v>
      </c>
      <c r="H128" s="1701">
        <f>'SSR-rates'!$H$87</f>
        <v>1237.4000000000001</v>
      </c>
      <c r="I128" s="1701" t="s">
        <v>41</v>
      </c>
      <c r="J128" s="1701">
        <f>ROUND(B128*H128,2)</f>
        <v>7424.4</v>
      </c>
    </row>
    <row r="129" spans="1:10">
      <c r="B129" s="1705"/>
      <c r="C129" s="1688"/>
      <c r="D129" s="1687" t="s">
        <v>60</v>
      </c>
      <c r="H129" s="1701"/>
      <c r="I129" s="1701"/>
      <c r="J129" s="1701">
        <f>SUM(J127:J128)</f>
        <v>11190</v>
      </c>
    </row>
    <row r="130" spans="1:10">
      <c r="A130" s="1713"/>
      <c r="B130" s="1715" t="s">
        <v>45</v>
      </c>
      <c r="C130" s="1713" t="s">
        <v>95</v>
      </c>
      <c r="F130" s="1683"/>
      <c r="G130" s="1683"/>
      <c r="H130" s="1683"/>
      <c r="I130" s="1683"/>
      <c r="J130" s="1741"/>
    </row>
    <row r="131" spans="1:10">
      <c r="A131" s="1713"/>
      <c r="B131" s="1705">
        <v>4</v>
      </c>
      <c r="C131" s="1688" t="s">
        <v>29</v>
      </c>
      <c r="D131" s="1687" t="s">
        <v>96</v>
      </c>
      <c r="F131" s="1683"/>
      <c r="G131" s="1683"/>
      <c r="H131" s="1683"/>
      <c r="I131" s="1683"/>
      <c r="J131" s="1701">
        <f>ROUND((J118+J125+J129)*B131/100,2)</f>
        <v>3379.87</v>
      </c>
    </row>
    <row r="132" spans="1:10">
      <c r="A132" s="1713"/>
      <c r="B132" s="1715" t="s">
        <v>47</v>
      </c>
      <c r="C132" s="1713" t="s">
        <v>97</v>
      </c>
      <c r="F132" s="1683"/>
      <c r="G132" s="1683"/>
      <c r="H132" s="1683"/>
      <c r="I132" s="1683"/>
      <c r="J132" s="1741"/>
    </row>
    <row r="133" spans="1:10">
      <c r="A133" s="1713"/>
      <c r="B133" s="1743">
        <f>'Input Data'!$D$25</f>
        <v>0</v>
      </c>
      <c r="C133" s="1688"/>
      <c r="D133" s="1687" t="str">
        <f>"Over head charges "&amp;'Input Data'!$D$25*100&amp;"%  on (A) + (B)"</f>
        <v>Over head charges 0%  on (A) + (B)</v>
      </c>
      <c r="F133" s="1683"/>
      <c r="G133" s="1683"/>
      <c r="H133" s="1688">
        <f>J131+J129+J125+J118</f>
        <v>87876.579999999987</v>
      </c>
      <c r="I133" s="1683"/>
      <c r="J133" s="1701">
        <f>H133*B133</f>
        <v>0</v>
      </c>
    </row>
    <row r="134" spans="1:10">
      <c r="A134" s="1713"/>
      <c r="B134" s="1715" t="s">
        <v>76</v>
      </c>
      <c r="C134" s="1713" t="s">
        <v>89</v>
      </c>
      <c r="F134" s="1683"/>
      <c r="G134" s="1683"/>
      <c r="H134" s="1683"/>
      <c r="I134" s="1683"/>
      <c r="J134" s="1741">
        <f>J118+J125+J129+J133+J131</f>
        <v>87876.579999999987</v>
      </c>
    </row>
    <row r="135" spans="1:10">
      <c r="A135" s="1713"/>
      <c r="B135" s="1715" t="s">
        <v>78</v>
      </c>
      <c r="C135" s="1713" t="s">
        <v>90</v>
      </c>
      <c r="F135" s="1683"/>
      <c r="G135" s="1683"/>
      <c r="H135" s="1683"/>
      <c r="I135" s="1683"/>
      <c r="J135" s="1741">
        <f>J134*10/100</f>
        <v>8787.6579999999976</v>
      </c>
    </row>
    <row r="136" spans="1:10">
      <c r="B136" s="1705"/>
      <c r="C136" s="1683"/>
      <c r="D136" s="1722" t="s">
        <v>98</v>
      </c>
      <c r="H136" s="1701"/>
      <c r="I136" s="1701"/>
      <c r="J136" s="1741">
        <f>SUM(J134:J135)</f>
        <v>96664.237999999983</v>
      </c>
    </row>
    <row r="137" spans="1:10">
      <c r="B137" s="1705"/>
      <c r="C137" s="1683"/>
      <c r="D137" s="1687" t="s">
        <v>81</v>
      </c>
      <c r="H137" s="1701"/>
      <c r="I137" s="1701"/>
      <c r="J137" s="1701">
        <f>ROUND(J136/15,2)</f>
        <v>6444.28</v>
      </c>
    </row>
    <row r="138" spans="1:10">
      <c r="D138" s="1687" t="s">
        <v>52</v>
      </c>
      <c r="H138" s="1701"/>
      <c r="I138" s="1701"/>
      <c r="J138" s="1742">
        <f>ROUND(J137,0)</f>
        <v>6444</v>
      </c>
    </row>
    <row r="139" spans="1:10">
      <c r="D139" s="1687"/>
      <c r="H139" s="1701"/>
      <c r="I139" s="1701"/>
      <c r="J139" s="1741" t="s">
        <v>53</v>
      </c>
    </row>
    <row r="140" spans="1:10" ht="108" hidden="1" customHeight="1">
      <c r="A140" s="1710">
        <v>3</v>
      </c>
      <c r="B140" s="2946" t="s">
        <v>99</v>
      </c>
      <c r="C140" s="2946"/>
      <c r="D140" s="2946"/>
      <c r="E140" s="2946"/>
      <c r="F140" s="2946"/>
      <c r="G140" s="2946"/>
      <c r="H140" s="2946"/>
      <c r="I140" s="2946"/>
      <c r="J140" s="2946"/>
    </row>
    <row r="141" spans="1:10" hidden="1">
      <c r="D141" s="1687" t="s">
        <v>10</v>
      </c>
      <c r="F141" s="1713" t="s">
        <v>100</v>
      </c>
      <c r="J141" s="1684"/>
    </row>
    <row r="142" spans="1:10" hidden="1">
      <c r="D142" s="1687" t="s">
        <v>56</v>
      </c>
      <c r="J142" s="1684"/>
    </row>
    <row r="143" spans="1:10" hidden="1">
      <c r="B143" s="1715" t="s">
        <v>36</v>
      </c>
      <c r="C143" s="1722" t="s">
        <v>37</v>
      </c>
      <c r="J143" s="1684"/>
    </row>
    <row r="144" spans="1:10" hidden="1">
      <c r="B144" s="1705">
        <v>0.64</v>
      </c>
      <c r="C144" s="1683" t="s">
        <v>57</v>
      </c>
      <c r="D144" s="1687" t="s">
        <v>14</v>
      </c>
      <c r="H144" s="1701">
        <f>'SSR-rates'!$H$58</f>
        <v>490</v>
      </c>
      <c r="I144" s="1716" t="s">
        <v>38</v>
      </c>
      <c r="J144" s="1705">
        <f>ROUND(B144*H144,2)</f>
        <v>313.60000000000002</v>
      </c>
    </row>
    <row r="145" spans="1:10" hidden="1">
      <c r="B145" s="1705">
        <v>1</v>
      </c>
      <c r="C145" s="1683" t="s">
        <v>57</v>
      </c>
      <c r="D145" s="1687" t="s">
        <v>58</v>
      </c>
      <c r="H145" s="1701">
        <f>'SSR-rates'!$H$59</f>
        <v>524</v>
      </c>
      <c r="I145" s="1716" t="s">
        <v>38</v>
      </c>
      <c r="J145" s="1705">
        <f>ROUND(B145*H145,2)</f>
        <v>524</v>
      </c>
    </row>
    <row r="146" spans="1:10" hidden="1">
      <c r="B146" s="1705">
        <v>15</v>
      </c>
      <c r="C146" s="1683" t="s">
        <v>57</v>
      </c>
      <c r="D146" s="1687" t="s">
        <v>59</v>
      </c>
      <c r="H146" s="1701">
        <f>'SSR-rates'!$H$60</f>
        <v>490</v>
      </c>
      <c r="I146" s="1716" t="s">
        <v>38</v>
      </c>
      <c r="J146" s="1705">
        <f>ROUND(B146*H146,2)</f>
        <v>7350</v>
      </c>
    </row>
    <row r="147" spans="1:10" hidden="1">
      <c r="A147" s="1713"/>
      <c r="B147" s="1702">
        <f>'Input Data'!$D$23</f>
        <v>0</v>
      </c>
      <c r="C147" s="1688"/>
      <c r="D147" s="1684" t="s">
        <v>17</v>
      </c>
      <c r="F147" s="1683"/>
      <c r="G147" s="1683"/>
      <c r="H147" s="1701">
        <f>SUM(J144:J146)</f>
        <v>8187.6</v>
      </c>
      <c r="I147" s="1716"/>
      <c r="J147" s="1701">
        <f>B147*H147</f>
        <v>0</v>
      </c>
    </row>
    <row r="148" spans="1:10" hidden="1">
      <c r="B148" s="1705"/>
      <c r="C148" s="1683"/>
      <c r="D148" s="1687" t="s">
        <v>60</v>
      </c>
      <c r="H148" s="1701"/>
      <c r="I148" s="1701"/>
      <c r="J148" s="1705">
        <f>SUM(J144:J147)</f>
        <v>8187.6</v>
      </c>
    </row>
    <row r="149" spans="1:10" hidden="1">
      <c r="B149" s="1715" t="s">
        <v>39</v>
      </c>
      <c r="C149" s="1722" t="s">
        <v>61</v>
      </c>
      <c r="H149" s="1701"/>
      <c r="I149" s="1701"/>
      <c r="J149" s="1701"/>
    </row>
    <row r="150" spans="1:10" hidden="1">
      <c r="B150" s="1705">
        <v>13.5</v>
      </c>
      <c r="C150" s="1683" t="s">
        <v>31</v>
      </c>
      <c r="D150" s="1684" t="s">
        <v>62</v>
      </c>
      <c r="H150" s="1701">
        <f>lead!$J$14</f>
        <v>1732.2187651278443</v>
      </c>
      <c r="I150" s="1701" t="s">
        <v>31</v>
      </c>
      <c r="J150" s="1701">
        <f>ROUND(B150*H150,2)</f>
        <v>23384.95</v>
      </c>
    </row>
    <row r="151" spans="1:10" hidden="1">
      <c r="B151" s="1705">
        <v>6.75</v>
      </c>
      <c r="C151" s="1683" t="s">
        <v>31</v>
      </c>
      <c r="D151" s="1687" t="s">
        <v>65</v>
      </c>
      <c r="H151" s="1738">
        <f>lead!J12</f>
        <v>1684.4687651278443</v>
      </c>
      <c r="I151" s="1701" t="s">
        <v>31</v>
      </c>
      <c r="J151" s="1701">
        <f>ROUND(B151*H151,2)</f>
        <v>11370.16</v>
      </c>
    </row>
    <row r="152" spans="1:10" hidden="1">
      <c r="B152" s="1739">
        <v>3.45</v>
      </c>
      <c r="C152" s="1683" t="s">
        <v>66</v>
      </c>
      <c r="D152" s="1687" t="s">
        <v>67</v>
      </c>
      <c r="H152" s="1701">
        <f>'Input Data'!$I$24</f>
        <v>5000</v>
      </c>
      <c r="I152" s="1701" t="s">
        <v>66</v>
      </c>
      <c r="J152" s="1701">
        <f>ROUND(B152*H152,2)</f>
        <v>17250</v>
      </c>
    </row>
    <row r="153" spans="1:10" hidden="1">
      <c r="B153" s="1687"/>
      <c r="D153" s="1687" t="s">
        <v>60</v>
      </c>
      <c r="H153" s="1701"/>
      <c r="I153" s="1701"/>
      <c r="J153" s="1701">
        <f>SUM(J150:J152)</f>
        <v>52005.11</v>
      </c>
    </row>
    <row r="154" spans="1:10" hidden="1">
      <c r="B154" s="1715" t="s">
        <v>27</v>
      </c>
      <c r="C154" s="1722" t="s">
        <v>40</v>
      </c>
      <c r="H154" s="1701"/>
      <c r="I154" s="1701"/>
      <c r="J154" s="1701"/>
    </row>
    <row r="155" spans="1:10" hidden="1">
      <c r="B155" s="1705">
        <v>6</v>
      </c>
      <c r="C155" s="1683" t="s">
        <v>41</v>
      </c>
      <c r="D155" s="1687" t="s">
        <v>68</v>
      </c>
      <c r="H155" s="1701">
        <f>'SSR-rates'!$H$88</f>
        <v>627.6</v>
      </c>
      <c r="I155" s="1701" t="s">
        <v>41</v>
      </c>
      <c r="J155" s="1701">
        <f>ROUND(B155*H155,2)</f>
        <v>3765.6</v>
      </c>
    </row>
    <row r="156" spans="1:10" hidden="1">
      <c r="B156" s="1705">
        <v>6</v>
      </c>
      <c r="C156" s="1683" t="s">
        <v>41</v>
      </c>
      <c r="D156" s="1687" t="s">
        <v>69</v>
      </c>
      <c r="H156" s="1701">
        <f>'SSR-rates'!$H$87</f>
        <v>1237.4000000000001</v>
      </c>
      <c r="I156" s="1701" t="s">
        <v>41</v>
      </c>
      <c r="J156" s="1701">
        <f>ROUND(B156*H156,2)</f>
        <v>7424.4</v>
      </c>
    </row>
    <row r="157" spans="1:10" hidden="1">
      <c r="B157" s="1705">
        <v>2</v>
      </c>
      <c r="C157" s="1683" t="s">
        <v>41</v>
      </c>
      <c r="D157" s="1687" t="s">
        <v>70</v>
      </c>
      <c r="H157" s="1701">
        <f>'SSR-rates'!$H$69</f>
        <v>699</v>
      </c>
      <c r="I157" s="1701" t="s">
        <v>41</v>
      </c>
      <c r="J157" s="1701">
        <f>ROUND(B157*H157,2)</f>
        <v>1398</v>
      </c>
    </row>
    <row r="158" spans="1:10" hidden="1">
      <c r="B158" s="1705"/>
      <c r="C158" s="1688"/>
      <c r="D158" s="1687" t="s">
        <v>60</v>
      </c>
      <c r="H158" s="1701"/>
      <c r="I158" s="1701"/>
      <c r="J158" s="1701">
        <f>SUM(J155:J157)</f>
        <v>12588</v>
      </c>
    </row>
    <row r="159" spans="1:10" hidden="1">
      <c r="B159" s="1715" t="s">
        <v>45</v>
      </c>
      <c r="C159" s="1722" t="s">
        <v>71</v>
      </c>
      <c r="H159" s="1701"/>
      <c r="I159" s="1701"/>
      <c r="J159" s="1701"/>
    </row>
    <row r="160" spans="1:10" hidden="1">
      <c r="B160" s="1687"/>
      <c r="C160" s="1683" t="s">
        <v>29</v>
      </c>
      <c r="D160" s="1684" t="s">
        <v>72</v>
      </c>
      <c r="H160" s="1701">
        <f>J148+J153+J158</f>
        <v>72780.709999999992</v>
      </c>
      <c r="I160" s="1716" t="s">
        <v>73</v>
      </c>
      <c r="J160" s="1701"/>
    </row>
    <row r="161" spans="1:10" hidden="1">
      <c r="A161" s="1713"/>
      <c r="B161" s="1715" t="s">
        <v>47</v>
      </c>
      <c r="C161" s="1713" t="s">
        <v>74</v>
      </c>
      <c r="F161" s="1683"/>
      <c r="G161" s="1683"/>
      <c r="H161" s="1683"/>
      <c r="I161" s="1683"/>
      <c r="J161" s="1741"/>
    </row>
    <row r="162" spans="1:10" hidden="1">
      <c r="A162" s="1713"/>
      <c r="B162" s="1706">
        <f>'Input Data'!$D$25</f>
        <v>0</v>
      </c>
      <c r="C162" s="2952" t="s">
        <v>75</v>
      </c>
      <c r="D162" s="2953"/>
      <c r="E162" s="2953"/>
      <c r="F162" s="2953"/>
      <c r="G162" s="2954"/>
      <c r="H162" s="1688">
        <f>J160+J158+J153+J148</f>
        <v>72780.710000000006</v>
      </c>
      <c r="I162" s="1683"/>
      <c r="J162" s="1701">
        <f>H162*B162</f>
        <v>0</v>
      </c>
    </row>
    <row r="163" spans="1:10" hidden="1">
      <c r="A163" s="1713"/>
      <c r="B163" s="1715" t="s">
        <v>76</v>
      </c>
      <c r="C163" s="1713" t="s">
        <v>77</v>
      </c>
      <c r="F163" s="1683"/>
      <c r="G163" s="1683"/>
      <c r="H163" s="1683"/>
      <c r="I163" s="1683"/>
      <c r="J163" s="1741">
        <f>J148+J153+J158+J160+J162</f>
        <v>72780.709999999992</v>
      </c>
    </row>
    <row r="164" spans="1:10" hidden="1">
      <c r="A164" s="1713"/>
      <c r="B164" s="1715" t="s">
        <v>78</v>
      </c>
      <c r="C164" s="1713" t="s">
        <v>79</v>
      </c>
      <c r="F164" s="1683"/>
      <c r="G164" s="1683"/>
      <c r="H164" s="1683"/>
      <c r="I164" s="1683"/>
      <c r="J164" s="1741">
        <f>J163*10/100</f>
        <v>7278.070999999999</v>
      </c>
    </row>
    <row r="165" spans="1:10" hidden="1">
      <c r="B165" s="1705"/>
      <c r="C165" s="1683"/>
      <c r="D165" s="1722" t="s">
        <v>80</v>
      </c>
      <c r="H165" s="1701"/>
      <c r="I165" s="1701"/>
      <c r="J165" s="1741">
        <f>SUM(J163:J164)</f>
        <v>80058.780999999988</v>
      </c>
    </row>
    <row r="166" spans="1:10" hidden="1">
      <c r="B166" s="1705"/>
      <c r="C166" s="1683"/>
      <c r="D166" s="1687" t="s">
        <v>81</v>
      </c>
      <c r="H166" s="1701"/>
      <c r="I166" s="1701"/>
      <c r="J166" s="1701">
        <f>ROUND(J165/15,2)</f>
        <v>5337.25</v>
      </c>
    </row>
    <row r="167" spans="1:10" hidden="1">
      <c r="D167" s="1687" t="s">
        <v>52</v>
      </c>
      <c r="H167" s="1701"/>
      <c r="I167" s="1701"/>
      <c r="J167" s="1742">
        <f>ROUND(J166,0)</f>
        <v>5337</v>
      </c>
    </row>
    <row r="168" spans="1:10" hidden="1">
      <c r="D168" s="1687"/>
      <c r="H168" s="1701"/>
      <c r="I168" s="1701"/>
      <c r="J168" s="1741" t="s">
        <v>53</v>
      </c>
    </row>
    <row r="169" spans="1:10" hidden="1">
      <c r="D169" s="1687"/>
      <c r="H169" s="1701"/>
      <c r="I169" s="1701"/>
      <c r="J169" s="1741"/>
    </row>
    <row r="170" spans="1:10">
      <c r="D170" s="1687"/>
      <c r="H170" s="1701"/>
      <c r="I170" s="1701"/>
      <c r="J170" s="1741"/>
    </row>
    <row r="171" spans="1:10" s="1681" customFormat="1" ht="117" customHeight="1">
      <c r="A171" s="1744"/>
      <c r="B171" s="2958" t="s">
        <v>101</v>
      </c>
      <c r="C171" s="2958"/>
      <c r="D171" s="2958"/>
      <c r="E171" s="2958"/>
      <c r="F171" s="2958"/>
      <c r="G171" s="2958"/>
      <c r="H171" s="2958"/>
      <c r="I171" s="2958"/>
      <c r="J171" s="2958"/>
    </row>
    <row r="172" spans="1:10" s="1681" customFormat="1" ht="15.6">
      <c r="A172" s="1745"/>
      <c r="D172" s="1746" t="s">
        <v>102</v>
      </c>
      <c r="F172" s="1747" t="s">
        <v>103</v>
      </c>
    </row>
    <row r="173" spans="1:10" s="1681" customFormat="1">
      <c r="A173" s="1745"/>
      <c r="D173" s="1746" t="s">
        <v>104</v>
      </c>
    </row>
    <row r="174" spans="1:10" s="1681" customFormat="1" ht="15.6">
      <c r="A174" s="1745"/>
      <c r="D174" s="1748" t="s">
        <v>105</v>
      </c>
    </row>
    <row r="175" spans="1:10" s="1681" customFormat="1" ht="15.6">
      <c r="A175" s="1745"/>
      <c r="B175" s="1749" t="s">
        <v>36</v>
      </c>
      <c r="C175" s="1750" t="s">
        <v>37</v>
      </c>
    </row>
    <row r="176" spans="1:10" s="1681" customFormat="1">
      <c r="A176" s="1745"/>
      <c r="B176" s="1751">
        <v>0.18</v>
      </c>
      <c r="C176" s="1745" t="s">
        <v>106</v>
      </c>
      <c r="D176" s="1746" t="s">
        <v>14</v>
      </c>
      <c r="H176" s="1752">
        <f>'SSR-rates'!$H$58</f>
        <v>490</v>
      </c>
      <c r="I176" s="1756" t="s">
        <v>38</v>
      </c>
      <c r="J176" s="1752">
        <f>ROUND(B176*H176,2)</f>
        <v>88.2</v>
      </c>
    </row>
    <row r="177" spans="1:12" s="1681" customFormat="1">
      <c r="A177" s="1745"/>
      <c r="B177" s="1751">
        <v>0.5</v>
      </c>
      <c r="C177" s="1745" t="s">
        <v>106</v>
      </c>
      <c r="D177" s="1746" t="s">
        <v>58</v>
      </c>
      <c r="H177" s="1752">
        <f>'SSR-rates'!$H$59</f>
        <v>524</v>
      </c>
      <c r="I177" s="1756" t="s">
        <v>38</v>
      </c>
      <c r="J177" s="1752">
        <f>ROUND(B177*H177,2)</f>
        <v>262</v>
      </c>
    </row>
    <row r="178" spans="1:12" s="1681" customFormat="1">
      <c r="A178" s="1745"/>
      <c r="B178" s="1751">
        <v>4</v>
      </c>
      <c r="C178" s="1745" t="s">
        <v>106</v>
      </c>
      <c r="D178" s="1746" t="s">
        <v>59</v>
      </c>
      <c r="H178" s="1752">
        <f>'SSR-rates'!$H$60</f>
        <v>490</v>
      </c>
      <c r="I178" s="1756" t="s">
        <v>38</v>
      </c>
      <c r="J178" s="1752">
        <f>ROUND(B178*H178,2)</f>
        <v>1960</v>
      </c>
    </row>
    <row r="179" spans="1:12" s="1681" customFormat="1" ht="15.6">
      <c r="A179" s="1747"/>
      <c r="B179" s="1753">
        <f>'Input Data'!$D$23</f>
        <v>0</v>
      </c>
      <c r="C179" s="1754"/>
      <c r="D179" s="1681" t="s">
        <v>17</v>
      </c>
      <c r="F179" s="1745"/>
      <c r="G179" s="1745"/>
      <c r="H179" s="1752">
        <f>SUM(J176:J178)</f>
        <v>2310.1999999999998</v>
      </c>
      <c r="I179" s="1756"/>
      <c r="J179" s="1752">
        <f>B179*H179</f>
        <v>0</v>
      </c>
    </row>
    <row r="180" spans="1:12" s="1681" customFormat="1">
      <c r="A180" s="1745"/>
      <c r="B180" s="1751"/>
      <c r="D180" s="1746" t="s">
        <v>60</v>
      </c>
      <c r="H180" s="1752"/>
      <c r="I180" s="1752"/>
      <c r="J180" s="1752">
        <f>SUM(J176:J179)</f>
        <v>2310.1999999999998</v>
      </c>
    </row>
    <row r="181" spans="1:12" s="1681" customFormat="1" ht="15.6">
      <c r="A181" s="1745"/>
      <c r="B181" s="1749" t="s">
        <v>39</v>
      </c>
      <c r="C181" s="1750" t="s">
        <v>61</v>
      </c>
      <c r="H181" s="1752"/>
      <c r="I181" s="1752"/>
      <c r="J181" s="1752"/>
    </row>
    <row r="182" spans="1:12" s="1681" customFormat="1">
      <c r="A182" s="1745"/>
      <c r="B182" s="1751">
        <v>12.5</v>
      </c>
      <c r="C182" s="1745" t="s">
        <v>107</v>
      </c>
      <c r="D182" s="1746" t="s">
        <v>108</v>
      </c>
      <c r="H182" s="1752">
        <f>lead!$J$44</f>
        <v>11424.926958148131</v>
      </c>
      <c r="I182" s="1752" t="s">
        <v>107</v>
      </c>
      <c r="J182" s="1752">
        <f>ROUND(B182*H182,2)</f>
        <v>142811.59</v>
      </c>
    </row>
    <row r="183" spans="1:12" s="1681" customFormat="1">
      <c r="A183" s="1745"/>
      <c r="B183" s="1751"/>
      <c r="C183" s="1754"/>
      <c r="D183" s="1746" t="s">
        <v>60</v>
      </c>
      <c r="H183" s="1752"/>
      <c r="I183" s="1752"/>
      <c r="J183" s="1752">
        <f>SUM(J182:J182)</f>
        <v>142811.59</v>
      </c>
    </row>
    <row r="184" spans="1:12" s="1681" customFormat="1" ht="15.6">
      <c r="A184" s="1747"/>
      <c r="B184" s="1749" t="s">
        <v>27</v>
      </c>
      <c r="C184" s="1747" t="s">
        <v>109</v>
      </c>
      <c r="F184" s="1745"/>
      <c r="G184" s="1745"/>
      <c r="H184" s="1745"/>
      <c r="I184" s="1745"/>
      <c r="J184" s="1757"/>
    </row>
    <row r="185" spans="1:12" s="1681" customFormat="1" ht="15.6">
      <c r="A185" s="1747"/>
      <c r="B185" s="1755">
        <f>'Input Data'!$D$25</f>
        <v>0</v>
      </c>
      <c r="C185" s="1754"/>
      <c r="D185" s="1746" t="str">
        <f>"Over head charges "&amp;'Input Data'!$D$25*100&amp;"%  on (A) + (B)"</f>
        <v>Over head charges 0%  on (A) + (B)</v>
      </c>
      <c r="F185" s="1745"/>
      <c r="G185" s="1745"/>
      <c r="H185" s="1754">
        <f>J183+J180</f>
        <v>145121.79</v>
      </c>
      <c r="I185" s="1745"/>
      <c r="J185" s="1752">
        <f>H185*B185</f>
        <v>0</v>
      </c>
    </row>
    <row r="186" spans="1:12" s="1681" customFormat="1" ht="15.6">
      <c r="A186" s="1747"/>
      <c r="B186" s="1749" t="s">
        <v>45</v>
      </c>
      <c r="C186" s="1747" t="s">
        <v>46</v>
      </c>
      <c r="F186" s="1745"/>
      <c r="G186" s="1745"/>
      <c r="H186" s="1745"/>
      <c r="I186" s="1745"/>
      <c r="J186" s="1757">
        <f>J180+J183+J185</f>
        <v>145121.79</v>
      </c>
    </row>
    <row r="187" spans="1:12" s="1681" customFormat="1" ht="15.6">
      <c r="A187" s="1747"/>
      <c r="B187" s="1749" t="s">
        <v>47</v>
      </c>
      <c r="C187" s="1747" t="s">
        <v>48</v>
      </c>
      <c r="F187" s="1745"/>
      <c r="G187" s="1745"/>
      <c r="H187" s="1745"/>
      <c r="I187" s="1745"/>
      <c r="J187" s="1757">
        <f>J186*10/100</f>
        <v>14512.179000000002</v>
      </c>
    </row>
    <row r="188" spans="1:12" s="1681" customFormat="1" ht="15.6">
      <c r="A188" s="1745"/>
      <c r="B188" s="1751"/>
      <c r="C188" s="1745"/>
      <c r="D188" s="1750" t="s">
        <v>110</v>
      </c>
      <c r="H188" s="1752"/>
      <c r="I188" s="1752"/>
      <c r="J188" s="1757">
        <f>SUM(J186:J187)</f>
        <v>159633.96900000001</v>
      </c>
    </row>
    <row r="189" spans="1:12" s="1681" customFormat="1">
      <c r="A189" s="1745"/>
      <c r="B189" s="1751"/>
      <c r="C189" s="1745"/>
      <c r="D189" s="1746" t="s">
        <v>111</v>
      </c>
      <c r="H189" s="1752"/>
      <c r="I189" s="1752"/>
      <c r="J189" s="1752">
        <f>ROUND(J188/12.5,2)</f>
        <v>12770.72</v>
      </c>
    </row>
    <row r="190" spans="1:12" s="1681" customFormat="1" ht="15.6">
      <c r="A190" s="1745"/>
      <c r="D190" s="1746" t="s">
        <v>52</v>
      </c>
      <c r="H190" s="1752"/>
      <c r="I190" s="1752"/>
      <c r="J190" s="1758">
        <f>ROUND(J189,0)</f>
        <v>12771</v>
      </c>
      <c r="K190" s="1681">
        <v>10089</v>
      </c>
      <c r="L190" s="1681">
        <f>J190*2</f>
        <v>25542</v>
      </c>
    </row>
    <row r="191" spans="1:12" s="1681" customFormat="1" ht="15.6">
      <c r="A191" s="1745"/>
      <c r="D191" s="1746"/>
      <c r="H191" s="1752"/>
      <c r="I191" s="1752"/>
      <c r="J191" s="1757" t="s">
        <v>112</v>
      </c>
    </row>
    <row r="192" spans="1:12" s="1681" customFormat="1" ht="15.6">
      <c r="A192" s="1745"/>
      <c r="D192" s="1746"/>
      <c r="H192" s="1752"/>
      <c r="I192" s="1752"/>
      <c r="J192" s="1757"/>
    </row>
    <row r="193" spans="1:10" ht="62.25" customHeight="1">
      <c r="A193" s="1710"/>
      <c r="B193" s="2946" t="s">
        <v>113</v>
      </c>
      <c r="C193" s="2946"/>
      <c r="D193" s="2946"/>
      <c r="E193" s="2946"/>
      <c r="F193" s="2946"/>
      <c r="G193" s="2946"/>
      <c r="H193" s="2946"/>
      <c r="I193" s="2946"/>
      <c r="J193" s="2946"/>
    </row>
    <row r="194" spans="1:10">
      <c r="D194" s="1687" t="s">
        <v>10</v>
      </c>
      <c r="F194" s="1713" t="s">
        <v>114</v>
      </c>
      <c r="J194" s="1684"/>
    </row>
    <row r="195" spans="1:10">
      <c r="D195" s="1687" t="s">
        <v>115</v>
      </c>
      <c r="J195" s="1684"/>
    </row>
    <row r="196" spans="1:10">
      <c r="B196" s="1715" t="s">
        <v>36</v>
      </c>
      <c r="C196" s="1722" t="s">
        <v>37</v>
      </c>
      <c r="J196" s="1684"/>
    </row>
    <row r="197" spans="1:10">
      <c r="B197" s="1705">
        <v>0.05</v>
      </c>
      <c r="C197" s="1683" t="s">
        <v>57</v>
      </c>
      <c r="D197" s="1687" t="s">
        <v>14</v>
      </c>
      <c r="H197" s="1701">
        <f>'SSR-rates'!H$58</f>
        <v>490</v>
      </c>
      <c r="I197" s="1716" t="s">
        <v>38</v>
      </c>
      <c r="J197" s="1701">
        <f>ROUND(B197*H197,2)</f>
        <v>24.5</v>
      </c>
    </row>
    <row r="198" spans="1:10">
      <c r="B198" s="1705">
        <v>0.25</v>
      </c>
      <c r="C198" s="1683" t="s">
        <v>57</v>
      </c>
      <c r="D198" s="1687" t="s">
        <v>15</v>
      </c>
      <c r="H198" s="1701">
        <f>'SSR-rates'!H59</f>
        <v>524</v>
      </c>
      <c r="I198" s="1716" t="s">
        <v>38</v>
      </c>
      <c r="J198" s="1701">
        <f>ROUND(B198*H198,2)</f>
        <v>131</v>
      </c>
    </row>
    <row r="199" spans="1:10">
      <c r="B199" s="1705">
        <v>1</v>
      </c>
      <c r="C199" s="1683" t="s">
        <v>57</v>
      </c>
      <c r="D199" s="1687" t="s">
        <v>59</v>
      </c>
      <c r="H199" s="1701">
        <f>'SSR-rates'!H$60</f>
        <v>490</v>
      </c>
      <c r="I199" s="1716" t="s">
        <v>38</v>
      </c>
      <c r="J199" s="1701">
        <f>ROUND(B199*H199,2)</f>
        <v>490</v>
      </c>
    </row>
    <row r="200" spans="1:10">
      <c r="A200" s="1713"/>
      <c r="B200" s="1702">
        <f>'Input Data'!$D$23</f>
        <v>0</v>
      </c>
      <c r="C200" s="1688"/>
      <c r="D200" s="1684" t="s">
        <v>17</v>
      </c>
      <c r="F200" s="1683"/>
      <c r="G200" s="1683"/>
      <c r="H200" s="1701">
        <f>SUM(J197:J199)</f>
        <v>645.5</v>
      </c>
      <c r="I200" s="1716"/>
      <c r="J200" s="1701">
        <f>B200*H200</f>
        <v>0</v>
      </c>
    </row>
    <row r="201" spans="1:10">
      <c r="B201" s="1687" t="s">
        <v>85</v>
      </c>
      <c r="D201" s="1687" t="s">
        <v>60</v>
      </c>
      <c r="H201" s="1701"/>
      <c r="I201" s="1716"/>
      <c r="J201" s="1701">
        <f>SUM(J197:J200)</f>
        <v>645.5</v>
      </c>
    </row>
    <row r="202" spans="1:10">
      <c r="B202" s="1687"/>
      <c r="D202" s="1687"/>
      <c r="H202" s="1701"/>
      <c r="I202" s="1701"/>
      <c r="J202" s="1701"/>
    </row>
    <row r="203" spans="1:10">
      <c r="B203" s="1715" t="s">
        <v>39</v>
      </c>
      <c r="C203" s="1722" t="s">
        <v>61</v>
      </c>
      <c r="H203" s="1701"/>
      <c r="I203" s="1701"/>
      <c r="J203" s="1701"/>
    </row>
    <row r="204" spans="1:10">
      <c r="B204" s="1705">
        <v>1.2</v>
      </c>
      <c r="C204" s="1683" t="s">
        <v>31</v>
      </c>
      <c r="D204" s="1687" t="s">
        <v>86</v>
      </c>
      <c r="H204" s="1701">
        <f>lead!J$34</f>
        <v>219.2847335299036</v>
      </c>
      <c r="I204" s="1701" t="s">
        <v>31</v>
      </c>
      <c r="J204" s="1701">
        <f>ROUND(B204*H204,2)</f>
        <v>263.14</v>
      </c>
    </row>
    <row r="205" spans="1:10">
      <c r="B205" s="1687"/>
      <c r="D205" s="1687" t="s">
        <v>60</v>
      </c>
      <c r="H205" s="1701"/>
      <c r="I205" s="1701"/>
      <c r="J205" s="1701">
        <f>SUM(J204:J204)</f>
        <v>263.14</v>
      </c>
    </row>
    <row r="206" spans="1:10">
      <c r="A206" s="1713"/>
      <c r="B206" s="1715" t="s">
        <v>27</v>
      </c>
      <c r="C206" s="1713" t="s">
        <v>74</v>
      </c>
      <c r="F206" s="1683"/>
      <c r="G206" s="1683"/>
      <c r="H206" s="1683"/>
      <c r="I206" s="1683"/>
      <c r="J206" s="1741"/>
    </row>
    <row r="207" spans="1:10" ht="27.75" customHeight="1">
      <c r="A207" s="1713"/>
      <c r="B207" s="1706">
        <f>'Input Data'!$D$25</f>
        <v>0</v>
      </c>
      <c r="C207" s="2955" t="str">
        <f>"Over head charges "&amp;'Input Data'!$D$25*100&amp;"%  on (A) + (B)"</f>
        <v>Over head charges 0%  on (A) + (B)</v>
      </c>
      <c r="D207" s="2956"/>
      <c r="E207" s="2956"/>
      <c r="F207" s="2956"/>
      <c r="G207" s="2957"/>
      <c r="H207" s="1688">
        <f>J205+J201</f>
        <v>908.64</v>
      </c>
      <c r="I207" s="1683"/>
      <c r="J207" s="1701">
        <f>H207*B207</f>
        <v>0</v>
      </c>
    </row>
    <row r="208" spans="1:10">
      <c r="A208" s="1713"/>
      <c r="B208" s="1715" t="s">
        <v>47</v>
      </c>
      <c r="C208" s="1713" t="s">
        <v>89</v>
      </c>
      <c r="F208" s="1683"/>
      <c r="G208" s="1683"/>
      <c r="H208" s="1683"/>
      <c r="I208" s="1683"/>
      <c r="J208" s="1741">
        <f>J201+J205+J207</f>
        <v>908.64</v>
      </c>
    </row>
    <row r="209" spans="1:10">
      <c r="A209" s="1713"/>
      <c r="B209" s="1715" t="s">
        <v>76</v>
      </c>
      <c r="C209" s="1713" t="s">
        <v>90</v>
      </c>
      <c r="F209" s="1683"/>
      <c r="G209" s="1683"/>
      <c r="H209" s="1683"/>
      <c r="I209" s="1683"/>
      <c r="J209" s="1741">
        <f>J208*10/100</f>
        <v>90.86399999999999</v>
      </c>
    </row>
    <row r="210" spans="1:10">
      <c r="B210" s="1705"/>
      <c r="C210" s="1683"/>
      <c r="D210" s="1722" t="s">
        <v>91</v>
      </c>
      <c r="H210" s="1701"/>
      <c r="I210" s="1701"/>
      <c r="J210" s="1741">
        <f>SUM(J208:J209)</f>
        <v>999.50400000000002</v>
      </c>
    </row>
    <row r="211" spans="1:10">
      <c r="B211" s="1705"/>
      <c r="C211" s="1683"/>
      <c r="D211" s="1687" t="s">
        <v>50</v>
      </c>
      <c r="H211" s="1701"/>
      <c r="I211" s="1701"/>
      <c r="J211" s="1701">
        <f>J210</f>
        <v>999.50400000000002</v>
      </c>
    </row>
    <row r="212" spans="1:10">
      <c r="D212" s="1687" t="s">
        <v>52</v>
      </c>
      <c r="H212" s="1701"/>
      <c r="I212" s="1701"/>
      <c r="J212" s="1742">
        <f>ROUND(J211,0)</f>
        <v>1000</v>
      </c>
    </row>
    <row r="213" spans="1:10">
      <c r="D213" s="1687"/>
      <c r="H213" s="1701"/>
      <c r="I213" s="1701"/>
      <c r="J213" s="1741" t="s">
        <v>53</v>
      </c>
    </row>
    <row r="214" spans="1:10">
      <c r="D214" s="1687"/>
      <c r="H214" s="1701"/>
      <c r="I214" s="1701"/>
      <c r="J214" s="1741"/>
    </row>
    <row r="215" spans="1:10" ht="82.5" customHeight="1">
      <c r="A215" s="1759"/>
      <c r="B215" s="2946" t="s">
        <v>116</v>
      </c>
      <c r="C215" s="2946"/>
      <c r="D215" s="2946"/>
      <c r="E215" s="2946"/>
      <c r="F215" s="2946"/>
      <c r="G215" s="2946"/>
      <c r="H215" s="2946"/>
      <c r="I215" s="2946"/>
      <c r="J215" s="2946"/>
    </row>
    <row r="216" spans="1:10">
      <c r="D216" s="1687" t="s">
        <v>10</v>
      </c>
      <c r="F216" s="1713" t="s">
        <v>117</v>
      </c>
      <c r="J216" s="1684"/>
    </row>
    <row r="217" spans="1:10">
      <c r="D217" s="1687" t="s">
        <v>115</v>
      </c>
      <c r="J217" s="1684"/>
    </row>
    <row r="218" spans="1:10">
      <c r="B218" s="1715" t="s">
        <v>36</v>
      </c>
      <c r="C218" s="1722" t="s">
        <v>37</v>
      </c>
      <c r="J218" s="1684"/>
    </row>
    <row r="219" spans="1:10">
      <c r="B219" s="1705">
        <v>0.04</v>
      </c>
      <c r="C219" s="1683" t="s">
        <v>57</v>
      </c>
      <c r="D219" s="1687" t="s">
        <v>14</v>
      </c>
      <c r="H219" s="1701">
        <f>'SSR-rates'!H$58</f>
        <v>490</v>
      </c>
      <c r="I219" s="1716" t="s">
        <v>38</v>
      </c>
      <c r="J219" s="1701">
        <f>ROUND(B219*H219,2)</f>
        <v>19.600000000000001</v>
      </c>
    </row>
    <row r="220" spans="1:10">
      <c r="B220" s="1705">
        <v>0.35</v>
      </c>
      <c r="C220" s="1683" t="s">
        <v>57</v>
      </c>
      <c r="D220" s="1687" t="s">
        <v>58</v>
      </c>
      <c r="H220" s="1701">
        <f>'SSR-rates'!H$59</f>
        <v>524</v>
      </c>
      <c r="I220" s="1716" t="s">
        <v>38</v>
      </c>
      <c r="J220" s="1701">
        <f>ROUND(B220*H220,2)</f>
        <v>183.4</v>
      </c>
    </row>
    <row r="221" spans="1:10">
      <c r="B221" s="1705">
        <v>0.75</v>
      </c>
      <c r="C221" s="1683" t="s">
        <v>57</v>
      </c>
      <c r="D221" s="1687" t="s">
        <v>59</v>
      </c>
      <c r="H221" s="1701">
        <f>'SSR-rates'!H$60</f>
        <v>490</v>
      </c>
      <c r="I221" s="1716" t="s">
        <v>38</v>
      </c>
      <c r="J221" s="1701">
        <f>ROUND(B221*H221,2)</f>
        <v>367.5</v>
      </c>
    </row>
    <row r="222" spans="1:10">
      <c r="A222" s="1713"/>
      <c r="B222" s="1702">
        <f>'Input Data'!$D$23</f>
        <v>0</v>
      </c>
      <c r="C222" s="1688"/>
      <c r="D222" s="1684" t="s">
        <v>17</v>
      </c>
      <c r="F222" s="1683"/>
      <c r="G222" s="1683"/>
      <c r="H222" s="1701">
        <f>SUM(J219:J221)</f>
        <v>570.5</v>
      </c>
      <c r="I222" s="1716"/>
      <c r="J222" s="1701">
        <f>B222*H222</f>
        <v>0</v>
      </c>
    </row>
    <row r="223" spans="1:10">
      <c r="B223" s="1687" t="s">
        <v>85</v>
      </c>
      <c r="D223" s="1687" t="s">
        <v>60</v>
      </c>
      <c r="H223" s="1701"/>
      <c r="I223" s="1716"/>
      <c r="J223" s="1701">
        <f>SUM(J219:J222)</f>
        <v>570.5</v>
      </c>
    </row>
    <row r="224" spans="1:10">
      <c r="B224" s="1687"/>
      <c r="D224" s="1687"/>
      <c r="H224" s="1701"/>
      <c r="I224" s="1701"/>
      <c r="J224" s="1701"/>
    </row>
    <row r="225" spans="1:10">
      <c r="B225" s="1715" t="s">
        <v>39</v>
      </c>
      <c r="C225" s="1722" t="s">
        <v>61</v>
      </c>
      <c r="H225" s="1701"/>
      <c r="I225" s="1701"/>
      <c r="J225" s="1701"/>
    </row>
    <row r="226" spans="1:10">
      <c r="B226" s="1705">
        <v>1</v>
      </c>
      <c r="C226" s="1683" t="s">
        <v>31</v>
      </c>
      <c r="D226" s="1687" t="s">
        <v>118</v>
      </c>
      <c r="H226" s="1701">
        <f>lead!J$23</f>
        <v>1096.2187651278443</v>
      </c>
      <c r="I226" s="1701" t="s">
        <v>31</v>
      </c>
      <c r="J226" s="1701">
        <f>ROUND(B226*H226,2)</f>
        <v>1096.22</v>
      </c>
    </row>
    <row r="227" spans="1:10">
      <c r="B227" s="1705">
        <v>0.2</v>
      </c>
      <c r="C227" s="1683" t="s">
        <v>31</v>
      </c>
      <c r="D227" s="1687" t="s">
        <v>119</v>
      </c>
      <c r="H227" s="1701">
        <f>lead!J$25</f>
        <v>867.21876512784434</v>
      </c>
      <c r="I227" s="1701" t="s">
        <v>31</v>
      </c>
      <c r="J227" s="1701">
        <f>ROUND(B227*H227,2)</f>
        <v>173.44</v>
      </c>
    </row>
    <row r="228" spans="1:10">
      <c r="B228" s="1687"/>
      <c r="D228" s="1687" t="s">
        <v>60</v>
      </c>
      <c r="H228" s="1701"/>
      <c r="I228" s="1701"/>
      <c r="J228" s="1701">
        <f>SUM(J226:J227)</f>
        <v>1269.6600000000001</v>
      </c>
    </row>
    <row r="229" spans="1:10">
      <c r="A229" s="1713"/>
      <c r="B229" s="1715" t="s">
        <v>45</v>
      </c>
      <c r="C229" s="1713" t="s">
        <v>97</v>
      </c>
      <c r="F229" s="1683"/>
      <c r="G229" s="1683"/>
      <c r="H229" s="1683"/>
      <c r="I229" s="1683"/>
      <c r="J229" s="1741"/>
    </row>
    <row r="230" spans="1:10" ht="25.5" customHeight="1">
      <c r="A230" s="1713"/>
      <c r="B230" s="1706">
        <f>'Input Data'!$D$25</f>
        <v>0</v>
      </c>
      <c r="C230" s="2955" t="str">
        <f>"Over head charges "&amp;'Input Data'!$D$25*100&amp;"%  on (A) + (B)+(C)+(D)"</f>
        <v>Over head charges 0%  on (A) + (B)+(C)+(D)</v>
      </c>
      <c r="D230" s="2956"/>
      <c r="E230" s="2956"/>
      <c r="F230" s="2956"/>
      <c r="G230" s="2957"/>
      <c r="H230" s="1688">
        <f>J228+J223</f>
        <v>1840.16</v>
      </c>
      <c r="I230" s="1683"/>
      <c r="J230" s="1701">
        <f>H230*B230</f>
        <v>0</v>
      </c>
    </row>
    <row r="231" spans="1:10">
      <c r="A231" s="1713"/>
      <c r="B231" s="1715" t="s">
        <v>47</v>
      </c>
      <c r="C231" s="1713" t="s">
        <v>89</v>
      </c>
      <c r="F231" s="1683"/>
      <c r="G231" s="1683"/>
      <c r="H231" s="1683"/>
      <c r="I231" s="1683"/>
      <c r="J231" s="1741">
        <f>J223+J228+J230</f>
        <v>1840.16</v>
      </c>
    </row>
    <row r="232" spans="1:10">
      <c r="A232" s="1713"/>
      <c r="B232" s="1715" t="s">
        <v>76</v>
      </c>
      <c r="C232" s="1713" t="s">
        <v>90</v>
      </c>
      <c r="F232" s="1683"/>
      <c r="G232" s="1683"/>
      <c r="H232" s="1683"/>
      <c r="I232" s="1683"/>
      <c r="J232" s="1741">
        <f>J231*10/100</f>
        <v>184.01600000000002</v>
      </c>
    </row>
    <row r="233" spans="1:10">
      <c r="B233" s="1705"/>
      <c r="C233" s="1683"/>
      <c r="D233" s="1722" t="s">
        <v>120</v>
      </c>
      <c r="H233" s="1701"/>
      <c r="I233" s="1701"/>
      <c r="J233" s="1741">
        <f>SUM(J231:J232)</f>
        <v>2024.1760000000002</v>
      </c>
    </row>
    <row r="234" spans="1:10">
      <c r="D234" s="1687" t="s">
        <v>52</v>
      </c>
      <c r="H234" s="1701"/>
      <c r="I234" s="1701"/>
      <c r="J234" s="1742">
        <f>ROUND(J233,0)</f>
        <v>2024</v>
      </c>
    </row>
    <row r="235" spans="1:10">
      <c r="D235" s="1687"/>
      <c r="H235" s="1701"/>
      <c r="I235" s="1701"/>
      <c r="J235" s="1742"/>
    </row>
    <row r="236" spans="1:10" ht="113.25" customHeight="1">
      <c r="A236" s="1710"/>
      <c r="B236" s="2946" t="s">
        <v>121</v>
      </c>
      <c r="C236" s="2946"/>
      <c r="D236" s="2946"/>
      <c r="E236" s="2946"/>
      <c r="F236" s="2946"/>
      <c r="G236" s="2946"/>
      <c r="H236" s="2946"/>
      <c r="I236" s="2946"/>
      <c r="J236" s="2946"/>
    </row>
    <row r="237" spans="1:10">
      <c r="A237" s="1713"/>
      <c r="B237" s="2947" t="s">
        <v>33</v>
      </c>
      <c r="C237" s="2947"/>
      <c r="D237" s="1712"/>
      <c r="E237" s="1712"/>
      <c r="F237" s="1712"/>
      <c r="G237" s="1712"/>
      <c r="H237" s="1714"/>
      <c r="I237" s="1714"/>
      <c r="J237" s="1714"/>
    </row>
    <row r="238" spans="1:10">
      <c r="A238" s="1713"/>
      <c r="B238" s="2947" t="s">
        <v>122</v>
      </c>
      <c r="C238" s="2947"/>
      <c r="D238" s="2947"/>
      <c r="E238" s="2947"/>
      <c r="F238" s="1713" t="s">
        <v>123</v>
      </c>
      <c r="G238" s="1712"/>
      <c r="H238" s="1714"/>
      <c r="I238" s="1714"/>
      <c r="J238" s="1714"/>
    </row>
    <row r="239" spans="1:10">
      <c r="A239" s="1713"/>
      <c r="B239" s="1715" t="s">
        <v>36</v>
      </c>
      <c r="C239" s="1713" t="s">
        <v>37</v>
      </c>
      <c r="D239" s="1712"/>
      <c r="E239" s="1712"/>
      <c r="F239" s="1712"/>
      <c r="G239" s="1712"/>
      <c r="H239" s="1714"/>
      <c r="I239" s="1714"/>
      <c r="J239" s="1714"/>
    </row>
    <row r="240" spans="1:10">
      <c r="A240" s="1713"/>
      <c r="B240" s="1716">
        <v>0.04</v>
      </c>
      <c r="C240" s="1688" t="s">
        <v>38</v>
      </c>
      <c r="D240" s="1712"/>
      <c r="E240" s="1683" t="s">
        <v>14</v>
      </c>
      <c r="F240" s="1712"/>
      <c r="G240" s="1712"/>
      <c r="H240" s="1701">
        <f>'SSR-rates'!$H$58</f>
        <v>490</v>
      </c>
      <c r="I240" s="1716" t="s">
        <v>38</v>
      </c>
      <c r="J240" s="1701">
        <f>ROUND(B240*H240,2)</f>
        <v>19.600000000000001</v>
      </c>
    </row>
    <row r="241" spans="1:10">
      <c r="A241" s="1713"/>
      <c r="B241" s="1701">
        <v>0.35</v>
      </c>
      <c r="C241" s="1688" t="s">
        <v>38</v>
      </c>
      <c r="D241" s="1683"/>
      <c r="E241" s="1683" t="s">
        <v>58</v>
      </c>
      <c r="F241" s="1683"/>
      <c r="G241" s="1683"/>
      <c r="H241" s="1701">
        <f>'SSR-rates'!H59</f>
        <v>524</v>
      </c>
      <c r="I241" s="1716" t="s">
        <v>38</v>
      </c>
      <c r="J241" s="1701">
        <f>ROUND(B241*H241,2)</f>
        <v>183.4</v>
      </c>
    </row>
    <row r="242" spans="1:10">
      <c r="A242" s="1713"/>
      <c r="B242" s="1701">
        <v>0.75</v>
      </c>
      <c r="C242" s="1688" t="s">
        <v>38</v>
      </c>
      <c r="D242" s="1683"/>
      <c r="E242" s="1683" t="s">
        <v>124</v>
      </c>
      <c r="F242" s="1683"/>
      <c r="G242" s="1683"/>
      <c r="H242" s="1701">
        <f>'SSR-rates'!$H$60</f>
        <v>490</v>
      </c>
      <c r="I242" s="1716" t="s">
        <v>38</v>
      </c>
      <c r="J242" s="1701">
        <f>ROUND(B242*H242,2)</f>
        <v>367.5</v>
      </c>
    </row>
    <row r="243" spans="1:10" ht="15.75" customHeight="1">
      <c r="A243" s="1713"/>
      <c r="B243" s="1702">
        <f>'Input Data'!$D$23</f>
        <v>0</v>
      </c>
      <c r="C243" s="1688"/>
      <c r="D243" s="1684" t="s">
        <v>17</v>
      </c>
      <c r="F243" s="1683"/>
      <c r="G243" s="1683"/>
      <c r="H243" s="1701">
        <f>SUM(J240:J242)</f>
        <v>570.5</v>
      </c>
      <c r="I243" s="1716"/>
      <c r="J243" s="1701">
        <f>B243*H243</f>
        <v>0</v>
      </c>
    </row>
    <row r="244" spans="1:10">
      <c r="A244" s="1713"/>
      <c r="B244" s="1701"/>
      <c r="C244" s="1688"/>
      <c r="D244" s="1683"/>
      <c r="E244" s="1683"/>
      <c r="F244" s="1683"/>
      <c r="G244" s="1683"/>
      <c r="H244" s="1701"/>
      <c r="I244" s="1716"/>
      <c r="J244" s="1701">
        <f>SUM(J240:J243)</f>
        <v>570.5</v>
      </c>
    </row>
    <row r="245" spans="1:10">
      <c r="A245" s="1713"/>
      <c r="B245" s="1715" t="s">
        <v>39</v>
      </c>
      <c r="C245" s="1713" t="s">
        <v>61</v>
      </c>
      <c r="F245" s="1683"/>
      <c r="G245" s="1683"/>
      <c r="H245" s="1683"/>
      <c r="I245" s="1683"/>
      <c r="J245" s="1684"/>
    </row>
    <row r="246" spans="1:10">
      <c r="A246" s="1713"/>
      <c r="B246" s="1719">
        <v>1</v>
      </c>
      <c r="C246" s="1718" t="s">
        <v>31</v>
      </c>
      <c r="D246" s="2951" t="s">
        <v>118</v>
      </c>
      <c r="E246" s="2951"/>
      <c r="F246" s="2951"/>
      <c r="G246" s="2951"/>
      <c r="H246" s="1719">
        <f>lead!J23</f>
        <v>1096.2187651278443</v>
      </c>
      <c r="I246" s="1719" t="s">
        <v>31</v>
      </c>
      <c r="J246" s="1719">
        <f>ROUND(B246*H246,2)</f>
        <v>1096.22</v>
      </c>
    </row>
    <row r="247" spans="1:10">
      <c r="A247" s="1713"/>
      <c r="B247" s="1719">
        <v>0.2</v>
      </c>
      <c r="C247" s="1718"/>
      <c r="D247" s="1683" t="s">
        <v>125</v>
      </c>
      <c r="E247" s="1720"/>
      <c r="F247" s="1720"/>
      <c r="G247" s="1720"/>
      <c r="H247" s="1719">
        <f>lead!J25</f>
        <v>867.21876512784434</v>
      </c>
      <c r="I247" s="1719"/>
      <c r="J247" s="1719">
        <f>ROUND(B247*H247,2)</f>
        <v>173.44</v>
      </c>
    </row>
    <row r="248" spans="1:10">
      <c r="A248" s="1713"/>
      <c r="B248" s="1719"/>
      <c r="C248" s="1718"/>
      <c r="D248" s="1720"/>
      <c r="E248" s="1720"/>
      <c r="F248" s="1720"/>
      <c r="G248" s="1720"/>
      <c r="H248" s="1719"/>
      <c r="I248" s="1719"/>
      <c r="J248" s="1719">
        <f>SUM(J246:J247)</f>
        <v>1269.6600000000001</v>
      </c>
    </row>
    <row r="249" spans="1:10">
      <c r="A249" s="1713"/>
      <c r="B249" s="1701"/>
      <c r="C249" s="1688"/>
      <c r="D249" s="1683"/>
      <c r="F249" s="1683"/>
      <c r="G249" s="1683"/>
      <c r="H249" s="1701"/>
      <c r="I249" s="1701"/>
      <c r="J249" s="1684"/>
    </row>
    <row r="250" spans="1:10">
      <c r="B250" s="1706">
        <f>'Input Data'!$D$25</f>
        <v>0</v>
      </c>
      <c r="C250" s="1683" t="str">
        <f>"Over head charges "&amp;'Input Data'!$D$25*100&amp;"%  on (A) + (B)"</f>
        <v>Over head charges 0%  on (A) + (B)</v>
      </c>
      <c r="H250" s="1687">
        <f>J248+J244</f>
        <v>1840.16</v>
      </c>
      <c r="J250" s="1701">
        <f>H250*B250</f>
        <v>0</v>
      </c>
    </row>
    <row r="251" spans="1:10">
      <c r="A251" s="1713"/>
      <c r="B251" s="1715" t="s">
        <v>45</v>
      </c>
      <c r="C251" s="1683" t="s">
        <v>46</v>
      </c>
      <c r="F251" s="1683"/>
      <c r="G251" s="1683"/>
      <c r="H251" s="1683"/>
      <c r="I251" s="1683"/>
      <c r="J251" s="1741">
        <f>J244+J248+J250</f>
        <v>1840.16</v>
      </c>
    </row>
    <row r="252" spans="1:10">
      <c r="A252" s="1713"/>
      <c r="B252" s="1715" t="s">
        <v>47</v>
      </c>
      <c r="C252" s="1683" t="s">
        <v>48</v>
      </c>
      <c r="D252" s="1683"/>
      <c r="F252" s="1683"/>
      <c r="G252" s="1683"/>
      <c r="H252" s="1683"/>
      <c r="I252" s="1683"/>
      <c r="J252" s="1741">
        <f>J251*10/100</f>
        <v>184.01600000000002</v>
      </c>
    </row>
    <row r="253" spans="1:10">
      <c r="A253" s="1713"/>
      <c r="B253" s="1683"/>
      <c r="C253" s="1683" t="s">
        <v>126</v>
      </c>
      <c r="D253" s="1683"/>
      <c r="F253" s="1683"/>
      <c r="G253" s="1683"/>
      <c r="H253" s="1683"/>
      <c r="I253" s="1683"/>
      <c r="J253" s="1741">
        <f>SUM(J251:J252)</f>
        <v>2024.1760000000002</v>
      </c>
    </row>
    <row r="254" spans="1:10">
      <c r="A254" s="1713"/>
      <c r="B254" s="1683"/>
      <c r="C254" s="1683" t="s">
        <v>127</v>
      </c>
      <c r="D254" s="1683"/>
      <c r="F254" s="1683"/>
      <c r="G254" s="1683"/>
      <c r="H254" s="1683"/>
      <c r="I254" s="1683"/>
      <c r="J254" s="1701">
        <f>J253/1</f>
        <v>2024.1760000000002</v>
      </c>
    </row>
    <row r="255" spans="1:10">
      <c r="A255" s="1713"/>
      <c r="B255" s="1701"/>
      <c r="C255" s="1688"/>
      <c r="D255" s="2959" t="s">
        <v>128</v>
      </c>
      <c r="E255" s="2960"/>
      <c r="F255" s="1687"/>
      <c r="G255" s="1687"/>
      <c r="H255" s="1705"/>
      <c r="I255" s="1687"/>
      <c r="J255" s="1742">
        <f>ROUND(J254,0)</f>
        <v>2024</v>
      </c>
    </row>
    <row r="256" spans="1:10">
      <c r="A256" s="1713"/>
      <c r="B256" s="1701"/>
      <c r="C256" s="1688"/>
      <c r="D256" s="1760"/>
      <c r="F256" s="1687"/>
      <c r="G256" s="1687"/>
      <c r="H256" s="1705"/>
      <c r="I256" s="1687"/>
      <c r="J256" s="1741" t="s">
        <v>129</v>
      </c>
    </row>
    <row r="257" spans="1:10">
      <c r="A257" s="1713"/>
      <c r="B257" s="1701"/>
      <c r="C257" s="1688"/>
      <c r="D257" s="1760"/>
      <c r="F257" s="1687"/>
      <c r="G257" s="1687"/>
      <c r="H257" s="1705"/>
      <c r="I257" s="1687"/>
      <c r="J257" s="1741"/>
    </row>
    <row r="258" spans="1:10" ht="62.25" customHeight="1">
      <c r="A258" s="1710"/>
      <c r="B258" s="2946" t="e">
        <f>#REF!</f>
        <v>#REF!</v>
      </c>
      <c r="C258" s="2946"/>
      <c r="D258" s="2946"/>
      <c r="E258" s="2946"/>
      <c r="F258" s="2946"/>
      <c r="G258" s="2946"/>
      <c r="H258" s="2946"/>
      <c r="I258" s="2946"/>
      <c r="J258" s="2946"/>
    </row>
    <row r="259" spans="1:10">
      <c r="D259" s="1687" t="s">
        <v>130</v>
      </c>
      <c r="F259" s="1713" t="s">
        <v>131</v>
      </c>
      <c r="J259" s="1684"/>
    </row>
    <row r="260" spans="1:10">
      <c r="D260" s="1687" t="s">
        <v>132</v>
      </c>
      <c r="J260" s="1684"/>
    </row>
    <row r="261" spans="1:10">
      <c r="B261" s="1715" t="s">
        <v>36</v>
      </c>
      <c r="C261" s="1722" t="s">
        <v>37</v>
      </c>
      <c r="J261" s="1684"/>
    </row>
    <row r="262" spans="1:10">
      <c r="B262" s="1705">
        <v>0.12</v>
      </c>
      <c r="C262" s="1683" t="s">
        <v>57</v>
      </c>
      <c r="D262" s="1687" t="s">
        <v>14</v>
      </c>
      <c r="H262" s="1701">
        <f>'SSR-rates'!H$58</f>
        <v>490</v>
      </c>
      <c r="I262" s="1716" t="s">
        <v>38</v>
      </c>
      <c r="J262" s="1701">
        <f>ROUND(B262*H262,2)</f>
        <v>58.8</v>
      </c>
    </row>
    <row r="263" spans="1:10">
      <c r="B263" s="1705">
        <v>2</v>
      </c>
      <c r="C263" s="1683" t="s">
        <v>57</v>
      </c>
      <c r="D263" s="1687" t="s">
        <v>133</v>
      </c>
      <c r="H263" s="1701">
        <f>'SSR-rates'!H113</f>
        <v>625</v>
      </c>
      <c r="I263" s="1716" t="s">
        <v>38</v>
      </c>
      <c r="J263" s="1701">
        <f>ROUND(B263*H263,2)</f>
        <v>1250</v>
      </c>
    </row>
    <row r="264" spans="1:10">
      <c r="B264" s="1705">
        <v>1</v>
      </c>
      <c r="C264" s="1683" t="s">
        <v>57</v>
      </c>
      <c r="D264" s="1687" t="s">
        <v>59</v>
      </c>
      <c r="H264" s="1701">
        <f>'SSR-rates'!H$60</f>
        <v>490</v>
      </c>
      <c r="I264" s="1716" t="s">
        <v>38</v>
      </c>
      <c r="J264" s="1701">
        <f>ROUND(B264*H264,2)</f>
        <v>490</v>
      </c>
    </row>
    <row r="265" spans="1:10">
      <c r="A265" s="1713"/>
      <c r="B265" s="1702">
        <f>'Input Data'!$D$23</f>
        <v>0</v>
      </c>
      <c r="C265" s="1688"/>
      <c r="D265" s="1684" t="s">
        <v>17</v>
      </c>
      <c r="F265" s="1683"/>
      <c r="G265" s="1683"/>
      <c r="H265" s="1701">
        <f>SUM(J262:J264)</f>
        <v>1798.8</v>
      </c>
      <c r="I265" s="1716"/>
      <c r="J265" s="1701">
        <f>B265*H265</f>
        <v>0</v>
      </c>
    </row>
    <row r="266" spans="1:10">
      <c r="B266" s="1687" t="s">
        <v>85</v>
      </c>
      <c r="D266" s="1687" t="s">
        <v>60</v>
      </c>
      <c r="H266" s="1701"/>
      <c r="I266" s="1716"/>
      <c r="J266" s="1701">
        <f>SUM(J262:J265)</f>
        <v>1798.8</v>
      </c>
    </row>
    <row r="267" spans="1:10">
      <c r="B267" s="1687"/>
      <c r="D267" s="1687"/>
      <c r="H267" s="1701"/>
      <c r="I267" s="1701"/>
      <c r="J267" s="1701"/>
    </row>
    <row r="268" spans="1:10">
      <c r="B268" s="1715" t="s">
        <v>39</v>
      </c>
      <c r="C268" s="1722" t="s">
        <v>61</v>
      </c>
      <c r="H268" s="1701"/>
      <c r="I268" s="1701"/>
      <c r="J268" s="1701"/>
    </row>
    <row r="269" spans="1:10">
      <c r="B269" s="1705">
        <v>6</v>
      </c>
      <c r="C269" s="1683" t="s">
        <v>31</v>
      </c>
      <c r="D269" s="1687" t="s">
        <v>134</v>
      </c>
      <c r="H269" s="1701">
        <v>240</v>
      </c>
      <c r="I269" s="1701" t="s">
        <v>31</v>
      </c>
      <c r="J269" s="1701">
        <f>ROUND(B269*H269,2)</f>
        <v>1440</v>
      </c>
    </row>
    <row r="270" spans="1:10">
      <c r="B270" s="1687"/>
      <c r="D270" s="1687" t="s">
        <v>60</v>
      </c>
      <c r="H270" s="1701"/>
      <c r="I270" s="1701"/>
      <c r="J270" s="1701">
        <f>SUM(J269:J269)</f>
        <v>1440</v>
      </c>
    </row>
    <row r="271" spans="1:10">
      <c r="A271" s="1713"/>
      <c r="B271" s="1715" t="s">
        <v>27</v>
      </c>
      <c r="C271" s="1713" t="s">
        <v>74</v>
      </c>
      <c r="F271" s="1683"/>
      <c r="G271" s="1683"/>
      <c r="H271" s="1683"/>
      <c r="I271" s="1683"/>
      <c r="J271" s="1741"/>
    </row>
    <row r="272" spans="1:10" ht="27.75" customHeight="1">
      <c r="A272" s="1713"/>
      <c r="B272" s="1706">
        <f>'Input Data'!$D$25</f>
        <v>0</v>
      </c>
      <c r="C272" s="2955" t="str">
        <f>"Over head charges "&amp;'Input Data'!$D$25*100&amp;"%  on (A) + (B)"</f>
        <v>Over head charges 0%  on (A) + (B)</v>
      </c>
      <c r="D272" s="2956"/>
      <c r="E272" s="2956"/>
      <c r="F272" s="2956"/>
      <c r="G272" s="2957"/>
      <c r="H272" s="1688">
        <f>J270+J266</f>
        <v>3238.8</v>
      </c>
      <c r="I272" s="1683"/>
      <c r="J272" s="1701">
        <f>H272*B272</f>
        <v>0</v>
      </c>
    </row>
    <row r="273" spans="1:10">
      <c r="A273" s="1713"/>
      <c r="B273" s="1715" t="s">
        <v>47</v>
      </c>
      <c r="C273" s="1713" t="s">
        <v>89</v>
      </c>
      <c r="F273" s="1683"/>
      <c r="G273" s="1683"/>
      <c r="H273" s="1683"/>
      <c r="I273" s="1683"/>
      <c r="J273" s="1741">
        <f>J266+J270+J272</f>
        <v>3238.8</v>
      </c>
    </row>
    <row r="274" spans="1:10">
      <c r="A274" s="1713"/>
      <c r="B274" s="1715" t="s">
        <v>76</v>
      </c>
      <c r="C274" s="1713" t="s">
        <v>90</v>
      </c>
      <c r="F274" s="1683"/>
      <c r="G274" s="1683"/>
      <c r="H274" s="1683"/>
      <c r="I274" s="1683"/>
      <c r="J274" s="1741">
        <f>J273*10/100</f>
        <v>323.88</v>
      </c>
    </row>
    <row r="275" spans="1:10">
      <c r="B275" s="1705"/>
      <c r="C275" s="1683"/>
      <c r="D275" s="1722" t="s">
        <v>135</v>
      </c>
      <c r="H275" s="1701"/>
      <c r="I275" s="1701"/>
      <c r="J275" s="1741">
        <f>SUM(J273:J274)</f>
        <v>3562.6800000000003</v>
      </c>
    </row>
    <row r="276" spans="1:10">
      <c r="B276" s="1705"/>
      <c r="C276" s="1683"/>
      <c r="D276" s="1687" t="s">
        <v>136</v>
      </c>
      <c r="H276" s="1701"/>
      <c r="I276" s="1701"/>
      <c r="J276" s="1701">
        <f>J275/40</f>
        <v>89.067000000000007</v>
      </c>
    </row>
    <row r="277" spans="1:10">
      <c r="D277" s="1687" t="s">
        <v>52</v>
      </c>
      <c r="H277" s="1701"/>
      <c r="I277" s="1701"/>
      <c r="J277" s="1742">
        <f>ROUND(J276,0)</f>
        <v>89</v>
      </c>
    </row>
    <row r="278" spans="1:10">
      <c r="D278" s="1687"/>
      <c r="H278" s="1701"/>
      <c r="I278" s="1701"/>
      <c r="J278" s="1741" t="s">
        <v>137</v>
      </c>
    </row>
    <row r="279" spans="1:10">
      <c r="D279" s="1687"/>
      <c r="H279" s="1701"/>
      <c r="I279" s="1701"/>
      <c r="J279" s="1741"/>
    </row>
    <row r="280" spans="1:10">
      <c r="A280" s="1761"/>
      <c r="B280" s="1762"/>
      <c r="C280" s="1762"/>
      <c r="D280" s="1763"/>
      <c r="E280" s="1762"/>
      <c r="F280" s="1762"/>
      <c r="G280" s="1762"/>
      <c r="H280" s="1764"/>
      <c r="I280" s="1764"/>
      <c r="J280" s="1765"/>
    </row>
    <row r="281" spans="1:10" ht="69.75" customHeight="1">
      <c r="A281" s="1710"/>
      <c r="B281" s="2946" t="s">
        <v>138</v>
      </c>
      <c r="C281" s="2946"/>
      <c r="D281" s="2946"/>
      <c r="E281" s="2946"/>
      <c r="F281" s="2946"/>
      <c r="G281" s="2946"/>
      <c r="H281" s="2946"/>
      <c r="I281" s="2946"/>
      <c r="J281" s="2946"/>
    </row>
    <row r="282" spans="1:10">
      <c r="D282" s="1687" t="s">
        <v>10</v>
      </c>
      <c r="F282" s="1713" t="s">
        <v>83</v>
      </c>
      <c r="J282" s="1684"/>
    </row>
    <row r="283" spans="1:10">
      <c r="D283" s="1687" t="s">
        <v>84</v>
      </c>
      <c r="J283" s="1684"/>
    </row>
    <row r="284" spans="1:10">
      <c r="B284" s="1715" t="s">
        <v>36</v>
      </c>
      <c r="C284" s="1722" t="s">
        <v>37</v>
      </c>
      <c r="J284" s="1684"/>
    </row>
    <row r="285" spans="1:10">
      <c r="B285" s="1705">
        <v>0.28000000000000003</v>
      </c>
      <c r="C285" s="1683" t="s">
        <v>57</v>
      </c>
      <c r="D285" s="1687" t="s">
        <v>14</v>
      </c>
      <c r="H285" s="1701">
        <f>'SSR-rates'!$H$58</f>
        <v>490</v>
      </c>
      <c r="I285" s="1716" t="s">
        <v>38</v>
      </c>
      <c r="J285" s="1701">
        <f>ROUND(B285*H285,2)</f>
        <v>137.19999999999999</v>
      </c>
    </row>
    <row r="286" spans="1:10">
      <c r="B286" s="1705">
        <v>7</v>
      </c>
      <c r="C286" s="1683" t="s">
        <v>57</v>
      </c>
      <c r="D286" s="1687" t="s">
        <v>59</v>
      </c>
      <c r="H286" s="1701">
        <f>'SSR-rates'!$H$60</f>
        <v>490</v>
      </c>
      <c r="I286" s="1716" t="s">
        <v>38</v>
      </c>
      <c r="J286" s="1701">
        <f>ROUND(B286*H286,2)</f>
        <v>3430</v>
      </c>
    </row>
    <row r="287" spans="1:10">
      <c r="A287" s="1713"/>
      <c r="B287" s="1702">
        <f>'Input Data'!$D$23</f>
        <v>0</v>
      </c>
      <c r="C287" s="1688"/>
      <c r="D287" s="1684" t="s">
        <v>17</v>
      </c>
      <c r="F287" s="1683"/>
      <c r="G287" s="1683"/>
      <c r="H287" s="1701">
        <f>SUM(J$90:$J285)</f>
        <v>1399272.3916999989</v>
      </c>
      <c r="I287" s="1716"/>
      <c r="J287" s="1701">
        <f>B287*H287</f>
        <v>0</v>
      </c>
    </row>
    <row r="288" spans="1:10" ht="13.5" customHeight="1">
      <c r="B288" s="1687" t="s">
        <v>85</v>
      </c>
      <c r="D288" s="1687" t="s">
        <v>60</v>
      </c>
      <c r="H288" s="1701"/>
      <c r="I288" s="1716"/>
      <c r="J288" s="1701">
        <f>SUM(J285:J287)</f>
        <v>3567.2</v>
      </c>
    </row>
    <row r="289" spans="1:11" hidden="1">
      <c r="B289" s="1687"/>
      <c r="D289" s="1687"/>
      <c r="H289" s="1701"/>
      <c r="I289" s="1701"/>
      <c r="J289" s="1701"/>
    </row>
    <row r="290" spans="1:11">
      <c r="B290" s="1715" t="s">
        <v>39</v>
      </c>
      <c r="C290" s="1722" t="s">
        <v>61</v>
      </c>
      <c r="H290" s="1701"/>
      <c r="I290" s="1701"/>
      <c r="J290" s="1701"/>
    </row>
    <row r="291" spans="1:11">
      <c r="B291" s="1705">
        <v>12</v>
      </c>
      <c r="C291" s="1683" t="s">
        <v>31</v>
      </c>
      <c r="D291" s="1687" t="s">
        <v>86</v>
      </c>
      <c r="H291" s="1701">
        <f>lead!$J$34</f>
        <v>219.2847335299036</v>
      </c>
      <c r="I291" s="1701" t="s">
        <v>31</v>
      </c>
      <c r="J291" s="1701">
        <f>ROUND(B291*H291,2)</f>
        <v>2631.42</v>
      </c>
    </row>
    <row r="292" spans="1:11">
      <c r="B292" s="1687"/>
      <c r="D292" s="1687" t="s">
        <v>60</v>
      </c>
      <c r="H292" s="1701"/>
      <c r="I292" s="1701"/>
      <c r="J292" s="1701">
        <f>SUM(J291:J291)</f>
        <v>2631.42</v>
      </c>
    </row>
    <row r="293" spans="1:11">
      <c r="B293" s="1715" t="s">
        <v>87</v>
      </c>
      <c r="C293" s="1722" t="s">
        <v>40</v>
      </c>
      <c r="H293" s="1701"/>
      <c r="I293" s="1701"/>
      <c r="J293" s="1701"/>
    </row>
    <row r="294" spans="1:11" ht="30" customHeight="1">
      <c r="B294" s="1705">
        <v>2.5</v>
      </c>
      <c r="C294" s="1683" t="s">
        <v>41</v>
      </c>
      <c r="D294" s="2955" t="s">
        <v>88</v>
      </c>
      <c r="E294" s="2956"/>
      <c r="F294" s="2956"/>
      <c r="G294" s="2957"/>
      <c r="H294" s="1701">
        <f>'SSR-rates'!$H$91</f>
        <v>54</v>
      </c>
      <c r="I294" s="1701" t="s">
        <v>41</v>
      </c>
      <c r="J294" s="1701">
        <f>ROUND(B294*H294,2)</f>
        <v>135</v>
      </c>
    </row>
    <row r="295" spans="1:11">
      <c r="B295" s="1705">
        <v>0.05</v>
      </c>
      <c r="C295" s="1683" t="s">
        <v>41</v>
      </c>
      <c r="D295" s="1687" t="s">
        <v>70</v>
      </c>
      <c r="H295" s="1701">
        <f>'SSR-rates'!$H$69</f>
        <v>699</v>
      </c>
      <c r="I295" s="1701" t="s">
        <v>41</v>
      </c>
      <c r="J295" s="1701">
        <f>ROUND(B295*H295,2)</f>
        <v>34.950000000000003</v>
      </c>
    </row>
    <row r="296" spans="1:11">
      <c r="B296" s="1705"/>
      <c r="C296" s="1683"/>
      <c r="D296" s="1687" t="s">
        <v>60</v>
      </c>
      <c r="H296" s="1701"/>
      <c r="I296" s="1701"/>
      <c r="J296" s="1701">
        <f>SUM(J294:J295)</f>
        <v>169.95</v>
      </c>
    </row>
    <row r="297" spans="1:11">
      <c r="A297" s="1713"/>
      <c r="B297" s="1715" t="s">
        <v>45</v>
      </c>
      <c r="C297" s="1713" t="s">
        <v>44</v>
      </c>
      <c r="F297" s="1683"/>
      <c r="G297" s="1683"/>
      <c r="H297" s="1683"/>
      <c r="I297" s="1683"/>
      <c r="J297" s="1741"/>
    </row>
    <row r="298" spans="1:11" ht="34.5" customHeight="1">
      <c r="A298" s="1713"/>
      <c r="B298" s="1706">
        <f>'Input Data'!$D$25</f>
        <v>0</v>
      </c>
      <c r="C298" s="2955" t="str">
        <f>"Over head charges "&amp;'Input Data'!$D$25*100&amp;"%  on (A) + (B)+(C)"</f>
        <v>Over head charges 0%  on (A) + (B)+(C)</v>
      </c>
      <c r="D298" s="2956"/>
      <c r="E298" s="2956"/>
      <c r="F298" s="2956"/>
      <c r="G298" s="2957"/>
      <c r="H298" s="1688">
        <f>J296+J292+J288</f>
        <v>6368.57</v>
      </c>
      <c r="I298" s="1683"/>
      <c r="J298" s="1701">
        <f>H298*B298</f>
        <v>0</v>
      </c>
    </row>
    <row r="299" spans="1:11">
      <c r="A299" s="1713"/>
      <c r="B299" s="1715" t="s">
        <v>47</v>
      </c>
      <c r="C299" s="1713" t="s">
        <v>89</v>
      </c>
      <c r="F299" s="1683"/>
      <c r="G299" s="1683"/>
      <c r="H299" s="1683"/>
      <c r="I299" s="1683"/>
      <c r="J299" s="1741">
        <f>J288+J292+J296+J298</f>
        <v>6368.57</v>
      </c>
    </row>
    <row r="300" spans="1:11">
      <c r="A300" s="1713"/>
      <c r="B300" s="1715" t="s">
        <v>76</v>
      </c>
      <c r="C300" s="1713" t="s">
        <v>90</v>
      </c>
      <c r="F300" s="1683"/>
      <c r="G300" s="1683"/>
      <c r="H300" s="1683"/>
      <c r="I300" s="1683"/>
      <c r="J300" s="1741">
        <f>J299*10/100</f>
        <v>636.85699999999997</v>
      </c>
    </row>
    <row r="301" spans="1:11">
      <c r="B301" s="1705"/>
      <c r="C301" s="1683"/>
      <c r="D301" s="1722" t="s">
        <v>91</v>
      </c>
      <c r="H301" s="1701"/>
      <c r="I301" s="1701"/>
      <c r="J301" s="1741">
        <f>SUM(J299:J300)</f>
        <v>7005.4269999999997</v>
      </c>
    </row>
    <row r="302" spans="1:11">
      <c r="B302" s="1705"/>
      <c r="C302" s="1683"/>
      <c r="D302" s="1687" t="s">
        <v>50</v>
      </c>
      <c r="H302" s="1701"/>
      <c r="I302" s="1701"/>
      <c r="J302" s="1701">
        <f>J301/10</f>
        <v>700.54269999999997</v>
      </c>
    </row>
    <row r="303" spans="1:11">
      <c r="D303" s="1687" t="s">
        <v>52</v>
      </c>
      <c r="H303" s="1701"/>
      <c r="I303" s="1701"/>
      <c r="J303" s="1742">
        <f>ROUND(J302,0)</f>
        <v>701</v>
      </c>
      <c r="K303" s="1684">
        <v>512</v>
      </c>
    </row>
    <row r="304" spans="1:11">
      <c r="D304" s="1687"/>
      <c r="H304" s="1701"/>
      <c r="I304" s="1701"/>
      <c r="J304" s="1741" t="s">
        <v>53</v>
      </c>
    </row>
    <row r="305" spans="1:10">
      <c r="D305" s="1687"/>
      <c r="H305" s="1701"/>
      <c r="I305" s="1701"/>
      <c r="J305" s="1741"/>
    </row>
    <row r="306" spans="1:10" ht="138.75" customHeight="1">
      <c r="A306" s="1710"/>
      <c r="B306" s="2946" t="s">
        <v>139</v>
      </c>
      <c r="C306" s="2946"/>
      <c r="D306" s="2946"/>
      <c r="E306" s="2946"/>
      <c r="F306" s="2946"/>
      <c r="G306" s="2946"/>
      <c r="H306" s="2946"/>
      <c r="I306" s="2946"/>
      <c r="J306" s="2946"/>
    </row>
    <row r="307" spans="1:10" ht="16.5" customHeight="1">
      <c r="D307" s="1687" t="s">
        <v>10</v>
      </c>
      <c r="F307" s="1713" t="s">
        <v>140</v>
      </c>
      <c r="J307" s="1684"/>
    </row>
    <row r="308" spans="1:10" ht="16.5" customHeight="1">
      <c r="D308" s="1687" t="s">
        <v>84</v>
      </c>
      <c r="J308" s="1684"/>
    </row>
    <row r="309" spans="1:10" ht="18.75" customHeight="1">
      <c r="B309" s="1715" t="s">
        <v>36</v>
      </c>
      <c r="C309" s="1722" t="s">
        <v>37</v>
      </c>
      <c r="J309" s="1684"/>
    </row>
    <row r="310" spans="1:10" ht="18.75" customHeight="1">
      <c r="B310" s="1705">
        <v>0.32</v>
      </c>
      <c r="C310" s="1683" t="s">
        <v>57</v>
      </c>
      <c r="D310" s="1687" t="s">
        <v>14</v>
      </c>
      <c r="H310" s="1701">
        <f>'SSR-rates'!H58</f>
        <v>490</v>
      </c>
      <c r="I310" s="1716" t="s">
        <v>38</v>
      </c>
      <c r="J310" s="1705">
        <f>ROUND(B310*H310,2)</f>
        <v>156.80000000000001</v>
      </c>
    </row>
    <row r="311" spans="1:10">
      <c r="B311" s="1705">
        <v>7</v>
      </c>
      <c r="C311" s="1683" t="s">
        <v>57</v>
      </c>
      <c r="D311" s="1687" t="s">
        <v>59</v>
      </c>
      <c r="H311" s="1701">
        <f>'SSR-rates'!H60</f>
        <v>490</v>
      </c>
      <c r="I311" s="1716" t="s">
        <v>38</v>
      </c>
      <c r="J311" s="1705">
        <f>ROUND(B311*H311,2)</f>
        <v>3430</v>
      </c>
    </row>
    <row r="312" spans="1:10">
      <c r="B312" s="1705">
        <v>1</v>
      </c>
      <c r="C312" s="1683" t="s">
        <v>57</v>
      </c>
      <c r="D312" s="1687" t="s">
        <v>59</v>
      </c>
      <c r="E312" s="1684" t="s">
        <v>141</v>
      </c>
      <c r="H312" s="1701">
        <f>'SSR-rates'!$H$59</f>
        <v>524</v>
      </c>
      <c r="I312" s="1716" t="s">
        <v>38</v>
      </c>
      <c r="J312" s="1705">
        <f>ROUND(B312*H312,2)</f>
        <v>524</v>
      </c>
    </row>
    <row r="313" spans="1:10">
      <c r="A313" s="1713"/>
      <c r="B313" s="1702">
        <f>'Input Data'!$D$23</f>
        <v>0</v>
      </c>
      <c r="C313" s="1688"/>
      <c r="D313" s="1684" t="s">
        <v>17</v>
      </c>
      <c r="F313" s="1683"/>
      <c r="G313" s="1683"/>
      <c r="H313" s="1701">
        <f>SUM(J310:J312)</f>
        <v>4110.8</v>
      </c>
      <c r="I313" s="1716"/>
      <c r="J313" s="1701">
        <f>B313*H313</f>
        <v>0</v>
      </c>
    </row>
    <row r="314" spans="1:10">
      <c r="B314" s="1705"/>
      <c r="D314" s="1687" t="s">
        <v>60</v>
      </c>
      <c r="H314" s="1701"/>
      <c r="I314" s="1701"/>
      <c r="J314" s="1705">
        <f>SUM(J310:J313)</f>
        <v>4110.8</v>
      </c>
    </row>
    <row r="315" spans="1:10" ht="18.75" customHeight="1">
      <c r="B315" s="1715" t="s">
        <v>39</v>
      </c>
      <c r="C315" s="1722" t="s">
        <v>61</v>
      </c>
      <c r="H315" s="1701"/>
      <c r="I315" s="1701"/>
      <c r="J315" s="1701"/>
    </row>
    <row r="316" spans="1:10" ht="18.75" customHeight="1">
      <c r="B316" s="1705">
        <v>6</v>
      </c>
      <c r="C316" s="1683" t="s">
        <v>31</v>
      </c>
      <c r="D316" s="1687" t="s">
        <v>142</v>
      </c>
      <c r="H316" s="1701">
        <f>lead!J26</f>
        <v>1023.2187651278443</v>
      </c>
      <c r="I316" s="1701" t="s">
        <v>31</v>
      </c>
      <c r="J316" s="1701">
        <f>ROUND(B316*H316,2)</f>
        <v>6139.31</v>
      </c>
    </row>
    <row r="317" spans="1:10">
      <c r="B317" s="1705">
        <v>6</v>
      </c>
      <c r="C317" s="1683" t="s">
        <v>31</v>
      </c>
      <c r="D317" s="1687" t="s">
        <v>143</v>
      </c>
      <c r="H317" s="1701">
        <f>lead!J20</f>
        <v>1732.2187651278443</v>
      </c>
      <c r="I317" s="1701" t="s">
        <v>31</v>
      </c>
      <c r="J317" s="1701">
        <f>ROUND(B317*H317,2)</f>
        <v>10393.31</v>
      </c>
    </row>
    <row r="318" spans="1:10">
      <c r="B318" s="1705"/>
      <c r="C318" s="1688"/>
      <c r="D318" s="1687" t="s">
        <v>60</v>
      </c>
      <c r="H318" s="1701"/>
      <c r="I318" s="1701"/>
      <c r="J318" s="1701">
        <f>SUM(J316:J317)</f>
        <v>16532.62</v>
      </c>
    </row>
    <row r="319" spans="1:10">
      <c r="B319" s="1715" t="s">
        <v>87</v>
      </c>
      <c r="C319" s="1722" t="s">
        <v>40</v>
      </c>
      <c r="H319" s="1701"/>
      <c r="I319" s="1701"/>
      <c r="J319" s="1701"/>
    </row>
    <row r="320" spans="1:10">
      <c r="B320" s="1705">
        <v>0.06</v>
      </c>
      <c r="C320" s="1683" t="s">
        <v>41</v>
      </c>
      <c r="D320" s="1687" t="s">
        <v>70</v>
      </c>
      <c r="H320" s="1701">
        <f>'SSR-rates'!H69</f>
        <v>699</v>
      </c>
      <c r="I320" s="1701" t="s">
        <v>41</v>
      </c>
      <c r="J320" s="1701">
        <f>ROUND(B320*H320,2)</f>
        <v>41.94</v>
      </c>
    </row>
    <row r="321" spans="1:11">
      <c r="B321" s="1705"/>
      <c r="C321" s="1688"/>
      <c r="D321" s="1687" t="s">
        <v>60</v>
      </c>
      <c r="H321" s="1701"/>
      <c r="I321" s="1701"/>
      <c r="J321" s="1701">
        <f>SUM(J320:J320)</f>
        <v>41.94</v>
      </c>
    </row>
    <row r="322" spans="1:11">
      <c r="A322" s="1713"/>
      <c r="B322" s="1715" t="s">
        <v>45</v>
      </c>
      <c r="C322" s="1713" t="s">
        <v>144</v>
      </c>
      <c r="F322" s="1683"/>
      <c r="G322" s="1683"/>
      <c r="H322" s="1683"/>
      <c r="I322" s="1683"/>
      <c r="J322" s="1741"/>
    </row>
    <row r="323" spans="1:11" ht="27.75" customHeight="1">
      <c r="A323" s="1713"/>
      <c r="B323" s="1706">
        <f>'Input Data'!$D$25</f>
        <v>0</v>
      </c>
      <c r="C323" s="2955" t="str">
        <f>"Over head charges "&amp;'Input Data'!$D$25*100&amp;"%  on (A) + (B)"</f>
        <v>Over head charges 0%  on (A) + (B)</v>
      </c>
      <c r="D323" s="2956"/>
      <c r="E323" s="2956"/>
      <c r="F323" s="2956"/>
      <c r="G323" s="2957"/>
      <c r="H323" s="1688">
        <f>J321+J318+J314</f>
        <v>20685.359999999997</v>
      </c>
      <c r="I323" s="1683"/>
      <c r="J323" s="1701">
        <f>H323*B323</f>
        <v>0</v>
      </c>
    </row>
    <row r="324" spans="1:11">
      <c r="A324" s="1713"/>
      <c r="B324" s="1715" t="s">
        <v>47</v>
      </c>
      <c r="C324" s="1713" t="s">
        <v>89</v>
      </c>
      <c r="F324" s="1683"/>
      <c r="G324" s="1683"/>
      <c r="H324" s="1683"/>
      <c r="I324" s="1683"/>
      <c r="J324" s="1741">
        <f>J314+J318+J321+J323</f>
        <v>20685.359999999997</v>
      </c>
    </row>
    <row r="325" spans="1:11">
      <c r="A325" s="1713"/>
      <c r="B325" s="1715" t="s">
        <v>76</v>
      </c>
      <c r="C325" s="1713" t="s">
        <v>90</v>
      </c>
      <c r="F325" s="1683"/>
      <c r="G325" s="1683"/>
      <c r="H325" s="1683"/>
      <c r="I325" s="1683"/>
      <c r="J325" s="1741">
        <f>J324*10/100</f>
        <v>2068.5359999999996</v>
      </c>
    </row>
    <row r="326" spans="1:11">
      <c r="B326" s="1705"/>
      <c r="C326" s="1683"/>
      <c r="D326" s="1722" t="s">
        <v>98</v>
      </c>
      <c r="H326" s="1701"/>
      <c r="I326" s="1701"/>
      <c r="J326" s="1741">
        <f>SUM(J324:J325)</f>
        <v>22753.895999999997</v>
      </c>
    </row>
    <row r="327" spans="1:11">
      <c r="B327" s="1705"/>
      <c r="C327" s="1683"/>
      <c r="D327" s="1687" t="s">
        <v>81</v>
      </c>
      <c r="H327" s="1701"/>
      <c r="I327" s="1701"/>
      <c r="J327" s="1701">
        <f>ROUND(J326/10,2)</f>
        <v>2275.39</v>
      </c>
    </row>
    <row r="328" spans="1:11">
      <c r="D328" s="1687" t="s">
        <v>52</v>
      </c>
      <c r="H328" s="1701"/>
      <c r="I328" s="1701"/>
      <c r="J328" s="1742">
        <f>ROUND(J327,0)</f>
        <v>2275</v>
      </c>
      <c r="K328" s="1684">
        <v>1199</v>
      </c>
    </row>
    <row r="329" spans="1:11">
      <c r="D329" s="1687"/>
      <c r="H329" s="1701"/>
      <c r="I329" s="1701"/>
      <c r="J329" s="1741" t="s">
        <v>53</v>
      </c>
    </row>
    <row r="330" spans="1:11">
      <c r="D330" s="1687"/>
      <c r="H330" s="1701"/>
      <c r="I330" s="1701"/>
      <c r="J330" s="1741"/>
    </row>
    <row r="331" spans="1:11" ht="116.25" customHeight="1">
      <c r="A331" s="1710"/>
      <c r="B331" s="2946" t="s">
        <v>145</v>
      </c>
      <c r="C331" s="2946"/>
      <c r="D331" s="2946"/>
      <c r="E331" s="2946"/>
      <c r="F331" s="2946"/>
      <c r="G331" s="2946"/>
      <c r="H331" s="2946"/>
      <c r="I331" s="2946"/>
      <c r="J331" s="2946"/>
    </row>
    <row r="332" spans="1:11">
      <c r="D332" s="1687" t="s">
        <v>10</v>
      </c>
      <c r="F332" s="1713" t="s">
        <v>55</v>
      </c>
      <c r="J332" s="1684"/>
    </row>
    <row r="333" spans="1:11">
      <c r="D333" s="1687" t="s">
        <v>56</v>
      </c>
      <c r="J333" s="1684"/>
    </row>
    <row r="334" spans="1:11">
      <c r="B334" s="1715" t="s">
        <v>36</v>
      </c>
      <c r="C334" s="1722" t="s">
        <v>37</v>
      </c>
      <c r="J334" s="1684"/>
    </row>
    <row r="335" spans="1:11">
      <c r="B335" s="1705">
        <v>0.86</v>
      </c>
      <c r="C335" s="1683" t="s">
        <v>57</v>
      </c>
      <c r="D335" s="1687" t="s">
        <v>14</v>
      </c>
      <c r="H335" s="1701">
        <f>'SSR-rates'!$H$58</f>
        <v>490</v>
      </c>
      <c r="I335" s="1716" t="s">
        <v>38</v>
      </c>
      <c r="J335" s="1705">
        <f>ROUND(B335*H335,2)</f>
        <v>421.4</v>
      </c>
      <c r="K335" s="1687"/>
    </row>
    <row r="336" spans="1:11">
      <c r="B336" s="1705">
        <v>1.5</v>
      </c>
      <c r="C336" s="1683" t="s">
        <v>57</v>
      </c>
      <c r="D336" s="1687" t="s">
        <v>58</v>
      </c>
      <c r="H336" s="1701">
        <f>'SSR-rates'!$H$59</f>
        <v>524</v>
      </c>
      <c r="I336" s="1716" t="s">
        <v>38</v>
      </c>
      <c r="J336" s="1705">
        <f>ROUND(B336*H336,2)</f>
        <v>786</v>
      </c>
    </row>
    <row r="337" spans="1:10">
      <c r="B337" s="1705">
        <v>20</v>
      </c>
      <c r="C337" s="1683" t="s">
        <v>57</v>
      </c>
      <c r="D337" s="1687" t="s">
        <v>59</v>
      </c>
      <c r="H337" s="1701">
        <f>'SSR-rates'!$H$60</f>
        <v>490</v>
      </c>
      <c r="I337" s="1716" t="s">
        <v>38</v>
      </c>
      <c r="J337" s="1705">
        <f>ROUND(B337*H337,2)</f>
        <v>9800</v>
      </c>
    </row>
    <row r="338" spans="1:10">
      <c r="A338" s="1713"/>
      <c r="B338" s="1702">
        <f>'Input Data'!$D$23</f>
        <v>0</v>
      </c>
      <c r="C338" s="1688"/>
      <c r="D338" s="1684" t="s">
        <v>17</v>
      </c>
      <c r="F338" s="1683"/>
      <c r="G338" s="1683"/>
      <c r="H338" s="1701">
        <f>SUM(J336:J337)</f>
        <v>10586</v>
      </c>
      <c r="I338" s="1716"/>
      <c r="J338" s="1701">
        <f>B338*H338</f>
        <v>0</v>
      </c>
    </row>
    <row r="339" spans="1:10" ht="15" customHeight="1">
      <c r="B339" s="1705"/>
      <c r="D339" s="1687" t="s">
        <v>60</v>
      </c>
      <c r="H339" s="1701"/>
      <c r="I339" s="1701"/>
      <c r="J339" s="1705">
        <f>SUM(J335:J338)</f>
        <v>11007.4</v>
      </c>
    </row>
    <row r="340" spans="1:10">
      <c r="B340" s="1715" t="s">
        <v>39</v>
      </c>
      <c r="C340" s="1722" t="s">
        <v>61</v>
      </c>
      <c r="H340" s="1701"/>
      <c r="I340" s="1701"/>
      <c r="J340" s="1701"/>
    </row>
    <row r="341" spans="1:10">
      <c r="B341" s="1705">
        <v>8.1</v>
      </c>
      <c r="C341" s="1683" t="s">
        <v>31</v>
      </c>
      <c r="D341" s="1687" t="s">
        <v>62</v>
      </c>
      <c r="H341" s="1701">
        <f>lead!$J$14</f>
        <v>1732.2187651278443</v>
      </c>
      <c r="I341" s="1701" t="s">
        <v>31</v>
      </c>
      <c r="J341" s="1701">
        <f>ROUND(B341*H341,2)</f>
        <v>14030.97</v>
      </c>
    </row>
    <row r="342" spans="1:10" ht="15" customHeight="1">
      <c r="B342" s="1705">
        <v>4.05</v>
      </c>
      <c r="C342" s="1683" t="s">
        <v>31</v>
      </c>
      <c r="D342" s="1684" t="s">
        <v>63</v>
      </c>
      <c r="H342" s="1701">
        <f>lead!$J$16</f>
        <v>2031.2187651278443</v>
      </c>
      <c r="I342" s="1701" t="s">
        <v>31</v>
      </c>
      <c r="J342" s="1701">
        <f>ROUND(B342*H342,2)</f>
        <v>8226.44</v>
      </c>
    </row>
    <row r="343" spans="1:10" ht="15" customHeight="1">
      <c r="B343" s="1705">
        <v>1.35</v>
      </c>
      <c r="C343" s="1683" t="s">
        <v>31</v>
      </c>
      <c r="D343" s="1684" t="s">
        <v>64</v>
      </c>
      <c r="H343" s="1701">
        <f>lead!$J$18</f>
        <v>1780.2187651278443</v>
      </c>
      <c r="I343" s="1701" t="s">
        <v>31</v>
      </c>
      <c r="J343" s="1701">
        <f>ROUND(B343*H343,2)</f>
        <v>2403.3000000000002</v>
      </c>
    </row>
    <row r="344" spans="1:10" ht="15" customHeight="1">
      <c r="B344" s="1705">
        <v>6.75</v>
      </c>
      <c r="C344" s="1683" t="s">
        <v>31</v>
      </c>
      <c r="D344" s="1687" t="s">
        <v>65</v>
      </c>
      <c r="H344" s="1701">
        <f>lead!J12</f>
        <v>1684.4687651278443</v>
      </c>
      <c r="I344" s="1701" t="s">
        <v>31</v>
      </c>
      <c r="J344" s="1701">
        <f>ROUND(B344*H344,2)</f>
        <v>11370.16</v>
      </c>
    </row>
    <row r="345" spans="1:10" ht="15" customHeight="1">
      <c r="B345" s="1705">
        <v>4.13</v>
      </c>
      <c r="C345" s="1683" t="s">
        <v>66</v>
      </c>
      <c r="D345" s="1687" t="s">
        <v>67</v>
      </c>
      <c r="H345" s="1701">
        <f>lead!$J$36</f>
        <v>5000</v>
      </c>
      <c r="I345" s="1701" t="s">
        <v>66</v>
      </c>
      <c r="J345" s="1701">
        <f>ROUND(B345*H345,2)</f>
        <v>20650</v>
      </c>
    </row>
    <row r="346" spans="1:10">
      <c r="B346" s="1705"/>
      <c r="C346" s="1688"/>
      <c r="D346" s="1687" t="s">
        <v>60</v>
      </c>
      <c r="H346" s="1701"/>
      <c r="I346" s="1701"/>
      <c r="J346" s="1701">
        <f>SUM(J341:J345)</f>
        <v>56680.869999999995</v>
      </c>
    </row>
    <row r="347" spans="1:10">
      <c r="B347" s="1715" t="s">
        <v>87</v>
      </c>
      <c r="C347" s="1722" t="s">
        <v>40</v>
      </c>
      <c r="H347" s="1701"/>
      <c r="I347" s="1701"/>
      <c r="J347" s="1701"/>
    </row>
    <row r="348" spans="1:10">
      <c r="B348" s="1705">
        <v>6</v>
      </c>
      <c r="C348" s="1683" t="s">
        <v>41</v>
      </c>
      <c r="D348" s="1687" t="s">
        <v>68</v>
      </c>
      <c r="H348" s="1701">
        <f>'SSR-rates'!$H$88</f>
        <v>627.6</v>
      </c>
      <c r="I348" s="1701" t="s">
        <v>41</v>
      </c>
      <c r="J348" s="1701">
        <f>ROUND(B348*H348,2)</f>
        <v>3765.6</v>
      </c>
    </row>
    <row r="349" spans="1:10">
      <c r="B349" s="1705">
        <v>6</v>
      </c>
      <c r="C349" s="1683" t="s">
        <v>41</v>
      </c>
      <c r="D349" s="1687" t="s">
        <v>69</v>
      </c>
      <c r="H349" s="1701">
        <f>'SSR-rates'!$H$87</f>
        <v>1237.4000000000001</v>
      </c>
      <c r="I349" s="1701" t="s">
        <v>41</v>
      </c>
      <c r="J349" s="1701">
        <f>ROUND(B349*H349,2)</f>
        <v>7424.4</v>
      </c>
    </row>
    <row r="350" spans="1:10">
      <c r="B350" s="1705"/>
      <c r="C350" s="1688"/>
      <c r="D350" s="1687" t="s">
        <v>60</v>
      </c>
      <c r="H350" s="1701"/>
      <c r="I350" s="1701"/>
      <c r="J350" s="1701">
        <f>SUM(J348:J349)</f>
        <v>11190</v>
      </c>
    </row>
    <row r="351" spans="1:10">
      <c r="A351" s="1713"/>
      <c r="B351" s="1715" t="s">
        <v>45</v>
      </c>
      <c r="C351" s="1713" t="s">
        <v>95</v>
      </c>
      <c r="F351" s="1683"/>
      <c r="G351" s="1683"/>
      <c r="H351" s="1683"/>
      <c r="I351" s="1683"/>
      <c r="J351" s="1741"/>
    </row>
    <row r="352" spans="1:10">
      <c r="A352" s="1713"/>
      <c r="B352" s="1705">
        <v>4</v>
      </c>
      <c r="C352" s="1688" t="s">
        <v>29</v>
      </c>
      <c r="D352" s="1687" t="s">
        <v>146</v>
      </c>
      <c r="F352" s="1683"/>
      <c r="G352" s="1683"/>
      <c r="H352" s="1683"/>
      <c r="I352" s="1683"/>
      <c r="J352" s="1701">
        <f>ROUND((J339+J346+J350)*B352/100,2)</f>
        <v>3155.13</v>
      </c>
    </row>
    <row r="353" spans="1:10">
      <c r="A353" s="1713"/>
      <c r="B353" s="1715" t="s">
        <v>47</v>
      </c>
      <c r="C353" s="1713" t="s">
        <v>44</v>
      </c>
      <c r="F353" s="1683"/>
      <c r="G353" s="1683"/>
      <c r="H353" s="1683"/>
      <c r="I353" s="1683"/>
      <c r="J353" s="1741"/>
    </row>
    <row r="354" spans="1:10" ht="27.75" customHeight="1">
      <c r="A354" s="1713"/>
      <c r="B354" s="1706">
        <f>'Input Data'!$D$25</f>
        <v>0</v>
      </c>
      <c r="C354" s="2955" t="str">
        <f>"Over head charges "&amp;'Input Data'!$D$25*100&amp;"%  on (A) + (B)"</f>
        <v>Over head charges 0%  on (A) + (B)</v>
      </c>
      <c r="D354" s="2956"/>
      <c r="E354" s="2956"/>
      <c r="F354" s="2956"/>
      <c r="G354" s="2957"/>
      <c r="H354" s="1688">
        <f>J352+J350+J346+J339</f>
        <v>82033.399999999994</v>
      </c>
      <c r="I354" s="1683"/>
      <c r="J354" s="1701">
        <f>H354*B354</f>
        <v>0</v>
      </c>
    </row>
    <row r="355" spans="1:10">
      <c r="A355" s="1713"/>
      <c r="B355" s="1715" t="s">
        <v>76</v>
      </c>
      <c r="C355" s="1713" t="s">
        <v>89</v>
      </c>
      <c r="F355" s="1683"/>
      <c r="G355" s="1683"/>
      <c r="H355" s="1683"/>
      <c r="I355" s="1683"/>
      <c r="J355" s="1741">
        <f>J339+J346+J350+J354+J352</f>
        <v>82033.399999999994</v>
      </c>
    </row>
    <row r="356" spans="1:10">
      <c r="A356" s="1713"/>
      <c r="B356" s="1715" t="s">
        <v>78</v>
      </c>
      <c r="C356" s="1713" t="s">
        <v>90</v>
      </c>
      <c r="F356" s="1683"/>
      <c r="G356" s="1683"/>
      <c r="H356" s="1683"/>
      <c r="I356" s="1683"/>
      <c r="J356" s="1741">
        <f>J355*10/100</f>
        <v>8203.34</v>
      </c>
    </row>
    <row r="357" spans="1:10">
      <c r="B357" s="1705"/>
      <c r="C357" s="1683"/>
      <c r="D357" s="1722" t="s">
        <v>98</v>
      </c>
      <c r="H357" s="1701"/>
      <c r="I357" s="1701"/>
      <c r="J357" s="1741">
        <f>SUM(J355:J356)</f>
        <v>90236.739999999991</v>
      </c>
    </row>
    <row r="358" spans="1:10">
      <c r="B358" s="1705"/>
      <c r="C358" s="1683"/>
      <c r="D358" s="1687" t="s">
        <v>81</v>
      </c>
      <c r="H358" s="1701"/>
      <c r="I358" s="1701"/>
      <c r="J358" s="1701">
        <f>ROUND(J357/15,2)</f>
        <v>6015.78</v>
      </c>
    </row>
    <row r="359" spans="1:10">
      <c r="D359" s="1687" t="s">
        <v>52</v>
      </c>
      <c r="H359" s="1701"/>
      <c r="I359" s="1701"/>
      <c r="J359" s="1742">
        <f>ROUND(J358,0)</f>
        <v>6016</v>
      </c>
    </row>
    <row r="360" spans="1:10">
      <c r="D360" s="1687"/>
      <c r="H360" s="1701"/>
      <c r="I360" s="1701"/>
      <c r="J360" s="1741" t="s">
        <v>53</v>
      </c>
    </row>
    <row r="361" spans="1:10" ht="117.75" customHeight="1">
      <c r="A361" s="1710"/>
      <c r="B361" s="2946" t="s">
        <v>147</v>
      </c>
      <c r="C361" s="2946"/>
      <c r="D361" s="2946"/>
      <c r="E361" s="2946"/>
      <c r="F361" s="2946"/>
      <c r="G361" s="2946"/>
      <c r="H361" s="2946"/>
      <c r="I361" s="2946"/>
      <c r="J361" s="2946"/>
    </row>
    <row r="362" spans="1:10">
      <c r="D362" s="1687" t="s">
        <v>10</v>
      </c>
      <c r="F362" s="1713" t="s">
        <v>148</v>
      </c>
      <c r="J362" s="1684"/>
    </row>
    <row r="363" spans="1:10">
      <c r="D363" s="1687" t="s">
        <v>56</v>
      </c>
      <c r="J363" s="1684"/>
    </row>
    <row r="364" spans="1:10">
      <c r="B364" s="1715" t="s">
        <v>36</v>
      </c>
      <c r="C364" s="1722" t="s">
        <v>37</v>
      </c>
      <c r="J364" s="1684"/>
    </row>
    <row r="365" spans="1:10">
      <c r="B365" s="1705">
        <v>0.86</v>
      </c>
      <c r="C365" s="1683" t="s">
        <v>57</v>
      </c>
      <c r="D365" s="1687" t="s">
        <v>14</v>
      </c>
      <c r="H365" s="1701">
        <f>'SSR-rates'!H$58</f>
        <v>490</v>
      </c>
      <c r="I365" s="1716" t="s">
        <v>38</v>
      </c>
      <c r="J365" s="1705">
        <f>ROUND(B365*H365,2)</f>
        <v>421.4</v>
      </c>
    </row>
    <row r="366" spans="1:10">
      <c r="B366" s="1705">
        <v>1.5</v>
      </c>
      <c r="C366" s="1683" t="s">
        <v>57</v>
      </c>
      <c r="D366" s="1687" t="s">
        <v>58</v>
      </c>
      <c r="H366" s="1701">
        <f>'SSR-rates'!H$59</f>
        <v>524</v>
      </c>
      <c r="I366" s="1716" t="s">
        <v>38</v>
      </c>
      <c r="J366" s="1705">
        <f>ROUND(B366*H366,2)</f>
        <v>786</v>
      </c>
    </row>
    <row r="367" spans="1:10">
      <c r="B367" s="1705">
        <v>20</v>
      </c>
      <c r="C367" s="1683" t="s">
        <v>57</v>
      </c>
      <c r="D367" s="1687" t="s">
        <v>59</v>
      </c>
      <c r="H367" s="1701">
        <f>'SSR-rates'!H$60</f>
        <v>490</v>
      </c>
      <c r="I367" s="1716" t="s">
        <v>38</v>
      </c>
      <c r="J367" s="1705">
        <f>ROUND(B367*H367,2)</f>
        <v>9800</v>
      </c>
    </row>
    <row r="368" spans="1:10">
      <c r="A368" s="1713"/>
      <c r="B368" s="1702">
        <f>'Input Data'!$D$23</f>
        <v>0</v>
      </c>
      <c r="C368" s="1688"/>
      <c r="D368" s="1684" t="s">
        <v>17</v>
      </c>
      <c r="F368" s="1683"/>
      <c r="G368" s="1683"/>
      <c r="H368" s="1701">
        <f>SUM(J365:J367)</f>
        <v>11007.4</v>
      </c>
      <c r="I368" s="1716"/>
      <c r="J368" s="1701">
        <f>B368*H368</f>
        <v>0</v>
      </c>
    </row>
    <row r="369" spans="1:10">
      <c r="B369" s="1705"/>
      <c r="D369" s="1687" t="s">
        <v>60</v>
      </c>
      <c r="H369" s="1701"/>
      <c r="I369" s="1701"/>
      <c r="J369" s="1705">
        <f>SUM(J365:J368)</f>
        <v>11007.4</v>
      </c>
    </row>
    <row r="370" spans="1:10">
      <c r="B370" s="1715" t="s">
        <v>39</v>
      </c>
      <c r="C370" s="1722" t="s">
        <v>61</v>
      </c>
      <c r="H370" s="1701"/>
      <c r="I370" s="1701"/>
      <c r="J370" s="1701"/>
    </row>
    <row r="371" spans="1:10">
      <c r="B371" s="1705">
        <v>8.1</v>
      </c>
      <c r="C371" s="1683" t="s">
        <v>31</v>
      </c>
      <c r="D371" s="1687" t="s">
        <v>62</v>
      </c>
      <c r="H371" s="1701">
        <f>lead!$J$14</f>
        <v>1732.2187651278443</v>
      </c>
      <c r="I371" s="1701" t="s">
        <v>31</v>
      </c>
      <c r="J371" s="1701">
        <f>ROUND(B371*H371,2)</f>
        <v>14030.97</v>
      </c>
    </row>
    <row r="372" spans="1:10">
      <c r="B372" s="1705">
        <v>4.05</v>
      </c>
      <c r="C372" s="1683" t="s">
        <v>31</v>
      </c>
      <c r="D372" s="1684" t="s">
        <v>63</v>
      </c>
      <c r="H372" s="1701">
        <f>lead!$J$16</f>
        <v>2031.2187651278443</v>
      </c>
      <c r="I372" s="1701" t="s">
        <v>31</v>
      </c>
      <c r="J372" s="1701">
        <f>ROUND(B372*H372,2)</f>
        <v>8226.44</v>
      </c>
    </row>
    <row r="373" spans="1:10">
      <c r="B373" s="1705">
        <v>1.35</v>
      </c>
      <c r="C373" s="1683" t="s">
        <v>31</v>
      </c>
      <c r="D373" s="1684" t="s">
        <v>64</v>
      </c>
      <c r="H373" s="1701">
        <f>lead!$J$18</f>
        <v>1780.2187651278443</v>
      </c>
      <c r="I373" s="1701" t="s">
        <v>31</v>
      </c>
      <c r="J373" s="1701">
        <f>ROUND(B373*H373,2)</f>
        <v>2403.3000000000002</v>
      </c>
    </row>
    <row r="374" spans="1:10">
      <c r="B374" s="1705">
        <v>6.75</v>
      </c>
      <c r="C374" s="1683" t="s">
        <v>31</v>
      </c>
      <c r="D374" s="1687" t="s">
        <v>65</v>
      </c>
      <c r="H374" s="1701">
        <f>lead!J12</f>
        <v>1684.4687651278443</v>
      </c>
      <c r="I374" s="1701" t="s">
        <v>31</v>
      </c>
      <c r="J374" s="1701">
        <f>ROUND(B374*H374,2)</f>
        <v>11370.16</v>
      </c>
    </row>
    <row r="375" spans="1:10">
      <c r="B375" s="1705">
        <v>4.13</v>
      </c>
      <c r="C375" s="1683" t="s">
        <v>66</v>
      </c>
      <c r="D375" s="1687" t="s">
        <v>67</v>
      </c>
      <c r="H375" s="1701">
        <f>lead!$J$36</f>
        <v>5000</v>
      </c>
      <c r="I375" s="1701" t="s">
        <v>66</v>
      </c>
      <c r="J375" s="1701">
        <f>ROUND(B375*H375,2)</f>
        <v>20650</v>
      </c>
    </row>
    <row r="376" spans="1:10">
      <c r="B376" s="1705"/>
      <c r="C376" s="1688"/>
      <c r="D376" s="1687" t="s">
        <v>60</v>
      </c>
      <c r="H376" s="1701"/>
      <c r="I376" s="1701"/>
      <c r="J376" s="1701">
        <f>SUM(J371:J375)</f>
        <v>56680.869999999995</v>
      </c>
    </row>
    <row r="377" spans="1:10">
      <c r="B377" s="1715" t="s">
        <v>87</v>
      </c>
      <c r="C377" s="1722" t="s">
        <v>40</v>
      </c>
      <c r="H377" s="1701"/>
      <c r="I377" s="1701"/>
      <c r="J377" s="1701"/>
    </row>
    <row r="378" spans="1:10">
      <c r="B378" s="1705">
        <v>6</v>
      </c>
      <c r="C378" s="1683" t="s">
        <v>41</v>
      </c>
      <c r="D378" s="1687" t="s">
        <v>68</v>
      </c>
      <c r="H378" s="1701">
        <f>'SSR-rates'!$H$88</f>
        <v>627.6</v>
      </c>
      <c r="I378" s="1701" t="s">
        <v>41</v>
      </c>
      <c r="J378" s="1701">
        <f>ROUND(B378*H378,2)</f>
        <v>3765.6</v>
      </c>
    </row>
    <row r="379" spans="1:10">
      <c r="B379" s="1705">
        <v>6</v>
      </c>
      <c r="C379" s="1683" t="s">
        <v>41</v>
      </c>
      <c r="D379" s="1687" t="s">
        <v>69</v>
      </c>
      <c r="H379" s="1701">
        <f>'SSR-rates'!$H$87</f>
        <v>1237.4000000000001</v>
      </c>
      <c r="I379" s="1701" t="s">
        <v>41</v>
      </c>
      <c r="J379" s="1701">
        <f>ROUND(B379*H379,2)</f>
        <v>7424.4</v>
      </c>
    </row>
    <row r="380" spans="1:10">
      <c r="B380" s="1705"/>
      <c r="C380" s="1688"/>
      <c r="D380" s="1687" t="s">
        <v>60</v>
      </c>
      <c r="H380" s="1701"/>
      <c r="I380" s="1701"/>
      <c r="J380" s="1701">
        <f>SUM(J378:J379)</f>
        <v>11190</v>
      </c>
    </row>
    <row r="381" spans="1:10">
      <c r="A381" s="1713"/>
      <c r="B381" s="1715" t="s">
        <v>45</v>
      </c>
      <c r="C381" s="1713" t="s">
        <v>149</v>
      </c>
      <c r="F381" s="1683"/>
      <c r="G381" s="1683"/>
      <c r="H381" s="1683"/>
      <c r="I381" s="1683"/>
      <c r="J381" s="1741"/>
    </row>
    <row r="382" spans="1:10">
      <c r="A382" s="1713"/>
      <c r="B382" s="1705">
        <v>10</v>
      </c>
      <c r="C382" s="1688" t="s">
        <v>29</v>
      </c>
      <c r="D382" s="1687" t="s">
        <v>146</v>
      </c>
      <c r="F382" s="1683"/>
      <c r="G382" s="1683"/>
      <c r="H382" s="1683"/>
      <c r="I382" s="1683"/>
      <c r="J382" s="1701">
        <f>ROUND((J369+J376+J380)*B382/100,2)</f>
        <v>7887.83</v>
      </c>
    </row>
    <row r="383" spans="1:10">
      <c r="A383" s="1713"/>
      <c r="B383" s="1715" t="s">
        <v>47</v>
      </c>
      <c r="C383" s="1713" t="s">
        <v>74</v>
      </c>
      <c r="F383" s="1683"/>
      <c r="G383" s="1683"/>
      <c r="H383" s="1683"/>
      <c r="I383" s="1683"/>
      <c r="J383" s="1741"/>
    </row>
    <row r="384" spans="1:10" ht="30.75" customHeight="1">
      <c r="A384" s="1713"/>
      <c r="B384" s="1706">
        <f>'Input Data'!$D$25</f>
        <v>0</v>
      </c>
      <c r="C384" s="2955" t="str">
        <f>"Over head charges "&amp;'Input Data'!$D$25*100&amp;"%  on (A) + (B)+(C)+(D)"</f>
        <v>Over head charges 0%  on (A) + (B)+(C)+(D)</v>
      </c>
      <c r="D384" s="2956"/>
      <c r="E384" s="2956"/>
      <c r="F384" s="2956"/>
      <c r="G384" s="2957"/>
      <c r="H384" s="1688">
        <f>J382+J380+J376+J369</f>
        <v>86766.099999999991</v>
      </c>
      <c r="I384" s="1683"/>
      <c r="J384" s="1701">
        <f>H384*B384</f>
        <v>0</v>
      </c>
    </row>
    <row r="385" spans="1:11">
      <c r="A385" s="1713"/>
      <c r="B385" s="1715" t="s">
        <v>76</v>
      </c>
      <c r="C385" s="1713" t="s">
        <v>89</v>
      </c>
      <c r="F385" s="1683"/>
      <c r="G385" s="1683"/>
      <c r="H385" s="1683"/>
      <c r="I385" s="1683"/>
      <c r="J385" s="1741">
        <f>J369+J376+J380+J384+J382</f>
        <v>86766.099999999991</v>
      </c>
    </row>
    <row r="386" spans="1:11">
      <c r="A386" s="1713"/>
      <c r="B386" s="1715" t="s">
        <v>78</v>
      </c>
      <c r="C386" s="1713" t="s">
        <v>90</v>
      </c>
      <c r="F386" s="1683"/>
      <c r="G386" s="1683"/>
      <c r="H386" s="1683"/>
      <c r="I386" s="1683"/>
      <c r="J386" s="1741">
        <f>J385*10/100</f>
        <v>8676.6099999999988</v>
      </c>
    </row>
    <row r="387" spans="1:11">
      <c r="B387" s="1705"/>
      <c r="C387" s="1683"/>
      <c r="D387" s="1722" t="s">
        <v>98</v>
      </c>
      <c r="H387" s="1701"/>
      <c r="I387" s="1701"/>
      <c r="J387" s="1741">
        <f>SUM(J385:J386)</f>
        <v>95442.709999999992</v>
      </c>
    </row>
    <row r="388" spans="1:11">
      <c r="B388" s="1705"/>
      <c r="C388" s="1683"/>
      <c r="D388" s="1687" t="s">
        <v>81</v>
      </c>
      <c r="H388" s="1701"/>
      <c r="I388" s="1701"/>
      <c r="J388" s="1701">
        <f>ROUND(J387/15,2)</f>
        <v>6362.85</v>
      </c>
    </row>
    <row r="389" spans="1:11">
      <c r="D389" s="1687" t="s">
        <v>52</v>
      </c>
      <c r="H389" s="1701"/>
      <c r="I389" s="1701"/>
      <c r="J389" s="1742">
        <f>ROUND(J388,0)</f>
        <v>6363</v>
      </c>
    </row>
    <row r="390" spans="1:11">
      <c r="D390" s="1687"/>
      <c r="H390" s="1701"/>
      <c r="I390" s="1701"/>
      <c r="J390" s="1741" t="s">
        <v>53</v>
      </c>
    </row>
    <row r="391" spans="1:11" ht="106.5" customHeight="1">
      <c r="A391" s="1710"/>
      <c r="B391" s="2946" t="s">
        <v>150</v>
      </c>
      <c r="C391" s="2946"/>
      <c r="D391" s="2946"/>
      <c r="E391" s="2946"/>
      <c r="F391" s="2946"/>
      <c r="G391" s="2946"/>
      <c r="H391" s="2946"/>
      <c r="I391" s="2946"/>
      <c r="J391" s="2946"/>
    </row>
    <row r="392" spans="1:11">
      <c r="D392" s="1687" t="s">
        <v>10</v>
      </c>
      <c r="F392" s="1713" t="s">
        <v>151</v>
      </c>
      <c r="J392" s="1684"/>
    </row>
    <row r="393" spans="1:11">
      <c r="D393" s="1687" t="s">
        <v>56</v>
      </c>
      <c r="J393" s="1684"/>
    </row>
    <row r="394" spans="1:11">
      <c r="B394" s="1715" t="s">
        <v>36</v>
      </c>
      <c r="C394" s="1722" t="s">
        <v>37</v>
      </c>
      <c r="J394" s="1684"/>
    </row>
    <row r="395" spans="1:11">
      <c r="B395" s="1705">
        <v>0.86</v>
      </c>
      <c r="C395" s="1683" t="s">
        <v>57</v>
      </c>
      <c r="D395" s="1687" t="s">
        <v>14</v>
      </c>
      <c r="H395" s="1701">
        <f>'SSR-rates'!$H$58</f>
        <v>490</v>
      </c>
      <c r="I395" s="1716" t="s">
        <v>38</v>
      </c>
      <c r="J395" s="1705">
        <f>ROUND(B395*H395,2)</f>
        <v>421.4</v>
      </c>
      <c r="K395" s="1687"/>
    </row>
    <row r="396" spans="1:11">
      <c r="B396" s="1705">
        <v>1.5</v>
      </c>
      <c r="C396" s="1683" t="s">
        <v>57</v>
      </c>
      <c r="D396" s="1687" t="s">
        <v>58</v>
      </c>
      <c r="H396" s="1701">
        <f>'SSR-rates'!$H$59</f>
        <v>524</v>
      </c>
      <c r="I396" s="1716" t="s">
        <v>38</v>
      </c>
      <c r="J396" s="1705">
        <f>ROUND(B396*H396,2)</f>
        <v>786</v>
      </c>
    </row>
    <row r="397" spans="1:11">
      <c r="B397" s="1705">
        <v>20</v>
      </c>
      <c r="C397" s="1683" t="s">
        <v>57</v>
      </c>
      <c r="D397" s="1687" t="s">
        <v>59</v>
      </c>
      <c r="H397" s="1701">
        <f>'SSR-rates'!$H$60</f>
        <v>490</v>
      </c>
      <c r="I397" s="1716" t="s">
        <v>38</v>
      </c>
      <c r="J397" s="1705">
        <f>ROUND(B397*H397,2)</f>
        <v>9800</v>
      </c>
    </row>
    <row r="398" spans="1:11">
      <c r="A398" s="1713"/>
      <c r="B398" s="1702">
        <f>'Input Data'!$D$23</f>
        <v>0</v>
      </c>
      <c r="C398" s="1688"/>
      <c r="D398" s="1684" t="s">
        <v>17</v>
      </c>
      <c r="F398" s="1683"/>
      <c r="G398" s="1683"/>
      <c r="H398" s="1701">
        <f>SUM(J395:J397)</f>
        <v>11007.4</v>
      </c>
      <c r="I398" s="1716"/>
      <c r="J398" s="1701">
        <f>B398*H398</f>
        <v>0</v>
      </c>
    </row>
    <row r="399" spans="1:11" ht="15" customHeight="1">
      <c r="B399" s="1705"/>
      <c r="D399" s="1687" t="s">
        <v>60</v>
      </c>
      <c r="H399" s="1701"/>
      <c r="I399" s="1701"/>
      <c r="J399" s="1705">
        <f>SUM(J395:J398)</f>
        <v>11007.4</v>
      </c>
    </row>
    <row r="400" spans="1:11">
      <c r="B400" s="1715" t="s">
        <v>39</v>
      </c>
      <c r="C400" s="1722" t="s">
        <v>61</v>
      </c>
      <c r="H400" s="1701"/>
      <c r="I400" s="1701"/>
      <c r="J400" s="1701"/>
    </row>
    <row r="401" spans="1:13">
      <c r="B401" s="1705">
        <v>0</v>
      </c>
      <c r="C401" s="1683" t="s">
        <v>31</v>
      </c>
      <c r="D401" s="1687" t="s">
        <v>62</v>
      </c>
      <c r="H401" s="1701">
        <f>lead!$J$14</f>
        <v>1732.2187651278443</v>
      </c>
      <c r="I401" s="1701" t="s">
        <v>31</v>
      </c>
      <c r="J401" s="1701">
        <f>ROUND(B401*H401,2)</f>
        <v>0</v>
      </c>
      <c r="K401" s="1684">
        <v>5.16</v>
      </c>
      <c r="L401" s="1684">
        <v>5.4</v>
      </c>
      <c r="M401" s="1684">
        <v>1139.82456140351</v>
      </c>
    </row>
    <row r="402" spans="1:13" ht="15" customHeight="1">
      <c r="B402" s="1705">
        <v>8.1</v>
      </c>
      <c r="C402" s="1683" t="s">
        <v>31</v>
      </c>
      <c r="D402" s="1684" t="s">
        <v>63</v>
      </c>
      <c r="H402" s="1701">
        <f>lead!$J$16</f>
        <v>2031.2187651278443</v>
      </c>
      <c r="I402" s="1701" t="s">
        <v>31</v>
      </c>
      <c r="J402" s="1701">
        <f>ROUND(B402*H402,2)</f>
        <v>16452.87</v>
      </c>
      <c r="L402" s="1684">
        <v>5.4</v>
      </c>
      <c r="M402" s="1684">
        <v>1659.82456140351</v>
      </c>
    </row>
    <row r="403" spans="1:13" ht="15" customHeight="1">
      <c r="B403" s="1705">
        <v>5.4</v>
      </c>
      <c r="C403" s="1683" t="s">
        <v>31</v>
      </c>
      <c r="D403" s="1684" t="s">
        <v>64</v>
      </c>
      <c r="H403" s="1701">
        <f>lead!$J$18</f>
        <v>1780.2187651278443</v>
      </c>
      <c r="I403" s="1701" t="s">
        <v>31</v>
      </c>
      <c r="J403" s="1701">
        <f>ROUND(B403*H403,2)</f>
        <v>9613.18</v>
      </c>
      <c r="L403" s="1684">
        <v>2.7</v>
      </c>
      <c r="M403" s="1684">
        <v>1229.82456140351</v>
      </c>
    </row>
    <row r="404" spans="1:13" ht="15" customHeight="1">
      <c r="B404" s="1705">
        <v>6.75</v>
      </c>
      <c r="C404" s="1683" t="s">
        <v>31</v>
      </c>
      <c r="D404" s="1687" t="s">
        <v>65</v>
      </c>
      <c r="H404" s="1701">
        <f>lead!J12</f>
        <v>1684.4687651278443</v>
      </c>
      <c r="I404" s="1701" t="s">
        <v>31</v>
      </c>
      <c r="J404" s="1701">
        <f>ROUND(B404*H404,2)</f>
        <v>11370.16</v>
      </c>
      <c r="L404" s="1684">
        <v>6.75</v>
      </c>
      <c r="M404" s="1684">
        <v>1207.0087719298201</v>
      </c>
    </row>
    <row r="405" spans="1:13" ht="15" customHeight="1">
      <c r="B405" s="1705">
        <v>5.12</v>
      </c>
      <c r="C405" s="1683" t="s">
        <v>66</v>
      </c>
      <c r="D405" s="1687" t="s">
        <v>67</v>
      </c>
      <c r="H405" s="1701">
        <f>lead!$J$36</f>
        <v>5000</v>
      </c>
      <c r="I405" s="1701" t="s">
        <v>66</v>
      </c>
      <c r="J405" s="1701">
        <f>ROUND(B405*H405,2)</f>
        <v>25600</v>
      </c>
      <c r="L405" s="1684">
        <v>5.16</v>
      </c>
      <c r="M405" s="1684">
        <v>6300</v>
      </c>
    </row>
    <row r="406" spans="1:13">
      <c r="B406" s="1705"/>
      <c r="C406" s="1688"/>
      <c r="D406" s="1687" t="s">
        <v>60</v>
      </c>
      <c r="H406" s="1701"/>
      <c r="I406" s="1701"/>
      <c r="J406" s="1701">
        <f>SUM(J401:J405)</f>
        <v>63036.21</v>
      </c>
    </row>
    <row r="407" spans="1:13">
      <c r="B407" s="1715" t="s">
        <v>94</v>
      </c>
      <c r="C407" s="1722" t="s">
        <v>40</v>
      </c>
      <c r="H407" s="1701"/>
      <c r="I407" s="1701"/>
      <c r="J407" s="1701"/>
    </row>
    <row r="408" spans="1:13">
      <c r="B408" s="1705">
        <v>6</v>
      </c>
      <c r="C408" s="1683" t="s">
        <v>41</v>
      </c>
      <c r="D408" s="1687" t="s">
        <v>68</v>
      </c>
      <c r="H408" s="1701">
        <f>'SSR-rates'!$H$88</f>
        <v>627.6</v>
      </c>
      <c r="I408" s="1701" t="s">
        <v>41</v>
      </c>
      <c r="J408" s="1701">
        <f>ROUND(B408*H408,2)</f>
        <v>3765.6</v>
      </c>
    </row>
    <row r="409" spans="1:13">
      <c r="B409" s="1705">
        <v>6</v>
      </c>
      <c r="C409" s="1683" t="s">
        <v>41</v>
      </c>
      <c r="D409" s="1687" t="s">
        <v>69</v>
      </c>
      <c r="H409" s="1701">
        <f>'SSR-rates'!$H$87</f>
        <v>1237.4000000000001</v>
      </c>
      <c r="I409" s="1701" t="s">
        <v>41</v>
      </c>
      <c r="J409" s="1701">
        <f>ROUND(B409*H409,2)</f>
        <v>7424.4</v>
      </c>
    </row>
    <row r="410" spans="1:13">
      <c r="B410" s="1705"/>
      <c r="C410" s="1688"/>
      <c r="D410" s="1687" t="s">
        <v>60</v>
      </c>
      <c r="H410" s="1701"/>
      <c r="I410" s="1701"/>
      <c r="J410" s="1701">
        <f>SUM(J408:J409)</f>
        <v>11190</v>
      </c>
    </row>
    <row r="411" spans="1:13">
      <c r="A411" s="1713"/>
      <c r="B411" s="1715" t="s">
        <v>45</v>
      </c>
      <c r="C411" s="1713" t="s">
        <v>152</v>
      </c>
      <c r="F411" s="1683"/>
      <c r="G411" s="1683"/>
      <c r="H411" s="1683"/>
      <c r="I411" s="1683"/>
      <c r="J411" s="1741"/>
    </row>
    <row r="412" spans="1:13">
      <c r="A412" s="1713"/>
      <c r="B412" s="1705">
        <v>10</v>
      </c>
      <c r="C412" s="1688" t="s">
        <v>29</v>
      </c>
      <c r="D412" s="1687" t="s">
        <v>146</v>
      </c>
      <c r="F412" s="1683"/>
      <c r="G412" s="1683"/>
      <c r="H412" s="1683"/>
      <c r="I412" s="1683"/>
      <c r="J412" s="1701">
        <f>ROUND((J399+J406+J410)*B412/100,2)</f>
        <v>8523.36</v>
      </c>
    </row>
    <row r="413" spans="1:13">
      <c r="A413" s="1713"/>
      <c r="B413" s="1715" t="s">
        <v>47</v>
      </c>
      <c r="C413" s="1713" t="s">
        <v>74</v>
      </c>
      <c r="F413" s="1683"/>
      <c r="G413" s="1683"/>
      <c r="H413" s="1683"/>
      <c r="I413" s="1683"/>
      <c r="J413" s="1741"/>
    </row>
    <row r="414" spans="1:13">
      <c r="A414" s="1713"/>
      <c r="B414" s="1743">
        <f>'Input Data'!$D$25</f>
        <v>0</v>
      </c>
      <c r="C414" s="1688"/>
      <c r="D414" s="1687" t="str">
        <f>"Over head charges "&amp;'Input Data'!$D$25*100&amp;"%  on (A) + (B)"</f>
        <v>Over head charges 0%  on (A) + (B)</v>
      </c>
      <c r="F414" s="1683"/>
      <c r="G414" s="1683"/>
      <c r="H414" s="1688">
        <f>J412+J410+J406+J399</f>
        <v>93756.97</v>
      </c>
      <c r="I414" s="1683"/>
      <c r="J414" s="1701">
        <f>H414*B414</f>
        <v>0</v>
      </c>
    </row>
    <row r="415" spans="1:13">
      <c r="A415" s="1713"/>
      <c r="B415" s="1715" t="s">
        <v>76</v>
      </c>
      <c r="C415" s="1713" t="s">
        <v>89</v>
      </c>
      <c r="F415" s="1683"/>
      <c r="G415" s="1683"/>
      <c r="H415" s="1683"/>
      <c r="I415" s="1683"/>
      <c r="J415" s="1741">
        <f>J399+J406+J410+J414+J412</f>
        <v>93756.97</v>
      </c>
    </row>
    <row r="416" spans="1:13">
      <c r="A416" s="1713"/>
      <c r="B416" s="1715" t="s">
        <v>78</v>
      </c>
      <c r="C416" s="1713" t="s">
        <v>90</v>
      </c>
      <c r="F416" s="1683"/>
      <c r="G416" s="1683"/>
      <c r="H416" s="1683"/>
      <c r="I416" s="1683"/>
      <c r="J416" s="1741">
        <f>J415*10/100</f>
        <v>9375.6970000000001</v>
      </c>
    </row>
    <row r="417" spans="1:13">
      <c r="B417" s="1705"/>
      <c r="C417" s="1683"/>
      <c r="D417" s="1722" t="s">
        <v>98</v>
      </c>
      <c r="H417" s="1701"/>
      <c r="I417" s="1701"/>
      <c r="J417" s="1741">
        <f>SUM(J415:J416)</f>
        <v>103132.667</v>
      </c>
    </row>
    <row r="418" spans="1:13">
      <c r="B418" s="1705"/>
      <c r="C418" s="1683"/>
      <c r="D418" s="1687" t="s">
        <v>81</v>
      </c>
      <c r="H418" s="1701"/>
      <c r="I418" s="1701"/>
      <c r="J418" s="1701">
        <f>ROUND(J417/15,2)</f>
        <v>6875.51</v>
      </c>
    </row>
    <row r="419" spans="1:13">
      <c r="D419" s="1687" t="s">
        <v>52</v>
      </c>
      <c r="H419" s="1701"/>
      <c r="I419" s="1701"/>
      <c r="J419" s="1742">
        <f>ROUND(J418,0)</f>
        <v>6876</v>
      </c>
    </row>
    <row r="420" spans="1:13">
      <c r="D420" s="1687"/>
      <c r="H420" s="1701"/>
      <c r="I420" s="1701"/>
      <c r="J420" s="1741" t="s">
        <v>53</v>
      </c>
    </row>
    <row r="421" spans="1:13" ht="106.5" customHeight="1">
      <c r="A421" s="1710"/>
      <c r="B421" s="2946" t="s">
        <v>153</v>
      </c>
      <c r="C421" s="2946"/>
      <c r="D421" s="2946"/>
      <c r="E421" s="2946"/>
      <c r="F421" s="2946"/>
      <c r="G421" s="2946"/>
      <c r="H421" s="2946"/>
      <c r="I421" s="2946"/>
      <c r="J421" s="2946"/>
    </row>
    <row r="422" spans="1:13">
      <c r="D422" s="1687" t="s">
        <v>10</v>
      </c>
      <c r="F422" s="1713" t="s">
        <v>151</v>
      </c>
      <c r="J422" s="1684"/>
    </row>
    <row r="423" spans="1:13">
      <c r="D423" s="1687" t="s">
        <v>56</v>
      </c>
      <c r="J423" s="1684"/>
    </row>
    <row r="424" spans="1:13">
      <c r="B424" s="1715" t="s">
        <v>36</v>
      </c>
      <c r="C424" s="1722" t="s">
        <v>37</v>
      </c>
      <c r="J424" s="1684"/>
    </row>
    <row r="425" spans="1:13">
      <c r="B425" s="1705">
        <v>0.86</v>
      </c>
      <c r="C425" s="1683" t="s">
        <v>57</v>
      </c>
      <c r="D425" s="1687" t="s">
        <v>14</v>
      </c>
      <c r="H425" s="1701">
        <f>'SSR-rates'!$H$58</f>
        <v>490</v>
      </c>
      <c r="I425" s="1716" t="s">
        <v>38</v>
      </c>
      <c r="J425" s="1705">
        <f>ROUND(B425*H425,2)</f>
        <v>421.4</v>
      </c>
      <c r="K425" s="1687"/>
    </row>
    <row r="426" spans="1:13">
      <c r="B426" s="1705">
        <v>1.5</v>
      </c>
      <c r="C426" s="1683" t="s">
        <v>57</v>
      </c>
      <c r="D426" s="1687" t="s">
        <v>58</v>
      </c>
      <c r="H426" s="1701">
        <f>'SSR-rates'!$H$59</f>
        <v>524</v>
      </c>
      <c r="I426" s="1716" t="s">
        <v>38</v>
      </c>
      <c r="J426" s="1705">
        <f>ROUND(B426*H426,2)</f>
        <v>786</v>
      </c>
    </row>
    <row r="427" spans="1:13">
      <c r="B427" s="1705">
        <v>20</v>
      </c>
      <c r="C427" s="1683" t="s">
        <v>57</v>
      </c>
      <c r="D427" s="1687" t="s">
        <v>59</v>
      </c>
      <c r="H427" s="1701">
        <f>'SSR-rates'!$H$60</f>
        <v>490</v>
      </c>
      <c r="I427" s="1716" t="s">
        <v>38</v>
      </c>
      <c r="J427" s="1705">
        <f>ROUND(B427*H427,2)</f>
        <v>9800</v>
      </c>
    </row>
    <row r="428" spans="1:13">
      <c r="A428" s="1713"/>
      <c r="B428" s="1702">
        <f>'Input Data'!$D$23</f>
        <v>0</v>
      </c>
      <c r="C428" s="1688"/>
      <c r="D428" s="1684" t="s">
        <v>17</v>
      </c>
      <c r="F428" s="1683"/>
      <c r="G428" s="1683"/>
      <c r="H428" s="1701">
        <f>SUM(J425:J427)</f>
        <v>11007.4</v>
      </c>
      <c r="I428" s="1716"/>
      <c r="J428" s="1701">
        <f>B428*H428</f>
        <v>0</v>
      </c>
    </row>
    <row r="429" spans="1:13" ht="15" customHeight="1">
      <c r="B429" s="1705"/>
      <c r="D429" s="1687" t="s">
        <v>60</v>
      </c>
      <c r="H429" s="1701"/>
      <c r="I429" s="1701"/>
      <c r="J429" s="1705">
        <f>SUM(J425:J428)</f>
        <v>11007.4</v>
      </c>
    </row>
    <row r="430" spans="1:13">
      <c r="B430" s="1715" t="s">
        <v>39</v>
      </c>
      <c r="C430" s="1722" t="s">
        <v>61</v>
      </c>
      <c r="H430" s="1701"/>
      <c r="I430" s="1701"/>
      <c r="J430" s="1701"/>
    </row>
    <row r="431" spans="1:13">
      <c r="B431" s="1705">
        <v>0</v>
      </c>
      <c r="C431" s="1683" t="s">
        <v>31</v>
      </c>
      <c r="D431" s="1687" t="s">
        <v>62</v>
      </c>
      <c r="H431" s="1701">
        <f>lead!$J$14</f>
        <v>1732.2187651278443</v>
      </c>
      <c r="I431" s="1701" t="s">
        <v>31</v>
      </c>
      <c r="J431" s="1701">
        <f>ROUND(B431*H431,2)</f>
        <v>0</v>
      </c>
      <c r="K431" s="1684">
        <v>5.16</v>
      </c>
      <c r="L431" s="1684">
        <v>5.4</v>
      </c>
      <c r="M431" s="1684">
        <v>1139.82456140351</v>
      </c>
    </row>
    <row r="432" spans="1:13" ht="15" customHeight="1">
      <c r="B432" s="1705">
        <v>8.1</v>
      </c>
      <c r="C432" s="1683" t="s">
        <v>31</v>
      </c>
      <c r="D432" s="1684" t="s">
        <v>63</v>
      </c>
      <c r="H432" s="1701">
        <f>lead!$J$16</f>
        <v>2031.2187651278443</v>
      </c>
      <c r="I432" s="1701" t="s">
        <v>31</v>
      </c>
      <c r="J432" s="1701">
        <f>ROUND(B432*H432,2)</f>
        <v>16452.87</v>
      </c>
      <c r="L432" s="1684">
        <v>5.4</v>
      </c>
      <c r="M432" s="1684">
        <v>1659.82456140351</v>
      </c>
    </row>
    <row r="433" spans="1:13" ht="15" customHeight="1">
      <c r="B433" s="1705">
        <v>5.4</v>
      </c>
      <c r="C433" s="1683" t="s">
        <v>31</v>
      </c>
      <c r="D433" s="1684" t="s">
        <v>64</v>
      </c>
      <c r="H433" s="1701">
        <f>lead!$J$18</f>
        <v>1780.2187651278443</v>
      </c>
      <c r="I433" s="1701" t="s">
        <v>31</v>
      </c>
      <c r="J433" s="1701">
        <f>ROUND(B433*H433,2)</f>
        <v>9613.18</v>
      </c>
      <c r="L433" s="1684">
        <v>2.7</v>
      </c>
      <c r="M433" s="1684">
        <v>1229.82456140351</v>
      </c>
    </row>
    <row r="434" spans="1:13" ht="15" customHeight="1">
      <c r="B434" s="1705">
        <v>6.75</v>
      </c>
      <c r="C434" s="1683" t="s">
        <v>31</v>
      </c>
      <c r="D434" s="1687" t="s">
        <v>65</v>
      </c>
      <c r="H434" s="1701">
        <f>lead!J12</f>
        <v>1684.4687651278443</v>
      </c>
      <c r="I434" s="1701" t="s">
        <v>31</v>
      </c>
      <c r="J434" s="1701">
        <f>ROUND(B434*H434,2)</f>
        <v>11370.16</v>
      </c>
      <c r="L434" s="1684">
        <v>6.75</v>
      </c>
      <c r="M434" s="1684">
        <v>1207.0087719298201</v>
      </c>
    </row>
    <row r="435" spans="1:13" ht="15" customHeight="1">
      <c r="B435" s="1705">
        <v>5.12</v>
      </c>
      <c r="C435" s="1683" t="s">
        <v>66</v>
      </c>
      <c r="D435" s="1687" t="s">
        <v>67</v>
      </c>
      <c r="H435" s="1701">
        <f>lead!$J$36</f>
        <v>5000</v>
      </c>
      <c r="I435" s="1701" t="s">
        <v>66</v>
      </c>
      <c r="J435" s="1701">
        <f>ROUND(B435*H435,2)</f>
        <v>25600</v>
      </c>
      <c r="L435" s="1684">
        <v>5.16</v>
      </c>
      <c r="M435" s="1684">
        <v>6300</v>
      </c>
    </row>
    <row r="436" spans="1:13">
      <c r="B436" s="1705"/>
      <c r="C436" s="1688"/>
      <c r="D436" s="1687" t="s">
        <v>60</v>
      </c>
      <c r="H436" s="1701"/>
      <c r="I436" s="1701"/>
      <c r="J436" s="1701">
        <f>SUM(J431:J435)</f>
        <v>63036.21</v>
      </c>
    </row>
    <row r="437" spans="1:13">
      <c r="B437" s="1715" t="s">
        <v>94</v>
      </c>
      <c r="C437" s="1722" t="s">
        <v>40</v>
      </c>
      <c r="H437" s="1701"/>
      <c r="I437" s="1701"/>
      <c r="J437" s="1701"/>
    </row>
    <row r="438" spans="1:13">
      <c r="B438" s="1705">
        <v>6</v>
      </c>
      <c r="C438" s="1683" t="s">
        <v>41</v>
      </c>
      <c r="D438" s="1687" t="s">
        <v>68</v>
      </c>
      <c r="H438" s="1701">
        <f>'SSR-rates'!$H$88</f>
        <v>627.6</v>
      </c>
      <c r="I438" s="1701" t="s">
        <v>41</v>
      </c>
      <c r="J438" s="1701">
        <f>ROUND(B438*H438,2)</f>
        <v>3765.6</v>
      </c>
    </row>
    <row r="439" spans="1:13">
      <c r="B439" s="1705">
        <v>6</v>
      </c>
      <c r="C439" s="1683" t="s">
        <v>41</v>
      </c>
      <c r="D439" s="1687" t="s">
        <v>69</v>
      </c>
      <c r="H439" s="1701">
        <f>'SSR-rates'!$H$87</f>
        <v>1237.4000000000001</v>
      </c>
      <c r="I439" s="1701" t="s">
        <v>41</v>
      </c>
      <c r="J439" s="1701">
        <f>ROUND(B439*H439,2)</f>
        <v>7424.4</v>
      </c>
    </row>
    <row r="440" spans="1:13">
      <c r="B440" s="1705"/>
      <c r="C440" s="1688"/>
      <c r="D440" s="1687" t="s">
        <v>60</v>
      </c>
      <c r="H440" s="1701"/>
      <c r="I440" s="1701"/>
      <c r="J440" s="1701">
        <f>SUM(J438:J439)</f>
        <v>11190</v>
      </c>
    </row>
    <row r="441" spans="1:13">
      <c r="A441" s="1713"/>
      <c r="B441" s="1715" t="s">
        <v>45</v>
      </c>
      <c r="C441" s="1713" t="s">
        <v>152</v>
      </c>
      <c r="F441" s="1683"/>
      <c r="G441" s="1683"/>
      <c r="H441" s="1683"/>
      <c r="I441" s="1683"/>
      <c r="J441" s="1741"/>
    </row>
    <row r="442" spans="1:13">
      <c r="A442" s="1713"/>
      <c r="B442" s="1705">
        <v>20</v>
      </c>
      <c r="C442" s="1688" t="s">
        <v>29</v>
      </c>
      <c r="D442" s="1687" t="s">
        <v>146</v>
      </c>
      <c r="F442" s="1683"/>
      <c r="G442" s="1683"/>
      <c r="H442" s="1683"/>
      <c r="I442" s="1683"/>
      <c r="J442" s="1701">
        <f>ROUND((J429+J436+J440)*B442/100,2)</f>
        <v>17046.72</v>
      </c>
    </row>
    <row r="443" spans="1:13">
      <c r="A443" s="1713"/>
      <c r="B443" s="1715" t="s">
        <v>47</v>
      </c>
      <c r="C443" s="1713" t="s">
        <v>74</v>
      </c>
      <c r="F443" s="1683"/>
      <c r="G443" s="1683"/>
      <c r="H443" s="1683"/>
      <c r="I443" s="1683"/>
      <c r="J443" s="1741"/>
    </row>
    <row r="444" spans="1:13">
      <c r="A444" s="1713"/>
      <c r="B444" s="1743">
        <f>'Input Data'!$D$25</f>
        <v>0</v>
      </c>
      <c r="C444" s="1688"/>
      <c r="D444" s="1687" t="str">
        <f>"Over head charges "&amp;'Input Data'!$D$25*100&amp;"%  on (A) + (B)"</f>
        <v>Over head charges 0%  on (A) + (B)</v>
      </c>
      <c r="F444" s="1683"/>
      <c r="G444" s="1683"/>
      <c r="H444" s="1688">
        <f>J442+J440+J436+J429</f>
        <v>102280.32999999999</v>
      </c>
      <c r="I444" s="1683"/>
      <c r="J444" s="1701">
        <f>H444*B444</f>
        <v>0</v>
      </c>
    </row>
    <row r="445" spans="1:13">
      <c r="A445" s="1713"/>
      <c r="B445" s="1715" t="s">
        <v>76</v>
      </c>
      <c r="C445" s="1713" t="s">
        <v>89</v>
      </c>
      <c r="F445" s="1683"/>
      <c r="G445" s="1683"/>
      <c r="H445" s="1683"/>
      <c r="I445" s="1683"/>
      <c r="J445" s="1741">
        <f>J429+J436+J440+J444+J442</f>
        <v>102280.33</v>
      </c>
    </row>
    <row r="446" spans="1:13">
      <c r="A446" s="1713"/>
      <c r="B446" s="1715" t="s">
        <v>78</v>
      </c>
      <c r="C446" s="1713" t="s">
        <v>90</v>
      </c>
      <c r="F446" s="1683"/>
      <c r="G446" s="1683"/>
      <c r="H446" s="1683"/>
      <c r="I446" s="1683"/>
      <c r="J446" s="1741">
        <f>J445*10/100</f>
        <v>10228.033000000001</v>
      </c>
    </row>
    <row r="447" spans="1:13">
      <c r="B447" s="1705"/>
      <c r="C447" s="1683"/>
      <c r="D447" s="1722" t="s">
        <v>98</v>
      </c>
      <c r="H447" s="1701"/>
      <c r="I447" s="1701"/>
      <c r="J447" s="1741">
        <f>SUM(J445:J446)</f>
        <v>112508.363</v>
      </c>
    </row>
    <row r="448" spans="1:13">
      <c r="B448" s="1705"/>
      <c r="C448" s="1683"/>
      <c r="D448" s="1687" t="s">
        <v>81</v>
      </c>
      <c r="H448" s="1701"/>
      <c r="I448" s="1701"/>
      <c r="J448" s="1701">
        <f>ROUND(J447/15,2)</f>
        <v>7500.56</v>
      </c>
    </row>
    <row r="449" spans="1:10">
      <c r="D449" s="1687" t="s">
        <v>52</v>
      </c>
      <c r="H449" s="1701"/>
      <c r="I449" s="1701"/>
      <c r="J449" s="1742">
        <f>ROUND(J448,0)</f>
        <v>7501</v>
      </c>
    </row>
    <row r="450" spans="1:10">
      <c r="D450" s="1687"/>
      <c r="H450" s="1701"/>
      <c r="I450" s="1701"/>
      <c r="J450" s="1741" t="s">
        <v>53</v>
      </c>
    </row>
    <row r="451" spans="1:10" ht="125.25" customHeight="1">
      <c r="A451" s="1759"/>
      <c r="B451" s="2946" t="s">
        <v>154</v>
      </c>
      <c r="C451" s="2946"/>
      <c r="D451" s="2946"/>
      <c r="E451" s="2946"/>
      <c r="F451" s="2946"/>
      <c r="G451" s="2946"/>
      <c r="H451" s="2946"/>
      <c r="I451" s="2946"/>
      <c r="J451" s="2946"/>
    </row>
    <row r="452" spans="1:10">
      <c r="D452" s="1687" t="s">
        <v>10</v>
      </c>
      <c r="F452" s="1713" t="s">
        <v>155</v>
      </c>
      <c r="J452" s="1684"/>
    </row>
    <row r="453" spans="1:10">
      <c r="D453" s="1687" t="s">
        <v>56</v>
      </c>
      <c r="J453" s="1684"/>
    </row>
    <row r="454" spans="1:10">
      <c r="B454" s="1715" t="s">
        <v>36</v>
      </c>
      <c r="C454" s="1722" t="s">
        <v>37</v>
      </c>
      <c r="J454" s="1684"/>
    </row>
    <row r="455" spans="1:10">
      <c r="B455" s="1705">
        <v>0.86</v>
      </c>
      <c r="C455" s="1683" t="s">
        <v>57</v>
      </c>
      <c r="D455" s="1687" t="s">
        <v>156</v>
      </c>
      <c r="H455" s="1701">
        <f>'SSR-rates'!H$58</f>
        <v>490</v>
      </c>
      <c r="I455" s="1716" t="s">
        <v>38</v>
      </c>
      <c r="J455" s="1705">
        <f>ROUND(B455*H455,2)</f>
        <v>421.4</v>
      </c>
    </row>
    <row r="456" spans="1:10">
      <c r="B456" s="1705">
        <v>1.5</v>
      </c>
      <c r="C456" s="1683" t="s">
        <v>57</v>
      </c>
      <c r="D456" s="1687" t="s">
        <v>58</v>
      </c>
      <c r="H456" s="1701">
        <f>'SSR-rates'!H$59</f>
        <v>524</v>
      </c>
      <c r="I456" s="1716" t="s">
        <v>38</v>
      </c>
      <c r="J456" s="1705">
        <f>ROUND(B456*H456,2)</f>
        <v>786</v>
      </c>
    </row>
    <row r="457" spans="1:10">
      <c r="B457" s="1705">
        <v>20</v>
      </c>
      <c r="C457" s="1683" t="s">
        <v>57</v>
      </c>
      <c r="D457" s="1687" t="s">
        <v>59</v>
      </c>
      <c r="H457" s="1701">
        <f>'SSR-rates'!H$60</f>
        <v>490</v>
      </c>
      <c r="I457" s="1716" t="s">
        <v>38</v>
      </c>
      <c r="J457" s="1705">
        <f>ROUND(B457*H457,2)</f>
        <v>9800</v>
      </c>
    </row>
    <row r="458" spans="1:10">
      <c r="A458" s="1713"/>
      <c r="B458" s="1702">
        <f>'Input Data'!$D$23</f>
        <v>0</v>
      </c>
      <c r="C458" s="1688"/>
      <c r="D458" s="1684" t="s">
        <v>17</v>
      </c>
      <c r="F458" s="1683"/>
      <c r="G458" s="1683"/>
      <c r="H458" s="1701">
        <f>SUM(J456:J457)</f>
        <v>10586</v>
      </c>
      <c r="I458" s="1716"/>
      <c r="J458" s="1701">
        <f>B458*H458</f>
        <v>0</v>
      </c>
    </row>
    <row r="459" spans="1:10">
      <c r="B459" s="1705"/>
      <c r="C459" s="1683"/>
      <c r="D459" s="1687" t="s">
        <v>60</v>
      </c>
      <c r="H459" s="1701"/>
      <c r="I459" s="1701"/>
      <c r="J459" s="1705">
        <f>SUM(J455:J458)</f>
        <v>11007.4</v>
      </c>
    </row>
    <row r="460" spans="1:10">
      <c r="B460" s="1715" t="s">
        <v>39</v>
      </c>
      <c r="C460" s="1722" t="s">
        <v>61</v>
      </c>
      <c r="H460" s="1701"/>
      <c r="I460" s="1701"/>
      <c r="J460" s="1701"/>
    </row>
    <row r="461" spans="1:10">
      <c r="B461" s="1705">
        <v>8.1</v>
      </c>
      <c r="C461" s="1683" t="s">
        <v>31</v>
      </c>
      <c r="D461" s="1684" t="s">
        <v>63</v>
      </c>
      <c r="H461" s="1701">
        <f>lead!$J$16</f>
        <v>2031.2187651278443</v>
      </c>
      <c r="I461" s="1701" t="s">
        <v>31</v>
      </c>
      <c r="J461" s="1701">
        <f>ROUND(B461*H461,2)</f>
        <v>16452.87</v>
      </c>
    </row>
    <row r="462" spans="1:10">
      <c r="B462" s="1705">
        <v>5.4</v>
      </c>
      <c r="C462" s="1683" t="s">
        <v>31</v>
      </c>
      <c r="D462" s="1684" t="s">
        <v>64</v>
      </c>
      <c r="H462" s="1701">
        <f>lead!$J$18</f>
        <v>1780.2187651278443</v>
      </c>
      <c r="I462" s="1701" t="s">
        <v>31</v>
      </c>
      <c r="J462" s="1701">
        <f>ROUND(B462*H462,2)</f>
        <v>9613.18</v>
      </c>
    </row>
    <row r="463" spans="1:10">
      <c r="B463" s="1705">
        <v>6.75</v>
      </c>
      <c r="C463" s="1683" t="s">
        <v>31</v>
      </c>
      <c r="D463" s="1687" t="s">
        <v>65</v>
      </c>
      <c r="H463" s="1701">
        <f>lead!J12</f>
        <v>1684.4687651278443</v>
      </c>
      <c r="I463" s="1701" t="s">
        <v>31</v>
      </c>
      <c r="J463" s="1701">
        <f>ROUND(B463*H463,2)</f>
        <v>11370.16</v>
      </c>
    </row>
    <row r="464" spans="1:10">
      <c r="B464" s="1766">
        <v>6.05</v>
      </c>
      <c r="C464" s="1683" t="s">
        <v>66</v>
      </c>
      <c r="D464" s="1687" t="s">
        <v>67</v>
      </c>
      <c r="H464" s="1701">
        <f>lead!$J$36</f>
        <v>5000</v>
      </c>
      <c r="I464" s="1701" t="s">
        <v>66</v>
      </c>
      <c r="J464" s="1701">
        <f>ROUND(B464*H464,2)</f>
        <v>30250</v>
      </c>
    </row>
    <row r="465" spans="1:10">
      <c r="B465" s="1687"/>
      <c r="D465" s="1687" t="s">
        <v>60</v>
      </c>
      <c r="H465" s="1701"/>
      <c r="I465" s="1701"/>
      <c r="J465" s="1701">
        <f>SUM(J461:J464)</f>
        <v>67686.209999999992</v>
      </c>
    </row>
    <row r="466" spans="1:10">
      <c r="B466" s="1715" t="s">
        <v>27</v>
      </c>
      <c r="C466" s="1722" t="s">
        <v>40</v>
      </c>
      <c r="H466" s="1701"/>
      <c r="I466" s="1701"/>
      <c r="J466" s="1701"/>
    </row>
    <row r="467" spans="1:10">
      <c r="B467" s="1705">
        <v>6</v>
      </c>
      <c r="C467" s="1683" t="s">
        <v>41</v>
      </c>
      <c r="D467" s="1687" t="s">
        <v>68</v>
      </c>
      <c r="H467" s="1701">
        <f>'SSR-rates'!$H$88</f>
        <v>627.6</v>
      </c>
      <c r="I467" s="1701" t="s">
        <v>41</v>
      </c>
      <c r="J467" s="1701">
        <f>ROUND(B467*H467,2)</f>
        <v>3765.6</v>
      </c>
    </row>
    <row r="468" spans="1:10">
      <c r="B468" s="1705">
        <v>6</v>
      </c>
      <c r="C468" s="1683" t="s">
        <v>41</v>
      </c>
      <c r="D468" s="1687" t="s">
        <v>69</v>
      </c>
      <c r="H468" s="1701">
        <f>'SSR-rates'!$H$87</f>
        <v>1237.4000000000001</v>
      </c>
      <c r="I468" s="1701" t="s">
        <v>41</v>
      </c>
      <c r="J468" s="1701">
        <f>ROUND(B468*H468,2)</f>
        <v>7424.4</v>
      </c>
    </row>
    <row r="469" spans="1:10">
      <c r="B469" s="1705"/>
      <c r="C469" s="1688"/>
      <c r="D469" s="1687" t="s">
        <v>60</v>
      </c>
      <c r="H469" s="1701"/>
      <c r="I469" s="1701"/>
      <c r="J469" s="1701">
        <f>SUM(J467:J468)</f>
        <v>11190</v>
      </c>
    </row>
    <row r="470" spans="1:10">
      <c r="B470" s="1715" t="s">
        <v>45</v>
      </c>
      <c r="C470" s="1722" t="s">
        <v>71</v>
      </c>
      <c r="H470" s="1701"/>
      <c r="I470" s="1701"/>
      <c r="J470" s="1701"/>
    </row>
    <row r="471" spans="1:10">
      <c r="B471" s="1687">
        <v>3.75</v>
      </c>
      <c r="C471" s="1683" t="s">
        <v>29</v>
      </c>
      <c r="D471" s="1684" t="s">
        <v>157</v>
      </c>
      <c r="H471" s="1701">
        <f>J459+J465+J469</f>
        <v>89883.609999999986</v>
      </c>
      <c r="I471" s="1716" t="s">
        <v>73</v>
      </c>
      <c r="J471" s="1701">
        <f>ROUND(B471*H471/100,2)</f>
        <v>3370.64</v>
      </c>
    </row>
    <row r="472" spans="1:10">
      <c r="A472" s="1713"/>
      <c r="B472" s="1715" t="s">
        <v>47</v>
      </c>
      <c r="C472" s="1713" t="s">
        <v>74</v>
      </c>
      <c r="F472" s="1683"/>
      <c r="G472" s="1683"/>
      <c r="H472" s="1683"/>
      <c r="I472" s="1683"/>
      <c r="J472" s="1741"/>
    </row>
    <row r="473" spans="1:10">
      <c r="A473" s="1713"/>
      <c r="B473" s="1706">
        <f>'Input Data'!$D$25</f>
        <v>0</v>
      </c>
      <c r="C473" s="2955" t="str">
        <f>"Over head charges "&amp;'Input Data'!$D$25*100&amp;"%  on (A) + (B)+(C)+(D)"</f>
        <v>Over head charges 0%  on (A) + (B)+(C)+(D)</v>
      </c>
      <c r="D473" s="2956"/>
      <c r="E473" s="2956"/>
      <c r="F473" s="2956"/>
      <c r="G473" s="2957"/>
      <c r="H473" s="1688">
        <f>J471+J469+J465+J459</f>
        <v>93254.249999999985</v>
      </c>
      <c r="I473" s="1683"/>
      <c r="J473" s="1701">
        <f>H473*B473</f>
        <v>0</v>
      </c>
    </row>
    <row r="474" spans="1:10">
      <c r="A474" s="1713"/>
      <c r="B474" s="1715" t="s">
        <v>76</v>
      </c>
      <c r="C474" s="1713" t="s">
        <v>77</v>
      </c>
      <c r="F474" s="1683"/>
      <c r="G474" s="1683"/>
      <c r="H474" s="1683"/>
      <c r="I474" s="1683"/>
      <c r="J474" s="1741">
        <f>J459+J465+J469+J471+J473</f>
        <v>93254.249999999985</v>
      </c>
    </row>
    <row r="475" spans="1:10">
      <c r="A475" s="1713"/>
      <c r="B475" s="1715" t="s">
        <v>78</v>
      </c>
      <c r="C475" s="1713" t="s">
        <v>79</v>
      </c>
      <c r="F475" s="1683"/>
      <c r="G475" s="1683"/>
      <c r="H475" s="1683"/>
      <c r="I475" s="1683"/>
      <c r="J475" s="1741">
        <f>J474*10/100</f>
        <v>9325.4249999999993</v>
      </c>
    </row>
    <row r="476" spans="1:10">
      <c r="B476" s="1705"/>
      <c r="C476" s="1683"/>
      <c r="D476" s="1722" t="s">
        <v>158</v>
      </c>
      <c r="H476" s="1701"/>
      <c r="I476" s="1701"/>
      <c r="J476" s="1741">
        <f>SUM(J474:J475)</f>
        <v>102579.67499999999</v>
      </c>
    </row>
    <row r="477" spans="1:10">
      <c r="B477" s="1705"/>
      <c r="C477" s="1683"/>
      <c r="D477" s="1687" t="s">
        <v>81</v>
      </c>
      <c r="H477" s="1701"/>
      <c r="I477" s="1701"/>
      <c r="J477" s="1701">
        <f>ROUND(J476/15,2)</f>
        <v>6838.65</v>
      </c>
    </row>
    <row r="478" spans="1:10">
      <c r="D478" s="1687" t="s">
        <v>52</v>
      </c>
      <c r="H478" s="1701"/>
      <c r="I478" s="1701"/>
      <c r="J478" s="1742">
        <f>ROUND(J477,0)</f>
        <v>6839</v>
      </c>
    </row>
    <row r="479" spans="1:10">
      <c r="D479" s="1687"/>
      <c r="H479" s="1701"/>
      <c r="I479" s="1701"/>
      <c r="J479" s="1741" t="s">
        <v>53</v>
      </c>
    </row>
    <row r="480" spans="1:10" ht="125.25" customHeight="1">
      <c r="A480" s="1759"/>
      <c r="B480" s="2946" t="s">
        <v>159</v>
      </c>
      <c r="C480" s="2946"/>
      <c r="D480" s="2946"/>
      <c r="E480" s="2946"/>
      <c r="F480" s="2946"/>
      <c r="G480" s="2946"/>
      <c r="H480" s="2946"/>
      <c r="I480" s="2946"/>
      <c r="J480" s="2946"/>
    </row>
    <row r="481" spans="1:10">
      <c r="D481" s="1687" t="s">
        <v>10</v>
      </c>
      <c r="F481" s="1713" t="s">
        <v>160</v>
      </c>
      <c r="J481" s="1684"/>
    </row>
    <row r="482" spans="1:10">
      <c r="D482" s="1687" t="s">
        <v>56</v>
      </c>
      <c r="J482" s="1684"/>
    </row>
    <row r="483" spans="1:10">
      <c r="B483" s="1715" t="s">
        <v>36</v>
      </c>
      <c r="C483" s="1722" t="s">
        <v>37</v>
      </c>
      <c r="J483" s="1684"/>
    </row>
    <row r="484" spans="1:10">
      <c r="B484" s="1705">
        <v>0.9</v>
      </c>
      <c r="C484" s="1683" t="s">
        <v>57</v>
      </c>
      <c r="D484" s="1687" t="s">
        <v>156</v>
      </c>
      <c r="H484" s="1701">
        <f>'SSR-rates'!H$58</f>
        <v>490</v>
      </c>
      <c r="I484" s="1716" t="s">
        <v>38</v>
      </c>
      <c r="J484" s="1705">
        <f>ROUND(B484*H484,2)</f>
        <v>441</v>
      </c>
    </row>
    <row r="485" spans="1:10">
      <c r="B485" s="1705">
        <v>1.5</v>
      </c>
      <c r="C485" s="1683" t="s">
        <v>57</v>
      </c>
      <c r="D485" s="1687" t="s">
        <v>58</v>
      </c>
      <c r="H485" s="1701">
        <f>'SSR-rates'!H$59</f>
        <v>524</v>
      </c>
      <c r="I485" s="1716" t="s">
        <v>38</v>
      </c>
      <c r="J485" s="1705">
        <f>ROUND(B485*H485,2)</f>
        <v>786</v>
      </c>
    </row>
    <row r="486" spans="1:10">
      <c r="B486" s="1705">
        <v>21</v>
      </c>
      <c r="C486" s="1683" t="s">
        <v>57</v>
      </c>
      <c r="D486" s="1687" t="s">
        <v>59</v>
      </c>
      <c r="H486" s="1701">
        <f>'SSR-rates'!H$60</f>
        <v>490</v>
      </c>
      <c r="I486" s="1716" t="s">
        <v>38</v>
      </c>
      <c r="J486" s="1705">
        <f>ROUND(B486*H486,2)</f>
        <v>10290</v>
      </c>
    </row>
    <row r="487" spans="1:10">
      <c r="B487" s="1705"/>
      <c r="C487" s="1683"/>
      <c r="D487" s="1687"/>
      <c r="H487" s="1701"/>
      <c r="I487" s="1716"/>
      <c r="J487" s="1705"/>
    </row>
    <row r="488" spans="1:10">
      <c r="A488" s="1713"/>
      <c r="B488" s="1702">
        <f>'Input Data'!$D$23</f>
        <v>0</v>
      </c>
      <c r="C488" s="1688"/>
      <c r="D488" s="1684" t="s">
        <v>17</v>
      </c>
      <c r="F488" s="1683"/>
      <c r="G488" s="1683"/>
      <c r="H488" s="1701">
        <f>SUM(J485:J486)</f>
        <v>11076</v>
      </c>
      <c r="I488" s="1716"/>
      <c r="J488" s="1701">
        <f>B488*H488</f>
        <v>0</v>
      </c>
    </row>
    <row r="489" spans="1:10">
      <c r="B489" s="1705"/>
      <c r="C489" s="1683"/>
      <c r="D489" s="1687" t="s">
        <v>60</v>
      </c>
      <c r="H489" s="1701"/>
      <c r="I489" s="1701"/>
      <c r="J489" s="1705">
        <f>SUM(J484:J488)</f>
        <v>11517</v>
      </c>
    </row>
    <row r="490" spans="1:10">
      <c r="B490" s="1715" t="s">
        <v>39</v>
      </c>
      <c r="C490" s="1722" t="s">
        <v>61</v>
      </c>
      <c r="H490" s="1701"/>
      <c r="I490" s="1701"/>
      <c r="J490" s="1701"/>
    </row>
    <row r="491" spans="1:10">
      <c r="B491" s="1705">
        <v>8.1</v>
      </c>
      <c r="C491" s="1683" t="s">
        <v>31</v>
      </c>
      <c r="D491" s="1684" t="s">
        <v>63</v>
      </c>
      <c r="H491" s="1701">
        <f>lead!$J$16</f>
        <v>2031.2187651278443</v>
      </c>
      <c r="I491" s="1701" t="s">
        <v>31</v>
      </c>
      <c r="J491" s="1701">
        <f>ROUND(B491*H491,2)</f>
        <v>16452.87</v>
      </c>
    </row>
    <row r="492" spans="1:10">
      <c r="B492" s="1705">
        <v>5.4</v>
      </c>
      <c r="C492" s="1683" t="s">
        <v>31</v>
      </c>
      <c r="D492" s="1684" t="s">
        <v>64</v>
      </c>
      <c r="H492" s="1701">
        <f>lead!$J$18</f>
        <v>1780.2187651278443</v>
      </c>
      <c r="I492" s="1701" t="s">
        <v>31</v>
      </c>
      <c r="J492" s="1701">
        <f>ROUND(B492*H492,2)</f>
        <v>9613.18</v>
      </c>
    </row>
    <row r="493" spans="1:10">
      <c r="B493" s="1705">
        <v>6.75</v>
      </c>
      <c r="C493" s="1683" t="s">
        <v>31</v>
      </c>
      <c r="D493" s="1687" t="s">
        <v>65</v>
      </c>
      <c r="H493" s="1701">
        <f>lead!J12</f>
        <v>1684.4687651278443</v>
      </c>
      <c r="I493" s="1701" t="s">
        <v>31</v>
      </c>
      <c r="J493" s="1701">
        <f>ROUND(B493*H493,2)</f>
        <v>11370.16</v>
      </c>
    </row>
    <row r="494" spans="1:10">
      <c r="B494" s="1766">
        <v>6.1</v>
      </c>
      <c r="C494" s="1683" t="s">
        <v>66</v>
      </c>
      <c r="D494" s="1687" t="s">
        <v>67</v>
      </c>
      <c r="H494" s="1701">
        <f>lead!$J$36</f>
        <v>5000</v>
      </c>
      <c r="I494" s="1701" t="s">
        <v>66</v>
      </c>
      <c r="J494" s="1701">
        <f>ROUND(B494*H494,2)</f>
        <v>30500</v>
      </c>
    </row>
    <row r="495" spans="1:10">
      <c r="B495" s="1687"/>
      <c r="D495" s="1687" t="s">
        <v>60</v>
      </c>
      <c r="H495" s="1701"/>
      <c r="I495" s="1701"/>
      <c r="J495" s="1701">
        <f>SUM(J491:J494)</f>
        <v>67936.209999999992</v>
      </c>
    </row>
    <row r="496" spans="1:10">
      <c r="B496" s="1715" t="s">
        <v>27</v>
      </c>
      <c r="C496" s="1722" t="s">
        <v>40</v>
      </c>
      <c r="H496" s="1701"/>
      <c r="I496" s="1701"/>
      <c r="J496" s="1701"/>
    </row>
    <row r="497" spans="1:10">
      <c r="B497" s="1705">
        <v>6</v>
      </c>
      <c r="C497" s="1683" t="s">
        <v>41</v>
      </c>
      <c r="D497" s="1687" t="s">
        <v>68</v>
      </c>
      <c r="H497" s="1701">
        <f>'SSR-rates'!$H$88</f>
        <v>627.6</v>
      </c>
      <c r="I497" s="1701" t="s">
        <v>41</v>
      </c>
      <c r="J497" s="1701">
        <f>ROUND(B497*H497,2)</f>
        <v>3765.6</v>
      </c>
    </row>
    <row r="498" spans="1:10">
      <c r="B498" s="1705">
        <v>6</v>
      </c>
      <c r="C498" s="1683" t="s">
        <v>41</v>
      </c>
      <c r="D498" s="1687" t="s">
        <v>69</v>
      </c>
      <c r="H498" s="1701">
        <f>'SSR-rates'!$H$87</f>
        <v>1237.4000000000001</v>
      </c>
      <c r="I498" s="1701" t="s">
        <v>41</v>
      </c>
      <c r="J498" s="1701">
        <f>ROUND(B498*H498,2)</f>
        <v>7424.4</v>
      </c>
    </row>
    <row r="499" spans="1:10">
      <c r="B499" s="1705"/>
      <c r="C499" s="1688"/>
      <c r="D499" s="1687" t="s">
        <v>60</v>
      </c>
      <c r="H499" s="1701"/>
      <c r="I499" s="1701"/>
      <c r="J499" s="1701">
        <f>SUM(J497:J498)</f>
        <v>11190</v>
      </c>
    </row>
    <row r="500" spans="1:10">
      <c r="B500" s="1715" t="s">
        <v>45</v>
      </c>
      <c r="C500" s="1722" t="s">
        <v>71</v>
      </c>
      <c r="H500" s="1701"/>
      <c r="I500" s="1701"/>
      <c r="J500" s="1701"/>
    </row>
    <row r="501" spans="1:10">
      <c r="B501" s="1687"/>
      <c r="C501" s="1683" t="s">
        <v>29</v>
      </c>
      <c r="D501" s="1684" t="s">
        <v>161</v>
      </c>
      <c r="H501" s="1701">
        <f>J489+J495+J499</f>
        <v>90643.209999999992</v>
      </c>
      <c r="I501" s="1716" t="s">
        <v>73</v>
      </c>
      <c r="J501" s="1701">
        <f>ROUND(B501*H501/100,2)</f>
        <v>0</v>
      </c>
    </row>
    <row r="502" spans="1:10">
      <c r="A502" s="1713"/>
      <c r="B502" s="1715" t="s">
        <v>47</v>
      </c>
      <c r="C502" s="1713" t="s">
        <v>74</v>
      </c>
      <c r="F502" s="1683"/>
      <c r="G502" s="1683"/>
      <c r="H502" s="1683"/>
      <c r="I502" s="1683"/>
      <c r="J502" s="1741"/>
    </row>
    <row r="503" spans="1:10">
      <c r="A503" s="1713"/>
      <c r="B503" s="1706"/>
      <c r="C503" s="2955" t="str">
        <f>"Over head charges "&amp;'Input Data'!$D$25*100&amp;"%  on (A) + (B)+(C)+(D)"</f>
        <v>Over head charges 0%  on (A) + (B)+(C)+(D)</v>
      </c>
      <c r="D503" s="2956"/>
      <c r="E503" s="2956"/>
      <c r="F503" s="2956"/>
      <c r="G503" s="2957"/>
      <c r="H503" s="1688">
        <f>J501+J499+J495+J489</f>
        <v>90643.209999999992</v>
      </c>
      <c r="I503" s="1683"/>
      <c r="J503" s="1701">
        <f>H503*B503</f>
        <v>0</v>
      </c>
    </row>
    <row r="504" spans="1:10">
      <c r="A504" s="1713"/>
      <c r="B504" s="1715" t="s">
        <v>76</v>
      </c>
      <c r="C504" s="1713" t="s">
        <v>77</v>
      </c>
      <c r="F504" s="1683"/>
      <c r="G504" s="1683"/>
      <c r="H504" s="1683"/>
      <c r="I504" s="1683"/>
      <c r="J504" s="1741">
        <f>J489+J495+J499+J501+J503</f>
        <v>90643.209999999992</v>
      </c>
    </row>
    <row r="505" spans="1:10">
      <c r="A505" s="1713"/>
      <c r="B505" s="1715" t="s">
        <v>78</v>
      </c>
      <c r="C505" s="1713" t="s">
        <v>79</v>
      </c>
      <c r="F505" s="1683"/>
      <c r="G505" s="1683"/>
      <c r="H505" s="1683"/>
      <c r="I505" s="1683"/>
      <c r="J505" s="1741">
        <f>J504*10/100</f>
        <v>9064.3209999999981</v>
      </c>
    </row>
    <row r="506" spans="1:10">
      <c r="B506" s="1705"/>
      <c r="C506" s="1683"/>
      <c r="D506" s="1722" t="s">
        <v>158</v>
      </c>
      <c r="H506" s="1701"/>
      <c r="I506" s="1701"/>
      <c r="J506" s="1770">
        <f>SUM(J504:J505)</f>
        <v>99707.530999999988</v>
      </c>
    </row>
    <row r="507" spans="1:10">
      <c r="B507" s="1705"/>
      <c r="C507" s="1683"/>
      <c r="D507" s="1687" t="s">
        <v>81</v>
      </c>
      <c r="H507" s="1701"/>
      <c r="I507" s="1701"/>
      <c r="J507" s="1701">
        <f>ROUND(J506/15,2)</f>
        <v>6647.17</v>
      </c>
    </row>
    <row r="508" spans="1:10">
      <c r="D508" s="1687" t="s">
        <v>52</v>
      </c>
      <c r="H508" s="1701"/>
      <c r="I508" s="1701"/>
      <c r="J508" s="1742">
        <f>ROUND(J507,0)</f>
        <v>6647</v>
      </c>
    </row>
    <row r="509" spans="1:10">
      <c r="D509" s="1687"/>
      <c r="H509" s="1701"/>
      <c r="I509" s="1701"/>
      <c r="J509" s="1741" t="s">
        <v>53</v>
      </c>
    </row>
    <row r="510" spans="1:10">
      <c r="B510" s="1767"/>
      <c r="C510" s="1768" t="s">
        <v>162</v>
      </c>
      <c r="D510" s="1769"/>
      <c r="E510" s="1768"/>
      <c r="F510" s="1768"/>
      <c r="G510" s="1768"/>
      <c r="H510" s="1740"/>
      <c r="I510" s="1740"/>
      <c r="J510" s="1771"/>
    </row>
    <row r="511" spans="1:10">
      <c r="B511" s="1767"/>
      <c r="C511" s="1768" t="s">
        <v>115</v>
      </c>
      <c r="D511" s="1769"/>
      <c r="E511" s="1768"/>
      <c r="F511" s="1768"/>
      <c r="G511" s="1768"/>
      <c r="H511" s="1740"/>
      <c r="I511" s="1740"/>
      <c r="J511" s="1771"/>
    </row>
    <row r="512" spans="1:10">
      <c r="B512" s="1715" t="s">
        <v>39</v>
      </c>
      <c r="C512" s="1722" t="s">
        <v>61</v>
      </c>
      <c r="H512" s="1701"/>
      <c r="I512" s="1701"/>
      <c r="J512" s="1701"/>
    </row>
    <row r="513" spans="1:10">
      <c r="B513" s="1705">
        <v>1</v>
      </c>
      <c r="C513" s="1683" t="s">
        <v>31</v>
      </c>
      <c r="D513" s="1684" t="s">
        <v>163</v>
      </c>
      <c r="H513" s="1701">
        <f>J508</f>
        <v>6647</v>
      </c>
      <c r="I513" s="1701" t="s">
        <v>31</v>
      </c>
      <c r="J513" s="1701">
        <f>ROUND(B513*H513,2)</f>
        <v>6647</v>
      </c>
    </row>
    <row r="514" spans="1:10">
      <c r="B514" s="1705">
        <v>7.4999999999999997E-2</v>
      </c>
      <c r="C514" s="1683" t="s">
        <v>31</v>
      </c>
      <c r="D514" s="1688" t="s">
        <v>164</v>
      </c>
      <c r="H514" s="1701">
        <f>lead!J37</f>
        <v>49000</v>
      </c>
      <c r="I514" s="1701" t="s">
        <v>31</v>
      </c>
      <c r="J514" s="1701"/>
    </row>
    <row r="515" spans="1:10">
      <c r="B515" s="1705"/>
      <c r="C515" s="1683"/>
      <c r="D515" s="1688"/>
      <c r="H515" s="1701"/>
      <c r="I515" s="1701"/>
      <c r="J515" s="1701">
        <f>SUM(J513:J514)</f>
        <v>6647</v>
      </c>
    </row>
    <row r="516" spans="1:10">
      <c r="B516" s="1715" t="s">
        <v>39</v>
      </c>
      <c r="C516" s="1722" t="s">
        <v>37</v>
      </c>
      <c r="D516" s="1688"/>
      <c r="H516" s="1701"/>
      <c r="I516" s="1701"/>
      <c r="J516" s="1701"/>
    </row>
    <row r="517" spans="1:10">
      <c r="B517" s="1705">
        <v>0.15</v>
      </c>
      <c r="C517" s="1683" t="s">
        <v>38</v>
      </c>
      <c r="D517" s="1687" t="s">
        <v>165</v>
      </c>
      <c r="H517" s="1701">
        <f>H486</f>
        <v>490</v>
      </c>
      <c r="I517" s="1701" t="s">
        <v>31</v>
      </c>
      <c r="J517" s="1701">
        <f>ROUND(B517*H517,2)</f>
        <v>73.5</v>
      </c>
    </row>
    <row r="518" spans="1:10">
      <c r="B518" s="1767"/>
      <c r="C518" s="1768"/>
      <c r="D518" s="1769"/>
      <c r="E518" s="1768"/>
      <c r="F518" s="1768"/>
      <c r="G518" s="1768"/>
      <c r="H518" s="1740"/>
      <c r="I518" s="1740"/>
      <c r="J518" s="1771"/>
    </row>
    <row r="519" spans="1:10">
      <c r="A519" s="1713"/>
      <c r="B519" s="1715" t="s">
        <v>47</v>
      </c>
      <c r="C519" s="1713" t="s">
        <v>74</v>
      </c>
      <c r="F519" s="1683"/>
      <c r="G519" s="1683"/>
      <c r="H519" s="1683"/>
      <c r="I519" s="1683"/>
      <c r="J519" s="1741"/>
    </row>
    <row r="520" spans="1:10">
      <c r="A520" s="1713"/>
      <c r="B520" s="1706">
        <v>0.05</v>
      </c>
      <c r="C520" s="2955" t="str">
        <f>"Over head charges "&amp;'Input Data'!$D$25*100&amp;"%  on (A) + (B)+(C)+(D)"</f>
        <v>Over head charges 0%  on (A) + (B)+(C)+(D)</v>
      </c>
      <c r="D520" s="2956"/>
      <c r="E520" s="2956"/>
      <c r="F520" s="2956"/>
      <c r="G520" s="2957"/>
      <c r="H520" s="1688">
        <f>J515+J517</f>
        <v>6720.5</v>
      </c>
      <c r="I520" s="1683"/>
      <c r="J520" s="1701">
        <f>H520*B520</f>
        <v>336.02500000000003</v>
      </c>
    </row>
    <row r="521" spans="1:10">
      <c r="B521" s="1767"/>
      <c r="C521" s="1768"/>
      <c r="D521" s="1769"/>
      <c r="E521" s="1768"/>
      <c r="F521" s="1768"/>
      <c r="G521" s="1768"/>
      <c r="H521" s="1740"/>
      <c r="I521" s="1740"/>
      <c r="J521" s="1771">
        <f>J515+J517+J520</f>
        <v>7056.5249999999996</v>
      </c>
    </row>
    <row r="522" spans="1:10">
      <c r="B522" s="1767"/>
      <c r="C522" s="1768"/>
      <c r="D522" s="1769"/>
      <c r="E522" s="1768"/>
      <c r="F522" s="1768"/>
      <c r="G522" s="1768"/>
      <c r="H522" s="1740"/>
      <c r="I522" s="1740"/>
      <c r="J522" s="1771"/>
    </row>
    <row r="523" spans="1:10">
      <c r="B523" s="1767"/>
      <c r="C523" s="1768"/>
      <c r="D523" s="1769"/>
      <c r="E523" s="1768"/>
      <c r="F523" s="1768"/>
      <c r="G523" s="1768"/>
      <c r="H523" s="1740"/>
      <c r="I523" s="1740"/>
      <c r="J523" s="1771"/>
    </row>
    <row r="524" spans="1:10">
      <c r="B524" s="1767"/>
      <c r="C524" s="1768"/>
      <c r="D524" s="1769"/>
      <c r="E524" s="1768"/>
      <c r="F524" s="1768"/>
      <c r="G524" s="1768"/>
      <c r="H524" s="1740"/>
      <c r="I524" s="1740"/>
      <c r="J524" s="1771"/>
    </row>
    <row r="525" spans="1:10">
      <c r="B525" s="1767"/>
      <c r="C525" s="1768"/>
      <c r="D525" s="1769"/>
      <c r="E525" s="1768"/>
      <c r="F525" s="1768"/>
      <c r="G525" s="1768"/>
      <c r="H525" s="1740"/>
      <c r="I525" s="1740"/>
      <c r="J525" s="1771"/>
    </row>
    <row r="526" spans="1:10" s="1681" customFormat="1" ht="52.5" hidden="1" customHeight="1">
      <c r="A526" s="1745">
        <v>10</v>
      </c>
      <c r="B526" s="2961" t="s">
        <v>166</v>
      </c>
      <c r="C526" s="2962"/>
      <c r="D526" s="2962"/>
      <c r="E526" s="2962"/>
      <c r="F526" s="2962"/>
      <c r="G526" s="2962"/>
      <c r="H526" s="2962"/>
      <c r="I526" s="2962"/>
      <c r="J526" s="2963"/>
    </row>
    <row r="527" spans="1:10" s="1681" customFormat="1" hidden="1">
      <c r="A527" s="1745"/>
      <c r="B527" s="1756"/>
      <c r="C527" s="1754" t="s">
        <v>130</v>
      </c>
    </row>
    <row r="528" spans="1:10" s="1681" customFormat="1" ht="15.6" hidden="1">
      <c r="A528" s="1745"/>
      <c r="B528" s="1756"/>
      <c r="C528" s="1754" t="s">
        <v>167</v>
      </c>
      <c r="H528" s="1681" t="s">
        <v>130</v>
      </c>
      <c r="J528" s="1757">
        <v>991</v>
      </c>
    </row>
    <row r="529" spans="1:10" s="1681" customFormat="1" ht="15.6" hidden="1">
      <c r="A529" s="1745"/>
      <c r="B529" s="1756"/>
      <c r="C529" s="1754"/>
      <c r="J529" s="1757"/>
    </row>
    <row r="530" spans="1:10" s="1681" customFormat="1" ht="15.6" hidden="1">
      <c r="A530" s="1745"/>
      <c r="B530" s="1756"/>
      <c r="C530" s="1754"/>
      <c r="J530" s="1757"/>
    </row>
    <row r="531" spans="1:10" ht="125.25" customHeight="1">
      <c r="A531" s="1759"/>
      <c r="B531" s="2946" t="s">
        <v>168</v>
      </c>
      <c r="C531" s="2946"/>
      <c r="D531" s="2946"/>
      <c r="E531" s="2946"/>
      <c r="F531" s="2946"/>
      <c r="G531" s="2946"/>
      <c r="H531" s="2946"/>
      <c r="I531" s="2946"/>
      <c r="J531" s="2946"/>
    </row>
    <row r="532" spans="1:10">
      <c r="D532" s="1687" t="s">
        <v>10</v>
      </c>
      <c r="F532" s="1713" t="s">
        <v>169</v>
      </c>
      <c r="J532" s="1684"/>
    </row>
    <row r="533" spans="1:10">
      <c r="D533" s="1687" t="s">
        <v>170</v>
      </c>
      <c r="J533" s="1684"/>
    </row>
    <row r="534" spans="1:10">
      <c r="B534" s="1715" t="s">
        <v>36</v>
      </c>
      <c r="C534" s="1722" t="s">
        <v>37</v>
      </c>
      <c r="J534" s="1684"/>
    </row>
    <row r="535" spans="1:10">
      <c r="B535" s="1705">
        <v>0.84</v>
      </c>
      <c r="C535" s="1683" t="s">
        <v>57</v>
      </c>
      <c r="D535" s="1687" t="s">
        <v>156</v>
      </c>
      <c r="H535" s="1701">
        <f>'SSR-rates'!H$58</f>
        <v>490</v>
      </c>
      <c r="I535" s="1716" t="s">
        <v>38</v>
      </c>
      <c r="J535" s="1705">
        <f>ROUND(B535*H535,2)</f>
        <v>411.6</v>
      </c>
    </row>
    <row r="536" spans="1:10">
      <c r="B536" s="1705">
        <v>3</v>
      </c>
      <c r="C536" s="1683" t="s">
        <v>57</v>
      </c>
      <c r="D536" s="1687" t="s">
        <v>58</v>
      </c>
      <c r="H536" s="1701">
        <f>'SSR-rates'!H$59</f>
        <v>524</v>
      </c>
      <c r="I536" s="1716" t="s">
        <v>38</v>
      </c>
      <c r="J536" s="1705">
        <f>ROUND(B536*H536,2)</f>
        <v>1572</v>
      </c>
    </row>
    <row r="537" spans="1:10">
      <c r="B537" s="1705">
        <v>18</v>
      </c>
      <c r="C537" s="1683" t="s">
        <v>57</v>
      </c>
      <c r="D537" s="1687" t="s">
        <v>59</v>
      </c>
      <c r="H537" s="1701">
        <f>'SSR-rates'!H$60</f>
        <v>490</v>
      </c>
      <c r="I537" s="1716" t="s">
        <v>38</v>
      </c>
      <c r="J537" s="1705">
        <f>ROUND(B537*H537,2)</f>
        <v>8820</v>
      </c>
    </row>
    <row r="538" spans="1:10">
      <c r="A538" s="1713"/>
      <c r="B538" s="1702">
        <f>'Input Data'!$D$23</f>
        <v>0</v>
      </c>
      <c r="C538" s="1688"/>
      <c r="D538" s="1684" t="s">
        <v>17</v>
      </c>
      <c r="F538" s="1683"/>
      <c r="G538" s="1683"/>
      <c r="H538" s="1701">
        <f>SUM(J536:J537)</f>
        <v>10392</v>
      </c>
      <c r="I538" s="1716"/>
      <c r="J538" s="1701">
        <f>B538*H538</f>
        <v>0</v>
      </c>
    </row>
    <row r="539" spans="1:10">
      <c r="B539" s="1705"/>
      <c r="C539" s="1683"/>
      <c r="D539" s="1687" t="s">
        <v>60</v>
      </c>
      <c r="H539" s="1701"/>
      <c r="I539" s="1701"/>
      <c r="J539" s="1705">
        <f>SUM(J535:J538)</f>
        <v>10803.6</v>
      </c>
    </row>
    <row r="540" spans="1:10">
      <c r="B540" s="1715" t="s">
        <v>39</v>
      </c>
      <c r="C540" s="1722" t="s">
        <v>61</v>
      </c>
      <c r="H540" s="1701"/>
      <c r="I540" s="1701"/>
      <c r="J540" s="1701"/>
    </row>
    <row r="541" spans="1:10">
      <c r="B541" s="1705">
        <v>64.8</v>
      </c>
      <c r="C541" s="1683" t="s">
        <v>31</v>
      </c>
      <c r="D541" s="1684" t="s">
        <v>63</v>
      </c>
      <c r="H541" s="1701">
        <f>lead!$J$16</f>
        <v>2031.2187651278443</v>
      </c>
      <c r="I541" s="1701" t="s">
        <v>31</v>
      </c>
      <c r="J541" s="1701">
        <f>ROUND(B541*H541,2)</f>
        <v>131622.98000000001</v>
      </c>
    </row>
    <row r="542" spans="1:10">
      <c r="B542" s="1705">
        <v>43.2</v>
      </c>
      <c r="C542" s="1683" t="s">
        <v>31</v>
      </c>
      <c r="D542" s="1684" t="s">
        <v>64</v>
      </c>
      <c r="H542" s="1701">
        <f>lead!$J$18</f>
        <v>1780.2187651278443</v>
      </c>
      <c r="I542" s="1701" t="s">
        <v>31</v>
      </c>
      <c r="J542" s="1701">
        <f>ROUND(B542*H542,2)</f>
        <v>76905.45</v>
      </c>
    </row>
    <row r="543" spans="1:10">
      <c r="B543" s="1705">
        <v>54</v>
      </c>
      <c r="C543" s="1683" t="s">
        <v>31</v>
      </c>
      <c r="D543" s="1687" t="s">
        <v>65</v>
      </c>
      <c r="H543" s="1701">
        <f>lead!J12</f>
        <v>1684.4687651278443</v>
      </c>
      <c r="I543" s="1701" t="s">
        <v>31</v>
      </c>
      <c r="J543" s="1701">
        <f>ROUND(B543*H543,2)</f>
        <v>90961.31</v>
      </c>
    </row>
    <row r="544" spans="1:10">
      <c r="B544" s="1766">
        <v>48.38</v>
      </c>
      <c r="C544" s="1683" t="s">
        <v>66</v>
      </c>
      <c r="D544" s="1687" t="s">
        <v>67</v>
      </c>
      <c r="H544" s="1701">
        <f>lead!$J$36</f>
        <v>5000</v>
      </c>
      <c r="I544" s="1701" t="s">
        <v>66</v>
      </c>
      <c r="J544" s="1701">
        <f>ROUND(B544*H544,2)</f>
        <v>241900</v>
      </c>
    </row>
    <row r="545" spans="1:10">
      <c r="B545" s="1687"/>
      <c r="D545" s="1687" t="s">
        <v>60</v>
      </c>
      <c r="H545" s="1701"/>
      <c r="I545" s="1701"/>
      <c r="J545" s="1701">
        <f>SUM(J541:J544)</f>
        <v>541389.74</v>
      </c>
    </row>
    <row r="546" spans="1:10">
      <c r="B546" s="1715" t="s">
        <v>27</v>
      </c>
      <c r="C546" s="1722" t="s">
        <v>40</v>
      </c>
      <c r="H546" s="1701"/>
      <c r="I546" s="1701"/>
      <c r="J546" s="1701"/>
    </row>
    <row r="547" spans="1:10">
      <c r="B547" s="1705">
        <v>6</v>
      </c>
      <c r="C547" s="1683" t="s">
        <v>41</v>
      </c>
      <c r="D547" s="1684" t="s">
        <v>171</v>
      </c>
      <c r="H547" s="1701">
        <f>'SSR-rates'!$H$100</f>
        <v>1205.8</v>
      </c>
      <c r="I547" s="1701" t="s">
        <v>41</v>
      </c>
      <c r="J547" s="1701">
        <f t="shared" ref="J547:J552" si="0">ROUND(B547*H547,2)</f>
        <v>7234.8</v>
      </c>
    </row>
    <row r="548" spans="1:10">
      <c r="B548" s="1705">
        <v>6</v>
      </c>
      <c r="C548" s="1683" t="s">
        <v>41</v>
      </c>
      <c r="D548" s="1684" t="s">
        <v>172</v>
      </c>
      <c r="H548" s="1701">
        <f>'SSR-rates'!$H$102</f>
        <v>1261</v>
      </c>
      <c r="I548" s="1701" t="s">
        <v>41</v>
      </c>
      <c r="J548" s="1701">
        <f t="shared" si="0"/>
        <v>7566</v>
      </c>
    </row>
    <row r="549" spans="1:10">
      <c r="B549" s="1705">
        <v>6</v>
      </c>
      <c r="C549" s="1683" t="s">
        <v>41</v>
      </c>
      <c r="D549" s="1684" t="s">
        <v>173</v>
      </c>
      <c r="H549" s="1701">
        <f>'SSR-rates'!$H$65</f>
        <v>1844</v>
      </c>
      <c r="I549" s="1701" t="s">
        <v>41</v>
      </c>
      <c r="J549" s="1701">
        <f t="shared" si="0"/>
        <v>11064</v>
      </c>
    </row>
    <row r="550" spans="1:10">
      <c r="B550" s="1705">
        <v>15</v>
      </c>
      <c r="C550" s="1683" t="s">
        <v>41</v>
      </c>
      <c r="D550" s="1684" t="s">
        <v>174</v>
      </c>
      <c r="H550" s="1701">
        <f>'SSR-rates'!$H$104</f>
        <v>2532.4</v>
      </c>
      <c r="I550" s="1701" t="s">
        <v>41</v>
      </c>
      <c r="J550" s="1701">
        <f t="shared" si="0"/>
        <v>37986</v>
      </c>
    </row>
    <row r="551" spans="1:10">
      <c r="B551" s="1739">
        <v>300</v>
      </c>
      <c r="C551" s="1772" t="s">
        <v>175</v>
      </c>
      <c r="D551" s="2964" t="s">
        <v>176</v>
      </c>
      <c r="E551" s="2964"/>
      <c r="F551" s="2964"/>
      <c r="G551" s="2964"/>
      <c r="H551" s="1738">
        <v>0</v>
      </c>
      <c r="I551" s="1701" t="s">
        <v>175</v>
      </c>
      <c r="J551" s="1701">
        <f t="shared" si="0"/>
        <v>0</v>
      </c>
    </row>
    <row r="552" spans="1:10">
      <c r="B552" s="1705">
        <v>6</v>
      </c>
      <c r="C552" s="1683" t="s">
        <v>41</v>
      </c>
      <c r="D552" s="1687" t="s">
        <v>177</v>
      </c>
      <c r="H552" s="1701">
        <f>'SSR-rates'!H$106</f>
        <v>899</v>
      </c>
      <c r="I552" s="1701" t="s">
        <v>41</v>
      </c>
      <c r="J552" s="1701">
        <f t="shared" si="0"/>
        <v>5394</v>
      </c>
    </row>
    <row r="553" spans="1:10">
      <c r="B553" s="1705"/>
      <c r="C553" s="1688"/>
      <c r="D553" s="1687" t="s">
        <v>60</v>
      </c>
      <c r="H553" s="1701"/>
      <c r="I553" s="1701"/>
      <c r="J553" s="1701">
        <f>SUM(J547:J552)</f>
        <v>69244.800000000003</v>
      </c>
    </row>
    <row r="554" spans="1:10">
      <c r="B554" s="1715" t="s">
        <v>45</v>
      </c>
      <c r="C554" s="1722" t="s">
        <v>71</v>
      </c>
      <c r="H554" s="1701"/>
      <c r="I554" s="1701"/>
      <c r="J554" s="1701"/>
    </row>
    <row r="555" spans="1:10">
      <c r="B555" s="1687">
        <v>3.75</v>
      </c>
      <c r="C555" s="1683" t="s">
        <v>29</v>
      </c>
      <c r="D555" s="1684" t="s">
        <v>157</v>
      </c>
      <c r="H555" s="1701">
        <f>J539+J545+J553</f>
        <v>621438.14</v>
      </c>
      <c r="I555" s="1716" t="s">
        <v>73</v>
      </c>
      <c r="J555" s="1701">
        <f>ROUND(B555*H555/100,2)</f>
        <v>23303.93</v>
      </c>
    </row>
    <row r="556" spans="1:10">
      <c r="A556" s="1713"/>
      <c r="B556" s="1715" t="s">
        <v>47</v>
      </c>
      <c r="C556" s="1713" t="s">
        <v>74</v>
      </c>
      <c r="F556" s="1683"/>
      <c r="G556" s="1683"/>
      <c r="H556" s="1683"/>
      <c r="I556" s="1683"/>
      <c r="J556" s="1741"/>
    </row>
    <row r="557" spans="1:10">
      <c r="A557" s="1713"/>
      <c r="B557" s="1706">
        <f>'Input Data'!$D$25</f>
        <v>0</v>
      </c>
      <c r="C557" s="2955" t="str">
        <f>"Over head charges "&amp;'Input Data'!$D$25*100&amp;"%  on (A) + (B)+(C)+(D)"</f>
        <v>Over head charges 0%  on (A) + (B)+(C)+(D)</v>
      </c>
      <c r="D557" s="2956"/>
      <c r="E557" s="2956"/>
      <c r="F557" s="2956"/>
      <c r="G557" s="2957"/>
      <c r="H557" s="1688">
        <f>J555+J553+J545+J539</f>
        <v>644742.06999999995</v>
      </c>
      <c r="I557" s="1683"/>
      <c r="J557" s="1701">
        <f>H557*B557</f>
        <v>0</v>
      </c>
    </row>
    <row r="558" spans="1:10">
      <c r="A558" s="1713"/>
      <c r="B558" s="1715" t="s">
        <v>76</v>
      </c>
      <c r="C558" s="1713" t="s">
        <v>77</v>
      </c>
      <c r="F558" s="1683"/>
      <c r="G558" s="1683"/>
      <c r="H558" s="1683"/>
      <c r="I558" s="1683"/>
      <c r="J558" s="1741">
        <f>J539+J545+J553+J555+J557</f>
        <v>644742.07000000007</v>
      </c>
    </row>
    <row r="559" spans="1:10">
      <c r="A559" s="1713"/>
      <c r="B559" s="1715" t="s">
        <v>78</v>
      </c>
      <c r="C559" s="1713" t="s">
        <v>79</v>
      </c>
      <c r="F559" s="1683"/>
      <c r="G559" s="1683"/>
      <c r="H559" s="1683"/>
      <c r="I559" s="1683"/>
      <c r="J559" s="1741">
        <f>J558*10/100</f>
        <v>64474.207000000009</v>
      </c>
    </row>
    <row r="560" spans="1:10">
      <c r="B560" s="1705"/>
      <c r="C560" s="1683"/>
      <c r="D560" s="1722" t="s">
        <v>158</v>
      </c>
      <c r="H560" s="1701"/>
      <c r="I560" s="1701"/>
      <c r="J560" s="1741">
        <f>SUM(J558:J559)</f>
        <v>709216.27700000012</v>
      </c>
    </row>
    <row r="561" spans="1:10">
      <c r="B561" s="1705"/>
      <c r="C561" s="1683"/>
      <c r="D561" s="1687" t="s">
        <v>81</v>
      </c>
      <c r="H561" s="1701"/>
      <c r="I561" s="1701"/>
      <c r="J561" s="1701">
        <f>ROUND(J560/120,2)</f>
        <v>5910.14</v>
      </c>
    </row>
    <row r="562" spans="1:10">
      <c r="D562" s="1687" t="s">
        <v>52</v>
      </c>
      <c r="H562" s="1701"/>
      <c r="I562" s="1701"/>
      <c r="J562" s="1742">
        <f>ROUND(J561,0)</f>
        <v>5910</v>
      </c>
    </row>
    <row r="563" spans="1:10">
      <c r="D563" s="1687"/>
      <c r="H563" s="1701"/>
      <c r="I563" s="1701"/>
      <c r="J563" s="1741" t="s">
        <v>53</v>
      </c>
    </row>
    <row r="564" spans="1:10" ht="125.25" customHeight="1">
      <c r="A564" s="1759"/>
      <c r="B564" s="2946" t="s">
        <v>178</v>
      </c>
      <c r="C564" s="2946"/>
      <c r="D564" s="2946"/>
      <c r="E564" s="2946"/>
      <c r="F564" s="2946"/>
      <c r="G564" s="2946"/>
      <c r="H564" s="2946"/>
      <c r="I564" s="2946"/>
      <c r="J564" s="2946"/>
    </row>
    <row r="565" spans="1:10">
      <c r="D565" s="1687" t="s">
        <v>10</v>
      </c>
      <c r="F565" s="1713" t="s">
        <v>179</v>
      </c>
      <c r="J565" s="1684"/>
    </row>
    <row r="566" spans="1:10">
      <c r="D566" s="1687" t="s">
        <v>170</v>
      </c>
      <c r="J566" s="1684"/>
    </row>
    <row r="567" spans="1:10">
      <c r="B567" s="1715" t="s">
        <v>36</v>
      </c>
      <c r="C567" s="1722" t="s">
        <v>37</v>
      </c>
      <c r="J567" s="1684"/>
    </row>
    <row r="568" spans="1:10">
      <c r="B568" s="1705">
        <v>0.84</v>
      </c>
      <c r="C568" s="1683" t="s">
        <v>57</v>
      </c>
      <c r="D568" s="1687" t="s">
        <v>156</v>
      </c>
      <c r="H568" s="1701">
        <f>'SSR-rates'!H$58</f>
        <v>490</v>
      </c>
      <c r="I568" s="1716" t="s">
        <v>38</v>
      </c>
      <c r="J568" s="1705">
        <f>ROUND(B568*H568,2)</f>
        <v>411.6</v>
      </c>
    </row>
    <row r="569" spans="1:10">
      <c r="B569" s="1705">
        <v>3</v>
      </c>
      <c r="C569" s="1683" t="s">
        <v>57</v>
      </c>
      <c r="D569" s="1687" t="s">
        <v>58</v>
      </c>
      <c r="H569" s="1701">
        <f>'SSR-rates'!H$59</f>
        <v>524</v>
      </c>
      <c r="I569" s="1716" t="s">
        <v>38</v>
      </c>
      <c r="J569" s="1705">
        <f>ROUND(B569*H569,2)</f>
        <v>1572</v>
      </c>
    </row>
    <row r="570" spans="1:10">
      <c r="B570" s="1705">
        <v>18</v>
      </c>
      <c r="C570" s="1683" t="s">
        <v>57</v>
      </c>
      <c r="D570" s="1687" t="s">
        <v>59</v>
      </c>
      <c r="H570" s="1701">
        <f>'SSR-rates'!H$60</f>
        <v>490</v>
      </c>
      <c r="I570" s="1716" t="s">
        <v>38</v>
      </c>
      <c r="J570" s="1705">
        <f>ROUND(B570*H570,2)</f>
        <v>8820</v>
      </c>
    </row>
    <row r="571" spans="1:10">
      <c r="A571" s="1713"/>
      <c r="B571" s="1702">
        <f>'Input Data'!$D$23</f>
        <v>0</v>
      </c>
      <c r="C571" s="1688"/>
      <c r="D571" s="1684" t="s">
        <v>17</v>
      </c>
      <c r="F571" s="1683"/>
      <c r="G571" s="1683"/>
      <c r="H571" s="1701">
        <f>SUM(J569:J570)</f>
        <v>10392</v>
      </c>
      <c r="I571" s="1716"/>
      <c r="J571" s="1701">
        <f>B571*H571</f>
        <v>0</v>
      </c>
    </row>
    <row r="572" spans="1:10">
      <c r="B572" s="1705"/>
      <c r="C572" s="1683"/>
      <c r="D572" s="1687" t="s">
        <v>60</v>
      </c>
      <c r="H572" s="1701"/>
      <c r="I572" s="1701"/>
      <c r="J572" s="1705">
        <f>SUM(J568:J571)</f>
        <v>10803.6</v>
      </c>
    </row>
    <row r="573" spans="1:10">
      <c r="B573" s="1715" t="s">
        <v>39</v>
      </c>
      <c r="C573" s="1722" t="s">
        <v>61</v>
      </c>
      <c r="H573" s="1701"/>
      <c r="I573" s="1701"/>
      <c r="J573" s="1701"/>
    </row>
    <row r="574" spans="1:10">
      <c r="B574" s="1705">
        <v>64.8</v>
      </c>
      <c r="C574" s="1683" t="s">
        <v>31</v>
      </c>
      <c r="D574" s="1684" t="s">
        <v>63</v>
      </c>
      <c r="H574" s="1701">
        <f>lead!$J$16</f>
        <v>2031.2187651278443</v>
      </c>
      <c r="I574" s="1701" t="s">
        <v>31</v>
      </c>
      <c r="J574" s="1701">
        <f>ROUND(B574*H574,2)</f>
        <v>131622.98000000001</v>
      </c>
    </row>
    <row r="575" spans="1:10">
      <c r="B575" s="1705">
        <v>43.2</v>
      </c>
      <c r="C575" s="1683" t="s">
        <v>31</v>
      </c>
      <c r="D575" s="1684" t="s">
        <v>64</v>
      </c>
      <c r="H575" s="1701">
        <f>lead!$J$18</f>
        <v>1780.2187651278443</v>
      </c>
      <c r="I575" s="1701" t="s">
        <v>31</v>
      </c>
      <c r="J575" s="1701">
        <f>ROUND(B575*H575,2)</f>
        <v>76905.45</v>
      </c>
    </row>
    <row r="576" spans="1:10">
      <c r="B576" s="1705">
        <v>54</v>
      </c>
      <c r="C576" s="1683" t="s">
        <v>31</v>
      </c>
      <c r="D576" s="1687" t="s">
        <v>65</v>
      </c>
      <c r="H576" s="1701">
        <f>lead!J12</f>
        <v>1684.4687651278443</v>
      </c>
      <c r="I576" s="1701" t="s">
        <v>31</v>
      </c>
      <c r="J576" s="1701">
        <f>ROUND(B576*H576,2)</f>
        <v>90961.31</v>
      </c>
    </row>
    <row r="577" spans="1:10">
      <c r="B577" s="1766">
        <v>48.38</v>
      </c>
      <c r="C577" s="1683" t="s">
        <v>66</v>
      </c>
      <c r="D577" s="1687" t="s">
        <v>67</v>
      </c>
      <c r="H577" s="1701">
        <f>lead!$J$36</f>
        <v>5000</v>
      </c>
      <c r="I577" s="1701" t="s">
        <v>66</v>
      </c>
      <c r="J577" s="1701">
        <f>ROUND(B577*H577,2)</f>
        <v>241900</v>
      </c>
    </row>
    <row r="578" spans="1:10">
      <c r="B578" s="1687"/>
      <c r="D578" s="1687" t="s">
        <v>60</v>
      </c>
      <c r="H578" s="1701"/>
      <c r="I578" s="1701"/>
      <c r="J578" s="1701">
        <f>SUM(J574:J577)</f>
        <v>541389.74</v>
      </c>
    </row>
    <row r="579" spans="1:10">
      <c r="B579" s="1715" t="s">
        <v>27</v>
      </c>
      <c r="C579" s="1722" t="s">
        <v>40</v>
      </c>
      <c r="H579" s="1701"/>
      <c r="I579" s="1701"/>
      <c r="J579" s="1701"/>
    </row>
    <row r="580" spans="1:10">
      <c r="B580" s="1705">
        <v>6</v>
      </c>
      <c r="C580" s="1683" t="s">
        <v>41</v>
      </c>
      <c r="D580" s="1684" t="s">
        <v>171</v>
      </c>
      <c r="H580" s="1701">
        <f>'SSR-rates'!$H$100</f>
        <v>1205.8</v>
      </c>
      <c r="I580" s="1701" t="s">
        <v>41</v>
      </c>
      <c r="J580" s="1701">
        <f t="shared" ref="J580:J585" si="1">ROUND(B580*H580,2)</f>
        <v>7234.8</v>
      </c>
    </row>
    <row r="581" spans="1:10">
      <c r="B581" s="1705">
        <v>6</v>
      </c>
      <c r="C581" s="1683" t="s">
        <v>41</v>
      </c>
      <c r="D581" s="1684" t="s">
        <v>172</v>
      </c>
      <c r="H581" s="1701">
        <f>'SSR-rates'!$H$102</f>
        <v>1261</v>
      </c>
      <c r="I581" s="1701" t="s">
        <v>41</v>
      </c>
      <c r="J581" s="1701">
        <f t="shared" si="1"/>
        <v>7566</v>
      </c>
    </row>
    <row r="582" spans="1:10">
      <c r="B582" s="1705">
        <v>6</v>
      </c>
      <c r="C582" s="1683" t="s">
        <v>41</v>
      </c>
      <c r="D582" s="1684" t="s">
        <v>173</v>
      </c>
      <c r="H582" s="1701">
        <f>'SSR-rates'!$H$65</f>
        <v>1844</v>
      </c>
      <c r="I582" s="1701" t="s">
        <v>41</v>
      </c>
      <c r="J582" s="1701">
        <f t="shared" si="1"/>
        <v>11064</v>
      </c>
    </row>
    <row r="583" spans="1:10">
      <c r="B583" s="1705">
        <v>15</v>
      </c>
      <c r="C583" s="1683" t="s">
        <v>41</v>
      </c>
      <c r="D583" s="1684" t="s">
        <v>174</v>
      </c>
      <c r="H583" s="1701">
        <f>'SSR-rates'!$H$104</f>
        <v>2532.4</v>
      </c>
      <c r="I583" s="1701" t="s">
        <v>41</v>
      </c>
      <c r="J583" s="1701">
        <f t="shared" si="1"/>
        <v>37986</v>
      </c>
    </row>
    <row r="584" spans="1:10">
      <c r="B584" s="1705">
        <v>300</v>
      </c>
      <c r="C584" s="1683" t="s">
        <v>180</v>
      </c>
      <c r="D584" s="2965" t="s">
        <v>176</v>
      </c>
      <c r="E584" s="2965"/>
      <c r="F584" s="2965"/>
      <c r="G584" s="2965"/>
      <c r="H584" s="1701">
        <v>0</v>
      </c>
      <c r="I584" s="1701" t="s">
        <v>41</v>
      </c>
      <c r="J584" s="1701">
        <f t="shared" si="1"/>
        <v>0</v>
      </c>
    </row>
    <row r="585" spans="1:10">
      <c r="B585" s="1705">
        <v>6</v>
      </c>
      <c r="C585" s="1683" t="s">
        <v>41</v>
      </c>
      <c r="D585" s="1687" t="s">
        <v>177</v>
      </c>
      <c r="H585" s="1701">
        <f>'SSR-rates'!H$106</f>
        <v>899</v>
      </c>
      <c r="I585" s="1701" t="s">
        <v>41</v>
      </c>
      <c r="J585" s="1701">
        <f t="shared" si="1"/>
        <v>5394</v>
      </c>
    </row>
    <row r="586" spans="1:10">
      <c r="B586" s="1705"/>
      <c r="C586" s="1688"/>
      <c r="D586" s="1687" t="s">
        <v>60</v>
      </c>
      <c r="H586" s="1701"/>
      <c r="I586" s="1701"/>
      <c r="J586" s="1701">
        <f>SUM(J580:J585)</f>
        <v>69244.800000000003</v>
      </c>
    </row>
    <row r="587" spans="1:10">
      <c r="B587" s="1715" t="s">
        <v>45</v>
      </c>
      <c r="C587" s="1722" t="s">
        <v>71</v>
      </c>
      <c r="H587" s="1701"/>
      <c r="I587" s="1701"/>
      <c r="J587" s="1701"/>
    </row>
    <row r="588" spans="1:10">
      <c r="B588" s="1687">
        <v>10</v>
      </c>
      <c r="C588" s="1683" t="s">
        <v>29</v>
      </c>
      <c r="D588" s="1684" t="s">
        <v>181</v>
      </c>
      <c r="H588" s="1701">
        <f>J572+J578+J586</f>
        <v>621438.14</v>
      </c>
      <c r="I588" s="1716" t="s">
        <v>73</v>
      </c>
      <c r="J588" s="1701">
        <f>ROUND(B588*H588/100,2)</f>
        <v>62143.81</v>
      </c>
    </row>
    <row r="589" spans="1:10">
      <c r="A589" s="1713"/>
      <c r="B589" s="1715" t="s">
        <v>47</v>
      </c>
      <c r="C589" s="1713" t="s">
        <v>97</v>
      </c>
      <c r="F589" s="1683"/>
      <c r="G589" s="1683"/>
      <c r="H589" s="1683"/>
      <c r="I589" s="1683"/>
      <c r="J589" s="1741"/>
    </row>
    <row r="590" spans="1:10" ht="36" customHeight="1">
      <c r="A590" s="1713"/>
      <c r="B590" s="1706">
        <f>'Input Data'!$D$25</f>
        <v>0</v>
      </c>
      <c r="C590" s="2955" t="str">
        <f>"Over head charges "&amp;'Input Data'!$D$25*100&amp;"%  on (A) + (B)+(C)+(D)"</f>
        <v>Over head charges 0%  on (A) + (B)+(C)+(D)</v>
      </c>
      <c r="D590" s="2956"/>
      <c r="E590" s="2956"/>
      <c r="F590" s="2956"/>
      <c r="G590" s="2957"/>
      <c r="H590" s="1688">
        <f>J588+J586+J578+J572</f>
        <v>683581.95</v>
      </c>
      <c r="I590" s="1683"/>
      <c r="J590" s="1701">
        <f>H590*B590</f>
        <v>0</v>
      </c>
    </row>
    <row r="591" spans="1:10">
      <c r="A591" s="1713"/>
      <c r="B591" s="1715" t="s">
        <v>76</v>
      </c>
      <c r="C591" s="1713" t="s">
        <v>77</v>
      </c>
      <c r="F591" s="1683"/>
      <c r="G591" s="1683"/>
      <c r="H591" s="1683"/>
      <c r="I591" s="1683"/>
      <c r="J591" s="1741">
        <f>J572+J578+J586+J588+J590</f>
        <v>683581.95</v>
      </c>
    </row>
    <row r="592" spans="1:10">
      <c r="A592" s="1713"/>
      <c r="B592" s="1715" t="s">
        <v>78</v>
      </c>
      <c r="C592" s="1713" t="s">
        <v>79</v>
      </c>
      <c r="F592" s="1683"/>
      <c r="G592" s="1683"/>
      <c r="H592" s="1683"/>
      <c r="I592" s="1683"/>
      <c r="J592" s="1741">
        <f>J591*10/100</f>
        <v>68358.195000000007</v>
      </c>
    </row>
    <row r="593" spans="1:10">
      <c r="B593" s="1705"/>
      <c r="C593" s="1683"/>
      <c r="D593" s="1722" t="s">
        <v>158</v>
      </c>
      <c r="H593" s="1701"/>
      <c r="I593" s="1701"/>
      <c r="J593" s="1741">
        <f>SUM(J591:J592)</f>
        <v>751940.14500000002</v>
      </c>
    </row>
    <row r="594" spans="1:10">
      <c r="B594" s="1705"/>
      <c r="C594" s="1683"/>
      <c r="D594" s="1687" t="s">
        <v>81</v>
      </c>
      <c r="H594" s="1701"/>
      <c r="I594" s="1701"/>
      <c r="J594" s="1701">
        <f>ROUND(J593/120,2)</f>
        <v>6266.17</v>
      </c>
    </row>
    <row r="595" spans="1:10">
      <c r="D595" s="1687" t="s">
        <v>52</v>
      </c>
      <c r="H595" s="1701"/>
      <c r="I595" s="1701"/>
      <c r="J595" s="1742">
        <f>ROUND(J594,0)</f>
        <v>6266</v>
      </c>
    </row>
    <row r="596" spans="1:10">
      <c r="D596" s="1687"/>
      <c r="H596" s="1701"/>
      <c r="I596" s="1701"/>
      <c r="J596" s="1741" t="s">
        <v>53</v>
      </c>
    </row>
    <row r="597" spans="1:10" ht="125.25" customHeight="1">
      <c r="A597" s="1759"/>
      <c r="B597" s="2946" t="s">
        <v>182</v>
      </c>
      <c r="C597" s="2946"/>
      <c r="D597" s="2946"/>
      <c r="E597" s="2946"/>
      <c r="F597" s="2946"/>
      <c r="G597" s="2946"/>
      <c r="H597" s="2946"/>
      <c r="I597" s="2946"/>
      <c r="J597" s="2946"/>
    </row>
    <row r="598" spans="1:10">
      <c r="D598" s="1687" t="s">
        <v>10</v>
      </c>
      <c r="F598" s="1713" t="s">
        <v>183</v>
      </c>
      <c r="J598" s="1684"/>
    </row>
    <row r="599" spans="1:10">
      <c r="D599" s="1687" t="s">
        <v>170</v>
      </c>
      <c r="J599" s="1684"/>
    </row>
    <row r="600" spans="1:10">
      <c r="B600" s="1715" t="s">
        <v>36</v>
      </c>
      <c r="C600" s="1722" t="s">
        <v>37</v>
      </c>
      <c r="J600" s="1684"/>
    </row>
    <row r="601" spans="1:10">
      <c r="B601" s="1705">
        <v>0.84</v>
      </c>
      <c r="C601" s="1683" t="s">
        <v>57</v>
      </c>
      <c r="D601" s="1687" t="s">
        <v>156</v>
      </c>
      <c r="H601" s="1701">
        <f>'SSR-rates'!H$58</f>
        <v>490</v>
      </c>
      <c r="I601" s="1716" t="s">
        <v>38</v>
      </c>
      <c r="J601" s="1705">
        <f>ROUND(B601*H601,2)</f>
        <v>411.6</v>
      </c>
    </row>
    <row r="602" spans="1:10">
      <c r="B602" s="1705">
        <v>3</v>
      </c>
      <c r="C602" s="1683" t="s">
        <v>57</v>
      </c>
      <c r="D602" s="1687" t="s">
        <v>58</v>
      </c>
      <c r="H602" s="1701">
        <f>'SSR-rates'!H$59</f>
        <v>524</v>
      </c>
      <c r="I602" s="1716" t="s">
        <v>38</v>
      </c>
      <c r="J602" s="1705">
        <f>ROUND(B602*H602,2)</f>
        <v>1572</v>
      </c>
    </row>
    <row r="603" spans="1:10">
      <c r="B603" s="1705">
        <v>18</v>
      </c>
      <c r="C603" s="1683" t="s">
        <v>57</v>
      </c>
      <c r="D603" s="1687" t="s">
        <v>59</v>
      </c>
      <c r="H603" s="1701">
        <f>'SSR-rates'!H$60</f>
        <v>490</v>
      </c>
      <c r="I603" s="1716" t="s">
        <v>38</v>
      </c>
      <c r="J603" s="1705">
        <f>ROUND(B603*H603,2)</f>
        <v>8820</v>
      </c>
    </row>
    <row r="604" spans="1:10">
      <c r="A604" s="1713"/>
      <c r="B604" s="1702">
        <f>'Input Data'!$D$23</f>
        <v>0</v>
      </c>
      <c r="C604" s="1688"/>
      <c r="D604" s="1684" t="s">
        <v>17</v>
      </c>
      <c r="F604" s="1683"/>
      <c r="G604" s="1683"/>
      <c r="H604" s="1701">
        <f>SUM(J602:J603)</f>
        <v>10392</v>
      </c>
      <c r="I604" s="1716"/>
      <c r="J604" s="1701">
        <f>B604*H604</f>
        <v>0</v>
      </c>
    </row>
    <row r="605" spans="1:10">
      <c r="B605" s="1705"/>
      <c r="C605" s="1683"/>
      <c r="D605" s="1687" t="s">
        <v>60</v>
      </c>
      <c r="H605" s="1701"/>
      <c r="I605" s="1701"/>
      <c r="J605" s="1705">
        <f>SUM(J601:J604)</f>
        <v>10803.6</v>
      </c>
    </row>
    <row r="606" spans="1:10">
      <c r="B606" s="1715" t="s">
        <v>39</v>
      </c>
      <c r="C606" s="1722" t="s">
        <v>61</v>
      </c>
      <c r="H606" s="1701"/>
      <c r="I606" s="1701"/>
      <c r="J606" s="1701"/>
    </row>
    <row r="607" spans="1:10">
      <c r="B607" s="1705">
        <v>64.8</v>
      </c>
      <c r="C607" s="1683" t="s">
        <v>31</v>
      </c>
      <c r="D607" s="1684" t="s">
        <v>63</v>
      </c>
      <c r="H607" s="1701">
        <f>lead!J$16</f>
        <v>2031.2187651278443</v>
      </c>
      <c r="I607" s="1701" t="s">
        <v>31</v>
      </c>
      <c r="J607" s="1701">
        <f>ROUND(B607*H607,2)</f>
        <v>131622.98000000001</v>
      </c>
    </row>
    <row r="608" spans="1:10">
      <c r="B608" s="1705">
        <v>43.2</v>
      </c>
      <c r="C608" s="1683" t="s">
        <v>31</v>
      </c>
      <c r="D608" s="1684" t="s">
        <v>64</v>
      </c>
      <c r="H608" s="1701">
        <f>lead!J$18</f>
        <v>1780.2187651278443</v>
      </c>
      <c r="I608" s="1701" t="s">
        <v>31</v>
      </c>
      <c r="J608" s="1701">
        <f>ROUND(B608*H608,2)</f>
        <v>76905.45</v>
      </c>
    </row>
    <row r="609" spans="1:10">
      <c r="B609" s="1705">
        <v>54.2</v>
      </c>
      <c r="C609" s="1683" t="s">
        <v>31</v>
      </c>
      <c r="D609" s="1687" t="s">
        <v>65</v>
      </c>
      <c r="H609" s="1701">
        <f>lead!J12</f>
        <v>1684.4687651278443</v>
      </c>
      <c r="I609" s="1701" t="s">
        <v>31</v>
      </c>
      <c r="J609" s="1701">
        <f>ROUND(B609*H609,2)</f>
        <v>91298.21</v>
      </c>
    </row>
    <row r="610" spans="1:10">
      <c r="B610" s="1766">
        <v>47.95</v>
      </c>
      <c r="C610" s="1683" t="s">
        <v>66</v>
      </c>
      <c r="D610" s="1687" t="s">
        <v>67</v>
      </c>
      <c r="H610" s="1701">
        <f>lead!J$36</f>
        <v>5000</v>
      </c>
      <c r="I610" s="1701" t="s">
        <v>66</v>
      </c>
      <c r="J610" s="1701">
        <f>ROUND(B610*H610,2)</f>
        <v>239750</v>
      </c>
    </row>
    <row r="611" spans="1:10">
      <c r="B611" s="1687"/>
      <c r="D611" s="1687" t="s">
        <v>60</v>
      </c>
      <c r="H611" s="1701"/>
      <c r="I611" s="1701"/>
      <c r="J611" s="1701">
        <f>SUM(J607:J610)</f>
        <v>539576.64</v>
      </c>
    </row>
    <row r="612" spans="1:10">
      <c r="B612" s="1715" t="s">
        <v>27</v>
      </c>
      <c r="C612" s="1722" t="s">
        <v>40</v>
      </c>
      <c r="H612" s="1701"/>
      <c r="I612" s="1701"/>
      <c r="J612" s="1701"/>
    </row>
    <row r="613" spans="1:10">
      <c r="B613" s="1705">
        <v>6</v>
      </c>
      <c r="C613" s="1683" t="s">
        <v>41</v>
      </c>
      <c r="D613" s="1684" t="s">
        <v>171</v>
      </c>
      <c r="H613" s="1701">
        <f>'SSR-rates'!H$100</f>
        <v>1205.8</v>
      </c>
      <c r="I613" s="1701" t="s">
        <v>41</v>
      </c>
      <c r="J613" s="1701">
        <f t="shared" ref="J613:J618" si="2">ROUND(B613*H613,2)</f>
        <v>7234.8</v>
      </c>
    </row>
    <row r="614" spans="1:10">
      <c r="B614" s="1705">
        <v>6</v>
      </c>
      <c r="C614" s="1683" t="s">
        <v>41</v>
      </c>
      <c r="D614" s="1684" t="s">
        <v>172</v>
      </c>
      <c r="H614" s="1701">
        <f>'SSR-rates'!H$102</f>
        <v>1261</v>
      </c>
      <c r="I614" s="1701" t="s">
        <v>41</v>
      </c>
      <c r="J614" s="1701">
        <f t="shared" si="2"/>
        <v>7566</v>
      </c>
    </row>
    <row r="615" spans="1:10">
      <c r="B615" s="1705">
        <v>6</v>
      </c>
      <c r="C615" s="1683" t="s">
        <v>41</v>
      </c>
      <c r="D615" s="1684" t="s">
        <v>173</v>
      </c>
      <c r="H615" s="1701">
        <f>'SSR-rates'!H$65</f>
        <v>1844</v>
      </c>
      <c r="I615" s="1701" t="s">
        <v>41</v>
      </c>
      <c r="J615" s="1701">
        <f t="shared" si="2"/>
        <v>11064</v>
      </c>
    </row>
    <row r="616" spans="1:10">
      <c r="B616" s="1705">
        <v>15</v>
      </c>
      <c r="C616" s="1683" t="s">
        <v>41</v>
      </c>
      <c r="D616" s="1684" t="s">
        <v>174</v>
      </c>
      <c r="H616" s="1701">
        <f>'SSR-rates'!H$104</f>
        <v>2532.4</v>
      </c>
      <c r="I616" s="1701" t="s">
        <v>41</v>
      </c>
      <c r="J616" s="1701">
        <f t="shared" si="2"/>
        <v>37986</v>
      </c>
    </row>
    <row r="617" spans="1:10">
      <c r="B617" s="1705">
        <v>300</v>
      </c>
      <c r="C617" s="1683" t="s">
        <v>180</v>
      </c>
      <c r="D617" s="2965" t="s">
        <v>176</v>
      </c>
      <c r="E617" s="2965"/>
      <c r="F617" s="2965"/>
      <c r="G617" s="2965"/>
      <c r="H617" s="1701">
        <v>0</v>
      </c>
      <c r="I617" s="1701" t="s">
        <v>41</v>
      </c>
      <c r="J617" s="1701">
        <f t="shared" si="2"/>
        <v>0</v>
      </c>
    </row>
    <row r="618" spans="1:10">
      <c r="B618" s="1705">
        <v>6</v>
      </c>
      <c r="C618" s="1683" t="s">
        <v>41</v>
      </c>
      <c r="D618" s="1687" t="s">
        <v>177</v>
      </c>
      <c r="H618" s="1701">
        <f>'SSR-rates'!H$106</f>
        <v>899</v>
      </c>
      <c r="I618" s="1701" t="s">
        <v>41</v>
      </c>
      <c r="J618" s="1701">
        <f t="shared" si="2"/>
        <v>5394</v>
      </c>
    </row>
    <row r="619" spans="1:10">
      <c r="B619" s="1705"/>
      <c r="C619" s="1688"/>
      <c r="D619" s="1687" t="s">
        <v>60</v>
      </c>
      <c r="H619" s="1701"/>
      <c r="I619" s="1701"/>
      <c r="J619" s="1701">
        <f>SUM(J613:J618)</f>
        <v>69244.800000000003</v>
      </c>
    </row>
    <row r="620" spans="1:10">
      <c r="B620" s="1715" t="s">
        <v>45</v>
      </c>
      <c r="C620" s="1722" t="s">
        <v>71</v>
      </c>
      <c r="H620" s="1701"/>
      <c r="I620" s="1701"/>
      <c r="J620" s="1701"/>
    </row>
    <row r="621" spans="1:10">
      <c r="B621" s="1687">
        <v>20</v>
      </c>
      <c r="C621" s="1683" t="s">
        <v>29</v>
      </c>
      <c r="D621" s="1684" t="s">
        <v>161</v>
      </c>
      <c r="H621" s="1701">
        <f>J605+J611+J619</f>
        <v>619625.04</v>
      </c>
      <c r="I621" s="1716" t="s">
        <v>73</v>
      </c>
      <c r="J621" s="1701">
        <f>ROUND(B621*H621/100,2)</f>
        <v>123925.01</v>
      </c>
    </row>
    <row r="622" spans="1:10">
      <c r="A622" s="1713"/>
      <c r="B622" s="1715" t="s">
        <v>47</v>
      </c>
      <c r="C622" s="1713" t="s">
        <v>97</v>
      </c>
      <c r="F622" s="1683"/>
      <c r="G622" s="1683"/>
      <c r="H622" s="1683"/>
      <c r="I622" s="1683"/>
      <c r="J622" s="1741"/>
    </row>
    <row r="623" spans="1:10" ht="27" customHeight="1">
      <c r="A623" s="1713"/>
      <c r="B623" s="1706">
        <f>'Input Data'!$D$25</f>
        <v>0</v>
      </c>
      <c r="C623" s="2955" t="str">
        <f>"Over head charges "&amp;'Input Data'!$D$25*100&amp;"%  on (A) + (B)+(C)+(D)"</f>
        <v>Over head charges 0%  on (A) + (B)+(C)+(D)</v>
      </c>
      <c r="D623" s="2956"/>
      <c r="E623" s="2956"/>
      <c r="F623" s="2956"/>
      <c r="G623" s="2957"/>
      <c r="H623" s="1688">
        <f>J621+J619+J611+J605</f>
        <v>743550.04999999993</v>
      </c>
      <c r="I623" s="1683"/>
      <c r="J623" s="1701">
        <f>H623*B623</f>
        <v>0</v>
      </c>
    </row>
    <row r="624" spans="1:10">
      <c r="A624" s="1713"/>
      <c r="B624" s="1715" t="s">
        <v>76</v>
      </c>
      <c r="C624" s="1713" t="s">
        <v>77</v>
      </c>
      <c r="F624" s="1683"/>
      <c r="G624" s="1683"/>
      <c r="H624" s="1683"/>
      <c r="I624" s="1683"/>
      <c r="J624" s="1741">
        <f>J605+J611+J619+J621+J623</f>
        <v>743550.05</v>
      </c>
    </row>
    <row r="625" spans="1:10">
      <c r="A625" s="1713"/>
      <c r="B625" s="1715" t="s">
        <v>78</v>
      </c>
      <c r="C625" s="1713" t="s">
        <v>79</v>
      </c>
      <c r="F625" s="1683"/>
      <c r="G625" s="1683"/>
      <c r="H625" s="1683"/>
      <c r="I625" s="1683"/>
      <c r="J625" s="1741">
        <f>J624*10/100</f>
        <v>74355.005000000005</v>
      </c>
    </row>
    <row r="626" spans="1:10">
      <c r="B626" s="1705"/>
      <c r="C626" s="1683"/>
      <c r="D626" s="1722" t="s">
        <v>158</v>
      </c>
      <c r="H626" s="1701"/>
      <c r="I626" s="1701"/>
      <c r="J626" s="1741">
        <f>SUM(J624:J625)</f>
        <v>817905.05500000005</v>
      </c>
    </row>
    <row r="627" spans="1:10">
      <c r="B627" s="1705"/>
      <c r="C627" s="1683"/>
      <c r="D627" s="1687" t="s">
        <v>81</v>
      </c>
      <c r="H627" s="1701"/>
      <c r="I627" s="1701"/>
      <c r="J627" s="1701">
        <f>ROUND(J626/120,2)</f>
        <v>6815.88</v>
      </c>
    </row>
    <row r="628" spans="1:10">
      <c r="D628" s="1687" t="s">
        <v>52</v>
      </c>
      <c r="H628" s="1701"/>
      <c r="I628" s="1701"/>
      <c r="J628" s="1742">
        <f>ROUND(J627,0)</f>
        <v>6816</v>
      </c>
    </row>
    <row r="629" spans="1:10">
      <c r="D629" s="1687"/>
      <c r="H629" s="1701"/>
      <c r="I629" s="1701"/>
      <c r="J629" s="1741" t="s">
        <v>53</v>
      </c>
    </row>
    <row r="631" spans="1:10" ht="141" customHeight="1">
      <c r="A631" s="1710"/>
      <c r="B631" s="2966" t="s">
        <v>184</v>
      </c>
      <c r="C631" s="2966"/>
      <c r="D631" s="2966"/>
      <c r="E631" s="2966"/>
      <c r="F631" s="2966"/>
      <c r="G631" s="2966"/>
      <c r="H631" s="2966"/>
      <c r="I631" s="2966"/>
      <c r="J631" s="2966"/>
    </row>
    <row r="632" spans="1:10">
      <c r="A632" s="1773"/>
      <c r="B632" s="1692"/>
      <c r="C632" s="1692"/>
      <c r="D632" s="2967" t="s">
        <v>185</v>
      </c>
      <c r="E632" s="2967"/>
      <c r="F632" s="2967"/>
      <c r="G632" s="2967"/>
      <c r="H632" s="1692"/>
      <c r="I632" s="1692"/>
      <c r="J632" s="1725"/>
    </row>
    <row r="633" spans="1:10">
      <c r="A633" s="1773"/>
      <c r="B633" s="1692"/>
      <c r="C633" s="1692"/>
      <c r="D633" s="2968" t="s">
        <v>186</v>
      </c>
      <c r="E633" s="2968"/>
      <c r="F633" s="2968"/>
      <c r="G633" s="2968"/>
      <c r="H633" s="1692"/>
      <c r="I633" s="1692"/>
      <c r="J633" s="1725"/>
    </row>
    <row r="634" spans="1:10">
      <c r="A634" s="1773"/>
      <c r="B634" s="1692"/>
      <c r="C634" s="1697"/>
      <c r="D634" s="2968" t="s">
        <v>187</v>
      </c>
      <c r="E634" s="2968"/>
      <c r="F634" s="2968"/>
      <c r="G634" s="2968"/>
      <c r="H634" s="1692"/>
      <c r="I634" s="1692"/>
      <c r="J634" s="1725"/>
    </row>
    <row r="635" spans="1:10">
      <c r="A635" s="1773"/>
      <c r="B635" s="1692"/>
      <c r="C635" s="1698"/>
      <c r="D635" s="2941" t="s">
        <v>12</v>
      </c>
      <c r="E635" s="2941"/>
      <c r="F635" s="2941"/>
      <c r="G635" s="2941"/>
      <c r="H635" s="1692"/>
      <c r="I635" s="1692"/>
      <c r="J635" s="1725"/>
    </row>
    <row r="636" spans="1:10">
      <c r="A636" s="1773"/>
      <c r="B636" s="1697">
        <v>0.4</v>
      </c>
      <c r="C636" s="1776" t="s">
        <v>13</v>
      </c>
      <c r="D636" s="2942" t="s">
        <v>14</v>
      </c>
      <c r="E636" s="2942"/>
      <c r="F636" s="2942"/>
      <c r="G636" s="2942"/>
      <c r="H636" s="1707">
        <f>'SSR-rates'!$H$58</f>
        <v>490</v>
      </c>
      <c r="I636" s="1697">
        <v>1</v>
      </c>
      <c r="J636" s="1726">
        <f>ROUND(B636*H636,2)</f>
        <v>196</v>
      </c>
    </row>
    <row r="637" spans="1:10">
      <c r="A637" s="1773"/>
      <c r="B637" s="1697">
        <v>2</v>
      </c>
      <c r="C637" s="1776" t="s">
        <v>13</v>
      </c>
      <c r="D637" s="2942" t="s">
        <v>188</v>
      </c>
      <c r="E637" s="2942"/>
      <c r="F637" s="2942"/>
      <c r="G637" s="2942"/>
      <c r="H637" s="1707">
        <f>'SSR-rates'!$H$92</f>
        <v>540</v>
      </c>
      <c r="I637" s="1697">
        <v>1</v>
      </c>
      <c r="J637" s="1726">
        <f>ROUND(B637*H637,2)</f>
        <v>1080</v>
      </c>
    </row>
    <row r="638" spans="1:10">
      <c r="A638" s="1773"/>
      <c r="B638" s="1697">
        <v>6</v>
      </c>
      <c r="C638" s="1776" t="s">
        <v>13</v>
      </c>
      <c r="D638" s="2942" t="s">
        <v>59</v>
      </c>
      <c r="E638" s="2942"/>
      <c r="F638" s="2942"/>
      <c r="G638" s="2942"/>
      <c r="H638" s="1707">
        <f>'SSR-rates'!$H$60</f>
        <v>490</v>
      </c>
      <c r="I638" s="1697">
        <v>1</v>
      </c>
      <c r="J638" s="1726">
        <f>ROUND(B638*H638,2)</f>
        <v>2940</v>
      </c>
    </row>
    <row r="639" spans="1:10" ht="15" customHeight="1">
      <c r="A639" s="1773"/>
      <c r="B639" s="1702">
        <f>'Input Data'!$D$23</f>
        <v>0</v>
      </c>
      <c r="C639" s="1688"/>
      <c r="D639" s="1684" t="s">
        <v>17</v>
      </c>
      <c r="F639" s="1683"/>
      <c r="G639" s="1683"/>
      <c r="H639" s="1701">
        <f>SUM(J638:J638)</f>
        <v>2940</v>
      </c>
      <c r="I639" s="1716"/>
      <c r="J639" s="1701">
        <f>B639*H639</f>
        <v>0</v>
      </c>
    </row>
    <row r="640" spans="1:10">
      <c r="A640" s="1773"/>
      <c r="B640" s="1697"/>
      <c r="C640" s="1777"/>
      <c r="D640" s="2943" t="s">
        <v>18</v>
      </c>
      <c r="E640" s="2943"/>
      <c r="F640" s="2943"/>
      <c r="G640" s="2943"/>
      <c r="H640" s="1697"/>
      <c r="I640" s="1727" t="s">
        <v>19</v>
      </c>
      <c r="J640" s="1728">
        <f>SUM(J636:J639)</f>
        <v>4216</v>
      </c>
    </row>
    <row r="641" spans="1:11">
      <c r="A641" s="1773"/>
      <c r="B641" s="1697"/>
      <c r="C641" s="1778"/>
      <c r="D641" s="2941" t="s">
        <v>189</v>
      </c>
      <c r="E641" s="2941"/>
      <c r="F641" s="2941"/>
      <c r="G641" s="2941"/>
      <c r="H641" s="1697"/>
      <c r="I641" s="1697"/>
      <c r="J641" s="1726"/>
    </row>
    <row r="642" spans="1:11">
      <c r="A642" s="1773"/>
      <c r="B642" s="1697">
        <v>1.05</v>
      </c>
      <c r="C642" s="1776" t="s">
        <v>66</v>
      </c>
      <c r="D642" s="2942" t="s">
        <v>190</v>
      </c>
      <c r="E642" s="2942"/>
      <c r="F642" s="2942"/>
      <c r="G642" s="2942"/>
      <c r="H642" s="1697">
        <f>lead!$J$37</f>
        <v>49000</v>
      </c>
      <c r="I642" s="1697">
        <v>1</v>
      </c>
      <c r="J642" s="1726">
        <f>ROUND(B642*H642,2)</f>
        <v>51450</v>
      </c>
    </row>
    <row r="643" spans="1:11">
      <c r="A643" s="1773"/>
      <c r="B643" s="1697">
        <v>6</v>
      </c>
      <c r="C643" s="1776" t="s">
        <v>191</v>
      </c>
      <c r="D643" s="2945" t="s">
        <v>192</v>
      </c>
      <c r="E643" s="2945"/>
      <c r="F643" s="2945"/>
      <c r="G643" s="2945"/>
      <c r="H643" s="1697">
        <f>'SSR-rates'!$H$93</f>
        <v>66</v>
      </c>
      <c r="I643" s="1697">
        <v>1</v>
      </c>
      <c r="J643" s="1726">
        <f>H643*B643</f>
        <v>396</v>
      </c>
    </row>
    <row r="644" spans="1:11">
      <c r="A644" s="1773"/>
      <c r="B644" s="1697"/>
      <c r="C644" s="1777"/>
      <c r="D644" s="2943" t="s">
        <v>18</v>
      </c>
      <c r="E644" s="2943"/>
      <c r="F644" s="2943"/>
      <c r="G644" s="2943"/>
      <c r="H644" s="1697"/>
      <c r="I644" s="1727" t="s">
        <v>25</v>
      </c>
      <c r="J644" s="1728">
        <f>SUM(J642:J643)</f>
        <v>51846</v>
      </c>
    </row>
    <row r="645" spans="1:11">
      <c r="A645" s="1773"/>
      <c r="B645" s="1707"/>
      <c r="C645" s="1779"/>
      <c r="D645" s="2941" t="s">
        <v>26</v>
      </c>
      <c r="E645" s="2941"/>
      <c r="F645" s="2941"/>
      <c r="G645" s="2941"/>
      <c r="H645" s="1707"/>
      <c r="I645" s="1789"/>
      <c r="J645" s="1731">
        <f>J640+J644</f>
        <v>56062</v>
      </c>
    </row>
    <row r="646" spans="1:11">
      <c r="A646" s="1773"/>
      <c r="B646" s="1706">
        <f>'Input Data'!$D$25</f>
        <v>0</v>
      </c>
      <c r="C646" s="1779"/>
      <c r="D646" s="2941" t="s">
        <v>193</v>
      </c>
      <c r="E646" s="2941"/>
      <c r="F646" s="2941"/>
      <c r="G646" s="2941"/>
      <c r="H646" s="1707">
        <f>J645</f>
        <v>56062</v>
      </c>
      <c r="I646" s="1729"/>
      <c r="J646" s="1730">
        <f>H646*B646</f>
        <v>0</v>
      </c>
    </row>
    <row r="647" spans="1:11">
      <c r="A647" s="1773"/>
      <c r="B647" s="1707"/>
      <c r="C647" s="1779"/>
      <c r="D647" s="2941"/>
      <c r="E647" s="2941"/>
      <c r="F647" s="2941"/>
      <c r="G647" s="2941"/>
      <c r="H647" s="1707"/>
      <c r="I647" s="1729"/>
      <c r="J647" s="1730"/>
    </row>
    <row r="648" spans="1:11">
      <c r="A648" s="1773"/>
      <c r="B648" s="1707">
        <v>10</v>
      </c>
      <c r="C648" s="1779" t="s">
        <v>29</v>
      </c>
      <c r="D648" s="2941" t="s">
        <v>30</v>
      </c>
      <c r="E648" s="2941"/>
      <c r="F648" s="2941"/>
      <c r="G648" s="2941"/>
      <c r="H648" s="1707">
        <f>J645+J646</f>
        <v>56062</v>
      </c>
      <c r="I648" s="1729"/>
      <c r="J648" s="1730">
        <f>ROUND(B648*H648/100,2)</f>
        <v>5606.2</v>
      </c>
    </row>
    <row r="649" spans="1:11">
      <c r="A649" s="1773"/>
      <c r="B649" s="1707"/>
      <c r="C649" s="1779"/>
      <c r="D649" s="2941"/>
      <c r="E649" s="2941"/>
      <c r="F649" s="2941"/>
      <c r="G649" s="2941"/>
      <c r="H649" s="1707"/>
      <c r="I649" s="1729"/>
      <c r="J649" s="1731"/>
    </row>
    <row r="650" spans="1:11">
      <c r="A650" s="1773"/>
      <c r="B650" s="1708">
        <v>1</v>
      </c>
      <c r="C650" s="1779" t="s">
        <v>66</v>
      </c>
      <c r="D650" s="2943" t="str">
        <f>CONCATENATE("TOTAL Cost for ",B650,"  ",C650,"  =  (A+B+C+D)",)</f>
        <v>TOTAL Cost for 1  MT  =  (A+B+C+D)</v>
      </c>
      <c r="E650" s="2943"/>
      <c r="F650" s="2943"/>
      <c r="G650" s="2943"/>
      <c r="H650" s="1707"/>
      <c r="I650" s="1707"/>
      <c r="J650" s="1730">
        <f>SUM(J645:J648)</f>
        <v>61668.2</v>
      </c>
    </row>
    <row r="651" spans="1:11">
      <c r="A651" s="1773"/>
      <c r="B651" s="1707"/>
      <c r="C651" s="1707"/>
      <c r="D651" s="2945" t="str">
        <f>CONCATENATE("Rate per  1  ",C650)</f>
        <v>Rate per  1  MT</v>
      </c>
      <c r="E651" s="2945"/>
      <c r="F651" s="2945"/>
      <c r="G651" s="2945"/>
      <c r="H651" s="1707"/>
      <c r="I651" s="1707"/>
      <c r="J651" s="1726">
        <f>J650/B650</f>
        <v>61668.2</v>
      </c>
    </row>
    <row r="652" spans="1:11">
      <c r="A652" s="1773"/>
      <c r="B652" s="1697"/>
      <c r="C652" s="1697"/>
      <c r="D652" s="2967" t="str">
        <f>D651</f>
        <v>Rate per  1  MT</v>
      </c>
      <c r="E652" s="2967"/>
      <c r="F652" s="2967"/>
      <c r="G652" s="2967"/>
      <c r="H652" s="1707"/>
      <c r="I652" s="1707"/>
      <c r="J652" s="1728">
        <f>ROUND(J651,0)</f>
        <v>61668</v>
      </c>
      <c r="K652" s="1684">
        <v>57233</v>
      </c>
    </row>
    <row r="653" spans="1:11" ht="141.75" customHeight="1">
      <c r="A653" s="1710"/>
      <c r="B653" s="2966" t="s">
        <v>194</v>
      </c>
      <c r="C653" s="2966"/>
      <c r="D653" s="2966"/>
      <c r="E653" s="2966"/>
      <c r="F653" s="2966"/>
      <c r="G653" s="2966"/>
      <c r="H653" s="2966"/>
      <c r="I653" s="2966"/>
      <c r="J653" s="2966"/>
    </row>
    <row r="654" spans="1:11">
      <c r="A654" s="1773"/>
      <c r="B654" s="1692"/>
      <c r="C654" s="1692"/>
      <c r="D654" s="2967" t="s">
        <v>195</v>
      </c>
      <c r="E654" s="2967"/>
      <c r="F654" s="2967"/>
      <c r="G654" s="2967"/>
      <c r="H654" s="1692"/>
      <c r="I654" s="1692"/>
      <c r="J654" s="1725"/>
    </row>
    <row r="655" spans="1:11">
      <c r="A655" s="1773"/>
      <c r="B655" s="1692"/>
      <c r="C655" s="1692"/>
      <c r="D655" s="2968" t="s">
        <v>186</v>
      </c>
      <c r="E655" s="2968"/>
      <c r="F655" s="2968"/>
      <c r="G655" s="2968"/>
      <c r="H655" s="1692"/>
      <c r="I655" s="1692"/>
      <c r="J655" s="1725"/>
    </row>
    <row r="656" spans="1:11">
      <c r="A656" s="1773"/>
      <c r="B656" s="1692"/>
      <c r="C656" s="1697"/>
      <c r="D656" s="2968" t="s">
        <v>187</v>
      </c>
      <c r="E656" s="2968"/>
      <c r="F656" s="2968"/>
      <c r="G656" s="2968"/>
      <c r="H656" s="1692"/>
      <c r="I656" s="1692"/>
      <c r="J656" s="1725"/>
    </row>
    <row r="657" spans="1:10">
      <c r="A657" s="1773"/>
      <c r="B657" s="1692"/>
      <c r="C657" s="1698"/>
      <c r="D657" s="2941" t="s">
        <v>12</v>
      </c>
      <c r="E657" s="2941"/>
      <c r="F657" s="2941"/>
      <c r="G657" s="2941"/>
      <c r="H657" s="1692"/>
      <c r="I657" s="1692"/>
      <c r="J657" s="1725"/>
    </row>
    <row r="658" spans="1:10">
      <c r="A658" s="1773"/>
      <c r="B658" s="1697">
        <v>0.34</v>
      </c>
      <c r="C658" s="1776" t="s">
        <v>13</v>
      </c>
      <c r="D658" s="2942" t="s">
        <v>14</v>
      </c>
      <c r="E658" s="2942"/>
      <c r="F658" s="2942"/>
      <c r="G658" s="2942"/>
      <c r="H658" s="1707">
        <f>'SSR-rates'!$H$58</f>
        <v>490</v>
      </c>
      <c r="I658" s="1697">
        <v>1</v>
      </c>
      <c r="J658" s="1726">
        <f>ROUND(B658*H658,2)</f>
        <v>166.6</v>
      </c>
    </row>
    <row r="659" spans="1:10">
      <c r="A659" s="1773"/>
      <c r="B659" s="1697">
        <v>2</v>
      </c>
      <c r="C659" s="1776" t="s">
        <v>13</v>
      </c>
      <c r="D659" s="2942" t="s">
        <v>188</v>
      </c>
      <c r="E659" s="2942"/>
      <c r="F659" s="2942"/>
      <c r="G659" s="2942"/>
      <c r="H659" s="1707">
        <f>'SSR-rates'!$H$92</f>
        <v>540</v>
      </c>
      <c r="I659" s="1697">
        <v>1</v>
      </c>
      <c r="J659" s="1726">
        <f>ROUND(B659*H659,2)</f>
        <v>1080</v>
      </c>
    </row>
    <row r="660" spans="1:10">
      <c r="A660" s="1773"/>
      <c r="B660" s="1697">
        <v>6.5</v>
      </c>
      <c r="C660" s="1776" t="s">
        <v>13</v>
      </c>
      <c r="D660" s="2942" t="s">
        <v>59</v>
      </c>
      <c r="E660" s="2942"/>
      <c r="F660" s="2942"/>
      <c r="G660" s="2942"/>
      <c r="H660" s="1707">
        <f>'SSR-rates'!$H$60</f>
        <v>490</v>
      </c>
      <c r="I660" s="1697">
        <v>1</v>
      </c>
      <c r="J660" s="1726">
        <f>ROUND(B660*H660,2)</f>
        <v>3185</v>
      </c>
    </row>
    <row r="661" spans="1:10" ht="15" customHeight="1">
      <c r="A661" s="1773"/>
      <c r="B661" s="1702">
        <f>'Input Data'!$D$23</f>
        <v>0</v>
      </c>
      <c r="C661" s="1688"/>
      <c r="D661" s="1684" t="s">
        <v>17</v>
      </c>
      <c r="F661" s="1683"/>
      <c r="G661" s="1683"/>
      <c r="H661" s="1701">
        <f>SUM(J660:J660)</f>
        <v>3185</v>
      </c>
      <c r="I661" s="1716"/>
      <c r="J661" s="1701">
        <f>B661*H661</f>
        <v>0</v>
      </c>
    </row>
    <row r="662" spans="1:10">
      <c r="A662" s="1773"/>
      <c r="B662" s="1697"/>
      <c r="C662" s="1777"/>
      <c r="D662" s="2943" t="s">
        <v>18</v>
      </c>
      <c r="E662" s="2943"/>
      <c r="F662" s="2943"/>
      <c r="G662" s="2943"/>
      <c r="H662" s="1697"/>
      <c r="I662" s="1727" t="s">
        <v>19</v>
      </c>
      <c r="J662" s="1728">
        <f>SUM(J658:J661)</f>
        <v>4431.6000000000004</v>
      </c>
    </row>
    <row r="663" spans="1:10">
      <c r="A663" s="1773"/>
      <c r="B663" s="1697"/>
      <c r="C663" s="1778"/>
      <c r="D663" s="2941" t="s">
        <v>189</v>
      </c>
      <c r="E663" s="2941"/>
      <c r="F663" s="2941"/>
      <c r="G663" s="2941"/>
      <c r="H663" s="1697"/>
      <c r="I663" s="1697"/>
      <c r="J663" s="1726"/>
    </row>
    <row r="664" spans="1:10">
      <c r="A664" s="1773"/>
      <c r="B664" s="1697">
        <v>1.05</v>
      </c>
      <c r="C664" s="1776" t="s">
        <v>66</v>
      </c>
      <c r="D664" s="2942" t="s">
        <v>190</v>
      </c>
      <c r="E664" s="2942"/>
      <c r="F664" s="2942"/>
      <c r="G664" s="2942"/>
      <c r="H664" s="1697">
        <f>lead!$J$37</f>
        <v>49000</v>
      </c>
      <c r="I664" s="1697">
        <v>1</v>
      </c>
      <c r="J664" s="1726">
        <f>ROUND(B664*H664,2)</f>
        <v>51450</v>
      </c>
    </row>
    <row r="665" spans="1:10">
      <c r="A665" s="1773"/>
      <c r="B665" s="1697">
        <v>6</v>
      </c>
      <c r="C665" s="1776" t="s">
        <v>191</v>
      </c>
      <c r="D665" s="2945" t="s">
        <v>196</v>
      </c>
      <c r="E665" s="2945"/>
      <c r="F665" s="2945"/>
      <c r="G665" s="2945"/>
      <c r="H665" s="1697">
        <f>'SSR-rates'!$H$93</f>
        <v>66</v>
      </c>
      <c r="I665" s="1697">
        <v>1</v>
      </c>
      <c r="J665" s="1726">
        <f>H665*B665</f>
        <v>396</v>
      </c>
    </row>
    <row r="666" spans="1:10">
      <c r="A666" s="1773"/>
      <c r="B666" s="1697"/>
      <c r="C666" s="1777"/>
      <c r="D666" s="2943" t="s">
        <v>18</v>
      </c>
      <c r="E666" s="2943"/>
      <c r="F666" s="2943"/>
      <c r="G666" s="2943"/>
      <c r="H666" s="1697"/>
      <c r="I666" s="1727" t="s">
        <v>25</v>
      </c>
      <c r="J666" s="1728">
        <f>SUM(J664:J665)</f>
        <v>51846</v>
      </c>
    </row>
    <row r="667" spans="1:10">
      <c r="A667" s="1773"/>
      <c r="B667" s="1707"/>
      <c r="C667" s="1779"/>
      <c r="D667" s="2941" t="s">
        <v>26</v>
      </c>
      <c r="E667" s="2941"/>
      <c r="F667" s="2941"/>
      <c r="G667" s="2941"/>
      <c r="H667" s="1707"/>
      <c r="I667" s="1789"/>
      <c r="J667" s="1731">
        <f>J662+J666</f>
        <v>56277.599999999999</v>
      </c>
    </row>
    <row r="668" spans="1:10">
      <c r="A668" s="1773"/>
      <c r="B668" s="1706">
        <f>'Input Data'!$D$25</f>
        <v>0</v>
      </c>
      <c r="C668" s="1779"/>
      <c r="D668" s="2941" t="s">
        <v>193</v>
      </c>
      <c r="E668" s="2941"/>
      <c r="F668" s="2941"/>
      <c r="G668" s="2941"/>
      <c r="H668" s="1707">
        <f>J667</f>
        <v>56277.599999999999</v>
      </c>
      <c r="I668" s="1729"/>
      <c r="J668" s="1730">
        <f>H668*B668</f>
        <v>0</v>
      </c>
    </row>
    <row r="669" spans="1:10">
      <c r="A669" s="1773"/>
      <c r="B669" s="1707"/>
      <c r="C669" s="1779"/>
      <c r="D669" s="2941"/>
      <c r="E669" s="2941"/>
      <c r="F669" s="2941"/>
      <c r="G669" s="2941"/>
      <c r="H669" s="1707"/>
      <c r="I669" s="1729"/>
      <c r="J669" s="1730"/>
    </row>
    <row r="670" spans="1:10">
      <c r="A670" s="1773"/>
      <c r="B670" s="1707">
        <v>10</v>
      </c>
      <c r="C670" s="1779" t="s">
        <v>29</v>
      </c>
      <c r="D670" s="2941" t="s">
        <v>30</v>
      </c>
      <c r="E670" s="2941"/>
      <c r="F670" s="2941"/>
      <c r="G670" s="2941"/>
      <c r="H670" s="1707">
        <f>J667+J668</f>
        <v>56277.599999999999</v>
      </c>
      <c r="I670" s="1729"/>
      <c r="J670" s="1730">
        <f>ROUND(B670*H670/100,2)</f>
        <v>5627.76</v>
      </c>
    </row>
    <row r="671" spans="1:10">
      <c r="A671" s="1773"/>
      <c r="B671" s="1707"/>
      <c r="C671" s="1779"/>
      <c r="D671" s="2941"/>
      <c r="E671" s="2941"/>
      <c r="F671" s="2941"/>
      <c r="G671" s="2941"/>
      <c r="H671" s="1707"/>
      <c r="I671" s="1729"/>
      <c r="J671" s="1731"/>
    </row>
    <row r="672" spans="1:10">
      <c r="A672" s="1773"/>
      <c r="B672" s="1708">
        <v>1</v>
      </c>
      <c r="C672" s="1779" t="s">
        <v>66</v>
      </c>
      <c r="D672" s="2943" t="str">
        <f>CONCATENATE("TOTAL Cost for ",B672,"  ",C672,"  =  (A+B+C+D)",)</f>
        <v>TOTAL Cost for 1  MT  =  (A+B+C+D)</v>
      </c>
      <c r="E672" s="2943"/>
      <c r="F672" s="2943"/>
      <c r="G672" s="2943"/>
      <c r="H672" s="1707"/>
      <c r="I672" s="1707"/>
      <c r="J672" s="1730">
        <f>SUM(J667:J670)</f>
        <v>61905.36</v>
      </c>
    </row>
    <row r="673" spans="1:12">
      <c r="A673" s="1773"/>
      <c r="B673" s="1707"/>
      <c r="C673" s="1707"/>
      <c r="D673" s="2945" t="str">
        <f>CONCATENATE("Rate per  1  ",C672)</f>
        <v>Rate per  1  MT</v>
      </c>
      <c r="E673" s="2945"/>
      <c r="F673" s="2945"/>
      <c r="G673" s="2945"/>
      <c r="H673" s="1707"/>
      <c r="I673" s="1707"/>
      <c r="J673" s="1726">
        <f>J672/B672</f>
        <v>61905.36</v>
      </c>
    </row>
    <row r="674" spans="1:12">
      <c r="A674" s="1773"/>
      <c r="B674" s="1697"/>
      <c r="C674" s="1697"/>
      <c r="D674" s="2967" t="str">
        <f>D673</f>
        <v>Rate per  1  MT</v>
      </c>
      <c r="E674" s="2967"/>
      <c r="F674" s="2967"/>
      <c r="G674" s="2967"/>
      <c r="H674" s="1707"/>
      <c r="I674" s="1707"/>
      <c r="J674" s="1728">
        <f>ROUND(J673,0)</f>
        <v>61905</v>
      </c>
      <c r="K674" s="1684">
        <v>57086</v>
      </c>
    </row>
    <row r="675" spans="1:12" ht="137.25" customHeight="1">
      <c r="A675" s="1710"/>
      <c r="B675" s="2966" t="s">
        <v>197</v>
      </c>
      <c r="C675" s="2966"/>
      <c r="D675" s="2966"/>
      <c r="E675" s="2966"/>
      <c r="F675" s="2966"/>
      <c r="G675" s="2966"/>
      <c r="H675" s="2966"/>
      <c r="I675" s="2966"/>
      <c r="J675" s="2966"/>
    </row>
    <row r="676" spans="1:12">
      <c r="A676" s="1773"/>
      <c r="B676" s="1692"/>
      <c r="C676" s="1692"/>
      <c r="D676" s="2967" t="s">
        <v>198</v>
      </c>
      <c r="E676" s="2967"/>
      <c r="F676" s="2967"/>
      <c r="G676" s="2967"/>
      <c r="H676" s="1692"/>
      <c r="I676" s="1692"/>
      <c r="J676" s="1725"/>
    </row>
    <row r="677" spans="1:12">
      <c r="A677" s="1773"/>
      <c r="B677" s="1692"/>
      <c r="C677" s="1692"/>
      <c r="D677" s="2968" t="s">
        <v>186</v>
      </c>
      <c r="E677" s="2968"/>
      <c r="F677" s="2968"/>
      <c r="G677" s="2968"/>
      <c r="H677" s="1692"/>
      <c r="I677" s="1692"/>
      <c r="J677" s="1725"/>
    </row>
    <row r="678" spans="1:12">
      <c r="A678" s="1773"/>
      <c r="B678" s="1692"/>
      <c r="C678" s="1697"/>
      <c r="D678" s="2968" t="s">
        <v>187</v>
      </c>
      <c r="E678" s="2968"/>
      <c r="F678" s="2968"/>
      <c r="G678" s="2968"/>
      <c r="H678" s="1692"/>
      <c r="I678" s="1692"/>
      <c r="J678" s="1725"/>
    </row>
    <row r="679" spans="1:12">
      <c r="A679" s="1773"/>
      <c r="B679" s="1692"/>
      <c r="C679" s="1698"/>
      <c r="D679" s="2941" t="s">
        <v>12</v>
      </c>
      <c r="E679" s="2941"/>
      <c r="F679" s="2941"/>
      <c r="G679" s="2941"/>
      <c r="H679" s="1692"/>
      <c r="I679" s="1692"/>
      <c r="J679" s="1725"/>
    </row>
    <row r="680" spans="1:12">
      <c r="A680" s="1773"/>
      <c r="B680" s="1697">
        <v>0.44</v>
      </c>
      <c r="C680" s="1776" t="s">
        <v>13</v>
      </c>
      <c r="D680" s="2942" t="s">
        <v>14</v>
      </c>
      <c r="E680" s="2942"/>
      <c r="F680" s="2942"/>
      <c r="G680" s="2942"/>
      <c r="H680" s="1707">
        <f>'SSR-rates'!$H$58</f>
        <v>490</v>
      </c>
      <c r="I680" s="1697">
        <v>1</v>
      </c>
      <c r="J680" s="1726">
        <f>ROUND(B680*H680,2)</f>
        <v>215.6</v>
      </c>
      <c r="L680" s="1684">
        <v>0.44</v>
      </c>
    </row>
    <row r="681" spans="1:12">
      <c r="A681" s="1773"/>
      <c r="B681" s="1697">
        <v>3</v>
      </c>
      <c r="C681" s="1776" t="s">
        <v>13</v>
      </c>
      <c r="D681" s="2942" t="s">
        <v>188</v>
      </c>
      <c r="E681" s="2942"/>
      <c r="F681" s="2942"/>
      <c r="G681" s="2942"/>
      <c r="H681" s="1707">
        <f>'SSR-rates'!$H$92</f>
        <v>540</v>
      </c>
      <c r="I681" s="1697">
        <v>1</v>
      </c>
      <c r="J681" s="1726">
        <f>ROUND(B681*H681,2)</f>
        <v>1620</v>
      </c>
      <c r="L681" s="1684">
        <v>3</v>
      </c>
    </row>
    <row r="682" spans="1:12">
      <c r="A682" s="1773"/>
      <c r="B682" s="1697">
        <v>8</v>
      </c>
      <c r="C682" s="1776" t="s">
        <v>13</v>
      </c>
      <c r="D682" s="2942" t="s">
        <v>59</v>
      </c>
      <c r="E682" s="2942"/>
      <c r="F682" s="2942"/>
      <c r="G682" s="2942"/>
      <c r="H682" s="1707">
        <f>'SSR-rates'!$H$60</f>
        <v>490</v>
      </c>
      <c r="I682" s="1697">
        <v>1</v>
      </c>
      <c r="J682" s="1726">
        <f>ROUND(B682*H682,2)</f>
        <v>3920</v>
      </c>
      <c r="L682" s="1684">
        <v>8</v>
      </c>
    </row>
    <row r="683" spans="1:12" ht="15" customHeight="1">
      <c r="A683" s="1773"/>
      <c r="B683" s="1702">
        <f>'Input Data'!$D$23</f>
        <v>0</v>
      </c>
      <c r="C683" s="1688"/>
      <c r="D683" s="1684" t="s">
        <v>17</v>
      </c>
      <c r="F683" s="1683"/>
      <c r="G683" s="1683"/>
      <c r="H683" s="1701">
        <f>SUM(J682:J682)</f>
        <v>3920</v>
      </c>
      <c r="I683" s="1716"/>
      <c r="J683" s="1701">
        <f>B683*H683</f>
        <v>0</v>
      </c>
    </row>
    <row r="684" spans="1:12">
      <c r="A684" s="1773"/>
      <c r="B684" s="1697"/>
      <c r="C684" s="1777"/>
      <c r="D684" s="2943" t="s">
        <v>18</v>
      </c>
      <c r="E684" s="2943"/>
      <c r="F684" s="2943"/>
      <c r="G684" s="2943"/>
      <c r="H684" s="1697"/>
      <c r="I684" s="1727" t="s">
        <v>19</v>
      </c>
      <c r="J684" s="1728">
        <f>SUM(J680:J683)</f>
        <v>5755.6</v>
      </c>
    </row>
    <row r="685" spans="1:12">
      <c r="A685" s="1773"/>
      <c r="B685" s="1697"/>
      <c r="C685" s="1778"/>
      <c r="D685" s="2941" t="s">
        <v>189</v>
      </c>
      <c r="E685" s="2941"/>
      <c r="F685" s="2941"/>
      <c r="G685" s="2941"/>
      <c r="H685" s="1697"/>
      <c r="I685" s="1697"/>
      <c r="J685" s="1726"/>
    </row>
    <row r="686" spans="1:12" ht="42" customHeight="1">
      <c r="A686" s="1773"/>
      <c r="B686" s="1697">
        <v>1.05</v>
      </c>
      <c r="C686" s="1776" t="s">
        <v>66</v>
      </c>
      <c r="D686" s="2969" t="s">
        <v>199</v>
      </c>
      <c r="E686" s="2970"/>
      <c r="F686" s="2970"/>
      <c r="G686" s="2971"/>
      <c r="H686" s="1697">
        <f>lead!$J$37</f>
        <v>49000</v>
      </c>
      <c r="I686" s="1697">
        <v>1</v>
      </c>
      <c r="J686" s="1726">
        <f>ROUND(B686*H686,2)</f>
        <v>51450</v>
      </c>
    </row>
    <row r="687" spans="1:12">
      <c r="A687" s="1773"/>
      <c r="B687" s="1697">
        <v>8</v>
      </c>
      <c r="C687" s="1776" t="s">
        <v>191</v>
      </c>
      <c r="D687" s="2945" t="s">
        <v>196</v>
      </c>
      <c r="E687" s="2945"/>
      <c r="F687" s="2945"/>
      <c r="G687" s="2945"/>
      <c r="H687" s="1697">
        <f>'SSR-rates'!$H$93</f>
        <v>66</v>
      </c>
      <c r="I687" s="1697">
        <v>1</v>
      </c>
      <c r="J687" s="1726">
        <f>H687*B687</f>
        <v>528</v>
      </c>
    </row>
    <row r="688" spans="1:12">
      <c r="A688" s="1773"/>
      <c r="B688" s="1697"/>
      <c r="C688" s="1777"/>
      <c r="D688" s="2943" t="s">
        <v>18</v>
      </c>
      <c r="E688" s="2943"/>
      <c r="F688" s="2943"/>
      <c r="G688" s="2943"/>
      <c r="H688" s="1697"/>
      <c r="I688" s="1727" t="s">
        <v>25</v>
      </c>
      <c r="J688" s="1728">
        <f>SUM(J686:J687)</f>
        <v>51978</v>
      </c>
    </row>
    <row r="689" spans="1:11">
      <c r="A689" s="1773"/>
      <c r="B689" s="1707"/>
      <c r="C689" s="1779"/>
      <c r="D689" s="2941" t="s">
        <v>26</v>
      </c>
      <c r="E689" s="2941"/>
      <c r="F689" s="2941"/>
      <c r="G689" s="2941"/>
      <c r="H689" s="1707"/>
      <c r="I689" s="1789"/>
      <c r="J689" s="1731">
        <f>J684+J688</f>
        <v>57733.599999999999</v>
      </c>
    </row>
    <row r="690" spans="1:11">
      <c r="A690" s="1773"/>
      <c r="B690" s="1706">
        <f>'Input Data'!$D$25</f>
        <v>0</v>
      </c>
      <c r="C690" s="1779"/>
      <c r="D690" s="2941" t="s">
        <v>193</v>
      </c>
      <c r="E690" s="2941"/>
      <c r="F690" s="2941"/>
      <c r="G690" s="2941"/>
      <c r="H690" s="1707">
        <f>J689</f>
        <v>57733.599999999999</v>
      </c>
      <c r="I690" s="1729"/>
      <c r="J690" s="1730">
        <f>H690*B690</f>
        <v>0</v>
      </c>
    </row>
    <row r="691" spans="1:11">
      <c r="A691" s="1773"/>
      <c r="B691" s="1707"/>
      <c r="C691" s="1779"/>
      <c r="D691" s="2941"/>
      <c r="E691" s="2941"/>
      <c r="F691" s="2941"/>
      <c r="G691" s="2941"/>
      <c r="H691" s="1707"/>
      <c r="I691" s="1729"/>
      <c r="J691" s="1730"/>
    </row>
    <row r="692" spans="1:11">
      <c r="A692" s="1773"/>
      <c r="B692" s="1707">
        <v>10</v>
      </c>
      <c r="C692" s="1779" t="s">
        <v>29</v>
      </c>
      <c r="D692" s="2941" t="s">
        <v>30</v>
      </c>
      <c r="E692" s="2941"/>
      <c r="F692" s="2941"/>
      <c r="G692" s="2941"/>
      <c r="H692" s="1707">
        <f>J689+J690</f>
        <v>57733.599999999999</v>
      </c>
      <c r="I692" s="1729"/>
      <c r="J692" s="1730">
        <f>ROUND(B692*H692/100,2)</f>
        <v>5773.36</v>
      </c>
    </row>
    <row r="693" spans="1:11">
      <c r="A693" s="1773"/>
      <c r="B693" s="1707"/>
      <c r="C693" s="1779"/>
      <c r="D693" s="2941"/>
      <c r="E693" s="2941"/>
      <c r="F693" s="2941"/>
      <c r="G693" s="2941"/>
      <c r="H693" s="1707"/>
      <c r="I693" s="1729"/>
      <c r="J693" s="1731"/>
    </row>
    <row r="694" spans="1:11">
      <c r="A694" s="1773"/>
      <c r="B694" s="1708">
        <v>1</v>
      </c>
      <c r="C694" s="1779" t="s">
        <v>66</v>
      </c>
      <c r="D694" s="2943" t="str">
        <f>CONCATENATE("TOTAL Cost for ",B694,"  ",C694,"  =  (A+B+C+D)",)</f>
        <v>TOTAL Cost for 1  MT  =  (A+B+C+D)</v>
      </c>
      <c r="E694" s="2943"/>
      <c r="F694" s="2943"/>
      <c r="G694" s="2943"/>
      <c r="H694" s="1707"/>
      <c r="I694" s="1707"/>
      <c r="J694" s="1730">
        <f>SUM(J689:J692)</f>
        <v>63506.96</v>
      </c>
    </row>
    <row r="695" spans="1:11">
      <c r="A695" s="1773"/>
      <c r="B695" s="1707"/>
      <c r="C695" s="1707"/>
      <c r="D695" s="2945" t="str">
        <f>CONCATENATE("Rate per  1  ",C694)</f>
        <v>Rate per  1  MT</v>
      </c>
      <c r="E695" s="2945"/>
      <c r="F695" s="2945"/>
      <c r="G695" s="2945"/>
      <c r="H695" s="1707"/>
      <c r="I695" s="1707"/>
      <c r="J695" s="1726">
        <f>J694/B694</f>
        <v>63506.96</v>
      </c>
    </row>
    <row r="696" spans="1:11">
      <c r="A696" s="1773"/>
      <c r="B696" s="1697"/>
      <c r="C696" s="1697"/>
      <c r="D696" s="2967" t="str">
        <f>D695</f>
        <v>Rate per  1  MT</v>
      </c>
      <c r="E696" s="2967"/>
      <c r="F696" s="2967"/>
      <c r="G696" s="2967"/>
      <c r="H696" s="1707"/>
      <c r="I696" s="1707"/>
      <c r="J696" s="1728">
        <f>ROUND(J695,0)</f>
        <v>63507</v>
      </c>
      <c r="K696" s="1684">
        <v>58243</v>
      </c>
    </row>
    <row r="697" spans="1:11">
      <c r="A697" s="1773"/>
      <c r="B697" s="1780"/>
      <c r="C697" s="1781"/>
      <c r="D697" s="1782"/>
      <c r="E697" s="1782"/>
      <c r="F697" s="1782"/>
      <c r="G697" s="1782"/>
      <c r="H697" s="1783"/>
      <c r="I697" s="1783"/>
      <c r="J697" s="1790"/>
    </row>
    <row r="698" spans="1:11" s="1681" customFormat="1" ht="108" customHeight="1">
      <c r="A698" s="1784"/>
      <c r="B698" s="2972" t="s">
        <v>200</v>
      </c>
      <c r="C698" s="2973"/>
      <c r="D698" s="2973"/>
      <c r="E698" s="2973"/>
      <c r="F698" s="2973"/>
      <c r="G698" s="2973"/>
      <c r="H698" s="2973"/>
      <c r="I698" s="2973"/>
      <c r="J698" s="2974"/>
    </row>
    <row r="699" spans="1:11" s="1681" customFormat="1" ht="15.6">
      <c r="A699" s="1785"/>
      <c r="B699" s="1786"/>
      <c r="C699" s="1786"/>
      <c r="D699" s="2975" t="s">
        <v>201</v>
      </c>
      <c r="E699" s="2975"/>
      <c r="F699" s="2975"/>
      <c r="G699" s="1787"/>
      <c r="I699" s="1791" t="s">
        <v>202</v>
      </c>
      <c r="J699" s="1792">
        <v>257</v>
      </c>
    </row>
    <row r="700" spans="1:11" s="1681" customFormat="1" ht="15.6">
      <c r="A700" s="1785"/>
      <c r="B700" s="1786"/>
      <c r="C700" s="1786"/>
      <c r="D700" s="2976" t="s">
        <v>203</v>
      </c>
      <c r="E700" s="2976"/>
      <c r="F700" s="2976"/>
      <c r="G700" s="1788"/>
      <c r="I700" s="1786"/>
      <c r="J700" s="1793"/>
    </row>
    <row r="701" spans="1:11" ht="123" customHeight="1">
      <c r="A701" s="1759">
        <v>17</v>
      </c>
      <c r="B701" s="2946" t="s">
        <v>204</v>
      </c>
      <c r="C701" s="2946"/>
      <c r="D701" s="2946"/>
      <c r="E701" s="2946"/>
      <c r="F701" s="2946"/>
      <c r="G701" s="2946"/>
      <c r="H701" s="2946"/>
      <c r="I701" s="2946"/>
      <c r="J701" s="2946"/>
    </row>
    <row r="702" spans="1:11">
      <c r="B702" s="2947" t="s">
        <v>33</v>
      </c>
      <c r="C702" s="2947"/>
      <c r="D702" s="1712"/>
      <c r="E702" s="1712"/>
      <c r="F702" s="1712"/>
      <c r="G702" s="1712"/>
      <c r="H702" s="1714"/>
      <c r="I702" s="1714"/>
      <c r="J702" s="1714"/>
    </row>
    <row r="703" spans="1:11" ht="16.5" customHeight="1">
      <c r="B703" s="2947" t="s">
        <v>205</v>
      </c>
      <c r="C703" s="2947"/>
      <c r="D703" s="2947"/>
      <c r="E703" s="2947"/>
      <c r="F703" s="1713" t="s">
        <v>206</v>
      </c>
      <c r="G703" s="1712"/>
      <c r="H703" s="1714"/>
      <c r="I703" s="1714"/>
      <c r="J703" s="1714"/>
    </row>
    <row r="704" spans="1:11" ht="16.5" customHeight="1">
      <c r="B704" s="1715" t="s">
        <v>36</v>
      </c>
      <c r="C704" s="1713" t="s">
        <v>37</v>
      </c>
      <c r="D704" s="1712"/>
      <c r="E704" s="1712"/>
      <c r="F704" s="1712"/>
      <c r="G704" s="1712"/>
      <c r="H704" s="1714"/>
      <c r="I704" s="1714"/>
      <c r="J704" s="1714"/>
    </row>
    <row r="705" spans="1:15" ht="18.75" customHeight="1">
      <c r="B705" s="1705">
        <v>0.04</v>
      </c>
      <c r="C705" s="1688" t="s">
        <v>38</v>
      </c>
      <c r="D705" s="1683" t="s">
        <v>14</v>
      </c>
      <c r="F705" s="1683"/>
      <c r="G705" s="1683"/>
      <c r="H705" s="1701">
        <f>'SSR-rates'!$H$58</f>
        <v>490</v>
      </c>
      <c r="I705" s="1716" t="s">
        <v>38</v>
      </c>
      <c r="J705" s="1701">
        <f>ROUND(B705*H705,2)</f>
        <v>19.600000000000001</v>
      </c>
    </row>
    <row r="706" spans="1:15" ht="18.75" customHeight="1">
      <c r="B706" s="1705">
        <v>1</v>
      </c>
      <c r="C706" s="1688" t="s">
        <v>38</v>
      </c>
      <c r="D706" s="1683" t="s">
        <v>16</v>
      </c>
      <c r="F706" s="1683"/>
      <c r="G706" s="1683"/>
      <c r="H706" s="1701">
        <f>'SSR-rates'!$H$60</f>
        <v>490</v>
      </c>
      <c r="I706" s="1716" t="s">
        <v>38</v>
      </c>
      <c r="J706" s="1701">
        <f>ROUND(B706*H706,2)</f>
        <v>490</v>
      </c>
    </row>
    <row r="707" spans="1:15">
      <c r="B707" s="1702">
        <f>'Input Data'!$D$23</f>
        <v>0</v>
      </c>
      <c r="C707" s="1688"/>
      <c r="D707" s="1684" t="s">
        <v>17</v>
      </c>
      <c r="F707" s="1683"/>
      <c r="G707" s="1683"/>
      <c r="H707" s="1701"/>
      <c r="I707" s="1716"/>
      <c r="J707" s="1701">
        <f>(J705+J706)*B707/100</f>
        <v>0</v>
      </c>
    </row>
    <row r="708" spans="1:15">
      <c r="B708" s="1705"/>
      <c r="C708" s="1688"/>
      <c r="D708" s="1683"/>
      <c r="E708" s="1683"/>
      <c r="F708" s="1683"/>
      <c r="G708" s="1683"/>
      <c r="H708" s="1701"/>
      <c r="I708" s="1716"/>
      <c r="J708" s="1701">
        <f>SUM(J705:J707)</f>
        <v>509.6</v>
      </c>
      <c r="O708" s="1684">
        <f>160*5</f>
        <v>800</v>
      </c>
    </row>
    <row r="709" spans="1:15">
      <c r="B709" s="1715" t="s">
        <v>39</v>
      </c>
      <c r="C709" s="1713" t="s">
        <v>40</v>
      </c>
      <c r="F709" s="1683"/>
      <c r="G709" s="1683"/>
      <c r="H709" s="1683"/>
      <c r="I709" s="1683"/>
      <c r="J709" s="1684"/>
    </row>
    <row r="710" spans="1:15">
      <c r="A710" s="1713"/>
      <c r="B710" s="1717">
        <v>100</v>
      </c>
      <c r="C710" s="1718" t="s">
        <v>31</v>
      </c>
      <c r="D710" s="2951" t="s">
        <v>43</v>
      </c>
      <c r="E710" s="2951"/>
      <c r="F710" s="2951"/>
      <c r="G710" s="2951"/>
      <c r="H710" s="1719">
        <v>13</v>
      </c>
      <c r="I710" s="1719" t="s">
        <v>31</v>
      </c>
      <c r="J710" s="1719">
        <f>ROUND(B710*H710,2)</f>
        <v>1300</v>
      </c>
    </row>
    <row r="711" spans="1:15">
      <c r="A711" s="1713"/>
      <c r="B711" s="1705">
        <v>800</v>
      </c>
      <c r="C711" s="1688" t="s">
        <v>207</v>
      </c>
      <c r="D711" s="1683" t="s">
        <v>208</v>
      </c>
      <c r="F711" s="1683"/>
      <c r="G711" s="1683"/>
      <c r="H711" s="1701">
        <f>'SSR-rates'!H89</f>
        <v>1142.5999999999999</v>
      </c>
      <c r="I711" s="1701" t="s">
        <v>207</v>
      </c>
      <c r="J711" s="1701">
        <f>ROUND(B711*H711,2)</f>
        <v>914080</v>
      </c>
      <c r="M711" s="1684" t="s">
        <v>209</v>
      </c>
    </row>
    <row r="712" spans="1:15">
      <c r="A712" s="1713"/>
      <c r="B712" s="1705"/>
      <c r="C712" s="1688"/>
      <c r="D712" s="2951" t="s">
        <v>210</v>
      </c>
      <c r="E712" s="2951"/>
      <c r="F712" s="2951"/>
      <c r="G712" s="2951"/>
      <c r="H712" s="1719"/>
      <c r="I712" s="1701"/>
      <c r="J712" s="1701">
        <f>ROUND(J711*10/100,2)</f>
        <v>91408</v>
      </c>
    </row>
    <row r="713" spans="1:15">
      <c r="B713" s="1717">
        <v>0.5</v>
      </c>
      <c r="C713" s="1718" t="s">
        <v>41</v>
      </c>
      <c r="D713" s="2951" t="s">
        <v>211</v>
      </c>
      <c r="E713" s="2951"/>
      <c r="F713" s="2951"/>
      <c r="G713" s="2951"/>
      <c r="H713" s="1719">
        <f>'SSR-rates'!$H$62</f>
        <v>2956.9</v>
      </c>
      <c r="I713" s="1719" t="s">
        <v>31</v>
      </c>
      <c r="J713" s="1719">
        <f>ROUND(B713*H713,2)</f>
        <v>1478.45</v>
      </c>
    </row>
    <row r="714" spans="1:15" ht="18.75" customHeight="1">
      <c r="B714" s="1717">
        <v>1</v>
      </c>
      <c r="C714" s="1718" t="s">
        <v>41</v>
      </c>
      <c r="D714" s="2951" t="s">
        <v>212</v>
      </c>
      <c r="E714" s="2951"/>
      <c r="F714" s="2951"/>
      <c r="G714" s="2951"/>
      <c r="H714" s="1719">
        <f>'SSR-rates'!$H$63</f>
        <v>3602</v>
      </c>
      <c r="I714" s="1719" t="s">
        <v>41</v>
      </c>
      <c r="J714" s="1719">
        <f>ROUND(B714*H714,2)</f>
        <v>3602</v>
      </c>
    </row>
    <row r="715" spans="1:15" ht="24.75" customHeight="1">
      <c r="B715" s="1705">
        <v>4</v>
      </c>
      <c r="C715" s="1688" t="s">
        <v>41</v>
      </c>
      <c r="D715" s="1683" t="s">
        <v>213</v>
      </c>
      <c r="F715" s="1683"/>
      <c r="G715" s="1683"/>
      <c r="H715" s="1701">
        <f>'SSR-rates'!$H$69</f>
        <v>699</v>
      </c>
      <c r="I715" s="1701" t="s">
        <v>41</v>
      </c>
      <c r="J715" s="1701">
        <f>ROUND(B715*H715,2)</f>
        <v>2796</v>
      </c>
    </row>
    <row r="716" spans="1:15" ht="17.25" customHeight="1">
      <c r="B716" s="1705">
        <v>1</v>
      </c>
      <c r="C716" s="1688" t="s">
        <v>41</v>
      </c>
      <c r="D716" s="1683" t="s">
        <v>214</v>
      </c>
      <c r="F716" s="1683"/>
      <c r="G716" s="1683"/>
      <c r="H716" s="1701">
        <f>'SSR-rates'!$H$67</f>
        <v>3292.4</v>
      </c>
      <c r="I716" s="1701" t="s">
        <v>41</v>
      </c>
      <c r="J716" s="1701">
        <f>ROUND(B716*H716,2)</f>
        <v>3292.4</v>
      </c>
    </row>
    <row r="717" spans="1:15" ht="16.5" customHeight="1">
      <c r="B717" s="1705"/>
      <c r="C717" s="1688"/>
      <c r="D717" s="1683"/>
      <c r="F717" s="1683"/>
      <c r="G717" s="1683"/>
      <c r="H717" s="1701"/>
      <c r="I717" s="1701"/>
      <c r="J717" s="1701">
        <f>SUM(J710:J716)</f>
        <v>1017956.85</v>
      </c>
    </row>
    <row r="718" spans="1:15">
      <c r="B718" s="1715" t="s">
        <v>27</v>
      </c>
      <c r="C718" s="1713" t="s">
        <v>44</v>
      </c>
      <c r="J718" s="1684"/>
    </row>
    <row r="719" spans="1:15">
      <c r="B719" s="1794">
        <f>'Input Data'!$D$24</f>
        <v>0.13614999999999999</v>
      </c>
      <c r="C719" s="1713" t="str">
        <f>"Over head charges "&amp;'Input Data'!$D$24*100&amp;"%  on (A) + (B)"</f>
        <v>Over head charges 13.615%  on (A) + (B)</v>
      </c>
      <c r="H719" s="1687">
        <f>J717+J708</f>
        <v>1018466.45</v>
      </c>
      <c r="J719" s="1701">
        <f>H719*B719</f>
        <v>138664.20716749999</v>
      </c>
    </row>
    <row r="720" spans="1:15">
      <c r="B720" s="1715" t="s">
        <v>45</v>
      </c>
      <c r="C720" s="1713" t="s">
        <v>46</v>
      </c>
      <c r="F720" s="1683"/>
      <c r="G720" s="1683"/>
      <c r="H720" s="1683"/>
      <c r="I720" s="1683"/>
      <c r="J720" s="1741">
        <f>J708+J717+J719</f>
        <v>1157130.6571674999</v>
      </c>
    </row>
    <row r="721" spans="1:11">
      <c r="B721" s="1715" t="s">
        <v>47</v>
      </c>
      <c r="C721" s="1713" t="s">
        <v>48</v>
      </c>
      <c r="D721" s="1683"/>
      <c r="F721" s="1683"/>
      <c r="G721" s="1683"/>
      <c r="H721" s="1683"/>
      <c r="I721" s="1683"/>
      <c r="J721" s="1741">
        <f>J720*10/100</f>
        <v>115713.06571674999</v>
      </c>
    </row>
    <row r="722" spans="1:11">
      <c r="B722" s="1683"/>
      <c r="C722" s="1713" t="s">
        <v>215</v>
      </c>
      <c r="D722" s="1683"/>
      <c r="F722" s="1683"/>
      <c r="G722" s="1683"/>
      <c r="H722" s="1683"/>
      <c r="I722" s="1683"/>
      <c r="J722" s="1741">
        <f>SUM(J720:J721)</f>
        <v>1272843.7228842499</v>
      </c>
    </row>
    <row r="723" spans="1:11">
      <c r="B723" s="1683"/>
      <c r="C723" s="1683" t="s">
        <v>216</v>
      </c>
      <c r="D723" s="1683"/>
      <c r="F723" s="1683"/>
      <c r="G723" s="1683"/>
      <c r="H723" s="1683"/>
      <c r="I723" s="1683"/>
      <c r="J723" s="1701">
        <f>J722/100</f>
        <v>12728.437228842498</v>
      </c>
    </row>
    <row r="724" spans="1:11">
      <c r="B724" s="1688"/>
      <c r="C724" s="2977" t="s">
        <v>217</v>
      </c>
      <c r="D724" s="2978"/>
      <c r="E724" s="2978"/>
      <c r="F724" s="2979"/>
      <c r="G724" s="1687"/>
      <c r="H724" s="1705"/>
      <c r="I724" s="1687"/>
      <c r="J724" s="1742">
        <f>ROUND(J723,0)</f>
        <v>12728</v>
      </c>
      <c r="K724" s="1684">
        <v>204</v>
      </c>
    </row>
    <row r="725" spans="1:11">
      <c r="B725" s="1688"/>
      <c r="C725" s="1687"/>
      <c r="D725" s="1760"/>
      <c r="F725" s="1687"/>
      <c r="G725" s="1687"/>
      <c r="H725" s="1705"/>
      <c r="I725" s="1687"/>
      <c r="J725" s="1770" t="s">
        <v>53</v>
      </c>
    </row>
    <row r="726" spans="1:11" ht="125.25" customHeight="1">
      <c r="A726" s="1710">
        <v>19</v>
      </c>
      <c r="B726" s="2946" t="s">
        <v>218</v>
      </c>
      <c r="C726" s="2946"/>
      <c r="D726" s="2946"/>
      <c r="E726" s="2946"/>
      <c r="F726" s="2946"/>
      <c r="G726" s="2946"/>
      <c r="H726" s="2946"/>
      <c r="I726" s="2946"/>
      <c r="J726" s="2946"/>
    </row>
    <row r="727" spans="1:11">
      <c r="D727" s="1687" t="s">
        <v>219</v>
      </c>
      <c r="F727" s="1713" t="s">
        <v>220</v>
      </c>
      <c r="J727" s="1684"/>
    </row>
    <row r="728" spans="1:11">
      <c r="D728" s="1687" t="s">
        <v>221</v>
      </c>
      <c r="J728" s="1684"/>
    </row>
    <row r="729" spans="1:11">
      <c r="B729" s="1715" t="s">
        <v>36</v>
      </c>
      <c r="C729" s="1722" t="s">
        <v>37</v>
      </c>
      <c r="J729" s="1684"/>
    </row>
    <row r="730" spans="1:11">
      <c r="B730" s="1705">
        <v>0.04</v>
      </c>
      <c r="C730" s="1683" t="s">
        <v>57</v>
      </c>
      <c r="D730" s="1687" t="s">
        <v>156</v>
      </c>
      <c r="H730" s="1701">
        <f>'SSR-rates'!H$58</f>
        <v>490</v>
      </c>
      <c r="I730" s="1716" t="s">
        <v>38</v>
      </c>
      <c r="J730" s="1705">
        <f>ROUND(B730*H730,2)</f>
        <v>19.600000000000001</v>
      </c>
    </row>
    <row r="731" spans="1:11">
      <c r="B731" s="1705">
        <v>0</v>
      </c>
      <c r="C731" s="1683" t="s">
        <v>57</v>
      </c>
      <c r="D731" s="1687" t="s">
        <v>58</v>
      </c>
      <c r="H731" s="1701">
        <f>'SSR-rates'!H$58</f>
        <v>490</v>
      </c>
      <c r="I731" s="1716" t="s">
        <v>38</v>
      </c>
      <c r="J731" s="1705">
        <f>ROUND(B731*H731,2)</f>
        <v>0</v>
      </c>
    </row>
    <row r="732" spans="1:11">
      <c r="B732" s="1705">
        <v>1</v>
      </c>
      <c r="C732" s="1683" t="s">
        <v>57</v>
      </c>
      <c r="D732" s="1687" t="s">
        <v>59</v>
      </c>
      <c r="H732" s="1701">
        <f>'SSR-rates'!H$60</f>
        <v>490</v>
      </c>
      <c r="I732" s="1716" t="s">
        <v>38</v>
      </c>
      <c r="J732" s="1705">
        <f>ROUND(B732*H732,2)</f>
        <v>490</v>
      </c>
    </row>
    <row r="733" spans="1:11">
      <c r="A733" s="1713"/>
      <c r="B733" s="1702">
        <v>0</v>
      </c>
      <c r="C733" s="1688"/>
      <c r="D733" s="1684" t="s">
        <v>17</v>
      </c>
      <c r="F733" s="1683"/>
      <c r="G733" s="1683"/>
      <c r="H733" s="1701">
        <f>SUM(J730:J732)</f>
        <v>509.6</v>
      </c>
      <c r="I733" s="1716"/>
      <c r="J733" s="1701">
        <f>B733*H733</f>
        <v>0</v>
      </c>
    </row>
    <row r="734" spans="1:11">
      <c r="B734" s="1705"/>
      <c r="C734" s="1683"/>
      <c r="D734" s="1687" t="s">
        <v>60</v>
      </c>
      <c r="H734" s="1701"/>
      <c r="I734" s="1701"/>
      <c r="J734" s="1705">
        <f>SUM(J730:J733)</f>
        <v>509.6</v>
      </c>
    </row>
    <row r="735" spans="1:11">
      <c r="B735" s="1715" t="s">
        <v>39</v>
      </c>
      <c r="C735" s="1722" t="s">
        <v>61</v>
      </c>
      <c r="H735" s="1701"/>
      <c r="I735" s="1701"/>
      <c r="J735" s="1701"/>
    </row>
    <row r="736" spans="1:11">
      <c r="B736" s="1705">
        <v>0.28000000000000003</v>
      </c>
      <c r="C736" s="1683" t="s">
        <v>31</v>
      </c>
      <c r="D736" s="1684" t="s">
        <v>222</v>
      </c>
      <c r="H736" s="1701">
        <f>J674</f>
        <v>61905</v>
      </c>
      <c r="I736" s="1701" t="s">
        <v>31</v>
      </c>
      <c r="J736" s="1701">
        <f>ROUND(B736*H736,2)</f>
        <v>17333.400000000001</v>
      </c>
    </row>
    <row r="737" spans="1:10">
      <c r="B737" s="1705">
        <v>0.32</v>
      </c>
      <c r="C737" s="1683" t="s">
        <v>31</v>
      </c>
      <c r="D737" s="1684" t="s">
        <v>223</v>
      </c>
      <c r="H737" s="1701">
        <v>991</v>
      </c>
      <c r="I737" s="1701" t="s">
        <v>31</v>
      </c>
      <c r="J737" s="1701">
        <f>ROUND(B737*H737,2)</f>
        <v>317.12</v>
      </c>
    </row>
    <row r="738" spans="1:10">
      <c r="B738" s="1687"/>
      <c r="D738" s="1687" t="s">
        <v>60</v>
      </c>
      <c r="H738" s="1701"/>
      <c r="I738" s="1701"/>
      <c r="J738" s="1701">
        <f>SUM(J736:J737)</f>
        <v>17650.52</v>
      </c>
    </row>
    <row r="739" spans="1:10">
      <c r="B739" s="1715" t="s">
        <v>27</v>
      </c>
      <c r="C739" s="1722" t="s">
        <v>40</v>
      </c>
      <c r="H739" s="1701"/>
      <c r="I739" s="1701"/>
      <c r="J739" s="1701"/>
    </row>
    <row r="740" spans="1:10">
      <c r="B740" s="1705">
        <v>0</v>
      </c>
      <c r="C740" s="1683" t="s">
        <v>41</v>
      </c>
      <c r="D740" s="1684" t="s">
        <v>68</v>
      </c>
      <c r="H740" s="1701">
        <f>'SSR-rates'!$H$88</f>
        <v>627.6</v>
      </c>
      <c r="I740" s="1701" t="s">
        <v>41</v>
      </c>
      <c r="J740" s="1701">
        <f>ROUND(B740*H740,2)</f>
        <v>0</v>
      </c>
    </row>
    <row r="741" spans="1:10">
      <c r="B741" s="1705">
        <v>0</v>
      </c>
      <c r="C741" s="1683" t="s">
        <v>41</v>
      </c>
      <c r="D741" s="1684" t="s">
        <v>224</v>
      </c>
      <c r="H741" s="1701">
        <f>'SSR-rates'!$H$87</f>
        <v>1237.4000000000001</v>
      </c>
      <c r="I741" s="1701" t="s">
        <v>41</v>
      </c>
      <c r="J741" s="1701">
        <f>ROUND(B741*H741,2)</f>
        <v>0</v>
      </c>
    </row>
    <row r="742" spans="1:10">
      <c r="B742" s="1705"/>
      <c r="C742" s="1688"/>
      <c r="D742" s="1687" t="s">
        <v>60</v>
      </c>
      <c r="H742" s="1701"/>
      <c r="I742" s="1701"/>
      <c r="J742" s="1701">
        <f>SUM(J740:J741)</f>
        <v>0</v>
      </c>
    </row>
    <row r="743" spans="1:10">
      <c r="B743" s="1715" t="s">
        <v>45</v>
      </c>
      <c r="C743" s="1722" t="s">
        <v>71</v>
      </c>
      <c r="H743" s="1701"/>
      <c r="I743" s="1701"/>
      <c r="J743" s="1701"/>
    </row>
    <row r="744" spans="1:10">
      <c r="B744" s="1687">
        <v>2</v>
      </c>
      <c r="C744" s="1683" t="s">
        <v>29</v>
      </c>
      <c r="D744" s="1684" t="s">
        <v>181</v>
      </c>
      <c r="H744" s="1701">
        <f>J734+J738+J742</f>
        <v>18160.12</v>
      </c>
      <c r="I744" s="1716" t="s">
        <v>73</v>
      </c>
      <c r="J744" s="1701">
        <f>ROUND(B744*H744/100,2)</f>
        <v>363.2</v>
      </c>
    </row>
    <row r="745" spans="1:10">
      <c r="A745" s="1713"/>
      <c r="B745" s="1715" t="s">
        <v>47</v>
      </c>
      <c r="C745" s="1713" t="s">
        <v>74</v>
      </c>
      <c r="F745" s="1683"/>
      <c r="G745" s="1683"/>
      <c r="H745" s="1683"/>
      <c r="I745" s="1683"/>
      <c r="J745" s="1741"/>
    </row>
    <row r="746" spans="1:10" ht="27" customHeight="1">
      <c r="A746" s="1713"/>
      <c r="B746" s="1706">
        <f>'Input Data'!$D$25</f>
        <v>0</v>
      </c>
      <c r="C746" s="2955">
        <v>0</v>
      </c>
      <c r="D746" s="2956"/>
      <c r="E746" s="2956"/>
      <c r="F746" s="2956"/>
      <c r="G746" s="2957"/>
      <c r="H746" s="1688">
        <f>J744+J742+J738+J734</f>
        <v>18523.32</v>
      </c>
      <c r="I746" s="1683"/>
      <c r="J746" s="1701">
        <f>H746*B746</f>
        <v>0</v>
      </c>
    </row>
    <row r="747" spans="1:10">
      <c r="A747" s="1713"/>
      <c r="B747" s="1715" t="s">
        <v>76</v>
      </c>
      <c r="C747" s="1713" t="s">
        <v>77</v>
      </c>
      <c r="F747" s="1683"/>
      <c r="G747" s="1683"/>
      <c r="H747" s="1683"/>
      <c r="I747" s="1683"/>
      <c r="J747" s="1741">
        <f>J734+J738+J742+J744+J746</f>
        <v>18523.32</v>
      </c>
    </row>
    <row r="748" spans="1:10">
      <c r="A748" s="1713"/>
      <c r="B748" s="1715" t="s">
        <v>78</v>
      </c>
      <c r="C748" s="1713" t="s">
        <v>79</v>
      </c>
      <c r="F748" s="1683"/>
      <c r="G748" s="1683"/>
      <c r="H748" s="1683"/>
      <c r="I748" s="1683"/>
      <c r="J748" s="1741">
        <f>J747*10/100</f>
        <v>1852.3320000000001</v>
      </c>
    </row>
    <row r="749" spans="1:10">
      <c r="A749" s="1713"/>
      <c r="B749" s="1715">
        <v>3</v>
      </c>
      <c r="C749" s="1713"/>
      <c r="F749" s="1683"/>
      <c r="G749" s="1683"/>
      <c r="H749" s="1688">
        <f>J1166</f>
        <v>6876</v>
      </c>
      <c r="I749" s="1683"/>
      <c r="J749" s="1701">
        <f>ROUND(B749*H749,2)</f>
        <v>20628</v>
      </c>
    </row>
    <row r="750" spans="1:10">
      <c r="B750" s="1705"/>
      <c r="C750" s="1683"/>
      <c r="D750" s="1722" t="s">
        <v>80</v>
      </c>
      <c r="H750" s="1701"/>
      <c r="I750" s="1701"/>
      <c r="J750" s="1741">
        <f>SUM(J747:J748)+J749</f>
        <v>41003.652000000002</v>
      </c>
    </row>
    <row r="751" spans="1:10">
      <c r="B751" s="1705"/>
      <c r="C751" s="1683"/>
      <c r="D751" s="1687" t="s">
        <v>225</v>
      </c>
      <c r="H751" s="1701"/>
      <c r="I751" s="1701"/>
      <c r="J751" s="1701">
        <f>ROUND(J750/10,2)</f>
        <v>4100.37</v>
      </c>
    </row>
    <row r="752" spans="1:10">
      <c r="D752" s="1687" t="s">
        <v>52</v>
      </c>
      <c r="H752" s="1701"/>
      <c r="I752" s="1701"/>
      <c r="J752" s="1742">
        <f>ROUND(J751,0)</f>
        <v>4100</v>
      </c>
    </row>
    <row r="753" spans="1:10">
      <c r="D753" s="1687"/>
      <c r="H753" s="1701"/>
      <c r="I753" s="1701"/>
      <c r="J753" s="1741" t="s">
        <v>226</v>
      </c>
    </row>
    <row r="754" spans="1:10" ht="89.25" customHeight="1">
      <c r="A754" s="1759">
        <v>21</v>
      </c>
      <c r="B754" s="2946" t="s">
        <v>227</v>
      </c>
      <c r="C754" s="2946"/>
      <c r="D754" s="2946"/>
      <c r="E754" s="2946"/>
      <c r="F754" s="2946"/>
      <c r="G754" s="2946"/>
      <c r="H754" s="2946"/>
      <c r="I754" s="2946"/>
      <c r="J754" s="2946"/>
    </row>
    <row r="755" spans="1:10">
      <c r="D755" s="1687" t="s">
        <v>10</v>
      </c>
      <c r="F755" s="1713" t="s">
        <v>228</v>
      </c>
      <c r="J755" s="1684"/>
    </row>
    <row r="756" spans="1:10">
      <c r="D756" s="1687" t="s">
        <v>56</v>
      </c>
      <c r="J756" s="1684"/>
    </row>
    <row r="757" spans="1:10">
      <c r="B757" s="1715" t="s">
        <v>36</v>
      </c>
      <c r="C757" s="1722" t="s">
        <v>37</v>
      </c>
      <c r="J757" s="1684"/>
    </row>
    <row r="758" spans="1:10">
      <c r="B758" s="1705">
        <v>0.64</v>
      </c>
      <c r="C758" s="1683" t="s">
        <v>57</v>
      </c>
      <c r="D758" s="1687" t="s">
        <v>156</v>
      </c>
      <c r="H758" s="1701">
        <f>'SSR-rates'!H$58</f>
        <v>490</v>
      </c>
      <c r="I758" s="1716" t="s">
        <v>38</v>
      </c>
      <c r="J758" s="1705">
        <f>ROUND(B758*H758,2)</f>
        <v>313.60000000000002</v>
      </c>
    </row>
    <row r="759" spans="1:10">
      <c r="B759" s="1705">
        <v>1</v>
      </c>
      <c r="C759" s="1683" t="s">
        <v>57</v>
      </c>
      <c r="D759" s="1687" t="s">
        <v>58</v>
      </c>
      <c r="H759" s="1701">
        <f>'SSR-rates'!H$96</f>
        <v>515</v>
      </c>
      <c r="I759" s="1716" t="s">
        <v>38</v>
      </c>
      <c r="J759" s="1705">
        <f>ROUND(B759*H759,2)</f>
        <v>515</v>
      </c>
    </row>
    <row r="760" spans="1:10">
      <c r="B760" s="1705">
        <v>15</v>
      </c>
      <c r="C760" s="1683" t="s">
        <v>57</v>
      </c>
      <c r="D760" s="1687" t="s">
        <v>59</v>
      </c>
      <c r="H760" s="1701">
        <f>'SSR-rates'!H$60</f>
        <v>490</v>
      </c>
      <c r="I760" s="1716" t="s">
        <v>38</v>
      </c>
      <c r="J760" s="1705">
        <f>ROUND(B760*H760,2)</f>
        <v>7350</v>
      </c>
    </row>
    <row r="761" spans="1:10">
      <c r="A761" s="1713"/>
      <c r="B761" s="1702">
        <f>'Input Data'!$D$23</f>
        <v>0</v>
      </c>
      <c r="C761" s="1688"/>
      <c r="D761" s="1684" t="s">
        <v>17</v>
      </c>
      <c r="F761" s="1683"/>
      <c r="G761" s="1683"/>
      <c r="H761" s="1701">
        <f>SUM(J758:J760)</f>
        <v>8178.6</v>
      </c>
      <c r="I761" s="1716"/>
      <c r="J761" s="1701">
        <f>B761*H761</f>
        <v>0</v>
      </c>
    </row>
    <row r="762" spans="1:10">
      <c r="B762" s="1705"/>
      <c r="C762" s="1683"/>
      <c r="D762" s="1687" t="s">
        <v>60</v>
      </c>
      <c r="H762" s="1701"/>
      <c r="I762" s="1701"/>
      <c r="J762" s="1705">
        <f>SUM(J758:J761)</f>
        <v>8178.6</v>
      </c>
    </row>
    <row r="763" spans="1:10">
      <c r="B763" s="1715" t="s">
        <v>39</v>
      </c>
      <c r="C763" s="1722" t="s">
        <v>61</v>
      </c>
      <c r="H763" s="1701"/>
      <c r="I763" s="1701"/>
      <c r="J763" s="1701"/>
    </row>
    <row r="764" spans="1:10">
      <c r="B764" s="1705">
        <v>13.5</v>
      </c>
      <c r="C764" s="1683" t="s">
        <v>31</v>
      </c>
      <c r="D764" s="1684" t="s">
        <v>62</v>
      </c>
      <c r="H764" s="1701">
        <f>lead!J$14</f>
        <v>1732.2187651278443</v>
      </c>
      <c r="I764" s="1701" t="s">
        <v>31</v>
      </c>
      <c r="J764" s="1701">
        <f>ROUND(B764*H764,2)</f>
        <v>23384.95</v>
      </c>
    </row>
    <row r="765" spans="1:10">
      <c r="B765" s="1705"/>
      <c r="C765" s="1683" t="s">
        <v>31</v>
      </c>
      <c r="D765" s="1684" t="s">
        <v>64</v>
      </c>
      <c r="H765" s="1701">
        <f>lead!J$18</f>
        <v>1780.2187651278443</v>
      </c>
      <c r="I765" s="1701" t="s">
        <v>31</v>
      </c>
      <c r="J765" s="1701">
        <f>ROUND(B765*H765,2)</f>
        <v>0</v>
      </c>
    </row>
    <row r="766" spans="1:10">
      <c r="B766" s="1705">
        <v>6.75</v>
      </c>
      <c r="C766" s="1683" t="s">
        <v>31</v>
      </c>
      <c r="D766" s="1687" t="s">
        <v>65</v>
      </c>
      <c r="H766" s="1701">
        <f>lead!J12</f>
        <v>1684.4687651278443</v>
      </c>
      <c r="I766" s="1701" t="s">
        <v>31</v>
      </c>
      <c r="J766" s="1701">
        <f>ROUND(B766*H766,2)</f>
        <v>11370.16</v>
      </c>
    </row>
    <row r="767" spans="1:10">
      <c r="B767" s="1766">
        <v>2.4300000000000002</v>
      </c>
      <c r="C767" s="1683" t="s">
        <v>66</v>
      </c>
      <c r="D767" s="1687" t="s">
        <v>67</v>
      </c>
      <c r="H767" s="1701">
        <f>lead!J$36</f>
        <v>5000</v>
      </c>
      <c r="I767" s="1701" t="s">
        <v>66</v>
      </c>
      <c r="J767" s="1701">
        <f>ROUND(B767*H767,2)</f>
        <v>12150</v>
      </c>
    </row>
    <row r="768" spans="1:10">
      <c r="B768" s="1687"/>
      <c r="D768" s="1687" t="s">
        <v>60</v>
      </c>
      <c r="H768" s="1701"/>
      <c r="I768" s="1701"/>
      <c r="J768" s="1701">
        <f>SUM(J764:J767)</f>
        <v>46905.11</v>
      </c>
    </row>
    <row r="769" spans="1:10">
      <c r="B769" s="1715" t="s">
        <v>27</v>
      </c>
      <c r="C769" s="1722" t="s">
        <v>40</v>
      </c>
      <c r="H769" s="1701"/>
      <c r="I769" s="1701"/>
      <c r="J769" s="1701"/>
    </row>
    <row r="770" spans="1:10">
      <c r="B770" s="1705">
        <v>6</v>
      </c>
      <c r="C770" s="1683" t="s">
        <v>41</v>
      </c>
      <c r="D770" s="1684" t="s">
        <v>68</v>
      </c>
      <c r="H770" s="1701">
        <f>'SSR-rates'!$H$88</f>
        <v>627.6</v>
      </c>
      <c r="I770" s="1701" t="s">
        <v>41</v>
      </c>
      <c r="J770" s="1701">
        <f>ROUND(B770*H770,2)</f>
        <v>3765.6</v>
      </c>
    </row>
    <row r="771" spans="1:10">
      <c r="B771" s="1705">
        <v>6</v>
      </c>
      <c r="C771" s="1683" t="s">
        <v>41</v>
      </c>
      <c r="D771" s="1684" t="s">
        <v>224</v>
      </c>
      <c r="H771" s="1701">
        <f>'SSR-rates'!$H$87</f>
        <v>1237.4000000000001</v>
      </c>
      <c r="I771" s="1701" t="s">
        <v>41</v>
      </c>
      <c r="J771" s="1701">
        <f>ROUND(B771*H771,2)</f>
        <v>7424.4</v>
      </c>
    </row>
    <row r="772" spans="1:10">
      <c r="B772" s="1705">
        <v>2</v>
      </c>
      <c r="C772" s="1683" t="s">
        <v>41</v>
      </c>
      <c r="D772" s="1684" t="s">
        <v>70</v>
      </c>
      <c r="H772" s="1701">
        <f>'SSR-rates'!H69</f>
        <v>699</v>
      </c>
      <c r="I772" s="1701" t="s">
        <v>41</v>
      </c>
      <c r="J772" s="1701">
        <f>ROUND(B772*H772,2)</f>
        <v>1398</v>
      </c>
    </row>
    <row r="773" spans="1:10">
      <c r="B773" s="1705"/>
      <c r="C773" s="1688"/>
      <c r="D773" s="1687" t="s">
        <v>60</v>
      </c>
      <c r="H773" s="1701"/>
      <c r="I773" s="1701"/>
      <c r="J773" s="1701">
        <f>SUM(J770:J772)</f>
        <v>12588</v>
      </c>
    </row>
    <row r="774" spans="1:10">
      <c r="B774" s="1715" t="s">
        <v>45</v>
      </c>
      <c r="C774" s="1722" t="s">
        <v>71</v>
      </c>
      <c r="H774" s="1701"/>
      <c r="I774" s="1701"/>
      <c r="J774" s="1701"/>
    </row>
    <row r="775" spans="1:10">
      <c r="B775" s="1687"/>
      <c r="C775" s="1683" t="s">
        <v>29</v>
      </c>
      <c r="D775" s="1684" t="s">
        <v>181</v>
      </c>
      <c r="H775" s="1701">
        <f>J762+J768+J773</f>
        <v>67671.709999999992</v>
      </c>
      <c r="I775" s="1716" t="s">
        <v>73</v>
      </c>
      <c r="J775" s="1701">
        <f>ROUND(B775*H775/100,2)</f>
        <v>0</v>
      </c>
    </row>
    <row r="776" spans="1:10">
      <c r="A776" s="1713"/>
      <c r="B776" s="1715" t="s">
        <v>47</v>
      </c>
      <c r="C776" s="1713" t="s">
        <v>74</v>
      </c>
      <c r="F776" s="1683"/>
      <c r="G776" s="1683"/>
      <c r="H776" s="1683"/>
      <c r="I776" s="1683"/>
      <c r="J776" s="1741"/>
    </row>
    <row r="777" spans="1:10" ht="27" customHeight="1">
      <c r="A777" s="1713"/>
      <c r="B777" s="1706"/>
      <c r="C777" s="2955" t="str">
        <f>"Over head charges "&amp;'Input Data'!$D$25*100&amp;"%  on (A) + (B)+(C)+(D)"</f>
        <v>Over head charges 0%  on (A) + (B)+(C)+(D)</v>
      </c>
      <c r="D777" s="2956"/>
      <c r="E777" s="2956"/>
      <c r="F777" s="2956"/>
      <c r="G777" s="2957"/>
      <c r="H777" s="1688">
        <f>J775+J773+J768+J762</f>
        <v>67671.710000000006</v>
      </c>
      <c r="I777" s="1683"/>
      <c r="J777" s="1701">
        <f>H777*B777</f>
        <v>0</v>
      </c>
    </row>
    <row r="778" spans="1:10">
      <c r="A778" s="1713"/>
      <c r="B778" s="1715" t="s">
        <v>76</v>
      </c>
      <c r="C778" s="1713" t="s">
        <v>77</v>
      </c>
      <c r="F778" s="1683"/>
      <c r="G778" s="1683"/>
      <c r="H778" s="1683"/>
      <c r="I778" s="1683"/>
      <c r="J778" s="1741">
        <f>J762+J768+J773+J775+J777</f>
        <v>67671.709999999992</v>
      </c>
    </row>
    <row r="779" spans="1:10">
      <c r="A779" s="1713"/>
      <c r="B779" s="1715" t="s">
        <v>78</v>
      </c>
      <c r="C779" s="1713" t="s">
        <v>79</v>
      </c>
      <c r="F779" s="1683"/>
      <c r="G779" s="1683"/>
      <c r="H779" s="1683"/>
      <c r="I779" s="1683"/>
      <c r="J779" s="1741">
        <f>J778*10/100</f>
        <v>6767.1709999999985</v>
      </c>
    </row>
    <row r="780" spans="1:10">
      <c r="B780" s="1705"/>
      <c r="C780" s="1683"/>
      <c r="D780" s="1722" t="s">
        <v>80</v>
      </c>
      <c r="H780" s="1701"/>
      <c r="I780" s="1701"/>
      <c r="J780" s="1741">
        <f>SUM(J778:J779)</f>
        <v>74438.880999999994</v>
      </c>
    </row>
    <row r="781" spans="1:10">
      <c r="B781" s="1705"/>
      <c r="C781" s="1683"/>
      <c r="D781" s="1687" t="s">
        <v>81</v>
      </c>
      <c r="H781" s="1701"/>
      <c r="I781" s="1701"/>
      <c r="J781" s="1701">
        <f>ROUND(J780/15,2)</f>
        <v>4962.59</v>
      </c>
    </row>
    <row r="782" spans="1:10">
      <c r="D782" s="1687" t="s">
        <v>52</v>
      </c>
      <c r="H782" s="1701"/>
      <c r="I782" s="1701"/>
      <c r="J782" s="1742">
        <f>ROUND(J781,0)</f>
        <v>4963</v>
      </c>
    </row>
    <row r="783" spans="1:10">
      <c r="D783" s="1687"/>
      <c r="H783" s="1701"/>
      <c r="I783" s="1701"/>
      <c r="J783" s="1741" t="s">
        <v>53</v>
      </c>
    </row>
    <row r="784" spans="1:10">
      <c r="B784" s="1715" t="s">
        <v>36</v>
      </c>
      <c r="C784" s="1722" t="s">
        <v>37</v>
      </c>
      <c r="J784" s="1684"/>
    </row>
    <row r="785" spans="1:10">
      <c r="B785" s="1705">
        <v>0.04</v>
      </c>
      <c r="C785" s="1683" t="s">
        <v>57</v>
      </c>
      <c r="D785" s="1687" t="s">
        <v>156</v>
      </c>
      <c r="H785" s="1701">
        <f>'SSR-rates'!H$58</f>
        <v>490</v>
      </c>
      <c r="I785" s="1716" t="s">
        <v>38</v>
      </c>
      <c r="J785" s="1705">
        <f>ROUND(B785*H785,2)</f>
        <v>19.600000000000001</v>
      </c>
    </row>
    <row r="786" spans="1:10">
      <c r="B786" s="1705">
        <v>0.35</v>
      </c>
      <c r="C786" s="1683" t="s">
        <v>57</v>
      </c>
      <c r="D786" s="1687" t="s">
        <v>58</v>
      </c>
      <c r="H786" s="1701">
        <f>'SSR-rates'!H$96</f>
        <v>515</v>
      </c>
      <c r="I786" s="1716" t="s">
        <v>38</v>
      </c>
      <c r="J786" s="1705">
        <f>ROUND(B786*H786,2)</f>
        <v>180.25</v>
      </c>
    </row>
    <row r="787" spans="1:10">
      <c r="B787" s="1705">
        <v>0.75</v>
      </c>
      <c r="C787" s="1683" t="s">
        <v>57</v>
      </c>
      <c r="D787" s="1687" t="s">
        <v>59</v>
      </c>
      <c r="H787" s="1701">
        <f>'SSR-rates'!H$60</f>
        <v>490</v>
      </c>
      <c r="I787" s="1716" t="s">
        <v>38</v>
      </c>
      <c r="J787" s="1705">
        <f>ROUND(B787*H787,2)</f>
        <v>367.5</v>
      </c>
    </row>
    <row r="788" spans="1:10">
      <c r="A788" s="1713"/>
      <c r="B788" s="1702">
        <f>'Input Data'!$D$23</f>
        <v>0</v>
      </c>
      <c r="C788" s="1688"/>
      <c r="D788" s="1684" t="s">
        <v>17</v>
      </c>
      <c r="F788" s="1683"/>
      <c r="G788" s="1683"/>
      <c r="H788" s="1701">
        <f>SUM(J785:J787)</f>
        <v>567.35</v>
      </c>
      <c r="I788" s="1716"/>
      <c r="J788" s="1701">
        <f>B788*H788</f>
        <v>0</v>
      </c>
    </row>
    <row r="789" spans="1:10">
      <c r="B789" s="1705"/>
      <c r="C789" s="1683"/>
      <c r="D789" s="1687" t="s">
        <v>60</v>
      </c>
      <c r="H789" s="1701"/>
      <c r="I789" s="1701"/>
      <c r="J789" s="1705">
        <f>SUM(J785:J788)</f>
        <v>567.35</v>
      </c>
    </row>
    <row r="790" spans="1:10">
      <c r="B790" s="1715" t="s">
        <v>39</v>
      </c>
      <c r="C790" s="1722" t="s">
        <v>61</v>
      </c>
      <c r="H790" s="1701"/>
      <c r="I790" s="1701"/>
      <c r="J790" s="1701"/>
    </row>
    <row r="791" spans="1:10">
      <c r="B791" s="1705">
        <v>0.2</v>
      </c>
      <c r="C791" s="1683" t="s">
        <v>31</v>
      </c>
      <c r="D791" s="1684" t="s">
        <v>229</v>
      </c>
      <c r="H791" s="1701">
        <f>J781</f>
        <v>4962.59</v>
      </c>
      <c r="I791" s="1701" t="s">
        <v>31</v>
      </c>
      <c r="J791" s="1701">
        <f>ROUND(B791*H791,2)</f>
        <v>992.52</v>
      </c>
    </row>
    <row r="792" spans="1:10">
      <c r="B792" s="1705">
        <v>1</v>
      </c>
      <c r="C792" s="1683" t="s">
        <v>31</v>
      </c>
      <c r="D792" s="1684" t="s">
        <v>230</v>
      </c>
      <c r="H792" s="1701">
        <f>'SSR-rates'!H7</f>
        <v>156</v>
      </c>
      <c r="I792" s="1701" t="s">
        <v>31</v>
      </c>
      <c r="J792" s="1701">
        <f>ROUND(B792*H792,2)</f>
        <v>156</v>
      </c>
    </row>
    <row r="793" spans="1:10">
      <c r="B793" s="1687"/>
      <c r="D793" s="1687" t="s">
        <v>60</v>
      </c>
      <c r="H793" s="1701"/>
      <c r="I793" s="1701"/>
      <c r="J793" s="1701">
        <f>SUM(J791:J792)</f>
        <v>1148.52</v>
      </c>
    </row>
    <row r="794" spans="1:10">
      <c r="B794" s="1715" t="s">
        <v>27</v>
      </c>
      <c r="C794" s="1722" t="s">
        <v>40</v>
      </c>
      <c r="H794" s="1701"/>
      <c r="I794" s="1701"/>
      <c r="J794" s="1701"/>
    </row>
    <row r="795" spans="1:10">
      <c r="B795" s="1705"/>
      <c r="C795" s="1683" t="s">
        <v>41</v>
      </c>
      <c r="D795" s="1684" t="s">
        <v>68</v>
      </c>
      <c r="H795" s="1701">
        <f>'SSR-rates'!$H$88</f>
        <v>627.6</v>
      </c>
      <c r="I795" s="1701" t="s">
        <v>41</v>
      </c>
      <c r="J795" s="1701">
        <f>ROUND(B795*H795,2)</f>
        <v>0</v>
      </c>
    </row>
    <row r="796" spans="1:10">
      <c r="B796" s="1705"/>
      <c r="C796" s="1683" t="s">
        <v>41</v>
      </c>
      <c r="D796" s="1684" t="s">
        <v>224</v>
      </c>
      <c r="H796" s="1701">
        <f>'SSR-rates'!$H$87</f>
        <v>1237.4000000000001</v>
      </c>
      <c r="I796" s="1701" t="s">
        <v>41</v>
      </c>
      <c r="J796" s="1701">
        <f>ROUND(B796*H796,2)</f>
        <v>0</v>
      </c>
    </row>
    <row r="797" spans="1:10">
      <c r="B797" s="1705"/>
      <c r="C797" s="1683" t="s">
        <v>41</v>
      </c>
      <c r="D797" s="1684" t="s">
        <v>70</v>
      </c>
      <c r="H797" s="1701">
        <f>'SSR-rates'!H98</f>
        <v>0</v>
      </c>
      <c r="I797" s="1701" t="s">
        <v>41</v>
      </c>
      <c r="J797" s="1701">
        <f>ROUND(B797*H797,2)</f>
        <v>0</v>
      </c>
    </row>
    <row r="798" spans="1:10">
      <c r="B798" s="1705"/>
      <c r="C798" s="1688"/>
      <c r="D798" s="1687" t="s">
        <v>60</v>
      </c>
      <c r="H798" s="1701"/>
      <c r="I798" s="1701"/>
      <c r="J798" s="1701">
        <f>SUM(J795:J797)</f>
        <v>0</v>
      </c>
    </row>
    <row r="799" spans="1:10">
      <c r="B799" s="1715" t="s">
        <v>45</v>
      </c>
      <c r="C799" s="1722" t="s">
        <v>71</v>
      </c>
      <c r="H799" s="1701"/>
      <c r="I799" s="1701"/>
      <c r="J799" s="1701"/>
    </row>
    <row r="800" spans="1:10">
      <c r="B800" s="1687"/>
      <c r="C800" s="1683" t="s">
        <v>29</v>
      </c>
      <c r="D800" s="1684" t="s">
        <v>181</v>
      </c>
      <c r="H800" s="1701">
        <f>J789+J793+J798</f>
        <v>1715.87</v>
      </c>
      <c r="I800" s="1716" t="s">
        <v>73</v>
      </c>
      <c r="J800" s="1701">
        <f>ROUND(B800*H800/100,2)</f>
        <v>0</v>
      </c>
    </row>
    <row r="801" spans="1:10">
      <c r="A801" s="1713"/>
      <c r="B801" s="1715" t="s">
        <v>47</v>
      </c>
      <c r="C801" s="1713" t="s">
        <v>97</v>
      </c>
      <c r="F801" s="1683"/>
      <c r="G801" s="1683"/>
      <c r="H801" s="1683"/>
      <c r="I801" s="1683"/>
      <c r="J801" s="1741"/>
    </row>
    <row r="802" spans="1:10" ht="27" customHeight="1">
      <c r="A802" s="1713"/>
      <c r="B802" s="1706">
        <f>'Input Data'!$D$25</f>
        <v>0</v>
      </c>
      <c r="C802" s="2955" t="str">
        <f>"Over head charges "&amp;'Input Data'!$D$25*100&amp;"%  on (A) + (B)+(C)+(D)"</f>
        <v>Over head charges 0%  on (A) + (B)+(C)+(D)</v>
      </c>
      <c r="D802" s="2956"/>
      <c r="E802" s="2956"/>
      <c r="F802" s="2956"/>
      <c r="G802" s="2957"/>
      <c r="H802" s="1688">
        <f>J800+J798+J793+J789</f>
        <v>1715.87</v>
      </c>
      <c r="I802" s="1683"/>
      <c r="J802" s="1701">
        <f>H802*B802</f>
        <v>0</v>
      </c>
    </row>
    <row r="803" spans="1:10">
      <c r="A803" s="1713"/>
      <c r="B803" s="1715" t="s">
        <v>76</v>
      </c>
      <c r="C803" s="1713" t="s">
        <v>77</v>
      </c>
      <c r="F803" s="1683"/>
      <c r="G803" s="1683"/>
      <c r="H803" s="1683"/>
      <c r="I803" s="1683"/>
      <c r="J803" s="1741">
        <f>J789+J793+J798+J800+J802</f>
        <v>1715.87</v>
      </c>
    </row>
    <row r="804" spans="1:10">
      <c r="A804" s="1713"/>
      <c r="B804" s="1715" t="s">
        <v>78</v>
      </c>
      <c r="C804" s="1713" t="s">
        <v>79</v>
      </c>
      <c r="F804" s="1683"/>
      <c r="G804" s="1683"/>
      <c r="H804" s="1683"/>
      <c r="I804" s="1683"/>
      <c r="J804" s="1741">
        <f>J803*10/100</f>
        <v>171.58699999999996</v>
      </c>
    </row>
    <row r="805" spans="1:10">
      <c r="B805" s="1705"/>
      <c r="C805" s="1683"/>
      <c r="D805" s="1722" t="s">
        <v>80</v>
      </c>
      <c r="H805" s="1701"/>
      <c r="I805" s="1701"/>
      <c r="J805" s="1741">
        <f>SUM(J803:J804)</f>
        <v>1887.4569999999999</v>
      </c>
    </row>
    <row r="806" spans="1:10">
      <c r="B806" s="1705"/>
      <c r="C806" s="1683"/>
      <c r="D806" s="1687" t="s">
        <v>81</v>
      </c>
      <c r="H806" s="1701"/>
      <c r="I806" s="1701"/>
      <c r="J806" s="1701">
        <f>ROUND(J805/1,2)</f>
        <v>1887.46</v>
      </c>
    </row>
    <row r="807" spans="1:10">
      <c r="D807" s="1687" t="s">
        <v>52</v>
      </c>
      <c r="H807" s="1701"/>
      <c r="I807" s="1701"/>
      <c r="J807" s="1742">
        <f>ROUND(J806,0)</f>
        <v>1887</v>
      </c>
    </row>
    <row r="808" spans="1:10">
      <c r="D808" s="1687"/>
      <c r="H808" s="1701"/>
      <c r="I808" s="1701"/>
      <c r="J808" s="1741" t="s">
        <v>53</v>
      </c>
    </row>
    <row r="809" spans="1:10" ht="30.75" customHeight="1">
      <c r="A809" s="1795"/>
      <c r="B809" s="2980" t="s">
        <v>231</v>
      </c>
      <c r="C809" s="2980"/>
      <c r="D809" s="2980"/>
      <c r="E809" s="2980"/>
      <c r="F809" s="2980"/>
      <c r="G809" s="2980"/>
      <c r="H809" s="2980"/>
      <c r="I809" s="2980"/>
      <c r="J809" s="2980"/>
    </row>
    <row r="810" spans="1:10">
      <c r="A810" s="1773"/>
      <c r="B810" s="1797"/>
      <c r="C810" s="1797"/>
      <c r="D810" s="2981" t="s">
        <v>232</v>
      </c>
      <c r="E810" s="2981"/>
      <c r="F810" s="2981"/>
      <c r="G810" s="2981"/>
      <c r="H810" s="1797"/>
      <c r="I810" s="1797"/>
      <c r="J810" s="1798"/>
    </row>
    <row r="811" spans="1:10">
      <c r="A811" s="1773"/>
      <c r="B811" s="1692"/>
      <c r="C811" s="1692"/>
      <c r="D811" s="2968" t="s">
        <v>233</v>
      </c>
      <c r="E811" s="2968"/>
      <c r="F811" s="2968"/>
      <c r="G811" s="2968"/>
      <c r="H811" s="1692"/>
      <c r="I811" s="1692"/>
      <c r="J811" s="1725"/>
    </row>
    <row r="812" spans="1:10">
      <c r="A812" s="1773"/>
      <c r="B812" s="1692"/>
      <c r="C812" s="1692"/>
      <c r="D812" s="1775" t="s">
        <v>234</v>
      </c>
      <c r="E812" s="1775"/>
      <c r="F812" s="1775"/>
      <c r="G812" s="1775"/>
      <c r="H812" s="1692"/>
      <c r="I812" s="1692"/>
      <c r="J812" s="1725"/>
    </row>
    <row r="813" spans="1:10">
      <c r="A813" s="1773"/>
      <c r="B813" s="1692"/>
      <c r="C813" s="1698"/>
      <c r="D813" s="2941" t="s">
        <v>235</v>
      </c>
      <c r="E813" s="2941"/>
      <c r="F813" s="2941"/>
      <c r="G813" s="2941"/>
      <c r="H813" s="1692"/>
      <c r="I813" s="1692"/>
      <c r="J813" s="1725"/>
    </row>
    <row r="814" spans="1:10">
      <c r="A814" s="1773"/>
      <c r="B814" s="1697">
        <v>0.02</v>
      </c>
      <c r="C814" s="1776" t="s">
        <v>13</v>
      </c>
      <c r="D814" s="2942" t="s">
        <v>156</v>
      </c>
      <c r="E814" s="2942"/>
      <c r="F814" s="2942"/>
      <c r="G814" s="2942"/>
      <c r="H814" s="1707">
        <f>'SSR-rates'!H$58</f>
        <v>490</v>
      </c>
      <c r="I814" s="1697">
        <v>1</v>
      </c>
      <c r="J814" s="1726">
        <f>ROUND(B814*H814,2)</f>
        <v>9.8000000000000007</v>
      </c>
    </row>
    <row r="815" spans="1:10">
      <c r="A815" s="1773"/>
      <c r="B815" s="1697"/>
      <c r="C815" s="1776" t="s">
        <v>13</v>
      </c>
      <c r="D815" s="2942" t="s">
        <v>236</v>
      </c>
      <c r="E815" s="2942"/>
      <c r="F815" s="2942"/>
      <c r="G815" s="2942"/>
      <c r="H815" s="1707">
        <f>'SSR-rates'!H$97</f>
        <v>545</v>
      </c>
      <c r="I815" s="1697">
        <v>1</v>
      </c>
      <c r="J815" s="1726">
        <f>ROUND(B815*H815,2)</f>
        <v>0</v>
      </c>
    </row>
    <row r="816" spans="1:10">
      <c r="A816" s="1773"/>
      <c r="B816" s="1697">
        <v>0.02</v>
      </c>
      <c r="C816" s="1776" t="s">
        <v>13</v>
      </c>
      <c r="D816" s="2942" t="s">
        <v>188</v>
      </c>
      <c r="E816" s="2942"/>
      <c r="F816" s="2942"/>
      <c r="G816" s="2942"/>
      <c r="H816" s="1707">
        <f>'SSR-rates'!H$92</f>
        <v>540</v>
      </c>
      <c r="I816" s="1697">
        <v>1</v>
      </c>
      <c r="J816" s="1726">
        <f>ROUND(B816*H816,2)</f>
        <v>10.8</v>
      </c>
    </row>
    <row r="817" spans="1:10">
      <c r="A817" s="1773"/>
      <c r="B817" s="1697">
        <v>0.02</v>
      </c>
      <c r="C817" s="1776" t="s">
        <v>13</v>
      </c>
      <c r="D817" s="2942" t="s">
        <v>59</v>
      </c>
      <c r="E817" s="2942"/>
      <c r="F817" s="2942"/>
      <c r="G817" s="2942"/>
      <c r="H817" s="1707">
        <f>'SSR-rates'!H$60</f>
        <v>490</v>
      </c>
      <c r="I817" s="1697">
        <v>1</v>
      </c>
      <c r="J817" s="1726">
        <f>ROUND(B817*H817,2)</f>
        <v>9.8000000000000007</v>
      </c>
    </row>
    <row r="818" spans="1:10">
      <c r="A818" s="1773"/>
      <c r="B818" s="1692"/>
      <c r="C818" s="1698"/>
      <c r="D818" s="2941" t="s">
        <v>237</v>
      </c>
      <c r="E818" s="2941"/>
      <c r="F818" s="2941"/>
      <c r="G818" s="2941"/>
      <c r="H818" s="1692"/>
      <c r="I818" s="1692"/>
      <c r="J818" s="1725"/>
    </row>
    <row r="819" spans="1:10">
      <c r="A819" s="1773"/>
      <c r="B819" s="1697">
        <v>0.01</v>
      </c>
      <c r="C819" s="1776" t="s">
        <v>13</v>
      </c>
      <c r="D819" s="2942" t="s">
        <v>156</v>
      </c>
      <c r="E819" s="2942"/>
      <c r="F819" s="2942"/>
      <c r="G819" s="2942"/>
      <c r="H819" s="1707">
        <f>'SSR-rates'!H$58</f>
        <v>490</v>
      </c>
      <c r="I819" s="1697">
        <v>1</v>
      </c>
      <c r="J819" s="1726">
        <f>ROUND(B819*H819,2)</f>
        <v>4.9000000000000004</v>
      </c>
    </row>
    <row r="820" spans="1:10">
      <c r="A820" s="1773"/>
      <c r="B820" s="1697">
        <v>0.01</v>
      </c>
      <c r="C820" s="1776" t="s">
        <v>13</v>
      </c>
      <c r="D820" s="2942" t="s">
        <v>236</v>
      </c>
      <c r="E820" s="2942"/>
      <c r="F820" s="2942"/>
      <c r="G820" s="2942"/>
      <c r="H820" s="1707">
        <f>'SSR-rates'!H$97</f>
        <v>545</v>
      </c>
      <c r="I820" s="1697">
        <v>1</v>
      </c>
      <c r="J820" s="1726">
        <f>ROUND(B820*H820,2)</f>
        <v>5.45</v>
      </c>
    </row>
    <row r="821" spans="1:10">
      <c r="A821" s="1773"/>
      <c r="B821" s="1697"/>
      <c r="C821" s="1776" t="s">
        <v>13</v>
      </c>
      <c r="D821" s="2942" t="s">
        <v>188</v>
      </c>
      <c r="E821" s="2942"/>
      <c r="F821" s="2942"/>
      <c r="G821" s="2942"/>
      <c r="H821" s="1707">
        <f>'SSR-rates'!H$92</f>
        <v>540</v>
      </c>
      <c r="I821" s="1697">
        <v>1</v>
      </c>
      <c r="J821" s="1726">
        <f>ROUND(B821*H821,2)</f>
        <v>0</v>
      </c>
    </row>
    <row r="822" spans="1:10">
      <c r="A822" s="1773"/>
      <c r="B822" s="1697">
        <v>0.2</v>
      </c>
      <c r="C822" s="1776" t="s">
        <v>13</v>
      </c>
      <c r="D822" s="2942" t="s">
        <v>59</v>
      </c>
      <c r="E822" s="2942"/>
      <c r="F822" s="2942"/>
      <c r="G822" s="2942"/>
      <c r="H822" s="1707">
        <f>'SSR-rates'!H$60</f>
        <v>490</v>
      </c>
      <c r="I822" s="1697">
        <v>1</v>
      </c>
      <c r="J822" s="1726">
        <f>ROUND(B822*H822,2)</f>
        <v>98</v>
      </c>
    </row>
    <row r="823" spans="1:10" ht="15" customHeight="1">
      <c r="A823" s="1773"/>
      <c r="B823" s="1702">
        <f>'Input Data'!$D$23</f>
        <v>0</v>
      </c>
      <c r="C823" s="1688"/>
      <c r="D823" s="1684" t="s">
        <v>17</v>
      </c>
      <c r="F823" s="1683"/>
      <c r="G823" s="1683"/>
      <c r="H823" s="1701">
        <f>SUM(J815:J817)</f>
        <v>20.6</v>
      </c>
      <c r="I823" s="1716"/>
      <c r="J823" s="1701">
        <f>B823*H823</f>
        <v>0</v>
      </c>
    </row>
    <row r="824" spans="1:10">
      <c r="A824" s="1773"/>
      <c r="B824" s="1697"/>
      <c r="C824" s="1777"/>
      <c r="D824" s="2945" t="s">
        <v>18</v>
      </c>
      <c r="E824" s="2945"/>
      <c r="F824" s="2945"/>
      <c r="G824" s="2945"/>
      <c r="H824" s="1697"/>
      <c r="I824" s="1727" t="s">
        <v>19</v>
      </c>
      <c r="J824" s="1728">
        <f>SUM(J814:J823)</f>
        <v>138.75</v>
      </c>
    </row>
    <row r="825" spans="1:10">
      <c r="A825" s="1773"/>
      <c r="B825" s="1697"/>
      <c r="C825" s="1778"/>
      <c r="D825" s="2941" t="s">
        <v>189</v>
      </c>
      <c r="E825" s="2941"/>
      <c r="F825" s="2941"/>
      <c r="G825" s="2941"/>
      <c r="H825" s="1697"/>
      <c r="I825" s="1697"/>
      <c r="J825" s="1726"/>
    </row>
    <row r="826" spans="1:10" ht="47.25" customHeight="1">
      <c r="A826" s="1773"/>
      <c r="B826" s="1699">
        <f>4/1000</f>
        <v>4.0000000000000001E-3</v>
      </c>
      <c r="C826" s="1776" t="s">
        <v>66</v>
      </c>
      <c r="D826" s="2982" t="s">
        <v>238</v>
      </c>
      <c r="E826" s="2982"/>
      <c r="F826" s="2982"/>
      <c r="G826" s="2982"/>
      <c r="H826" s="1697">
        <v>59225</v>
      </c>
      <c r="I826" s="1697">
        <v>1</v>
      </c>
      <c r="J826" s="1726">
        <f>ROUND(B826*H826,2)</f>
        <v>236.9</v>
      </c>
    </row>
    <row r="827" spans="1:10" ht="38.25" customHeight="1">
      <c r="A827" s="1773"/>
      <c r="B827" s="1697">
        <v>6</v>
      </c>
      <c r="C827" s="1776" t="s">
        <v>106</v>
      </c>
      <c r="D827" s="2983" t="s">
        <v>239</v>
      </c>
      <c r="E827" s="2984"/>
      <c r="F827" s="2984"/>
      <c r="G827" s="2985"/>
      <c r="H827" s="1697">
        <v>23</v>
      </c>
      <c r="I827" s="1697">
        <v>1</v>
      </c>
      <c r="J827" s="1726">
        <f>H827*B827</f>
        <v>138</v>
      </c>
    </row>
    <row r="828" spans="1:10" ht="32.25" customHeight="1">
      <c r="A828" s="1773"/>
      <c r="B828" s="1697">
        <v>6</v>
      </c>
      <c r="C828" s="1776" t="s">
        <v>107</v>
      </c>
      <c r="D828" s="2986" t="s">
        <v>240</v>
      </c>
      <c r="E828" s="2987"/>
      <c r="F828" s="2987"/>
      <c r="G828" s="2988"/>
      <c r="H828" s="1697">
        <v>785</v>
      </c>
      <c r="I828" s="1697">
        <v>1</v>
      </c>
      <c r="J828" s="1726">
        <f>H828*B828</f>
        <v>4710</v>
      </c>
    </row>
    <row r="829" spans="1:10" ht="37.5" customHeight="1">
      <c r="A829" s="1773"/>
      <c r="B829" s="1697">
        <v>2</v>
      </c>
      <c r="C829" s="1776" t="s">
        <v>241</v>
      </c>
      <c r="D829" s="2986" t="s">
        <v>242</v>
      </c>
      <c r="E829" s="2987"/>
      <c r="F829" s="2987"/>
      <c r="G829" s="2988"/>
      <c r="H829" s="1697">
        <v>195</v>
      </c>
      <c r="I829" s="1697"/>
      <c r="J829" s="1726">
        <f>H829*B829</f>
        <v>390</v>
      </c>
    </row>
    <row r="830" spans="1:10">
      <c r="A830" s="1773"/>
      <c r="B830" s="1697"/>
      <c r="C830" s="1777"/>
      <c r="D830" s="2945" t="s">
        <v>18</v>
      </c>
      <c r="E830" s="2945"/>
      <c r="F830" s="2945"/>
      <c r="G830" s="2945"/>
      <c r="H830" s="1697"/>
      <c r="I830" s="1727" t="s">
        <v>25</v>
      </c>
      <c r="J830" s="1728">
        <f>SUM(J826:J829)</f>
        <v>5474.9</v>
      </c>
    </row>
    <row r="831" spans="1:10">
      <c r="A831" s="1773"/>
      <c r="B831" s="1707"/>
      <c r="C831" s="1779"/>
      <c r="D831" s="2941" t="s">
        <v>26</v>
      </c>
      <c r="E831" s="2941"/>
      <c r="F831" s="2941"/>
      <c r="G831" s="2941"/>
      <c r="H831" s="1707"/>
      <c r="I831" s="1789"/>
      <c r="J831" s="1731">
        <f>J824+J830</f>
        <v>5613.65</v>
      </c>
    </row>
    <row r="832" spans="1:10" ht="66" customHeight="1">
      <c r="A832" s="1773"/>
      <c r="B832" s="1707">
        <v>5</v>
      </c>
      <c r="C832" s="1779" t="s">
        <v>29</v>
      </c>
      <c r="D832" s="2989" t="s">
        <v>243</v>
      </c>
      <c r="E832" s="2989"/>
      <c r="F832" s="2989"/>
      <c r="G832" s="2989"/>
      <c r="H832" s="1707">
        <f>J831</f>
        <v>5613.65</v>
      </c>
      <c r="I832" s="1729"/>
      <c r="J832" s="1730">
        <f>ROUND(B832*H832/100,2)</f>
        <v>280.68</v>
      </c>
    </row>
    <row r="833" spans="1:11">
      <c r="A833" s="1773"/>
      <c r="B833" s="1706">
        <f>'Input Data'!$D$25</f>
        <v>0</v>
      </c>
      <c r="C833" s="1779"/>
      <c r="D833" s="2941" t="str">
        <f>"Over head charges "&amp;'Input Data'!$D$25*100&amp;"%  on (A) + (B)"</f>
        <v>Over head charges 0%  on (A) + (B)</v>
      </c>
      <c r="E833" s="2941"/>
      <c r="F833" s="2941"/>
      <c r="G833" s="2941"/>
      <c r="H833" s="1707">
        <f>J831</f>
        <v>5613.65</v>
      </c>
      <c r="I833" s="1729"/>
      <c r="J833" s="1730">
        <f>H833*B833</f>
        <v>0</v>
      </c>
    </row>
    <row r="834" spans="1:11">
      <c r="A834" s="1773"/>
      <c r="B834" s="1707"/>
      <c r="C834" s="1779"/>
      <c r="D834" s="2941"/>
      <c r="E834" s="2941"/>
      <c r="F834" s="2941"/>
      <c r="G834" s="2941"/>
      <c r="H834" s="1707"/>
      <c r="I834" s="1729"/>
      <c r="J834" s="1730"/>
    </row>
    <row r="835" spans="1:11">
      <c r="A835" s="1773"/>
      <c r="B835" s="1707">
        <v>10</v>
      </c>
      <c r="C835" s="1779" t="s">
        <v>29</v>
      </c>
      <c r="D835" s="2941" t="s">
        <v>30</v>
      </c>
      <c r="E835" s="2941"/>
      <c r="F835" s="2941"/>
      <c r="G835" s="2941"/>
      <c r="H835" s="1707">
        <f>J831+J833</f>
        <v>5613.65</v>
      </c>
      <c r="I835" s="1729"/>
      <c r="J835" s="1730">
        <f>ROUND(B835*H835/100,2)</f>
        <v>561.37</v>
      </c>
    </row>
    <row r="836" spans="1:11">
      <c r="A836" s="1773"/>
      <c r="B836" s="1707"/>
      <c r="C836" s="1779"/>
      <c r="D836" s="2941"/>
      <c r="E836" s="2941"/>
      <c r="F836" s="2941"/>
      <c r="G836" s="2941"/>
      <c r="H836" s="1707"/>
      <c r="I836" s="1729"/>
      <c r="J836" s="1731"/>
    </row>
    <row r="837" spans="1:11">
      <c r="A837" s="1773"/>
      <c r="B837" s="1708">
        <v>1</v>
      </c>
      <c r="C837" s="1779" t="s">
        <v>244</v>
      </c>
      <c r="D837" s="2943" t="str">
        <f>CONCATENATE("TOTAL Cost for ",B837,"  ",C837,"  =  (A+B+C+D)",)</f>
        <v>TOTAL Cost for 1  NO  =  (A+B+C+D)</v>
      </c>
      <c r="E837" s="2943"/>
      <c r="F837" s="2943"/>
      <c r="G837" s="2943"/>
      <c r="H837" s="1707"/>
      <c r="I837" s="1707"/>
      <c r="J837" s="1730">
        <f>SUM(J831:J835)</f>
        <v>6455.7</v>
      </c>
    </row>
    <row r="838" spans="1:11">
      <c r="A838" s="1773"/>
      <c r="B838" s="1707"/>
      <c r="C838" s="1707"/>
      <c r="D838" s="2945" t="str">
        <f>CONCATENATE("Rate per  1  ",C837)</f>
        <v>Rate per  1  NO</v>
      </c>
      <c r="E838" s="2945"/>
      <c r="F838" s="2945"/>
      <c r="G838" s="2945"/>
      <c r="H838" s="1707"/>
      <c r="I838" s="1707"/>
      <c r="J838" s="1726">
        <f>J837/B837</f>
        <v>6455.7</v>
      </c>
    </row>
    <row r="839" spans="1:11">
      <c r="A839" s="1773"/>
      <c r="B839" s="1799"/>
      <c r="C839" s="1799"/>
      <c r="D839" s="2990" t="str">
        <f>D838</f>
        <v>Rate per  1  NO</v>
      </c>
      <c r="E839" s="2990"/>
      <c r="F839" s="2990"/>
      <c r="G839" s="2990"/>
      <c r="H839" s="1800"/>
      <c r="I839" s="1800"/>
      <c r="J839" s="1801">
        <f>ROUND(J838,0)</f>
        <v>6456</v>
      </c>
    </row>
    <row r="840" spans="1:11" ht="106.5" customHeight="1">
      <c r="A840" s="1710">
        <v>15</v>
      </c>
      <c r="B840" s="2946" t="s">
        <v>245</v>
      </c>
      <c r="C840" s="2946"/>
      <c r="D840" s="2946"/>
      <c r="E840" s="2946"/>
      <c r="F840" s="2946"/>
      <c r="G840" s="2946"/>
      <c r="H840" s="2946"/>
      <c r="I840" s="2946"/>
      <c r="J840" s="2946"/>
    </row>
    <row r="841" spans="1:11">
      <c r="D841" s="1687" t="s">
        <v>10</v>
      </c>
      <c r="F841" s="1713" t="s">
        <v>93</v>
      </c>
      <c r="J841" s="1684"/>
    </row>
    <row r="842" spans="1:11">
      <c r="D842" s="1687" t="s">
        <v>56</v>
      </c>
      <c r="J842" s="1684"/>
    </row>
    <row r="843" spans="1:11">
      <c r="B843" s="1715" t="s">
        <v>36</v>
      </c>
      <c r="C843" s="1722" t="s">
        <v>37</v>
      </c>
      <c r="J843" s="1684"/>
    </row>
    <row r="844" spans="1:11">
      <c r="B844" s="1705">
        <v>0.86</v>
      </c>
      <c r="C844" s="1683" t="s">
        <v>57</v>
      </c>
      <c r="D844" s="1687" t="s">
        <v>14</v>
      </c>
      <c r="H844" s="1701">
        <f>'SSR-rates'!$H$58</f>
        <v>490</v>
      </c>
      <c r="I844" s="1716" t="s">
        <v>38</v>
      </c>
      <c r="J844" s="1705">
        <f>ROUND(B844*H844,2)</f>
        <v>421.4</v>
      </c>
      <c r="K844" s="1687"/>
    </row>
    <row r="845" spans="1:11">
      <c r="B845" s="1705">
        <v>1.5</v>
      </c>
      <c r="C845" s="1683" t="s">
        <v>57</v>
      </c>
      <c r="D845" s="1687" t="s">
        <v>58</v>
      </c>
      <c r="H845" s="1701">
        <f>'SSR-rates'!$H$59</f>
        <v>524</v>
      </c>
      <c r="I845" s="1716" t="s">
        <v>38</v>
      </c>
      <c r="J845" s="1705">
        <f>ROUND(B845*H845,2)</f>
        <v>786</v>
      </c>
    </row>
    <row r="846" spans="1:11">
      <c r="B846" s="1705">
        <v>20</v>
      </c>
      <c r="C846" s="1683" t="s">
        <v>57</v>
      </c>
      <c r="D846" s="1687" t="s">
        <v>59</v>
      </c>
      <c r="H846" s="1701">
        <f>'SSR-rates'!$H$60</f>
        <v>490</v>
      </c>
      <c r="I846" s="1716" t="s">
        <v>38</v>
      </c>
      <c r="J846" s="1705">
        <f>ROUND(B846*H846,2)</f>
        <v>9800</v>
      </c>
    </row>
    <row r="847" spans="1:11">
      <c r="A847" s="1713"/>
      <c r="B847" s="1702">
        <f>'Input Data'!$D$23</f>
        <v>0</v>
      </c>
      <c r="C847" s="1688"/>
      <c r="D847" s="1684" t="s">
        <v>17</v>
      </c>
      <c r="F847" s="1683"/>
      <c r="G847" s="1683"/>
      <c r="H847" s="1701">
        <f>SUM(J844:J846)</f>
        <v>11007.4</v>
      </c>
      <c r="I847" s="1716"/>
      <c r="J847" s="1701">
        <f>B847*H847</f>
        <v>0</v>
      </c>
    </row>
    <row r="848" spans="1:11" ht="15" customHeight="1">
      <c r="B848" s="1705"/>
      <c r="D848" s="1687" t="s">
        <v>60</v>
      </c>
      <c r="H848" s="1701"/>
      <c r="I848" s="1701"/>
      <c r="J848" s="1705">
        <f>SUM(J844:J847)</f>
        <v>11007.4</v>
      </c>
    </row>
    <row r="849" spans="1:13">
      <c r="B849" s="1715" t="s">
        <v>39</v>
      </c>
      <c r="C849" s="1722" t="s">
        <v>61</v>
      </c>
      <c r="H849" s="1701"/>
      <c r="I849" s="1701"/>
      <c r="J849" s="1701"/>
    </row>
    <row r="850" spans="1:13">
      <c r="B850" s="1705">
        <v>5.4</v>
      </c>
      <c r="C850" s="1683" t="s">
        <v>31</v>
      </c>
      <c r="D850" s="1687" t="s">
        <v>62</v>
      </c>
      <c r="H850" s="1701">
        <f>lead!$J$14</f>
        <v>1732.2187651278443</v>
      </c>
      <c r="I850" s="1701" t="s">
        <v>31</v>
      </c>
      <c r="J850" s="1701">
        <f>ROUND(B850*H850,2)</f>
        <v>9353.98</v>
      </c>
      <c r="K850" s="1684">
        <v>5.16</v>
      </c>
      <c r="L850" s="1684">
        <v>5.4</v>
      </c>
      <c r="M850" s="1684">
        <v>1139.82456140351</v>
      </c>
    </row>
    <row r="851" spans="1:13" ht="15" customHeight="1">
      <c r="B851" s="1705">
        <v>5.4</v>
      </c>
      <c r="C851" s="1683" t="s">
        <v>31</v>
      </c>
      <c r="D851" s="1684" t="s">
        <v>63</v>
      </c>
      <c r="H851" s="1701">
        <f>lead!$J$16</f>
        <v>2031.2187651278443</v>
      </c>
      <c r="I851" s="1701" t="s">
        <v>31</v>
      </c>
      <c r="J851" s="1701">
        <f>ROUND(B851*H851,2)</f>
        <v>10968.58</v>
      </c>
      <c r="L851" s="1684">
        <v>5.4</v>
      </c>
      <c r="M851" s="1684">
        <v>1659.82456140351</v>
      </c>
    </row>
    <row r="852" spans="1:13" ht="15" customHeight="1">
      <c r="B852" s="1705">
        <v>2.7</v>
      </c>
      <c r="C852" s="1683" t="s">
        <v>31</v>
      </c>
      <c r="D852" s="1684" t="s">
        <v>64</v>
      </c>
      <c r="H852" s="1701">
        <f>lead!$J$18</f>
        <v>1780.2187651278443</v>
      </c>
      <c r="I852" s="1701" t="s">
        <v>31</v>
      </c>
      <c r="J852" s="1701">
        <f>ROUND(B852*H852,2)</f>
        <v>4806.59</v>
      </c>
      <c r="L852" s="1684">
        <v>2.7</v>
      </c>
      <c r="M852" s="1684">
        <v>1229.82456140351</v>
      </c>
    </row>
    <row r="853" spans="1:13" ht="15" customHeight="1">
      <c r="B853" s="1705">
        <v>6.75</v>
      </c>
      <c r="C853" s="1683" t="s">
        <v>31</v>
      </c>
      <c r="D853" s="1687" t="s">
        <v>65</v>
      </c>
      <c r="H853" s="1701">
        <f>lead!J12</f>
        <v>1684.4687651278443</v>
      </c>
      <c r="I853" s="1701" t="s">
        <v>31</v>
      </c>
      <c r="J853" s="1701">
        <f>ROUND(B853*H853,2)</f>
        <v>11370.16</v>
      </c>
      <c r="L853" s="1684">
        <v>6.75</v>
      </c>
      <c r="M853" s="1684">
        <v>1207.0087719298201</v>
      </c>
    </row>
    <row r="854" spans="1:13" ht="15" customHeight="1">
      <c r="B854" s="1705">
        <v>5.16</v>
      </c>
      <c r="C854" s="1683" t="s">
        <v>66</v>
      </c>
      <c r="D854" s="1687" t="s">
        <v>67</v>
      </c>
      <c r="H854" s="1701">
        <f>lead!$J$36</f>
        <v>5000</v>
      </c>
      <c r="I854" s="1701" t="s">
        <v>66</v>
      </c>
      <c r="J854" s="1701">
        <f>ROUND(B854*H854,2)</f>
        <v>25800</v>
      </c>
      <c r="L854" s="1684">
        <v>5.16</v>
      </c>
      <c r="M854" s="1684">
        <v>6300</v>
      </c>
    </row>
    <row r="855" spans="1:13">
      <c r="B855" s="1705"/>
      <c r="C855" s="1688"/>
      <c r="D855" s="1687" t="s">
        <v>60</v>
      </c>
      <c r="H855" s="1701"/>
      <c r="I855" s="1701"/>
      <c r="J855" s="1701">
        <f>SUM(J850:J854)</f>
        <v>62299.31</v>
      </c>
    </row>
    <row r="856" spans="1:13">
      <c r="B856" s="1715" t="s">
        <v>94</v>
      </c>
      <c r="C856" s="1722" t="s">
        <v>40</v>
      </c>
      <c r="H856" s="1701"/>
      <c r="I856" s="1701"/>
      <c r="J856" s="1701"/>
    </row>
    <row r="857" spans="1:13">
      <c r="B857" s="1705">
        <v>6</v>
      </c>
      <c r="C857" s="1683" t="s">
        <v>41</v>
      </c>
      <c r="D857" s="1687" t="s">
        <v>68</v>
      </c>
      <c r="H857" s="1701">
        <f>'SSR-rates'!$H$88</f>
        <v>627.6</v>
      </c>
      <c r="I857" s="1701" t="s">
        <v>41</v>
      </c>
      <c r="J857" s="1701">
        <f>ROUND(B857*H857,2)</f>
        <v>3765.6</v>
      </c>
    </row>
    <row r="858" spans="1:13">
      <c r="B858" s="1705">
        <v>6</v>
      </c>
      <c r="C858" s="1683" t="s">
        <v>41</v>
      </c>
      <c r="D858" s="1687" t="s">
        <v>69</v>
      </c>
      <c r="H858" s="1701">
        <f>'SSR-rates'!$H$87</f>
        <v>1237.4000000000001</v>
      </c>
      <c r="I858" s="1701" t="s">
        <v>41</v>
      </c>
      <c r="J858" s="1701">
        <f>ROUND(B858*H858,2)</f>
        <v>7424.4</v>
      </c>
    </row>
    <row r="859" spans="1:13">
      <c r="B859" s="1705"/>
      <c r="C859" s="1688"/>
      <c r="D859" s="1687" t="s">
        <v>60</v>
      </c>
      <c r="H859" s="1701"/>
      <c r="I859" s="1701"/>
      <c r="J859" s="1701">
        <f>SUM(J857:J858)</f>
        <v>11190</v>
      </c>
    </row>
    <row r="860" spans="1:13">
      <c r="A860" s="1713"/>
      <c r="B860" s="1715" t="s">
        <v>45</v>
      </c>
      <c r="C860" s="1713" t="s">
        <v>149</v>
      </c>
      <c r="F860" s="1683"/>
      <c r="G860" s="1683"/>
      <c r="H860" s="1683"/>
      <c r="I860" s="1683"/>
      <c r="J860" s="1741"/>
    </row>
    <row r="861" spans="1:13">
      <c r="A861" s="1713"/>
      <c r="B861" s="1705">
        <v>4</v>
      </c>
      <c r="C861" s="1688" t="s">
        <v>29</v>
      </c>
      <c r="D861" s="1687" t="s">
        <v>146</v>
      </c>
      <c r="F861" s="1683"/>
      <c r="G861" s="1683"/>
      <c r="H861" s="1683"/>
      <c r="I861" s="1683"/>
      <c r="J861" s="1701">
        <f>ROUND((J848+J855+J859)*B861/100,2)</f>
        <v>3379.87</v>
      </c>
    </row>
    <row r="862" spans="1:13">
      <c r="A862" s="1713"/>
      <c r="B862" s="1715" t="s">
        <v>47</v>
      </c>
      <c r="C862" s="1713" t="s">
        <v>97</v>
      </c>
      <c r="F862" s="1683"/>
      <c r="G862" s="1683"/>
      <c r="H862" s="1683"/>
      <c r="I862" s="1683"/>
      <c r="J862" s="1741"/>
    </row>
    <row r="863" spans="1:13">
      <c r="A863" s="1713"/>
      <c r="B863" s="1743">
        <f>'Input Data'!$D$25</f>
        <v>0</v>
      </c>
      <c r="C863" s="1688"/>
      <c r="D863" s="1687" t="str">
        <f>"Over head charges "&amp;'Input Data'!$D$25*100&amp;"%  on (A) + (B)"</f>
        <v>Over head charges 0%  on (A) + (B)</v>
      </c>
      <c r="F863" s="1683"/>
      <c r="G863" s="1683"/>
      <c r="H863" s="1688">
        <f>J861+J859+J855+J848</f>
        <v>87876.579999999987</v>
      </c>
      <c r="I863" s="1683"/>
      <c r="J863" s="1701">
        <f>H863*B863</f>
        <v>0</v>
      </c>
    </row>
    <row r="864" spans="1:13">
      <c r="A864" s="1713"/>
      <c r="B864" s="1715" t="s">
        <v>76</v>
      </c>
      <c r="C864" s="1713" t="s">
        <v>89</v>
      </c>
      <c r="F864" s="1683"/>
      <c r="G864" s="1683"/>
      <c r="H864" s="1683"/>
      <c r="I864" s="1683"/>
      <c r="J864" s="1741">
        <f>J848+J855+J859+J863+J861</f>
        <v>87876.579999999987</v>
      </c>
    </row>
    <row r="865" spans="1:13">
      <c r="A865" s="1713"/>
      <c r="B865" s="1715" t="s">
        <v>78</v>
      </c>
      <c r="C865" s="1713" t="s">
        <v>90</v>
      </c>
      <c r="F865" s="1683"/>
      <c r="G865" s="1683"/>
      <c r="H865" s="1683"/>
      <c r="I865" s="1683"/>
      <c r="J865" s="1741">
        <f>J864*10/100</f>
        <v>8787.6579999999976</v>
      </c>
    </row>
    <row r="866" spans="1:13">
      <c r="B866" s="1705"/>
      <c r="C866" s="1683"/>
      <c r="D866" s="1722" t="s">
        <v>98</v>
      </c>
      <c r="H866" s="1701"/>
      <c r="I866" s="1701"/>
      <c r="J866" s="1741">
        <f>SUM(J864:J865)</f>
        <v>96664.237999999983</v>
      </c>
    </row>
    <row r="867" spans="1:13">
      <c r="B867" s="1705"/>
      <c r="C867" s="1683"/>
      <c r="D867" s="1687" t="s">
        <v>81</v>
      </c>
      <c r="H867" s="1701"/>
      <c r="I867" s="1701"/>
      <c r="J867" s="1701">
        <f>ROUND(J866/15,2)</f>
        <v>6444.28</v>
      </c>
    </row>
    <row r="868" spans="1:13">
      <c r="D868" s="1687" t="s">
        <v>52</v>
      </c>
      <c r="H868" s="1701"/>
      <c r="I868" s="1701"/>
      <c r="J868" s="1742">
        <f>ROUND(J867,0)</f>
        <v>6444</v>
      </c>
    </row>
    <row r="869" spans="1:13">
      <c r="D869" s="1687"/>
      <c r="H869" s="1701"/>
      <c r="I869" s="1701"/>
      <c r="J869" s="1741" t="s">
        <v>53</v>
      </c>
    </row>
    <row r="870" spans="1:13" ht="106.5" hidden="1" customHeight="1">
      <c r="A870" s="1710">
        <v>16</v>
      </c>
      <c r="B870" s="2946" t="s">
        <v>246</v>
      </c>
      <c r="C870" s="2946"/>
      <c r="D870" s="2946"/>
      <c r="E870" s="2946"/>
      <c r="F870" s="2946"/>
      <c r="G870" s="2946"/>
      <c r="H870" s="2946"/>
      <c r="I870" s="2946"/>
      <c r="J870" s="2946"/>
    </row>
    <row r="871" spans="1:13" hidden="1">
      <c r="D871" s="1687" t="s">
        <v>10</v>
      </c>
      <c r="F871" s="1713" t="s">
        <v>93</v>
      </c>
      <c r="J871" s="1684"/>
    </row>
    <row r="872" spans="1:13" hidden="1">
      <c r="D872" s="1687" t="s">
        <v>56</v>
      </c>
      <c r="J872" s="1684"/>
    </row>
    <row r="873" spans="1:13" hidden="1">
      <c r="B873" s="1715" t="s">
        <v>36</v>
      </c>
      <c r="C873" s="1722" t="s">
        <v>37</v>
      </c>
      <c r="J873" s="1684"/>
    </row>
    <row r="874" spans="1:13" hidden="1">
      <c r="B874" s="1705">
        <v>0.86</v>
      </c>
      <c r="C874" s="1683" t="s">
        <v>57</v>
      </c>
      <c r="D874" s="1687" t="s">
        <v>14</v>
      </c>
      <c r="H874" s="1701">
        <f>'SSR-rates'!$H$58</f>
        <v>490</v>
      </c>
      <c r="I874" s="1716" t="s">
        <v>38</v>
      </c>
      <c r="J874" s="1705">
        <f>ROUND(B874*H874,2)</f>
        <v>421.4</v>
      </c>
      <c r="K874" s="1687"/>
    </row>
    <row r="875" spans="1:13" hidden="1">
      <c r="B875" s="1705">
        <v>1.5</v>
      </c>
      <c r="C875" s="1683" t="s">
        <v>57</v>
      </c>
      <c r="D875" s="1687" t="s">
        <v>58</v>
      </c>
      <c r="H875" s="1701">
        <f>'SSR-rates'!$H$59</f>
        <v>524</v>
      </c>
      <c r="I875" s="1716" t="s">
        <v>38</v>
      </c>
      <c r="J875" s="1705">
        <f>ROUND(B875*H875,2)</f>
        <v>786</v>
      </c>
    </row>
    <row r="876" spans="1:13" hidden="1">
      <c r="B876" s="1705">
        <v>20</v>
      </c>
      <c r="C876" s="1683" t="s">
        <v>57</v>
      </c>
      <c r="D876" s="1687" t="s">
        <v>59</v>
      </c>
      <c r="H876" s="1701">
        <f>'SSR-rates'!$H$60</f>
        <v>490</v>
      </c>
      <c r="I876" s="1716" t="s">
        <v>38</v>
      </c>
      <c r="J876" s="1705">
        <f>ROUND(B876*H876,2)</f>
        <v>9800</v>
      </c>
    </row>
    <row r="877" spans="1:13" hidden="1">
      <c r="A877" s="1713"/>
      <c r="B877" s="1702">
        <f>'Input Data'!$D$23</f>
        <v>0</v>
      </c>
      <c r="C877" s="1688"/>
      <c r="D877" s="1684" t="s">
        <v>17</v>
      </c>
      <c r="F877" s="1683"/>
      <c r="G877" s="1683"/>
      <c r="H877" s="1701">
        <f>SUM(J874:J876)</f>
        <v>11007.4</v>
      </c>
      <c r="I877" s="1716"/>
      <c r="J877" s="1701">
        <f>B877*H877</f>
        <v>0</v>
      </c>
    </row>
    <row r="878" spans="1:13" ht="15" hidden="1" customHeight="1">
      <c r="B878" s="1705"/>
      <c r="D878" s="1687" t="s">
        <v>60</v>
      </c>
      <c r="H878" s="1701"/>
      <c r="I878" s="1701"/>
      <c r="J878" s="1705">
        <f>SUM(J874:J877)</f>
        <v>11007.4</v>
      </c>
    </row>
    <row r="879" spans="1:13" hidden="1">
      <c r="B879" s="1715" t="s">
        <v>39</v>
      </c>
      <c r="C879" s="1722" t="s">
        <v>61</v>
      </c>
      <c r="H879" s="1701"/>
      <c r="I879" s="1701"/>
      <c r="J879" s="1701"/>
    </row>
    <row r="880" spans="1:13" hidden="1">
      <c r="B880" s="1705">
        <v>5.4</v>
      </c>
      <c r="C880" s="1683" t="s">
        <v>31</v>
      </c>
      <c r="D880" s="1687" t="s">
        <v>62</v>
      </c>
      <c r="H880" s="1701">
        <f>lead!$J$14</f>
        <v>1732.2187651278443</v>
      </c>
      <c r="I880" s="1701" t="s">
        <v>31</v>
      </c>
      <c r="J880" s="1701">
        <f>ROUND(B880*H880,2)</f>
        <v>9353.98</v>
      </c>
      <c r="K880" s="1684">
        <v>5.16</v>
      </c>
      <c r="L880" s="1684">
        <v>5.4</v>
      </c>
      <c r="M880" s="1684">
        <v>1139.82456140351</v>
      </c>
    </row>
    <row r="881" spans="1:13" ht="15" hidden="1" customHeight="1">
      <c r="B881" s="1705">
        <v>5.4</v>
      </c>
      <c r="C881" s="1683" t="s">
        <v>31</v>
      </c>
      <c r="D881" s="1684" t="s">
        <v>63</v>
      </c>
      <c r="H881" s="1701">
        <f>lead!$J$16</f>
        <v>2031.2187651278443</v>
      </c>
      <c r="I881" s="1701" t="s">
        <v>31</v>
      </c>
      <c r="J881" s="1701">
        <f>ROUND(B881*H881,2)</f>
        <v>10968.58</v>
      </c>
      <c r="L881" s="1684">
        <v>5.4</v>
      </c>
      <c r="M881" s="1684">
        <v>1659.82456140351</v>
      </c>
    </row>
    <row r="882" spans="1:13" ht="15" hidden="1" customHeight="1">
      <c r="B882" s="1705">
        <v>2.7</v>
      </c>
      <c r="C882" s="1683" t="s">
        <v>31</v>
      </c>
      <c r="D882" s="1684" t="s">
        <v>64</v>
      </c>
      <c r="H882" s="1701">
        <f>lead!$J$18</f>
        <v>1780.2187651278443</v>
      </c>
      <c r="I882" s="1701" t="s">
        <v>31</v>
      </c>
      <c r="J882" s="1701">
        <f>ROUND(B882*H882,2)</f>
        <v>4806.59</v>
      </c>
      <c r="L882" s="1684">
        <v>2.7</v>
      </c>
      <c r="M882" s="1684">
        <v>1229.82456140351</v>
      </c>
    </row>
    <row r="883" spans="1:13" ht="15" hidden="1" customHeight="1">
      <c r="B883" s="1705">
        <v>6.75</v>
      </c>
      <c r="C883" s="1683" t="s">
        <v>31</v>
      </c>
      <c r="D883" s="1687" t="s">
        <v>65</v>
      </c>
      <c r="H883" s="1701">
        <f>lead!J12</f>
        <v>1684.4687651278443</v>
      </c>
      <c r="I883" s="1701" t="s">
        <v>31</v>
      </c>
      <c r="J883" s="1701">
        <f>ROUND(B883*H883,2)</f>
        <v>11370.16</v>
      </c>
      <c r="L883" s="1684">
        <v>6.75</v>
      </c>
      <c r="M883" s="1684">
        <v>1207.0087719298201</v>
      </c>
    </row>
    <row r="884" spans="1:13" ht="15" hidden="1" customHeight="1">
      <c r="B884" s="1705">
        <v>5.16</v>
      </c>
      <c r="C884" s="1683" t="s">
        <v>66</v>
      </c>
      <c r="D884" s="1687" t="s">
        <v>67</v>
      </c>
      <c r="H884" s="1701">
        <f>lead!$J$36</f>
        <v>5000</v>
      </c>
      <c r="I884" s="1701" t="s">
        <v>66</v>
      </c>
      <c r="J884" s="1701">
        <f>ROUND(B884*H884,2)</f>
        <v>25800</v>
      </c>
      <c r="L884" s="1684">
        <v>5.16</v>
      </c>
      <c r="M884" s="1684">
        <v>6300</v>
      </c>
    </row>
    <row r="885" spans="1:13" hidden="1">
      <c r="B885" s="1705"/>
      <c r="C885" s="1688"/>
      <c r="D885" s="1687" t="s">
        <v>60</v>
      </c>
      <c r="H885" s="1701"/>
      <c r="I885" s="1701"/>
      <c r="J885" s="1701">
        <f>SUM(J880:J884)</f>
        <v>62299.31</v>
      </c>
    </row>
    <row r="886" spans="1:13" hidden="1">
      <c r="B886" s="1715" t="s">
        <v>94</v>
      </c>
      <c r="C886" s="1722" t="s">
        <v>40</v>
      </c>
      <c r="H886" s="1701"/>
      <c r="I886" s="1701"/>
      <c r="J886" s="1701"/>
    </row>
    <row r="887" spans="1:13" hidden="1">
      <c r="B887" s="1705">
        <v>6</v>
      </c>
      <c r="C887" s="1683" t="s">
        <v>41</v>
      </c>
      <c r="D887" s="1687" t="s">
        <v>68</v>
      </c>
      <c r="H887" s="1701">
        <f>'SSR-rates'!$H$88</f>
        <v>627.6</v>
      </c>
      <c r="I887" s="1701" t="s">
        <v>41</v>
      </c>
      <c r="J887" s="1701">
        <f>ROUND(B887*H887,2)</f>
        <v>3765.6</v>
      </c>
    </row>
    <row r="888" spans="1:13" hidden="1">
      <c r="B888" s="1705">
        <v>6</v>
      </c>
      <c r="C888" s="1683" t="s">
        <v>41</v>
      </c>
      <c r="D888" s="1687" t="s">
        <v>69</v>
      </c>
      <c r="H888" s="1701">
        <f>'SSR-rates'!$H$87</f>
        <v>1237.4000000000001</v>
      </c>
      <c r="I888" s="1701" t="s">
        <v>41</v>
      </c>
      <c r="J888" s="1701">
        <f>ROUND(B888*H888,2)</f>
        <v>7424.4</v>
      </c>
    </row>
    <row r="889" spans="1:13" hidden="1">
      <c r="B889" s="1705"/>
      <c r="C889" s="1688"/>
      <c r="D889" s="1687" t="s">
        <v>60</v>
      </c>
      <c r="H889" s="1701"/>
      <c r="I889" s="1701"/>
      <c r="J889" s="1701">
        <f>SUM(J887:J888)</f>
        <v>11190</v>
      </c>
    </row>
    <row r="890" spans="1:13" hidden="1">
      <c r="A890" s="1713"/>
      <c r="B890" s="1715" t="s">
        <v>45</v>
      </c>
      <c r="C890" s="1713" t="s">
        <v>149</v>
      </c>
      <c r="F890" s="1683"/>
      <c r="G890" s="1683"/>
      <c r="H890" s="1683"/>
      <c r="I890" s="1683"/>
      <c r="J890" s="1741"/>
    </row>
    <row r="891" spans="1:13" hidden="1">
      <c r="A891" s="1713"/>
      <c r="B891" s="1705">
        <v>10</v>
      </c>
      <c r="C891" s="1688" t="s">
        <v>29</v>
      </c>
      <c r="D891" s="1687" t="s">
        <v>146</v>
      </c>
      <c r="F891" s="1683"/>
      <c r="G891" s="1683"/>
      <c r="H891" s="1683"/>
      <c r="I891" s="1683"/>
      <c r="J891" s="1701">
        <f>ROUND((J878+J885+J889)*B891/100,2)</f>
        <v>8449.67</v>
      </c>
    </row>
    <row r="892" spans="1:13" hidden="1">
      <c r="A892" s="1713"/>
      <c r="B892" s="1715" t="s">
        <v>47</v>
      </c>
      <c r="C892" s="1713" t="s">
        <v>97</v>
      </c>
      <c r="F892" s="1683"/>
      <c r="G892" s="1683"/>
      <c r="H892" s="1683"/>
      <c r="I892" s="1683"/>
      <c r="J892" s="1741"/>
    </row>
    <row r="893" spans="1:13" hidden="1">
      <c r="A893" s="1713"/>
      <c r="B893" s="1743">
        <f>'Input Data'!$D$25</f>
        <v>0</v>
      </c>
      <c r="C893" s="1688"/>
      <c r="D893" s="1687" t="str">
        <f>"Over head charges "&amp;'Input Data'!$D$25*100&amp;"%  on (A) + (B)"</f>
        <v>Over head charges 0%  on (A) + (B)</v>
      </c>
      <c r="F893" s="1683"/>
      <c r="G893" s="1683"/>
      <c r="H893" s="1688">
        <f>J891+J889+J885+J878</f>
        <v>92946.37999999999</v>
      </c>
      <c r="I893" s="1683"/>
      <c r="J893" s="1701">
        <f>H893*B893</f>
        <v>0</v>
      </c>
    </row>
    <row r="894" spans="1:13" hidden="1">
      <c r="A894" s="1713"/>
      <c r="B894" s="1715" t="s">
        <v>76</v>
      </c>
      <c r="C894" s="1713" t="s">
        <v>89</v>
      </c>
      <c r="F894" s="1683"/>
      <c r="G894" s="1683"/>
      <c r="H894" s="1683"/>
      <c r="I894" s="1683"/>
      <c r="J894" s="1741">
        <f>J878+J885+J889+J893+J891</f>
        <v>92946.37999999999</v>
      </c>
    </row>
    <row r="895" spans="1:13" hidden="1">
      <c r="A895" s="1713"/>
      <c r="B895" s="1715" t="s">
        <v>78</v>
      </c>
      <c r="C895" s="1713" t="s">
        <v>90</v>
      </c>
      <c r="F895" s="1683"/>
      <c r="G895" s="1683"/>
      <c r="H895" s="1683"/>
      <c r="I895" s="1683"/>
      <c r="J895" s="1741">
        <f>J894*10/100</f>
        <v>9294.637999999999</v>
      </c>
    </row>
    <row r="896" spans="1:13" hidden="1">
      <c r="B896" s="1705"/>
      <c r="C896" s="1683"/>
      <c r="D896" s="1722" t="s">
        <v>98</v>
      </c>
      <c r="H896" s="1701"/>
      <c r="I896" s="1701"/>
      <c r="J896" s="1741">
        <f>SUM(J894:J895)</f>
        <v>102241.01799999998</v>
      </c>
    </row>
    <row r="897" spans="1:11" hidden="1">
      <c r="B897" s="1705"/>
      <c r="C897" s="1683"/>
      <c r="D897" s="1687" t="s">
        <v>81</v>
      </c>
      <c r="H897" s="1701"/>
      <c r="I897" s="1701"/>
      <c r="J897" s="1701">
        <f>ROUND(J896/15,2)</f>
        <v>6816.07</v>
      </c>
    </row>
    <row r="898" spans="1:11" hidden="1">
      <c r="D898" s="1687" t="s">
        <v>52</v>
      </c>
      <c r="H898" s="1701"/>
      <c r="I898" s="1701"/>
      <c r="J898" s="1742">
        <f>ROUND(J897,0)</f>
        <v>6816</v>
      </c>
    </row>
    <row r="899" spans="1:11" hidden="1">
      <c r="D899" s="1687"/>
      <c r="H899" s="1701"/>
      <c r="I899" s="1701"/>
      <c r="J899" s="1741" t="s">
        <v>53</v>
      </c>
    </row>
    <row r="900" spans="1:11" hidden="1"/>
    <row r="901" spans="1:11" ht="113.25" customHeight="1">
      <c r="A901" s="1796">
        <v>7.09</v>
      </c>
      <c r="B901" s="2938" t="s">
        <v>247</v>
      </c>
      <c r="C901" s="2939"/>
      <c r="D901" s="2939"/>
      <c r="E901" s="2939"/>
      <c r="F901" s="2939"/>
      <c r="G901" s="2939"/>
      <c r="H901" s="2939"/>
      <c r="I901" s="2939"/>
      <c r="J901" s="2940"/>
    </row>
    <row r="902" spans="1:11">
      <c r="A902" s="1802"/>
      <c r="B902" s="1692"/>
      <c r="C902" s="1692"/>
      <c r="D902" s="2941" t="s">
        <v>248</v>
      </c>
      <c r="E902" s="2941"/>
      <c r="F902" s="2941"/>
      <c r="G902" s="1693"/>
      <c r="H902" s="1692"/>
      <c r="I902" s="1692"/>
      <c r="J902" s="1725"/>
    </row>
    <row r="903" spans="1:11">
      <c r="A903" s="1802"/>
      <c r="B903" s="1692"/>
      <c r="C903" s="1692"/>
      <c r="D903" s="2968" t="s">
        <v>203</v>
      </c>
      <c r="E903" s="2968"/>
      <c r="F903" s="2968"/>
      <c r="G903" s="1775"/>
      <c r="I903" s="1692"/>
      <c r="J903" s="1725"/>
    </row>
    <row r="904" spans="1:11">
      <c r="A904" s="1802"/>
      <c r="B904" s="1692"/>
      <c r="C904" s="1697"/>
      <c r="D904" s="2968" t="s">
        <v>249</v>
      </c>
      <c r="E904" s="2968"/>
      <c r="F904" s="2968"/>
      <c r="G904" s="1775"/>
      <c r="I904" s="1692"/>
      <c r="J904" s="1725"/>
    </row>
    <row r="905" spans="1:11" ht="20.25" customHeight="1">
      <c r="A905" s="1802"/>
      <c r="B905" s="1692"/>
      <c r="C905" s="2991" t="s">
        <v>250</v>
      </c>
      <c r="D905" s="2992"/>
      <c r="E905" s="2992"/>
      <c r="F905" s="2992"/>
      <c r="G905" s="2992"/>
      <c r="H905" s="2993"/>
      <c r="I905" s="1692"/>
      <c r="J905" s="1725"/>
    </row>
    <row r="906" spans="1:11" ht="16.5" customHeight="1">
      <c r="A906" s="1802"/>
      <c r="B906" s="1697"/>
      <c r="C906" s="1692"/>
      <c r="D906" s="2968" t="s">
        <v>251</v>
      </c>
      <c r="E906" s="2968"/>
      <c r="F906" s="2968"/>
      <c r="G906" s="1775"/>
      <c r="H906" s="1697"/>
      <c r="I906" s="1697"/>
      <c r="J906" s="1726"/>
    </row>
    <row r="907" spans="1:11" ht="16.5" customHeight="1">
      <c r="A907" s="1802"/>
      <c r="B907" s="1697">
        <v>0.51</v>
      </c>
      <c r="C907" s="1692" t="s">
        <v>66</v>
      </c>
      <c r="D907" s="2942" t="s">
        <v>252</v>
      </c>
      <c r="E907" s="2942"/>
      <c r="F907" s="2942"/>
      <c r="G907" s="1700"/>
      <c r="H907" s="1701">
        <f>lead!J$36</f>
        <v>5000</v>
      </c>
      <c r="I907" s="1697">
        <v>1</v>
      </c>
      <c r="J907" s="1726">
        <f>ROUND(B907*H907,2)</f>
        <v>2550</v>
      </c>
      <c r="K907" s="1701" t="e">
        <f>lead!#REF!</f>
        <v>#REF!</v>
      </c>
    </row>
    <row r="908" spans="1:11" ht="18.75" customHeight="1">
      <c r="A908" s="1802"/>
      <c r="B908" s="1697">
        <v>1.05</v>
      </c>
      <c r="C908" s="1692" t="s">
        <v>31</v>
      </c>
      <c r="D908" s="2942" t="s">
        <v>253</v>
      </c>
      <c r="E908" s="2942"/>
      <c r="F908" s="2942"/>
      <c r="G908" s="1700"/>
      <c r="H908" s="1701">
        <f>lead!J$30</f>
        <v>2070.9213132068826</v>
      </c>
      <c r="I908" s="1697">
        <v>1</v>
      </c>
      <c r="J908" s="1726">
        <f>ROUND(B908*H908,2)</f>
        <v>2174.4699999999998</v>
      </c>
      <c r="K908" s="1701" t="e">
        <f>lead!#REF!</f>
        <v>#REF!</v>
      </c>
    </row>
    <row r="909" spans="1:11" ht="18.75" customHeight="1">
      <c r="A909" s="1802"/>
      <c r="B909" s="1697"/>
      <c r="C909" s="1692"/>
      <c r="D909" s="1700"/>
      <c r="E909" s="1700"/>
      <c r="F909" s="1700"/>
      <c r="G909" s="1700"/>
      <c r="H909" s="1701"/>
      <c r="I909" s="1697"/>
      <c r="J909" s="1726"/>
      <c r="K909" s="1701"/>
    </row>
    <row r="910" spans="1:11" ht="18.75" customHeight="1">
      <c r="A910" s="1802"/>
      <c r="B910" s="1697"/>
      <c r="C910" s="1697"/>
      <c r="D910" s="2943" t="s">
        <v>18</v>
      </c>
      <c r="E910" s="2943"/>
      <c r="F910" s="2943"/>
      <c r="G910" s="1703"/>
      <c r="H910" s="1697"/>
      <c r="I910" s="1727" t="s">
        <v>254</v>
      </c>
      <c r="J910" s="1728">
        <f>SUM(J907:J908)</f>
        <v>4724.4699999999993</v>
      </c>
    </row>
    <row r="911" spans="1:11">
      <c r="A911" s="1802"/>
      <c r="B911" s="1697"/>
      <c r="C911" s="1692"/>
      <c r="D911" s="2942"/>
      <c r="E911" s="2942"/>
      <c r="F911" s="2942"/>
      <c r="G911" s="1700"/>
      <c r="H911" s="1697"/>
      <c r="I911" s="1697"/>
      <c r="J911" s="1726">
        <f>SUM(J907:J908)</f>
        <v>4724.4699999999993</v>
      </c>
    </row>
    <row r="912" spans="1:11">
      <c r="A912" s="1802"/>
      <c r="B912" s="1697"/>
      <c r="C912" s="1692"/>
      <c r="D912" s="2968" t="s">
        <v>255</v>
      </c>
      <c r="E912" s="2968"/>
      <c r="F912" s="2968"/>
      <c r="G912" s="1775"/>
      <c r="H912" s="1692"/>
      <c r="I912" s="1692"/>
      <c r="J912" s="1725"/>
    </row>
    <row r="913" spans="1:10">
      <c r="A913" s="1802"/>
      <c r="B913" s="1697">
        <v>0.04</v>
      </c>
      <c r="C913" s="1692" t="s">
        <v>13</v>
      </c>
      <c r="D913" s="2942" t="s">
        <v>14</v>
      </c>
      <c r="E913" s="2942"/>
      <c r="F913" s="2942"/>
      <c r="G913" s="1700"/>
      <c r="H913" s="1701">
        <f>'SSR-rates'!H$58</f>
        <v>490</v>
      </c>
      <c r="I913" s="1697">
        <v>1</v>
      </c>
      <c r="J913" s="1726">
        <f>ROUND(B913*H913,2)</f>
        <v>19.600000000000001</v>
      </c>
    </row>
    <row r="914" spans="1:10">
      <c r="A914" s="1802"/>
      <c r="B914" s="1697">
        <v>0.9</v>
      </c>
      <c r="C914" s="1692" t="s">
        <v>13</v>
      </c>
      <c r="D914" s="2942" t="s">
        <v>59</v>
      </c>
      <c r="E914" s="2942"/>
      <c r="F914" s="2942"/>
      <c r="G914" s="1700"/>
      <c r="H914" s="1701">
        <f>'SSR-rates'!H$60</f>
        <v>490</v>
      </c>
      <c r="I914" s="1697">
        <v>1</v>
      </c>
      <c r="J914" s="1726">
        <f>ROUND(B914*H914,2)</f>
        <v>441</v>
      </c>
    </row>
    <row r="915" spans="1:10">
      <c r="A915" s="1802"/>
      <c r="B915" s="1702">
        <f>'Input Data'!$D$23</f>
        <v>0</v>
      </c>
      <c r="C915" s="1688"/>
      <c r="D915" s="1684" t="s">
        <v>17</v>
      </c>
      <c r="F915" s="1683"/>
      <c r="G915" s="1683"/>
      <c r="H915" s="1701">
        <f>SUM(J913:J914)</f>
        <v>460.6</v>
      </c>
      <c r="I915" s="1716"/>
      <c r="J915" s="1701">
        <f>B915*H915</f>
        <v>0</v>
      </c>
    </row>
    <row r="916" spans="1:10" ht="8.25" customHeight="1">
      <c r="A916" s="1802"/>
      <c r="B916" s="1803"/>
      <c r="C916" s="1707"/>
      <c r="D916" s="2994"/>
      <c r="E916" s="2994"/>
      <c r="F916" s="2994"/>
      <c r="G916" s="1804"/>
      <c r="H916" s="1707"/>
      <c r="I916" s="1707"/>
      <c r="J916" s="1730"/>
    </row>
    <row r="917" spans="1:10">
      <c r="A917" s="1802"/>
      <c r="B917" s="1697"/>
      <c r="C917" s="1697"/>
      <c r="D917" s="2943" t="s">
        <v>18</v>
      </c>
      <c r="E917" s="2943"/>
      <c r="F917" s="2943"/>
      <c r="G917" s="1703"/>
      <c r="H917" s="1697"/>
      <c r="I917" s="1727" t="s">
        <v>256</v>
      </c>
      <c r="J917" s="1728">
        <f>SUM(J913:J916)</f>
        <v>460.6</v>
      </c>
    </row>
    <row r="918" spans="1:10" ht="13.5" customHeight="1">
      <c r="A918" s="1802"/>
      <c r="B918" s="1697"/>
      <c r="C918" s="1692"/>
      <c r="D918" s="2995" t="s">
        <v>257</v>
      </c>
      <c r="E918" s="2995"/>
      <c r="F918" s="2995"/>
      <c r="G918" s="1805"/>
      <c r="H918" s="1692"/>
      <c r="I918" s="1692"/>
      <c r="J918" s="1728">
        <f>J910+J917</f>
        <v>5185.07</v>
      </c>
    </row>
    <row r="919" spans="1:10">
      <c r="A919" s="1802"/>
      <c r="B919" s="1697"/>
      <c r="C919" s="1692"/>
      <c r="D919" s="2942"/>
      <c r="E919" s="2942"/>
      <c r="F919" s="2942"/>
      <c r="G919" s="1700"/>
      <c r="H919" s="1692"/>
      <c r="I919" s="1692"/>
      <c r="J919" s="1725"/>
    </row>
    <row r="920" spans="1:10">
      <c r="A920" s="1802"/>
      <c r="B920" s="1697"/>
      <c r="C920" s="1692"/>
      <c r="D920" s="2968" t="s">
        <v>258</v>
      </c>
      <c r="E920" s="2968"/>
      <c r="F920" s="2968"/>
      <c r="G920" s="1775"/>
      <c r="H920" s="1692"/>
      <c r="I920" s="1692"/>
      <c r="J920" s="1725"/>
    </row>
    <row r="921" spans="1:10">
      <c r="A921" s="1802"/>
      <c r="B921" s="1697">
        <v>31.5</v>
      </c>
      <c r="C921" s="1692" t="s">
        <v>107</v>
      </c>
      <c r="D921" s="2945" t="s">
        <v>107</v>
      </c>
      <c r="E921" s="2945"/>
      <c r="F921" s="2945"/>
      <c r="G921" s="1709"/>
      <c r="H921" s="1806">
        <v>34</v>
      </c>
      <c r="I921" s="1697">
        <v>1</v>
      </c>
      <c r="J921" s="1726">
        <f>ROUND(B921*H921,2)</f>
        <v>1071</v>
      </c>
    </row>
    <row r="922" spans="1:10">
      <c r="A922" s="1802"/>
      <c r="B922" s="1697">
        <v>10</v>
      </c>
      <c r="C922" s="1692" t="s">
        <v>13</v>
      </c>
      <c r="D922" s="2942" t="s">
        <v>259</v>
      </c>
      <c r="E922" s="2942"/>
      <c r="F922" s="2942"/>
      <c r="G922" s="1700"/>
      <c r="H922" s="1806">
        <v>15</v>
      </c>
      <c r="I922" s="1697">
        <v>1</v>
      </c>
      <c r="J922" s="1726">
        <f>ROUND(B922*H922,2)</f>
        <v>150</v>
      </c>
    </row>
    <row r="923" spans="1:10">
      <c r="A923" s="1802"/>
      <c r="B923" s="1697">
        <v>30</v>
      </c>
      <c r="C923" s="1692" t="s">
        <v>13</v>
      </c>
      <c r="D923" s="2942" t="s">
        <v>260</v>
      </c>
      <c r="E923" s="2942"/>
      <c r="F923" s="2942"/>
      <c r="G923" s="1700"/>
      <c r="H923" s="1806">
        <v>5</v>
      </c>
      <c r="I923" s="1697">
        <v>1</v>
      </c>
      <c r="J923" s="1726">
        <f>ROUND(B923*H923,2)</f>
        <v>150</v>
      </c>
    </row>
    <row r="924" spans="1:10">
      <c r="A924" s="1802"/>
      <c r="B924" s="1697">
        <v>0.05</v>
      </c>
      <c r="C924" s="1692" t="s">
        <v>31</v>
      </c>
      <c r="D924" s="2942" t="s">
        <v>261</v>
      </c>
      <c r="E924" s="2942"/>
      <c r="F924" s="2942"/>
      <c r="G924" s="1700"/>
      <c r="H924" s="1697">
        <f>J918</f>
        <v>5185.07</v>
      </c>
      <c r="I924" s="1697">
        <v>1</v>
      </c>
      <c r="J924" s="1726">
        <f>ROUND(B924*H924,2)</f>
        <v>259.25</v>
      </c>
    </row>
    <row r="925" spans="1:10">
      <c r="A925" s="1802"/>
      <c r="B925" s="1697"/>
      <c r="C925" s="1697"/>
      <c r="D925" s="2943" t="s">
        <v>18</v>
      </c>
      <c r="E925" s="2943"/>
      <c r="F925" s="2943"/>
      <c r="G925" s="1703"/>
      <c r="H925" s="1697"/>
      <c r="I925" s="1727" t="s">
        <v>19</v>
      </c>
      <c r="J925" s="1728">
        <f>SUM(J921:J924)</f>
        <v>1630.25</v>
      </c>
    </row>
    <row r="926" spans="1:10">
      <c r="A926" s="1802"/>
      <c r="B926" s="1697"/>
      <c r="C926" s="1692"/>
      <c r="D926" s="2942"/>
      <c r="E926" s="2942"/>
      <c r="F926" s="2942"/>
      <c r="G926" s="1700"/>
      <c r="H926" s="1697"/>
      <c r="I926" s="1697"/>
      <c r="J926" s="1726">
        <f>SUM(J921:J924)</f>
        <v>1630.25</v>
      </c>
    </row>
    <row r="927" spans="1:10">
      <c r="A927" s="1802"/>
      <c r="B927" s="1697"/>
      <c r="C927" s="1692"/>
      <c r="D927" s="2968" t="s">
        <v>262</v>
      </c>
      <c r="E927" s="2968"/>
      <c r="F927" s="2968"/>
      <c r="G927" s="1775"/>
      <c r="H927" s="1692"/>
      <c r="I927" s="1692"/>
      <c r="J927" s="1725"/>
    </row>
    <row r="928" spans="1:10">
      <c r="A928" s="1802"/>
      <c r="B928" s="1697">
        <v>0.03</v>
      </c>
      <c r="C928" s="1692" t="s">
        <v>13</v>
      </c>
      <c r="D928" s="2942" t="s">
        <v>14</v>
      </c>
      <c r="E928" s="2942"/>
      <c r="F928" s="2942"/>
      <c r="G928" s="1700"/>
      <c r="H928" s="1701">
        <f>'SSR-rates'!H$58</f>
        <v>490</v>
      </c>
      <c r="I928" s="1697">
        <v>1</v>
      </c>
      <c r="J928" s="1726">
        <f>ROUND(B928*H928,2)</f>
        <v>14.7</v>
      </c>
    </row>
    <row r="929" spans="1:10">
      <c r="A929" s="1802"/>
      <c r="B929" s="1697">
        <v>0.5</v>
      </c>
      <c r="C929" s="1692" t="s">
        <v>13</v>
      </c>
      <c r="D929" s="2942" t="s">
        <v>58</v>
      </c>
      <c r="E929" s="2942"/>
      <c r="F929" s="2942"/>
      <c r="G929" s="1700"/>
      <c r="H929" s="1707">
        <v>357</v>
      </c>
      <c r="I929" s="1697">
        <v>1</v>
      </c>
      <c r="J929" s="1726">
        <f>ROUND(B929*H929,2)</f>
        <v>178.5</v>
      </c>
    </row>
    <row r="930" spans="1:10">
      <c r="A930" s="1802"/>
      <c r="B930" s="1697">
        <v>0.25</v>
      </c>
      <c r="C930" s="1692" t="s">
        <v>13</v>
      </c>
      <c r="D930" s="2942" t="s">
        <v>59</v>
      </c>
      <c r="E930" s="2942"/>
      <c r="F930" s="2942"/>
      <c r="G930" s="1700"/>
      <c r="H930" s="1701">
        <f>'SSR-rates'!H$60</f>
        <v>490</v>
      </c>
      <c r="I930" s="1697">
        <v>1</v>
      </c>
      <c r="J930" s="1726">
        <f>ROUND(B930*H930,2)</f>
        <v>122.5</v>
      </c>
    </row>
    <row r="931" spans="1:10" hidden="1">
      <c r="A931" s="1802"/>
      <c r="B931" s="1697"/>
      <c r="C931" s="1697"/>
      <c r="D931" s="2996"/>
      <c r="E931" s="2997"/>
      <c r="F931" s="2998"/>
      <c r="G931" s="1709"/>
      <c r="H931" s="1707"/>
      <c r="I931" s="1729"/>
      <c r="J931" s="1726"/>
    </row>
    <row r="932" spans="1:10" ht="15.75" customHeight="1">
      <c r="A932" s="1802"/>
      <c r="B932" s="1702">
        <f>'Input Data'!$D$23</f>
        <v>0</v>
      </c>
      <c r="C932" s="1688"/>
      <c r="D932" s="1684" t="s">
        <v>17</v>
      </c>
      <c r="F932" s="1683"/>
      <c r="G932" s="1683"/>
      <c r="H932" s="1701">
        <f>SUM(J928:J931)</f>
        <v>315.7</v>
      </c>
      <c r="I932" s="1716"/>
      <c r="J932" s="1701">
        <f>B932*H932</f>
        <v>0</v>
      </c>
    </row>
    <row r="933" spans="1:10">
      <c r="A933" s="1802"/>
      <c r="B933" s="1697"/>
      <c r="C933" s="1697"/>
      <c r="D933" s="2943" t="s">
        <v>18</v>
      </c>
      <c r="E933" s="2943"/>
      <c r="F933" s="2943"/>
      <c r="G933" s="1703"/>
      <c r="H933" s="1697"/>
      <c r="I933" s="1727" t="s">
        <v>25</v>
      </c>
      <c r="J933" s="1728">
        <f>SUM(J928:J932)</f>
        <v>315.7</v>
      </c>
    </row>
    <row r="934" spans="1:10">
      <c r="A934" s="1802"/>
      <c r="B934" s="1707"/>
      <c r="C934" s="1707"/>
      <c r="D934" s="2941" t="s">
        <v>26</v>
      </c>
      <c r="E934" s="2941"/>
      <c r="F934" s="2941"/>
      <c r="G934" s="1693"/>
      <c r="H934" s="1707"/>
      <c r="I934" s="1789"/>
      <c r="J934" s="1731">
        <f>J925+J933</f>
        <v>1945.95</v>
      </c>
    </row>
    <row r="935" spans="1:10">
      <c r="A935" s="1802"/>
      <c r="B935" s="1707"/>
      <c r="C935" s="1707"/>
      <c r="D935" s="1807"/>
      <c r="E935" s="1808"/>
      <c r="F935" s="1809"/>
      <c r="G935" s="1693"/>
      <c r="H935" s="1707"/>
      <c r="I935" s="1789"/>
      <c r="J935" s="1731"/>
    </row>
    <row r="936" spans="1:10">
      <c r="A936" s="1802"/>
      <c r="B936" s="1706">
        <f>'Input Data'!$D$25</f>
        <v>0</v>
      </c>
      <c r="C936" s="1707"/>
      <c r="D936" s="1807" t="str">
        <f>"Over head charges "&amp;'Input Data'!$D$25*100&amp;"%  on (A) + (B)+(C)+(D)"</f>
        <v>Over head charges 0%  on (A) + (B)+(C)+(D)</v>
      </c>
      <c r="E936" s="1808"/>
      <c r="F936" s="1809"/>
      <c r="G936" s="1693"/>
      <c r="H936" s="1707">
        <f>J934</f>
        <v>1945.95</v>
      </c>
      <c r="I936" s="1729"/>
      <c r="J936" s="1730">
        <f>H936*B936</f>
        <v>0</v>
      </c>
    </row>
    <row r="937" spans="1:10">
      <c r="A937" s="1802"/>
      <c r="B937" s="1707"/>
      <c r="C937" s="1707"/>
      <c r="D937" s="2941"/>
      <c r="E937" s="2941"/>
      <c r="F937" s="2941"/>
      <c r="G937" s="1693"/>
      <c r="H937" s="1707"/>
      <c r="I937" s="1729"/>
      <c r="J937" s="1730"/>
    </row>
    <row r="938" spans="1:10">
      <c r="A938" s="1802"/>
      <c r="B938" s="1707">
        <v>10</v>
      </c>
      <c r="C938" s="1707" t="s">
        <v>29</v>
      </c>
      <c r="D938" s="1807" t="s">
        <v>30</v>
      </c>
      <c r="E938" s="1808"/>
      <c r="F938" s="1809"/>
      <c r="G938" s="1693"/>
      <c r="H938" s="1707">
        <f>J934+J936</f>
        <v>1945.95</v>
      </c>
      <c r="I938" s="1729"/>
      <c r="J938" s="1730">
        <f>ROUND(B938*H938/100,2)</f>
        <v>194.6</v>
      </c>
    </row>
    <row r="939" spans="1:10">
      <c r="A939" s="1802"/>
      <c r="B939" s="1707"/>
      <c r="C939" s="1707"/>
      <c r="D939" s="2941"/>
      <c r="E939" s="2941"/>
      <c r="F939" s="2941"/>
      <c r="G939" s="1693"/>
      <c r="H939" s="1707"/>
      <c r="I939" s="1729"/>
      <c r="J939" s="1730"/>
    </row>
    <row r="940" spans="1:10">
      <c r="A940" s="1802"/>
      <c r="B940" s="1810"/>
      <c r="C940" s="1810"/>
      <c r="D940" s="2941" t="s">
        <v>263</v>
      </c>
      <c r="E940" s="2941"/>
      <c r="F940" s="2941"/>
      <c r="G940" s="1693"/>
      <c r="H940" s="1707"/>
      <c r="I940" s="1707"/>
      <c r="J940" s="1726"/>
    </row>
    <row r="941" spans="1:10">
      <c r="A941" s="1802"/>
      <c r="B941" s="1811">
        <f>0.05*1.05</f>
        <v>5.2500000000000005E-2</v>
      </c>
      <c r="C941" s="1697" t="s">
        <v>31</v>
      </c>
      <c r="D941" s="1709"/>
      <c r="E941" s="1709"/>
      <c r="F941" s="1709"/>
      <c r="G941" s="1709"/>
      <c r="H941" s="1707">
        <v>0</v>
      </c>
      <c r="I941" s="1707">
        <v>1</v>
      </c>
      <c r="J941" s="1726">
        <f>ROUND(B941*H941,2)</f>
        <v>0</v>
      </c>
    </row>
    <row r="942" spans="1:10">
      <c r="A942" s="1802"/>
      <c r="B942" s="1707"/>
      <c r="C942" s="1707"/>
      <c r="D942" s="2941"/>
      <c r="E942" s="2941"/>
      <c r="F942" s="2941"/>
      <c r="G942" s="1693"/>
      <c r="H942" s="1707"/>
      <c r="I942" s="1729"/>
      <c r="J942" s="1731"/>
    </row>
    <row r="943" spans="1:10">
      <c r="A943" s="1802"/>
      <c r="B943" s="1708">
        <v>30</v>
      </c>
      <c r="C943" s="1707" t="s">
        <v>107</v>
      </c>
      <c r="D943" s="1812" t="str">
        <f>CONCATENATE("TOTAL Cost for ",B943,"  ",C943,"  =  (A+B+C+D+E)",)</f>
        <v>TOTAL Cost for 30  RM  =  (A+B+C+D+E)</v>
      </c>
      <c r="E943" s="1813"/>
      <c r="F943" s="1814"/>
      <c r="G943" s="1703"/>
      <c r="H943" s="1707"/>
      <c r="I943" s="1707"/>
      <c r="J943" s="1730">
        <f>SUM(J934:J938)</f>
        <v>2140.5500000000002</v>
      </c>
    </row>
    <row r="944" spans="1:10">
      <c r="A944" s="1802"/>
      <c r="B944" s="1707"/>
      <c r="C944" s="1707"/>
      <c r="D944" s="2945" t="str">
        <f>CONCATENATE("Rate per  1  ",C943)</f>
        <v>Rate per  1  RM</v>
      </c>
      <c r="E944" s="2945"/>
      <c r="F944" s="2945"/>
      <c r="G944" s="1709"/>
      <c r="H944" s="1707"/>
      <c r="I944" s="1707"/>
      <c r="J944" s="1726">
        <f>J943/B943</f>
        <v>71.351666666666674</v>
      </c>
    </row>
    <row r="945" spans="1:10">
      <c r="A945" s="1802"/>
      <c r="B945" s="1697"/>
      <c r="C945" s="1697"/>
      <c r="D945" s="2941" t="str">
        <f>D944</f>
        <v>Rate per  1  RM</v>
      </c>
      <c r="E945" s="2941"/>
      <c r="F945" s="2941"/>
      <c r="G945" s="1693"/>
      <c r="H945" s="1707"/>
      <c r="I945" s="1707"/>
      <c r="J945" s="1728">
        <f>ROUND(J944,0)</f>
        <v>71</v>
      </c>
    </row>
    <row r="946" spans="1:10">
      <c r="D946" s="1687"/>
      <c r="H946" s="1701"/>
      <c r="I946" s="1701"/>
      <c r="J946" s="1741"/>
    </row>
    <row r="947" spans="1:10">
      <c r="B947" s="1688"/>
      <c r="C947" s="1687"/>
      <c r="D947" s="1760"/>
      <c r="F947" s="1687"/>
      <c r="G947" s="1687"/>
      <c r="H947" s="1705"/>
      <c r="I947" s="1687"/>
      <c r="J947" s="1770"/>
    </row>
    <row r="951" spans="1:10" ht="110.25" customHeight="1">
      <c r="A951" s="1759">
        <v>7.15</v>
      </c>
      <c r="B951" s="2946" t="s">
        <v>264</v>
      </c>
      <c r="C951" s="2946"/>
      <c r="D951" s="2946"/>
      <c r="E951" s="2946"/>
      <c r="F951" s="2946"/>
      <c r="G951" s="2946"/>
      <c r="H951" s="2946"/>
      <c r="I951" s="2946"/>
      <c r="J951" s="2946"/>
    </row>
    <row r="952" spans="1:10">
      <c r="A952" s="1773"/>
      <c r="B952" s="1692"/>
      <c r="C952" s="1692"/>
      <c r="D952" s="2968" t="s">
        <v>203</v>
      </c>
      <c r="E952" s="2968"/>
      <c r="F952" s="2968"/>
      <c r="G952" s="2968"/>
      <c r="H952" s="1692"/>
      <c r="I952" s="1692"/>
      <c r="J952" s="1725"/>
    </row>
    <row r="953" spans="1:10">
      <c r="A953" s="1773"/>
      <c r="B953" s="1692"/>
      <c r="C953" s="1697"/>
      <c r="D953" s="2968" t="s">
        <v>265</v>
      </c>
      <c r="E953" s="2968"/>
      <c r="F953" s="2968"/>
      <c r="G953" s="2968"/>
      <c r="H953" s="1692"/>
      <c r="I953" s="1692"/>
      <c r="J953" s="1725"/>
    </row>
    <row r="954" spans="1:10" ht="15.75" customHeight="1">
      <c r="A954" s="1773"/>
      <c r="B954" s="1815" t="s">
        <v>266</v>
      </c>
      <c r="C954" s="1816"/>
      <c r="D954" s="1816"/>
      <c r="E954" s="1713" t="s">
        <v>267</v>
      </c>
      <c r="F954" s="1816"/>
      <c r="G954" s="1816"/>
      <c r="H954" s="1816"/>
      <c r="I954" s="1816"/>
      <c r="J954" s="1817"/>
    </row>
    <row r="955" spans="1:10">
      <c r="D955" s="1687" t="s">
        <v>10</v>
      </c>
      <c r="J955" s="1684"/>
    </row>
    <row r="956" spans="1:10">
      <c r="D956" s="1687" t="s">
        <v>268</v>
      </c>
      <c r="J956" s="1684"/>
    </row>
    <row r="957" spans="1:10">
      <c r="B957" s="1715" t="s">
        <v>36</v>
      </c>
      <c r="C957" s="1722" t="s">
        <v>37</v>
      </c>
      <c r="J957" s="1684"/>
    </row>
    <row r="958" spans="1:10">
      <c r="A958" s="1773"/>
      <c r="B958" s="1697">
        <v>0.94</v>
      </c>
      <c r="C958" s="1776" t="s">
        <v>13</v>
      </c>
      <c r="D958" s="2942" t="s">
        <v>14</v>
      </c>
      <c r="E958" s="2942"/>
      <c r="F958" s="2942"/>
      <c r="G958" s="2942"/>
      <c r="H958" s="1707">
        <f>'SSR-rates'!$H$58</f>
        <v>490</v>
      </c>
      <c r="I958" s="1697">
        <v>1</v>
      </c>
      <c r="J958" s="1726">
        <f>ROUND(B958*H958,2)</f>
        <v>460.6</v>
      </c>
    </row>
    <row r="959" spans="1:10">
      <c r="B959" s="1705">
        <v>3.5</v>
      </c>
      <c r="C959" s="1683" t="s">
        <v>57</v>
      </c>
      <c r="D959" s="1687" t="s">
        <v>58</v>
      </c>
      <c r="H959" s="1701">
        <f>'SSR-rates'!H59</f>
        <v>524</v>
      </c>
      <c r="I959" s="1716" t="s">
        <v>38</v>
      </c>
      <c r="J959" s="1705">
        <f>ROUND(B959*H959,2)</f>
        <v>1834</v>
      </c>
    </row>
    <row r="960" spans="1:10">
      <c r="B960" s="1705">
        <v>20</v>
      </c>
      <c r="C960" s="1683" t="s">
        <v>57</v>
      </c>
      <c r="D960" s="1687" t="s">
        <v>59</v>
      </c>
      <c r="H960" s="1701">
        <f>'SSR-rates'!H$60</f>
        <v>490</v>
      </c>
      <c r="I960" s="1716" t="s">
        <v>38</v>
      </c>
      <c r="J960" s="1705">
        <f>ROUND(B960*H960,2)</f>
        <v>9800</v>
      </c>
    </row>
    <row r="961" spans="1:12">
      <c r="A961" s="1713"/>
      <c r="B961" s="1702">
        <f>'Input Data'!$D$23</f>
        <v>0</v>
      </c>
      <c r="C961" s="1688"/>
      <c r="D961" s="1684" t="s">
        <v>17</v>
      </c>
      <c r="F961" s="1683"/>
      <c r="G961" s="1683"/>
      <c r="H961" s="1701">
        <f>SUM(J958:J960)</f>
        <v>12094.6</v>
      </c>
      <c r="I961" s="1716"/>
      <c r="J961" s="1701">
        <f>B961*H961</f>
        <v>0</v>
      </c>
    </row>
    <row r="962" spans="1:12">
      <c r="B962" s="1705"/>
      <c r="C962" s="1683"/>
      <c r="D962" s="1687" t="s">
        <v>60</v>
      </c>
      <c r="H962" s="1701"/>
      <c r="I962" s="1701"/>
      <c r="J962" s="1705">
        <f>SUM(J958:J961)</f>
        <v>12094.6</v>
      </c>
    </row>
    <row r="963" spans="1:12">
      <c r="B963" s="1715" t="s">
        <v>39</v>
      </c>
      <c r="C963" s="1722" t="s">
        <v>61</v>
      </c>
      <c r="H963" s="1701"/>
      <c r="I963" s="1701"/>
      <c r="J963" s="1701"/>
    </row>
    <row r="964" spans="1:12">
      <c r="B964" s="1705">
        <v>64.8</v>
      </c>
      <c r="C964" s="1683" t="s">
        <v>31</v>
      </c>
      <c r="D964" s="1684" t="s">
        <v>63</v>
      </c>
      <c r="H964" s="1701">
        <f>lead!$J$16</f>
        <v>2031.2187651278443</v>
      </c>
      <c r="I964" s="1701" t="s">
        <v>31</v>
      </c>
      <c r="J964" s="1701">
        <f>ROUND(B964*H964,2)</f>
        <v>131622.98000000001</v>
      </c>
    </row>
    <row r="965" spans="1:12">
      <c r="B965" s="1705">
        <v>43.2</v>
      </c>
      <c r="C965" s="1683" t="s">
        <v>31</v>
      </c>
      <c r="D965" s="1684" t="s">
        <v>64</v>
      </c>
      <c r="H965" s="1701">
        <f>lead!$J$18</f>
        <v>1780.2187651278443</v>
      </c>
      <c r="I965" s="1701" t="s">
        <v>31</v>
      </c>
      <c r="J965" s="1701">
        <f>ROUND(B965*H965,2)</f>
        <v>76905.45</v>
      </c>
    </row>
    <row r="966" spans="1:12">
      <c r="B966" s="1705">
        <v>54</v>
      </c>
      <c r="C966" s="1683" t="s">
        <v>31</v>
      </c>
      <c r="D966" s="1687" t="s">
        <v>65</v>
      </c>
      <c r="H966" s="1701">
        <f>lead!J12</f>
        <v>1684.4687651278443</v>
      </c>
      <c r="I966" s="1701" t="s">
        <v>31</v>
      </c>
      <c r="J966" s="1701">
        <f>ROUND(B966*H966,2)</f>
        <v>90961.31</v>
      </c>
    </row>
    <row r="967" spans="1:12">
      <c r="B967" s="1818">
        <v>51.6</v>
      </c>
      <c r="C967" s="1683" t="s">
        <v>66</v>
      </c>
      <c r="D967" s="1687" t="s">
        <v>67</v>
      </c>
      <c r="H967" s="1701">
        <f>lead!$J$36</f>
        <v>5000</v>
      </c>
      <c r="I967" s="1701" t="s">
        <v>66</v>
      </c>
      <c r="J967" s="1701">
        <f>ROUND(B967*H967,2)</f>
        <v>258000</v>
      </c>
    </row>
    <row r="968" spans="1:12">
      <c r="B968" s="1818">
        <v>25.8</v>
      </c>
      <c r="C968" s="1683" t="s">
        <v>191</v>
      </c>
      <c r="D968" s="420" t="s">
        <v>269</v>
      </c>
      <c r="H968" s="1701">
        <v>95</v>
      </c>
      <c r="I968" s="1701" t="s">
        <v>270</v>
      </c>
      <c r="J968" s="1701">
        <f>ROUND(B968*H968,2)</f>
        <v>2451</v>
      </c>
    </row>
    <row r="969" spans="1:12">
      <c r="B969" s="1818"/>
      <c r="C969" s="1683"/>
      <c r="D969" s="420" t="s">
        <v>271</v>
      </c>
      <c r="H969" s="1701"/>
      <c r="I969" s="1701"/>
      <c r="J969" s="1701"/>
    </row>
    <row r="970" spans="1:12">
      <c r="B970" s="1687"/>
      <c r="D970" s="1687" t="s">
        <v>60</v>
      </c>
      <c r="H970" s="1701"/>
      <c r="I970" s="1701"/>
      <c r="J970" s="1701">
        <f>SUM(J964:J968)</f>
        <v>559940.74</v>
      </c>
    </row>
    <row r="971" spans="1:12">
      <c r="B971" s="1715" t="s">
        <v>27</v>
      </c>
      <c r="C971" s="1722" t="s">
        <v>40</v>
      </c>
      <c r="H971" s="1701"/>
      <c r="I971" s="1701"/>
      <c r="J971" s="1701"/>
    </row>
    <row r="972" spans="1:12" s="1681" customFormat="1">
      <c r="A972" s="1745"/>
      <c r="B972" s="1751">
        <v>6</v>
      </c>
      <c r="C972" s="1745" t="s">
        <v>41</v>
      </c>
      <c r="D972" s="1681" t="s">
        <v>171</v>
      </c>
      <c r="H972" s="1752">
        <f>'SSR-rates'!$H$100</f>
        <v>1205.8</v>
      </c>
      <c r="I972" s="1752" t="s">
        <v>41</v>
      </c>
      <c r="J972" s="1752">
        <f t="shared" ref="J972:J977" si="3">ROUND(B972*H972,2)</f>
        <v>7234.8</v>
      </c>
      <c r="L972" s="1752"/>
    </row>
    <row r="973" spans="1:12" s="1681" customFormat="1">
      <c r="A973" s="1745"/>
      <c r="B973" s="1751">
        <v>6</v>
      </c>
      <c r="C973" s="1745" t="s">
        <v>41</v>
      </c>
      <c r="D973" s="1681" t="s">
        <v>172</v>
      </c>
      <c r="H973" s="1752">
        <f>'SSR-rates'!$H$102</f>
        <v>1261</v>
      </c>
      <c r="I973" s="1752" t="s">
        <v>41</v>
      </c>
      <c r="J973" s="1752">
        <f t="shared" si="3"/>
        <v>7566</v>
      </c>
    </row>
    <row r="974" spans="1:12" s="1681" customFormat="1">
      <c r="A974" s="1745"/>
      <c r="B974" s="1751">
        <v>6</v>
      </c>
      <c r="C974" s="1745" t="s">
        <v>41</v>
      </c>
      <c r="D974" s="1681" t="s">
        <v>173</v>
      </c>
      <c r="H974" s="1752">
        <f>'SSR-rates'!$H$65</f>
        <v>1844</v>
      </c>
      <c r="I974" s="1752" t="s">
        <v>41</v>
      </c>
      <c r="J974" s="1752">
        <f t="shared" si="3"/>
        <v>11064</v>
      </c>
    </row>
    <row r="975" spans="1:12" s="1681" customFormat="1">
      <c r="A975" s="1745"/>
      <c r="B975" s="1751">
        <v>15</v>
      </c>
      <c r="C975" s="1745" t="s">
        <v>41</v>
      </c>
      <c r="D975" s="1681" t="s">
        <v>174</v>
      </c>
      <c r="H975" s="1752">
        <f>'SSR-rates'!$H$104</f>
        <v>2532.4</v>
      </c>
      <c r="I975" s="1752" t="s">
        <v>41</v>
      </c>
      <c r="J975" s="1752">
        <f t="shared" si="3"/>
        <v>37986</v>
      </c>
    </row>
    <row r="976" spans="1:12" s="1681" customFormat="1">
      <c r="A976" s="1745"/>
      <c r="B976" s="1751">
        <v>300</v>
      </c>
      <c r="C976" s="1745" t="s">
        <v>180</v>
      </c>
      <c r="D976" s="2999" t="s">
        <v>176</v>
      </c>
      <c r="E976" s="2999"/>
      <c r="F976" s="2999"/>
      <c r="G976" s="2999"/>
      <c r="H976" s="1752">
        <v>0</v>
      </c>
      <c r="I976" s="1752" t="s">
        <v>41</v>
      </c>
      <c r="J976" s="1752">
        <f t="shared" si="3"/>
        <v>0</v>
      </c>
    </row>
    <row r="977" spans="1:10" s="1681" customFormat="1">
      <c r="A977" s="1745"/>
      <c r="B977" s="1751">
        <v>6</v>
      </c>
      <c r="C977" s="1745" t="s">
        <v>41</v>
      </c>
      <c r="D977" s="1746" t="s">
        <v>177</v>
      </c>
      <c r="H977" s="1752">
        <f>'SSR-rates'!$H$106</f>
        <v>899</v>
      </c>
      <c r="I977" s="1752" t="s">
        <v>41</v>
      </c>
      <c r="J977" s="1752">
        <f t="shared" si="3"/>
        <v>5394</v>
      </c>
    </row>
    <row r="978" spans="1:10">
      <c r="B978" s="1705"/>
      <c r="C978" s="1688"/>
      <c r="D978" s="1687" t="s">
        <v>60</v>
      </c>
      <c r="H978" s="1701"/>
      <c r="I978" s="1701"/>
      <c r="J978" s="1701">
        <f>SUM(J972:J977)</f>
        <v>69244.800000000003</v>
      </c>
    </row>
    <row r="979" spans="1:10">
      <c r="B979" s="1715" t="s">
        <v>45</v>
      </c>
      <c r="C979" s="1722" t="s">
        <v>71</v>
      </c>
      <c r="H979" s="1701"/>
      <c r="I979" s="1701"/>
      <c r="J979" s="1701"/>
    </row>
    <row r="980" spans="1:10">
      <c r="B980" s="1687">
        <v>10</v>
      </c>
      <c r="C980" s="1683" t="s">
        <v>29</v>
      </c>
      <c r="D980" s="1684" t="s">
        <v>181</v>
      </c>
      <c r="H980" s="1701">
        <f>J962+J970+J978</f>
        <v>641280.14</v>
      </c>
      <c r="I980" s="1716" t="s">
        <v>73</v>
      </c>
      <c r="J980" s="1701">
        <f>ROUND(B980*H980/100,2)</f>
        <v>64128.01</v>
      </c>
    </row>
    <row r="981" spans="1:10">
      <c r="A981" s="1713"/>
      <c r="B981" s="1715" t="s">
        <v>47</v>
      </c>
      <c r="C981" s="1713" t="s">
        <v>272</v>
      </c>
      <c r="F981" s="1683"/>
      <c r="G981" s="1683"/>
      <c r="H981" s="1683"/>
      <c r="I981" s="1683"/>
      <c r="J981" s="1741"/>
    </row>
    <row r="982" spans="1:10">
      <c r="A982" s="1713"/>
      <c r="B982" s="1706">
        <f>'Input Data'!$D$24</f>
        <v>0.13614999999999999</v>
      </c>
      <c r="C982" s="1688" t="s">
        <v>273</v>
      </c>
      <c r="D982" s="1687"/>
      <c r="F982" s="1683"/>
      <c r="G982" s="1683"/>
      <c r="H982" s="1688">
        <f>J980+J978+J970+J962</f>
        <v>705408.15</v>
      </c>
      <c r="I982" s="1683"/>
      <c r="J982" s="1701"/>
    </row>
    <row r="983" spans="1:10">
      <c r="A983" s="1713"/>
      <c r="B983" s="1715" t="s">
        <v>76</v>
      </c>
      <c r="C983" s="1713" t="s">
        <v>77</v>
      </c>
      <c r="F983" s="1683"/>
      <c r="G983" s="1683"/>
      <c r="H983" s="1683"/>
      <c r="I983" s="1683"/>
      <c r="J983" s="1770">
        <f>J962+J970+J978+J980+J982</f>
        <v>705408.15</v>
      </c>
    </row>
    <row r="984" spans="1:10">
      <c r="A984" s="1713"/>
      <c r="B984" s="1715" t="s">
        <v>78</v>
      </c>
      <c r="C984" s="1713" t="s">
        <v>79</v>
      </c>
      <c r="F984" s="1683"/>
      <c r="G984" s="1683"/>
      <c r="H984" s="1683"/>
      <c r="I984" s="1683"/>
      <c r="J984" s="1741"/>
    </row>
    <row r="985" spans="1:10">
      <c r="B985" s="1705"/>
      <c r="C985" s="1683"/>
      <c r="D985" s="1722" t="s">
        <v>158</v>
      </c>
      <c r="H985" s="1701"/>
      <c r="I985" s="1701"/>
      <c r="J985" s="1770">
        <f>SUM(J983:J984)</f>
        <v>705408.15</v>
      </c>
    </row>
    <row r="986" spans="1:10">
      <c r="B986" s="1705"/>
      <c r="C986" s="1683"/>
      <c r="D986" s="1687" t="s">
        <v>81</v>
      </c>
      <c r="H986" s="1701"/>
      <c r="I986" s="1701"/>
      <c r="J986" s="1701">
        <f>ROUND(J985/120,2)</f>
        <v>5878.4</v>
      </c>
    </row>
    <row r="987" spans="1:10">
      <c r="D987" s="1687" t="s">
        <v>52</v>
      </c>
      <c r="H987" s="1701"/>
      <c r="I987" s="1701"/>
      <c r="J987" s="1742">
        <f>ROUND(J986,0)</f>
        <v>5878</v>
      </c>
    </row>
    <row r="988" spans="1:10">
      <c r="D988" s="1687"/>
      <c r="H988" s="1701"/>
      <c r="I988" s="1701"/>
      <c r="J988" s="1741" t="s">
        <v>53</v>
      </c>
    </row>
    <row r="989" spans="1:10">
      <c r="D989" s="1687"/>
      <c r="H989" s="1701"/>
      <c r="I989" s="1701"/>
      <c r="J989" s="1741"/>
    </row>
    <row r="990" spans="1:10">
      <c r="D990" s="2941" t="s">
        <v>274</v>
      </c>
      <c r="E990" s="2941"/>
      <c r="F990" s="2941"/>
      <c r="G990" s="2941"/>
      <c r="H990" s="1701"/>
      <c r="I990" s="1701"/>
      <c r="J990" s="1741"/>
    </row>
    <row r="991" spans="1:10">
      <c r="B991" s="1697">
        <v>3</v>
      </c>
      <c r="C991" s="1776" t="s">
        <v>73</v>
      </c>
      <c r="D991" s="2942" t="s">
        <v>275</v>
      </c>
      <c r="E991" s="2942"/>
      <c r="F991" s="2942"/>
      <c r="G991" s="2942"/>
      <c r="H991" s="1707">
        <f>$J$987</f>
        <v>5878</v>
      </c>
      <c r="I991" s="1697">
        <v>1</v>
      </c>
      <c r="J991" s="1728">
        <f>ROUND(B991*H991,2)</f>
        <v>17634</v>
      </c>
    </row>
    <row r="992" spans="1:10">
      <c r="A992" s="1773"/>
      <c r="B992" s="1692"/>
      <c r="C992" s="1698"/>
      <c r="D992" s="2941" t="s">
        <v>262</v>
      </c>
      <c r="E992" s="2941"/>
      <c r="F992" s="2941"/>
      <c r="G992" s="2941"/>
      <c r="H992" s="1692"/>
      <c r="I992" s="1692"/>
      <c r="J992" s="1725"/>
    </row>
    <row r="993" spans="1:10">
      <c r="A993" s="1773"/>
      <c r="B993" s="1697">
        <v>0.04</v>
      </c>
      <c r="C993" s="1776" t="s">
        <v>13</v>
      </c>
      <c r="D993" s="2942" t="s">
        <v>14</v>
      </c>
      <c r="E993" s="2942"/>
      <c r="F993" s="2942"/>
      <c r="G993" s="2942"/>
      <c r="H993" s="1707">
        <f>'SSR-rates'!$H$58</f>
        <v>490</v>
      </c>
      <c r="I993" s="1697">
        <v>1</v>
      </c>
      <c r="J993" s="1726">
        <f>ROUND(B993*H993,2)</f>
        <v>19.600000000000001</v>
      </c>
    </row>
    <row r="994" spans="1:10">
      <c r="A994" s="1773"/>
      <c r="B994" s="1697">
        <v>1</v>
      </c>
      <c r="C994" s="1776" t="s">
        <v>13</v>
      </c>
      <c r="D994" s="2942" t="s">
        <v>59</v>
      </c>
      <c r="E994" s="2942"/>
      <c r="F994" s="2942"/>
      <c r="G994" s="2942"/>
      <c r="H994" s="1707">
        <f>'SSR-rates'!$H$60</f>
        <v>490</v>
      </c>
      <c r="I994" s="1697">
        <v>1</v>
      </c>
      <c r="J994" s="1726">
        <f>ROUND(B994*H994,2)</f>
        <v>490</v>
      </c>
    </row>
    <row r="995" spans="1:10" ht="15" customHeight="1">
      <c r="A995" s="1773"/>
      <c r="B995" s="1702">
        <f>'Input Data'!$D$23</f>
        <v>0</v>
      </c>
      <c r="C995" s="1688"/>
      <c r="D995" s="1684" t="s">
        <v>17</v>
      </c>
      <c r="F995" s="1683"/>
      <c r="G995" s="1683"/>
      <c r="H995" s="1701"/>
      <c r="I995" s="1716"/>
      <c r="J995" s="1701">
        <f>B995*H995</f>
        <v>0</v>
      </c>
    </row>
    <row r="996" spans="1:10">
      <c r="A996" s="1773"/>
      <c r="B996" s="1697"/>
      <c r="C996" s="1777"/>
      <c r="D996" s="2943" t="s">
        <v>18</v>
      </c>
      <c r="E996" s="2943"/>
      <c r="F996" s="2943"/>
      <c r="G996" s="2943"/>
      <c r="H996" s="1697"/>
      <c r="I996" s="1727" t="s">
        <v>19</v>
      </c>
      <c r="J996" s="1728">
        <f>SUM(J993:J995)</f>
        <v>509.6</v>
      </c>
    </row>
    <row r="997" spans="1:10">
      <c r="A997" s="1773"/>
      <c r="B997" s="1697"/>
      <c r="C997" s="1778"/>
      <c r="D997" s="2941" t="s">
        <v>189</v>
      </c>
      <c r="E997" s="2941"/>
      <c r="F997" s="2941"/>
      <c r="G997" s="2941"/>
      <c r="H997" s="1697"/>
      <c r="I997" s="1697"/>
      <c r="J997" s="1726"/>
    </row>
    <row r="998" spans="1:10">
      <c r="A998" s="1773"/>
      <c r="B998" s="1697">
        <v>0.28000000000000003</v>
      </c>
      <c r="C998" s="1776" t="s">
        <v>66</v>
      </c>
      <c r="D998" s="2942" t="s">
        <v>190</v>
      </c>
      <c r="E998" s="2942"/>
      <c r="F998" s="2942"/>
      <c r="G998" s="2942"/>
      <c r="H998" s="1697">
        <f>lead!$J$37</f>
        <v>49000</v>
      </c>
      <c r="I998" s="1697">
        <v>1</v>
      </c>
      <c r="J998" s="1726">
        <f>ROUND(B998*H998,2)</f>
        <v>13720</v>
      </c>
    </row>
    <row r="999" spans="1:10">
      <c r="A999" s="1773"/>
      <c r="B999" s="1697">
        <v>0.32</v>
      </c>
      <c r="C999" s="1776" t="s">
        <v>191</v>
      </c>
      <c r="D999" s="2945" t="s">
        <v>276</v>
      </c>
      <c r="E999" s="2945"/>
      <c r="F999" s="2945"/>
      <c r="G999" s="2945"/>
      <c r="H999" s="1697">
        <v>724.9</v>
      </c>
      <c r="I999" s="1697">
        <v>1</v>
      </c>
      <c r="J999" s="1726">
        <f>H999*B999</f>
        <v>231.96799999999999</v>
      </c>
    </row>
    <row r="1000" spans="1:10">
      <c r="A1000" s="1773"/>
      <c r="B1000" s="1697"/>
      <c r="C1000" s="1777"/>
      <c r="D1000" s="2943" t="s">
        <v>18</v>
      </c>
      <c r="E1000" s="2943"/>
      <c r="F1000" s="2943"/>
      <c r="G1000" s="2943"/>
      <c r="H1000" s="1697"/>
      <c r="I1000" s="1727" t="s">
        <v>25</v>
      </c>
      <c r="J1000" s="1728">
        <f>SUM(J998:J999)</f>
        <v>13951.968000000001</v>
      </c>
    </row>
    <row r="1001" spans="1:10">
      <c r="A1001" s="1773"/>
      <c r="B1001" s="1707"/>
      <c r="C1001" s="1779"/>
      <c r="D1001" s="2941" t="s">
        <v>26</v>
      </c>
      <c r="E1001" s="2941"/>
      <c r="F1001" s="2941"/>
      <c r="G1001" s="2941"/>
      <c r="H1001" s="1707"/>
      <c r="I1001" s="1789"/>
      <c r="J1001" s="1731">
        <f>J996+J1000+J991</f>
        <v>32095.567999999999</v>
      </c>
    </row>
    <row r="1002" spans="1:10">
      <c r="A1002" s="1773"/>
      <c r="B1002" s="1708">
        <v>5</v>
      </c>
      <c r="C1002" s="1779" t="s">
        <v>29</v>
      </c>
      <c r="D1002" s="2941" t="s">
        <v>193</v>
      </c>
      <c r="E1002" s="2941"/>
      <c r="F1002" s="2941"/>
      <c r="G1002" s="2941"/>
      <c r="H1002" s="1707">
        <f>J1001</f>
        <v>32095.567999999999</v>
      </c>
      <c r="I1002" s="1729"/>
      <c r="J1002" s="1730">
        <f>ROUND(B1002*H1002/100,2)</f>
        <v>1604.78</v>
      </c>
    </row>
    <row r="1003" spans="1:10">
      <c r="A1003" s="1773"/>
      <c r="B1003" s="1707"/>
      <c r="C1003" s="1779"/>
      <c r="D1003" s="2941"/>
      <c r="E1003" s="2941"/>
      <c r="F1003" s="2941"/>
      <c r="G1003" s="2941"/>
      <c r="H1003" s="1707"/>
      <c r="I1003" s="1729"/>
      <c r="J1003" s="1730"/>
    </row>
    <row r="1004" spans="1:10">
      <c r="A1004" s="1773"/>
      <c r="B1004" s="1707">
        <v>10</v>
      </c>
      <c r="C1004" s="1779" t="s">
        <v>29</v>
      </c>
      <c r="D1004" s="2941" t="s">
        <v>30</v>
      </c>
      <c r="E1004" s="2941"/>
      <c r="F1004" s="2941"/>
      <c r="G1004" s="2941"/>
      <c r="H1004" s="1707">
        <f>J1001+J1002</f>
        <v>33700.347999999998</v>
      </c>
      <c r="I1004" s="1729"/>
      <c r="J1004" s="1730">
        <f>ROUND(B1004*H1004/100,2)</f>
        <v>3370.03</v>
      </c>
    </row>
    <row r="1005" spans="1:10">
      <c r="A1005" s="1773"/>
      <c r="B1005" s="1707"/>
      <c r="C1005" s="1779"/>
      <c r="D1005" s="2941"/>
      <c r="E1005" s="2941"/>
      <c r="F1005" s="2941"/>
      <c r="G1005" s="2941"/>
      <c r="H1005" s="1707"/>
      <c r="I1005" s="1729"/>
      <c r="J1005" s="1731"/>
    </row>
    <row r="1006" spans="1:10">
      <c r="A1006" s="1773"/>
      <c r="B1006" s="1708">
        <v>10</v>
      </c>
      <c r="C1006" s="1779" t="s">
        <v>107</v>
      </c>
      <c r="D1006" s="2943" t="str">
        <f>CONCATENATE("TOTAL Cost for ",B1006,"  ",C1006,"  =  (A+B+C+D)",)</f>
        <v>TOTAL Cost for 10  RM  =  (A+B+C+D)</v>
      </c>
      <c r="E1006" s="2943"/>
      <c r="F1006" s="2943"/>
      <c r="G1006" s="2943"/>
      <c r="H1006" s="1707"/>
      <c r="I1006" s="1707"/>
      <c r="J1006" s="1730">
        <f>SUM(J1001:J1004)</f>
        <v>37070.377999999997</v>
      </c>
    </row>
    <row r="1007" spans="1:10">
      <c r="A1007" s="1773"/>
      <c r="B1007" s="1707"/>
      <c r="C1007" s="1707"/>
      <c r="D1007" s="2945" t="str">
        <f>CONCATENATE("Rate per  1 ",C1006)</f>
        <v>Rate per  1 RM</v>
      </c>
      <c r="E1007" s="2945"/>
      <c r="F1007" s="2945"/>
      <c r="G1007" s="2945"/>
      <c r="H1007" s="1707"/>
      <c r="I1007" s="1707"/>
      <c r="J1007" s="1726">
        <f>J1006/B1006</f>
        <v>3707.0377999999996</v>
      </c>
    </row>
    <row r="1008" spans="1:10">
      <c r="A1008" s="1773"/>
      <c r="B1008" s="1697"/>
      <c r="C1008" s="1697"/>
      <c r="D1008" s="2967" t="str">
        <f>D1007</f>
        <v>Rate per  1 RM</v>
      </c>
      <c r="E1008" s="2967"/>
      <c r="F1008" s="2967"/>
      <c r="G1008" s="2967"/>
      <c r="H1008" s="1707"/>
      <c r="I1008" s="1707"/>
      <c r="J1008" s="1728">
        <f>ROUND(J1007,0)</f>
        <v>3707</v>
      </c>
    </row>
    <row r="1013" spans="1:10" s="1681" customFormat="1" ht="111" customHeight="1">
      <c r="A1013" s="1744">
        <v>7.17</v>
      </c>
      <c r="B1013" s="2958" t="s">
        <v>277</v>
      </c>
      <c r="C1013" s="2958"/>
      <c r="D1013" s="2958"/>
      <c r="E1013" s="2958"/>
      <c r="F1013" s="2958"/>
      <c r="G1013" s="2958"/>
      <c r="H1013" s="2958"/>
      <c r="I1013" s="2958"/>
      <c r="J1013" s="2958"/>
    </row>
    <row r="1014" spans="1:10" s="1681" customFormat="1" ht="15.6">
      <c r="A1014" s="1745"/>
      <c r="D1014" s="1746" t="s">
        <v>102</v>
      </c>
      <c r="F1014" s="1747" t="s">
        <v>103</v>
      </c>
    </row>
    <row r="1015" spans="1:10" s="1681" customFormat="1">
      <c r="A1015" s="1745"/>
      <c r="D1015" s="1746" t="s">
        <v>104</v>
      </c>
    </row>
    <row r="1016" spans="1:10" s="1681" customFormat="1" ht="15.6">
      <c r="A1016" s="1745"/>
      <c r="D1016" s="1748" t="s">
        <v>105</v>
      </c>
    </row>
    <row r="1017" spans="1:10" s="1681" customFormat="1" ht="15.6">
      <c r="A1017" s="1745"/>
      <c r="B1017" s="1749" t="s">
        <v>36</v>
      </c>
      <c r="C1017" s="1750" t="s">
        <v>37</v>
      </c>
    </row>
    <row r="1018" spans="1:10" s="1681" customFormat="1">
      <c r="A1018" s="1745"/>
      <c r="B1018" s="1751">
        <v>0.36</v>
      </c>
      <c r="C1018" s="1745" t="s">
        <v>106</v>
      </c>
      <c r="D1018" s="1746" t="s">
        <v>14</v>
      </c>
      <c r="H1018" s="1752">
        <f>'SSR-rates'!$H$58</f>
        <v>490</v>
      </c>
      <c r="I1018" s="1756" t="s">
        <v>38</v>
      </c>
      <c r="J1018" s="1752">
        <f>ROUND(B1018*H1018,2)</f>
        <v>176.4</v>
      </c>
    </row>
    <row r="1019" spans="1:10" s="1681" customFormat="1">
      <c r="A1019" s="1745"/>
      <c r="B1019" s="1751">
        <v>1</v>
      </c>
      <c r="C1019" s="1745" t="s">
        <v>106</v>
      </c>
      <c r="D1019" s="1746" t="s">
        <v>58</v>
      </c>
      <c r="H1019" s="1752">
        <f>'SSR-rates'!$H$59</f>
        <v>524</v>
      </c>
      <c r="I1019" s="1756" t="s">
        <v>38</v>
      </c>
      <c r="J1019" s="1752">
        <f>ROUND(B1019*H1019,2)</f>
        <v>524</v>
      </c>
    </row>
    <row r="1020" spans="1:10" s="1681" customFormat="1">
      <c r="A1020" s="1745"/>
      <c r="B1020" s="1751">
        <v>8</v>
      </c>
      <c r="C1020" s="1745" t="s">
        <v>106</v>
      </c>
      <c r="D1020" s="1746" t="s">
        <v>59</v>
      </c>
      <c r="H1020" s="1752">
        <f>'SSR-rates'!$H$60</f>
        <v>490</v>
      </c>
      <c r="I1020" s="1756" t="s">
        <v>38</v>
      </c>
      <c r="J1020" s="1752">
        <f>ROUND(B1020*H1020,2)</f>
        <v>3920</v>
      </c>
    </row>
    <row r="1021" spans="1:10" s="1681" customFormat="1" ht="15.6">
      <c r="A1021" s="1747"/>
      <c r="B1021" s="1753">
        <f>'Input Data'!$D$23</f>
        <v>0</v>
      </c>
      <c r="C1021" s="1754"/>
      <c r="D1021" s="1681" t="s">
        <v>17</v>
      </c>
      <c r="F1021" s="1745"/>
      <c r="G1021" s="1745"/>
      <c r="H1021" s="1752">
        <f>SUM(J1018:J1020)</f>
        <v>4620.3999999999996</v>
      </c>
      <c r="I1021" s="1756"/>
      <c r="J1021" s="1752">
        <f>B1021*H1021</f>
        <v>0</v>
      </c>
    </row>
    <row r="1022" spans="1:10" s="1681" customFormat="1">
      <c r="A1022" s="1745"/>
      <c r="B1022" s="1751"/>
      <c r="D1022" s="1746" t="s">
        <v>60</v>
      </c>
      <c r="H1022" s="1752"/>
      <c r="I1022" s="1752"/>
      <c r="J1022" s="1752">
        <f>SUM(J1018:J1021)</f>
        <v>4620.3999999999996</v>
      </c>
    </row>
    <row r="1023" spans="1:10" s="1681" customFormat="1" ht="15.6">
      <c r="A1023" s="1745"/>
      <c r="B1023" s="1749" t="s">
        <v>39</v>
      </c>
      <c r="C1023" s="1750" t="s">
        <v>61</v>
      </c>
      <c r="H1023" s="1752"/>
      <c r="I1023" s="1752"/>
      <c r="J1023" s="1752"/>
    </row>
    <row r="1024" spans="1:10" s="1681" customFormat="1">
      <c r="A1024" s="1745"/>
      <c r="B1024" s="1751">
        <v>25</v>
      </c>
      <c r="C1024" s="1745" t="s">
        <v>107</v>
      </c>
      <c r="D1024" s="1746" t="s">
        <v>108</v>
      </c>
      <c r="H1024" s="1752">
        <f>lead!$J$44</f>
        <v>11424.926958148131</v>
      </c>
      <c r="I1024" s="1752" t="s">
        <v>107</v>
      </c>
      <c r="J1024" s="1752">
        <f>ROUND(B1024*H1024,2)</f>
        <v>285623.17</v>
      </c>
    </row>
    <row r="1025" spans="1:10" s="1681" customFormat="1">
      <c r="A1025" s="1745"/>
      <c r="B1025" s="1751"/>
      <c r="C1025" s="1754"/>
      <c r="D1025" s="1746" t="s">
        <v>60</v>
      </c>
      <c r="H1025" s="1752"/>
      <c r="I1025" s="1752"/>
      <c r="J1025" s="1752">
        <f>SUM(J1024:J1024)</f>
        <v>285623.17</v>
      </c>
    </row>
    <row r="1026" spans="1:10" s="1681" customFormat="1" ht="15.6">
      <c r="A1026" s="1747"/>
      <c r="B1026" s="1749" t="s">
        <v>27</v>
      </c>
      <c r="C1026" s="1747" t="s">
        <v>272</v>
      </c>
      <c r="F1026" s="1745"/>
      <c r="G1026" s="1745"/>
      <c r="H1026" s="1745"/>
      <c r="I1026" s="1745"/>
      <c r="J1026" s="1757"/>
    </row>
    <row r="1027" spans="1:10" s="1681" customFormat="1" ht="15.6">
      <c r="A1027" s="1747"/>
      <c r="B1027" s="1755">
        <f>'Input Data'!$D$25</f>
        <v>0</v>
      </c>
      <c r="C1027" s="1754"/>
      <c r="D1027" s="1746" t="str">
        <f>"Over head charges "&amp;'Input Data'!$D$25*100&amp;"%  on (A) + (B)"</f>
        <v>Over head charges 0%  on (A) + (B)</v>
      </c>
      <c r="F1027" s="1745"/>
      <c r="G1027" s="1745"/>
      <c r="H1027" s="1754">
        <f>J1025+J1022</f>
        <v>290243.57</v>
      </c>
      <c r="I1027" s="1745"/>
      <c r="J1027" s="1752">
        <f>H1027*B1027</f>
        <v>0</v>
      </c>
    </row>
    <row r="1028" spans="1:10" s="1681" customFormat="1" ht="15.6">
      <c r="A1028" s="1747"/>
      <c r="B1028" s="1749" t="s">
        <v>45</v>
      </c>
      <c r="C1028" s="1747" t="s">
        <v>46</v>
      </c>
      <c r="F1028" s="1745"/>
      <c r="G1028" s="1745"/>
      <c r="H1028" s="1745"/>
      <c r="I1028" s="1745"/>
      <c r="J1028" s="1757">
        <f>J1022+J1025+J1027</f>
        <v>290243.57</v>
      </c>
    </row>
    <row r="1029" spans="1:10" s="1681" customFormat="1" ht="15.6">
      <c r="A1029" s="1747"/>
      <c r="B1029" s="1749" t="s">
        <v>47</v>
      </c>
      <c r="C1029" s="1747" t="s">
        <v>48</v>
      </c>
      <c r="F1029" s="1745"/>
      <c r="G1029" s="1745"/>
      <c r="H1029" s="1745"/>
      <c r="I1029" s="1745"/>
      <c r="J1029" s="1757">
        <f>J1028*10/100</f>
        <v>29024.357000000004</v>
      </c>
    </row>
    <row r="1030" spans="1:10" s="1681" customFormat="1" ht="15.6">
      <c r="A1030" s="1745"/>
      <c r="B1030" s="1751"/>
      <c r="C1030" s="1745"/>
      <c r="D1030" s="1750" t="s">
        <v>110</v>
      </c>
      <c r="H1030" s="1752"/>
      <c r="I1030" s="1752"/>
      <c r="J1030" s="1757">
        <f>SUM(J1028:J1029)</f>
        <v>319267.92700000003</v>
      </c>
    </row>
    <row r="1031" spans="1:10" s="1681" customFormat="1">
      <c r="A1031" s="1745"/>
      <c r="B1031" s="1751"/>
      <c r="C1031" s="1745"/>
      <c r="D1031" s="1746" t="s">
        <v>111</v>
      </c>
      <c r="H1031" s="1752"/>
      <c r="I1031" s="1752"/>
      <c r="J1031" s="1752">
        <f>ROUND(J1030/12.5,2)</f>
        <v>25541.43</v>
      </c>
    </row>
    <row r="1032" spans="1:10" s="1681" customFormat="1" ht="15.6">
      <c r="A1032" s="1745"/>
      <c r="D1032" s="1746" t="s">
        <v>52</v>
      </c>
      <c r="H1032" s="1752"/>
      <c r="I1032" s="1752"/>
      <c r="J1032" s="1758">
        <f>ROUND(J1031,0)</f>
        <v>25541</v>
      </c>
    </row>
    <row r="1033" spans="1:10" s="1681" customFormat="1" ht="15.6">
      <c r="A1033" s="1745"/>
      <c r="D1033" s="1746"/>
      <c r="H1033" s="1752"/>
      <c r="I1033" s="1752"/>
      <c r="J1033" s="1757" t="s">
        <v>112</v>
      </c>
    </row>
    <row r="1051" spans="1:10" ht="126.75" customHeight="1">
      <c r="A1051" s="1759" t="s">
        <v>278</v>
      </c>
      <c r="B1051" s="2946" t="s">
        <v>279</v>
      </c>
      <c r="C1051" s="2946"/>
      <c r="D1051" s="2946"/>
      <c r="E1051" s="2946"/>
      <c r="F1051" s="2946"/>
      <c r="G1051" s="2946"/>
      <c r="H1051" s="2946"/>
      <c r="I1051" s="2946"/>
      <c r="J1051" s="2946"/>
    </row>
    <row r="1052" spans="1:10">
      <c r="D1052" s="1687" t="s">
        <v>10</v>
      </c>
      <c r="F1052" s="1713" t="s">
        <v>280</v>
      </c>
      <c r="J1052" s="1684"/>
    </row>
    <row r="1053" spans="1:10">
      <c r="D1053" s="1687" t="s">
        <v>170</v>
      </c>
      <c r="J1053" s="1684"/>
    </row>
    <row r="1054" spans="1:10">
      <c r="B1054" s="1715" t="s">
        <v>36</v>
      </c>
      <c r="C1054" s="1722" t="s">
        <v>37</v>
      </c>
      <c r="J1054" s="1684"/>
    </row>
    <row r="1055" spans="1:10">
      <c r="B1055" s="1705">
        <v>0.84</v>
      </c>
      <c r="C1055" s="1683" t="s">
        <v>57</v>
      </c>
      <c r="D1055" s="1687" t="s">
        <v>156</v>
      </c>
      <c r="H1055" s="1701">
        <f>'SSR-rates'!H$58</f>
        <v>490</v>
      </c>
      <c r="I1055" s="1716" t="s">
        <v>38</v>
      </c>
      <c r="J1055" s="1705">
        <f>ROUND(B1055*H1055,2)</f>
        <v>411.6</v>
      </c>
    </row>
    <row r="1056" spans="1:10">
      <c r="B1056" s="1705">
        <v>3</v>
      </c>
      <c r="C1056" s="1683" t="s">
        <v>57</v>
      </c>
      <c r="D1056" s="1687" t="s">
        <v>58</v>
      </c>
      <c r="H1056" s="1701">
        <v>357</v>
      </c>
      <c r="I1056" s="1716" t="s">
        <v>38</v>
      </c>
      <c r="J1056" s="1705">
        <f>ROUND(B1056*H1056,2)</f>
        <v>1071</v>
      </c>
    </row>
    <row r="1057" spans="1:11">
      <c r="B1057" s="1705">
        <v>18</v>
      </c>
      <c r="C1057" s="1683" t="s">
        <v>57</v>
      </c>
      <c r="D1057" s="1687" t="s">
        <v>59</v>
      </c>
      <c r="H1057" s="1701">
        <f>'SSR-rates'!H$60</f>
        <v>490</v>
      </c>
      <c r="I1057" s="1716" t="s">
        <v>38</v>
      </c>
      <c r="J1057" s="1705">
        <f>ROUND(B1057*H1057,2)</f>
        <v>8820</v>
      </c>
    </row>
    <row r="1058" spans="1:11">
      <c r="A1058" s="1713"/>
      <c r="B1058" s="1702">
        <f>'Input Data'!$D$23</f>
        <v>0</v>
      </c>
      <c r="C1058" s="1688"/>
      <c r="D1058" s="1684" t="s">
        <v>17</v>
      </c>
      <c r="F1058" s="1683"/>
      <c r="G1058" s="1683"/>
      <c r="H1058" s="1701">
        <f>SUM(J1056:J1057)</f>
        <v>9891</v>
      </c>
      <c r="I1058" s="1716"/>
      <c r="J1058" s="1701">
        <f>B1058*H1058</f>
        <v>0</v>
      </c>
    </row>
    <row r="1059" spans="1:11">
      <c r="B1059" s="1705"/>
      <c r="C1059" s="1683"/>
      <c r="D1059" s="1687" t="s">
        <v>60</v>
      </c>
      <c r="H1059" s="1701"/>
      <c r="I1059" s="1701"/>
      <c r="J1059" s="1705">
        <f>SUM(J1055:J1058)</f>
        <v>10302.6</v>
      </c>
    </row>
    <row r="1060" spans="1:11">
      <c r="B1060" s="1715" t="s">
        <v>39</v>
      </c>
      <c r="C1060" s="1722" t="s">
        <v>61</v>
      </c>
      <c r="H1060" s="1701"/>
      <c r="I1060" s="1701"/>
      <c r="J1060" s="1701"/>
    </row>
    <row r="1061" spans="1:11">
      <c r="B1061" s="1705">
        <v>64.8</v>
      </c>
      <c r="C1061" s="1683" t="s">
        <v>31</v>
      </c>
      <c r="D1061" s="1684" t="s">
        <v>63</v>
      </c>
      <c r="H1061" s="1701">
        <f>lead!J$16</f>
        <v>2031.2187651278443</v>
      </c>
      <c r="I1061" s="1701" t="s">
        <v>31</v>
      </c>
      <c r="J1061" s="1701">
        <f>ROUND(B1061*H1061,2)</f>
        <v>131622.98000000001</v>
      </c>
    </row>
    <row r="1062" spans="1:11">
      <c r="B1062" s="1705">
        <v>43.2</v>
      </c>
      <c r="C1062" s="1683" t="s">
        <v>31</v>
      </c>
      <c r="D1062" s="1684" t="s">
        <v>64</v>
      </c>
      <c r="H1062" s="1701">
        <f>lead!J$18</f>
        <v>1780.2187651278443</v>
      </c>
      <c r="I1062" s="1701" t="s">
        <v>31</v>
      </c>
      <c r="J1062" s="1701">
        <f>ROUND(B1062*H1062,2)</f>
        <v>76905.45</v>
      </c>
    </row>
    <row r="1063" spans="1:11">
      <c r="B1063" s="1705">
        <v>54</v>
      </c>
      <c r="C1063" s="1683" t="s">
        <v>31</v>
      </c>
      <c r="D1063" s="1687" t="s">
        <v>65</v>
      </c>
      <c r="H1063" s="1701">
        <f>lead!J12</f>
        <v>1684.4687651278443</v>
      </c>
      <c r="I1063" s="1701" t="s">
        <v>31</v>
      </c>
      <c r="J1063" s="1701">
        <f>ROUND(B1063*H1063,2)</f>
        <v>90961.31</v>
      </c>
    </row>
    <row r="1064" spans="1:11">
      <c r="B1064" s="1818">
        <v>48.38</v>
      </c>
      <c r="C1064" s="1683" t="s">
        <v>66</v>
      </c>
      <c r="D1064" s="1687" t="s">
        <v>67</v>
      </c>
      <c r="H1064" s="1701">
        <f>lead!J$36</f>
        <v>5000</v>
      </c>
      <c r="I1064" s="1701" t="s">
        <v>66</v>
      </c>
      <c r="J1064" s="1701">
        <f>ROUND(B1064*H1064,2)</f>
        <v>241900</v>
      </c>
    </row>
    <row r="1065" spans="1:11">
      <c r="B1065" s="1687"/>
      <c r="D1065" s="1687" t="s">
        <v>60</v>
      </c>
      <c r="H1065" s="1701"/>
      <c r="I1065" s="1701"/>
      <c r="J1065" s="1701">
        <f>SUM(J1061:J1064)</f>
        <v>541389.74</v>
      </c>
      <c r="K1065" s="1687"/>
    </row>
    <row r="1066" spans="1:11">
      <c r="B1066" s="1715" t="s">
        <v>27</v>
      </c>
      <c r="C1066" s="1722" t="s">
        <v>40</v>
      </c>
      <c r="H1066" s="1701"/>
      <c r="I1066" s="1701"/>
      <c r="J1066" s="1701"/>
    </row>
    <row r="1067" spans="1:11">
      <c r="B1067" s="1705">
        <v>6</v>
      </c>
      <c r="C1067" s="1683" t="s">
        <v>41</v>
      </c>
      <c r="D1067" s="1684" t="s">
        <v>171</v>
      </c>
      <c r="H1067" s="1701">
        <f>'SSR-rates'!H$100</f>
        <v>1205.8</v>
      </c>
      <c r="I1067" s="1701" t="s">
        <v>41</v>
      </c>
      <c r="J1067" s="1701">
        <f>ROUND(B1067*H1067,2)</f>
        <v>7234.8</v>
      </c>
    </row>
    <row r="1068" spans="1:11">
      <c r="B1068" s="1705">
        <v>6</v>
      </c>
      <c r="C1068" s="1683" t="s">
        <v>41</v>
      </c>
      <c r="D1068" s="1684" t="s">
        <v>172</v>
      </c>
      <c r="H1068" s="1701">
        <f>'SSR-rates'!H$102</f>
        <v>1261</v>
      </c>
      <c r="I1068" s="1701" t="s">
        <v>41</v>
      </c>
      <c r="J1068" s="1701">
        <f>ROUND(B1068*H1068,2)</f>
        <v>7566</v>
      </c>
    </row>
    <row r="1069" spans="1:11">
      <c r="B1069" s="1705">
        <v>6</v>
      </c>
      <c r="C1069" s="1683" t="s">
        <v>41</v>
      </c>
      <c r="D1069" s="1684" t="s">
        <v>173</v>
      </c>
      <c r="H1069" s="1701">
        <f>'SSR-rates'!H$65</f>
        <v>1844</v>
      </c>
      <c r="I1069" s="1701" t="s">
        <v>41</v>
      </c>
      <c r="J1069" s="1701">
        <f>ROUND(B1069*H1069,2)</f>
        <v>11064</v>
      </c>
    </row>
    <row r="1070" spans="1:11">
      <c r="B1070" s="1705">
        <v>15</v>
      </c>
      <c r="C1070" s="1683" t="s">
        <v>41</v>
      </c>
      <c r="D1070" s="1684" t="s">
        <v>174</v>
      </c>
      <c r="H1070" s="1701">
        <f>'SSR-rates'!H$104</f>
        <v>2532.4</v>
      </c>
      <c r="I1070" s="1701" t="s">
        <v>41</v>
      </c>
      <c r="J1070" s="1701">
        <f>ROUND(B1070*H1070,2)</f>
        <v>37986</v>
      </c>
    </row>
    <row r="1071" spans="1:11" s="1682" customFormat="1" ht="33.75" customHeight="1">
      <c r="A1071" s="1772"/>
      <c r="B1071" s="1705">
        <v>300</v>
      </c>
      <c r="C1071" s="1683" t="s">
        <v>180</v>
      </c>
      <c r="D1071" s="2965" t="s">
        <v>176</v>
      </c>
      <c r="E1071" s="2965"/>
      <c r="F1071" s="2965"/>
      <c r="G1071" s="2965"/>
      <c r="H1071" s="1701">
        <v>0</v>
      </c>
      <c r="I1071" s="1701" t="s">
        <v>41</v>
      </c>
      <c r="J1071" s="1701">
        <f>ROUND(B1071*H1071*'Input Data'!E17,2)</f>
        <v>0</v>
      </c>
    </row>
    <row r="1072" spans="1:11">
      <c r="B1072" s="1705">
        <v>6</v>
      </c>
      <c r="C1072" s="1683" t="s">
        <v>41</v>
      </c>
      <c r="D1072" s="1687" t="s">
        <v>177</v>
      </c>
      <c r="H1072" s="1701">
        <f>'SSR-rates'!H$106</f>
        <v>899</v>
      </c>
      <c r="I1072" s="1701" t="s">
        <v>41</v>
      </c>
      <c r="J1072" s="1701">
        <f>ROUND(B1072*H1072,2)</f>
        <v>5394</v>
      </c>
    </row>
    <row r="1073" spans="1:10" ht="15" customHeight="1">
      <c r="B1073" s="1705"/>
      <c r="C1073" s="1688"/>
      <c r="D1073" s="1687" t="s">
        <v>60</v>
      </c>
      <c r="H1073" s="1701"/>
      <c r="I1073" s="1701"/>
      <c r="J1073" s="1701">
        <f>SUM(J1067:J1072)</f>
        <v>69244.800000000003</v>
      </c>
    </row>
    <row r="1074" spans="1:10">
      <c r="B1074" s="1715" t="s">
        <v>45</v>
      </c>
      <c r="C1074" s="1722" t="s">
        <v>71</v>
      </c>
      <c r="H1074" s="1701"/>
      <c r="I1074" s="1701"/>
      <c r="J1074" s="1701"/>
    </row>
    <row r="1075" spans="1:10">
      <c r="B1075" s="1687">
        <v>3.75</v>
      </c>
      <c r="C1075" s="1683" t="s">
        <v>29</v>
      </c>
      <c r="D1075" s="1684" t="s">
        <v>281</v>
      </c>
      <c r="H1075" s="1701">
        <f>J1059+J1065+J1073</f>
        <v>620937.14</v>
      </c>
      <c r="I1075" s="1716" t="s">
        <v>73</v>
      </c>
      <c r="J1075" s="1701">
        <f>ROUND(B1075*H1075/100,2)</f>
        <v>23285.14</v>
      </c>
    </row>
    <row r="1076" spans="1:10" ht="15" customHeight="1">
      <c r="A1076" s="1713"/>
      <c r="B1076" s="1715" t="s">
        <v>47</v>
      </c>
      <c r="C1076" s="1713" t="s">
        <v>44</v>
      </c>
      <c r="F1076" s="1683"/>
      <c r="G1076" s="1683"/>
      <c r="H1076" s="1683"/>
      <c r="I1076" s="1683"/>
      <c r="J1076" s="1741"/>
    </row>
    <row r="1077" spans="1:10" ht="29.25" customHeight="1">
      <c r="A1077" s="1713"/>
      <c r="B1077" s="1706">
        <f>'Input Data'!$D$25</f>
        <v>0</v>
      </c>
      <c r="C1077" s="2952" t="str">
        <f>"Over head charges "&amp;'Input Data'!$D$25*100&amp;"%  on (A) + (B)+(C)+(D)"</f>
        <v>Over head charges 0%  on (A) + (B)+(C)+(D)</v>
      </c>
      <c r="D1077" s="2953"/>
      <c r="E1077" s="2953"/>
      <c r="F1077" s="2953"/>
      <c r="G1077" s="2954"/>
      <c r="H1077" s="1688">
        <f>J1075+J1073+J1065+J1059</f>
        <v>644222.27999999991</v>
      </c>
      <c r="I1077" s="1683"/>
      <c r="J1077" s="1701">
        <f>H1077*B1077</f>
        <v>0</v>
      </c>
    </row>
    <row r="1078" spans="1:10">
      <c r="A1078" s="1713"/>
      <c r="B1078" s="1715" t="s">
        <v>76</v>
      </c>
      <c r="C1078" s="1713" t="s">
        <v>77</v>
      </c>
      <c r="F1078" s="1683"/>
      <c r="G1078" s="1683"/>
      <c r="H1078" s="1683"/>
      <c r="I1078" s="1683"/>
      <c r="J1078" s="1741">
        <f>J1059+J1065+J1073+J1075+J1077</f>
        <v>644222.28</v>
      </c>
    </row>
    <row r="1079" spans="1:10">
      <c r="A1079" s="1713"/>
      <c r="B1079" s="1715" t="s">
        <v>78</v>
      </c>
      <c r="C1079" s="1713" t="s">
        <v>79</v>
      </c>
      <c r="F1079" s="1683"/>
      <c r="G1079" s="1683"/>
      <c r="H1079" s="1683"/>
      <c r="I1079" s="1683"/>
      <c r="J1079" s="1741">
        <f>J1078*10/100</f>
        <v>64422.22800000001</v>
      </c>
    </row>
    <row r="1080" spans="1:10">
      <c r="B1080" s="1705"/>
      <c r="C1080" s="1683"/>
      <c r="D1080" s="1722" t="s">
        <v>158</v>
      </c>
      <c r="H1080" s="1701"/>
      <c r="I1080" s="1701"/>
      <c r="J1080" s="1741">
        <f>SUM(J1078:J1079)</f>
        <v>708644.50800000003</v>
      </c>
    </row>
    <row r="1081" spans="1:10">
      <c r="B1081" s="1705"/>
      <c r="C1081" s="1683"/>
      <c r="D1081" s="1687" t="s">
        <v>81</v>
      </c>
      <c r="H1081" s="1701"/>
      <c r="I1081" s="1701"/>
      <c r="J1081" s="1701">
        <f>ROUND(J1080/120,2)</f>
        <v>5905.37</v>
      </c>
    </row>
    <row r="1082" spans="1:10">
      <c r="D1082" s="1687" t="s">
        <v>52</v>
      </c>
      <c r="H1082" s="1701"/>
      <c r="I1082" s="1701"/>
      <c r="J1082" s="1742">
        <f>ROUND(J1081,0)</f>
        <v>5905</v>
      </c>
    </row>
    <row r="1083" spans="1:10">
      <c r="D1083" s="1687"/>
      <c r="H1083" s="1701"/>
      <c r="I1083" s="1701"/>
      <c r="J1083" s="1741" t="s">
        <v>53</v>
      </c>
    </row>
    <row r="1084" spans="1:10">
      <c r="A1084" s="1773"/>
      <c r="B1084" s="1697"/>
      <c r="C1084" s="1697"/>
      <c r="D1084" s="1774"/>
      <c r="E1084" s="1774"/>
      <c r="F1084" s="1774"/>
      <c r="G1084" s="1774"/>
      <c r="H1084" s="1707"/>
      <c r="I1084" s="1707"/>
      <c r="J1084" s="1728"/>
    </row>
    <row r="1085" spans="1:10" ht="55.5" customHeight="1">
      <c r="A1085" s="1713">
        <v>13</v>
      </c>
      <c r="B1085" s="3000" t="s">
        <v>166</v>
      </c>
      <c r="C1085" s="3000"/>
      <c r="D1085" s="3000"/>
      <c r="E1085" s="3000"/>
      <c r="F1085" s="3000"/>
      <c r="G1085" s="3000"/>
      <c r="H1085" s="3000"/>
      <c r="I1085" s="3000"/>
      <c r="J1085" s="3000"/>
    </row>
    <row r="1086" spans="1:10">
      <c r="A1086" s="1713"/>
      <c r="B1086" s="1716"/>
      <c r="C1086" s="1688" t="s">
        <v>130</v>
      </c>
      <c r="J1086" s="1684"/>
    </row>
    <row r="1087" spans="1:10">
      <c r="B1087" s="1716"/>
      <c r="C1087" s="1688" t="s">
        <v>167</v>
      </c>
      <c r="J1087" s="1741">
        <v>991</v>
      </c>
    </row>
    <row r="1088" spans="1:10" ht="97.5" customHeight="1">
      <c r="A1088" s="1710">
        <v>12</v>
      </c>
      <c r="B1088" s="2946" t="s">
        <v>282</v>
      </c>
      <c r="C1088" s="2946"/>
      <c r="D1088" s="2946"/>
      <c r="E1088" s="2946"/>
      <c r="F1088" s="2946"/>
      <c r="G1088" s="2946"/>
      <c r="H1088" s="2946"/>
      <c r="I1088" s="2946"/>
      <c r="J1088" s="2946"/>
    </row>
    <row r="1089" spans="1:10">
      <c r="D1089" s="1687" t="s">
        <v>10</v>
      </c>
      <c r="F1089" s="1713" t="s">
        <v>283</v>
      </c>
      <c r="J1089" s="1684"/>
    </row>
    <row r="1090" spans="1:10">
      <c r="D1090" s="1687" t="s">
        <v>56</v>
      </c>
      <c r="J1090" s="1684"/>
    </row>
    <row r="1091" spans="1:10">
      <c r="B1091" s="1715" t="s">
        <v>36</v>
      </c>
      <c r="C1091" s="1722" t="s">
        <v>37</v>
      </c>
      <c r="J1091" s="1684"/>
    </row>
    <row r="1092" spans="1:10">
      <c r="B1092" s="1705">
        <v>0.64</v>
      </c>
      <c r="C1092" s="1683" t="s">
        <v>57</v>
      </c>
      <c r="D1092" s="1687" t="s">
        <v>14</v>
      </c>
      <c r="H1092" s="1701">
        <f>'SSR-rates'!H58</f>
        <v>490</v>
      </c>
      <c r="I1092" s="1716" t="s">
        <v>38</v>
      </c>
      <c r="J1092" s="1705">
        <f>ROUND(B1092*H1092,2)</f>
        <v>313.60000000000002</v>
      </c>
    </row>
    <row r="1093" spans="1:10">
      <c r="B1093" s="1705">
        <v>1</v>
      </c>
      <c r="C1093" s="1683" t="s">
        <v>57</v>
      </c>
      <c r="D1093" s="1687" t="s">
        <v>58</v>
      </c>
      <c r="H1093" s="1701">
        <f>'SSR-rates'!H59</f>
        <v>524</v>
      </c>
      <c r="I1093" s="1716" t="s">
        <v>38</v>
      </c>
      <c r="J1093" s="1705">
        <f>ROUND(B1093*H1093,2)</f>
        <v>524</v>
      </c>
    </row>
    <row r="1094" spans="1:10">
      <c r="B1094" s="1705">
        <v>15</v>
      </c>
      <c r="C1094" s="1683" t="s">
        <v>57</v>
      </c>
      <c r="D1094" s="1687" t="s">
        <v>59</v>
      </c>
      <c r="H1094" s="1701">
        <f>'SSR-rates'!H60</f>
        <v>490</v>
      </c>
      <c r="I1094" s="1716" t="s">
        <v>38</v>
      </c>
      <c r="J1094" s="1705">
        <f>ROUND(B1094*H1094,2)</f>
        <v>7350</v>
      </c>
    </row>
    <row r="1095" spans="1:10" ht="15.75" customHeight="1">
      <c r="A1095" s="1713"/>
      <c r="B1095" s="1702">
        <f>'Input Data'!$D$23</f>
        <v>0</v>
      </c>
      <c r="C1095" s="1688"/>
      <c r="D1095" s="1684" t="s">
        <v>17</v>
      </c>
      <c r="F1095" s="1683"/>
      <c r="G1095" s="1683"/>
      <c r="H1095" s="1701">
        <f>SUM(J1092:J1094)</f>
        <v>8187.6</v>
      </c>
      <c r="I1095" s="1716"/>
      <c r="J1095" s="1701">
        <f>B1095*H1095</f>
        <v>0</v>
      </c>
    </row>
    <row r="1096" spans="1:10">
      <c r="B1096" s="1705"/>
      <c r="D1096" s="1687" t="s">
        <v>60</v>
      </c>
      <c r="H1096" s="1701"/>
      <c r="I1096" s="1701"/>
      <c r="J1096" s="1705">
        <f>SUM(J1092:J1095)</f>
        <v>8187.6</v>
      </c>
    </row>
    <row r="1097" spans="1:10">
      <c r="B1097" s="1715" t="s">
        <v>39</v>
      </c>
      <c r="C1097" s="1722" t="s">
        <v>61</v>
      </c>
      <c r="H1097" s="1701"/>
      <c r="I1097" s="1701"/>
      <c r="J1097" s="1701"/>
    </row>
    <row r="1098" spans="1:10">
      <c r="B1098" s="1705">
        <v>13.5</v>
      </c>
      <c r="C1098" s="1683" t="s">
        <v>31</v>
      </c>
      <c r="D1098" s="1687" t="s">
        <v>62</v>
      </c>
      <c r="H1098" s="1701">
        <f>lead!J14</f>
        <v>1732.2187651278443</v>
      </c>
      <c r="I1098" s="1701" t="s">
        <v>31</v>
      </c>
      <c r="J1098" s="1701">
        <f>ROUND(B1098*H1098,2)</f>
        <v>23384.95</v>
      </c>
    </row>
    <row r="1099" spans="1:10">
      <c r="B1099" s="1705">
        <v>6.75</v>
      </c>
      <c r="C1099" s="1683" t="s">
        <v>31</v>
      </c>
      <c r="D1099" s="1687" t="s">
        <v>65</v>
      </c>
      <c r="H1099" s="1738">
        <f>lead!J12</f>
        <v>1684.4687651278443</v>
      </c>
      <c r="I1099" s="1701" t="s">
        <v>31</v>
      </c>
      <c r="J1099" s="1701">
        <f>ROUND(B1099*H1099,2)</f>
        <v>11370.16</v>
      </c>
    </row>
    <row r="1100" spans="1:10">
      <c r="B1100" s="1705">
        <v>2.4300000000000002</v>
      </c>
      <c r="C1100" s="1683" t="s">
        <v>66</v>
      </c>
      <c r="D1100" s="1687" t="s">
        <v>67</v>
      </c>
      <c r="H1100" s="1701">
        <f>lead!J36</f>
        <v>5000</v>
      </c>
      <c r="I1100" s="1701" t="s">
        <v>66</v>
      </c>
      <c r="J1100" s="1701">
        <f>ROUND(B1100*H1100,2)</f>
        <v>12150</v>
      </c>
    </row>
    <row r="1101" spans="1:10">
      <c r="B1101" s="1705"/>
      <c r="C1101" s="1688"/>
      <c r="D1101" s="1687" t="s">
        <v>60</v>
      </c>
      <c r="H1101" s="1701"/>
      <c r="I1101" s="1701"/>
      <c r="J1101" s="1701">
        <f>SUM(J1098:J1100)</f>
        <v>46905.11</v>
      </c>
    </row>
    <row r="1102" spans="1:10">
      <c r="B1102" s="1715" t="s">
        <v>87</v>
      </c>
      <c r="C1102" s="1722" t="s">
        <v>40</v>
      </c>
      <c r="H1102" s="1701"/>
      <c r="I1102" s="1701"/>
      <c r="J1102" s="1701"/>
    </row>
    <row r="1103" spans="1:10">
      <c r="B1103" s="1705">
        <v>6</v>
      </c>
      <c r="C1103" s="1683" t="s">
        <v>41</v>
      </c>
      <c r="D1103" s="1687" t="s">
        <v>68</v>
      </c>
      <c r="H1103" s="1701">
        <f>'SSR-rates'!H88</f>
        <v>627.6</v>
      </c>
      <c r="I1103" s="1701" t="s">
        <v>41</v>
      </c>
      <c r="J1103" s="1701">
        <f>ROUND(B1103*H1103,2)</f>
        <v>3765.6</v>
      </c>
    </row>
    <row r="1104" spans="1:10">
      <c r="B1104" s="1705">
        <v>6</v>
      </c>
      <c r="C1104" s="1683" t="s">
        <v>41</v>
      </c>
      <c r="D1104" s="1687" t="s">
        <v>69</v>
      </c>
      <c r="H1104" s="1701">
        <f>'SSR-rates'!H87</f>
        <v>1237.4000000000001</v>
      </c>
      <c r="I1104" s="1701" t="s">
        <v>41</v>
      </c>
      <c r="J1104" s="1701">
        <f>ROUND(B1104*H1104,2)</f>
        <v>7424.4</v>
      </c>
    </row>
    <row r="1105" spans="1:10">
      <c r="B1105" s="1705">
        <v>2</v>
      </c>
      <c r="C1105" s="1683" t="s">
        <v>41</v>
      </c>
      <c r="D1105" s="1687" t="s">
        <v>70</v>
      </c>
      <c r="H1105" s="1701">
        <f>'SSR-rates'!H69</f>
        <v>699</v>
      </c>
      <c r="I1105" s="1701" t="s">
        <v>41</v>
      </c>
      <c r="J1105" s="1701">
        <f>ROUND(B1105*H1105,2)</f>
        <v>1398</v>
      </c>
    </row>
    <row r="1106" spans="1:10">
      <c r="B1106" s="1705"/>
      <c r="C1106" s="1688"/>
      <c r="D1106" s="1687" t="s">
        <v>60</v>
      </c>
      <c r="H1106" s="1701"/>
      <c r="I1106" s="1701"/>
      <c r="J1106" s="1701">
        <f>SUM(J1103:J1105)</f>
        <v>12588</v>
      </c>
    </row>
    <row r="1107" spans="1:10">
      <c r="A1107" s="1713"/>
      <c r="B1107" s="1715" t="s">
        <v>45</v>
      </c>
      <c r="C1107" s="1713" t="s">
        <v>97</v>
      </c>
      <c r="F1107" s="1683"/>
      <c r="G1107" s="1683"/>
      <c r="H1107" s="1683"/>
      <c r="I1107" s="1683"/>
      <c r="J1107" s="1741"/>
    </row>
    <row r="1108" spans="1:10" ht="30.75" customHeight="1">
      <c r="A1108" s="1713"/>
      <c r="B1108" s="1706">
        <f>'Input Data'!$D$25</f>
        <v>0</v>
      </c>
      <c r="C1108" s="2955" t="str">
        <f>"Over head charges "&amp;'Input Data'!$D$25*100&amp;"%  on (A) + (B)"</f>
        <v>Over head charges 0%  on (A) + (B)</v>
      </c>
      <c r="D1108" s="2956"/>
      <c r="E1108" s="2956"/>
      <c r="F1108" s="2956"/>
      <c r="G1108" s="2957"/>
      <c r="H1108" s="1688">
        <f>J1106+J1101+J1096</f>
        <v>67680.710000000006</v>
      </c>
      <c r="I1108" s="1683"/>
      <c r="J1108" s="1701">
        <f>H1108*B1108</f>
        <v>0</v>
      </c>
    </row>
    <row r="1109" spans="1:10">
      <c r="A1109" s="1713"/>
      <c r="B1109" s="1715" t="s">
        <v>47</v>
      </c>
      <c r="C1109" s="1713" t="s">
        <v>89</v>
      </c>
      <c r="F1109" s="1683"/>
      <c r="G1109" s="1683"/>
      <c r="H1109" s="1683"/>
      <c r="I1109" s="1683"/>
      <c r="J1109" s="1741">
        <f>J1096+J1101+J1106+J1108</f>
        <v>67680.709999999992</v>
      </c>
    </row>
    <row r="1110" spans="1:10">
      <c r="A1110" s="1713"/>
      <c r="B1110" s="1715" t="s">
        <v>76</v>
      </c>
      <c r="C1110" s="1713" t="s">
        <v>90</v>
      </c>
      <c r="F1110" s="1683"/>
      <c r="G1110" s="1683"/>
      <c r="H1110" s="1683"/>
      <c r="I1110" s="1683"/>
      <c r="J1110" s="1741">
        <f>J1109*10/100</f>
        <v>6768.070999999999</v>
      </c>
    </row>
    <row r="1111" spans="1:10">
      <c r="B1111" s="1705"/>
      <c r="C1111" s="1683"/>
      <c r="D1111" s="1722" t="s">
        <v>98</v>
      </c>
      <c r="H1111" s="1701"/>
      <c r="I1111" s="1701"/>
      <c r="J1111" s="1741">
        <f>SUM(J1109:J1110)</f>
        <v>74448.780999999988</v>
      </c>
    </row>
    <row r="1112" spans="1:10">
      <c r="B1112" s="1705"/>
      <c r="C1112" s="1683"/>
      <c r="D1112" s="1687" t="s">
        <v>81</v>
      </c>
      <c r="H1112" s="1701"/>
      <c r="I1112" s="1701"/>
      <c r="J1112" s="1701">
        <f>ROUND(J1111/15,2)</f>
        <v>4963.25</v>
      </c>
    </row>
    <row r="1113" spans="1:10">
      <c r="D1113" s="1687" t="s">
        <v>52</v>
      </c>
      <c r="H1113" s="1701"/>
      <c r="I1113" s="1701"/>
      <c r="J1113" s="1742">
        <f>ROUND(J1112,0)</f>
        <v>4963</v>
      </c>
    </row>
    <row r="1114" spans="1:10">
      <c r="D1114" s="1687"/>
      <c r="H1114" s="1701"/>
      <c r="I1114" s="1701"/>
      <c r="J1114" s="1741" t="s">
        <v>53</v>
      </c>
    </row>
    <row r="1115" spans="1:10">
      <c r="D1115" s="1687"/>
      <c r="H1115" s="1701"/>
      <c r="I1115" s="1701"/>
      <c r="J1115" s="1741"/>
    </row>
    <row r="1116" spans="1:10" ht="56.25" customHeight="1">
      <c r="A1116" s="1710">
        <v>16</v>
      </c>
      <c r="B1116" s="2946" t="s">
        <v>284</v>
      </c>
      <c r="C1116" s="2946"/>
      <c r="D1116" s="2946"/>
      <c r="E1116" s="2946"/>
      <c r="F1116" s="2946"/>
      <c r="G1116" s="2946"/>
      <c r="H1116" s="2946"/>
      <c r="I1116" s="2946"/>
      <c r="J1116" s="2946"/>
    </row>
    <row r="1117" spans="1:10">
      <c r="A1117" s="1713"/>
      <c r="B1117" s="2947" t="s">
        <v>285</v>
      </c>
      <c r="C1117" s="2947"/>
      <c r="D1117" s="1712"/>
      <c r="E1117" s="1712"/>
      <c r="F1117" s="1712"/>
      <c r="G1117" s="1712"/>
      <c r="H1117" s="1714"/>
      <c r="I1117" s="1714"/>
      <c r="J1117" s="1714"/>
    </row>
    <row r="1118" spans="1:10">
      <c r="A1118" s="1713"/>
      <c r="B1118" s="2947" t="s">
        <v>286</v>
      </c>
      <c r="C1118" s="2947"/>
      <c r="D1118" s="2947"/>
      <c r="E1118" s="2947"/>
      <c r="F1118" s="1713" t="s">
        <v>287</v>
      </c>
      <c r="G1118" s="1712"/>
      <c r="H1118" s="1714"/>
      <c r="I1118" s="1714"/>
      <c r="J1118" s="1714"/>
    </row>
    <row r="1119" spans="1:10">
      <c r="A1119" s="1713"/>
      <c r="B1119" s="1715" t="s">
        <v>36</v>
      </c>
      <c r="C1119" s="1713" t="s">
        <v>37</v>
      </c>
      <c r="D1119" s="1712"/>
      <c r="E1119" s="1712"/>
      <c r="F1119" s="1712"/>
      <c r="G1119" s="1712"/>
      <c r="H1119" s="1714"/>
      <c r="I1119" s="1714"/>
      <c r="J1119" s="1714"/>
    </row>
    <row r="1120" spans="1:10">
      <c r="A1120" s="1713"/>
      <c r="B1120" s="1734">
        <v>0.01</v>
      </c>
      <c r="C1120" s="1688" t="s">
        <v>38</v>
      </c>
      <c r="D1120" s="1712"/>
      <c r="E1120" s="1683" t="s">
        <v>14</v>
      </c>
      <c r="F1120" s="1712"/>
      <c r="G1120" s="1712"/>
      <c r="H1120" s="1701">
        <f>'SSR-rates'!$H$113</f>
        <v>625</v>
      </c>
      <c r="I1120" s="1716" t="s">
        <v>38</v>
      </c>
      <c r="J1120" s="1701">
        <f>ROUND(B1120*H1120,2)</f>
        <v>6.25</v>
      </c>
    </row>
    <row r="1121" spans="1:10">
      <c r="A1121" s="1713"/>
      <c r="B1121" s="1701">
        <v>0.25</v>
      </c>
      <c r="C1121" s="1688" t="s">
        <v>38</v>
      </c>
      <c r="D1121" s="1683"/>
      <c r="E1121" s="1683" t="s">
        <v>288</v>
      </c>
      <c r="F1121" s="1683"/>
      <c r="G1121" s="1683"/>
      <c r="H1121" s="1701">
        <f>'SSR-rates'!$H$58</f>
        <v>490</v>
      </c>
      <c r="I1121" s="1716" t="s">
        <v>38</v>
      </c>
      <c r="J1121" s="1701">
        <f>ROUND(B1121*H1121,2)</f>
        <v>122.5</v>
      </c>
    </row>
    <row r="1122" spans="1:10">
      <c r="A1122" s="1713"/>
      <c r="B1122" s="1701">
        <v>0.25</v>
      </c>
      <c r="C1122" s="1688" t="s">
        <v>38</v>
      </c>
      <c r="D1122" s="1683"/>
      <c r="E1122" s="1683" t="s">
        <v>124</v>
      </c>
      <c r="F1122" s="1683"/>
      <c r="G1122" s="1683"/>
      <c r="H1122" s="1701">
        <f>'SSR-rates'!$H$60</f>
        <v>490</v>
      </c>
      <c r="I1122" s="1716" t="s">
        <v>38</v>
      </c>
      <c r="J1122" s="1701">
        <f>ROUND(B1122*H1122,2)</f>
        <v>122.5</v>
      </c>
    </row>
    <row r="1123" spans="1:10" ht="15.75" customHeight="1">
      <c r="A1123" s="1713"/>
      <c r="B1123" s="1702">
        <f>'Input Data'!$D$23</f>
        <v>0</v>
      </c>
      <c r="C1123" s="1688"/>
      <c r="D1123" s="1684" t="s">
        <v>17</v>
      </c>
      <c r="F1123" s="1683"/>
      <c r="G1123" s="1683"/>
      <c r="H1123" s="1701">
        <f>SUM(J1121:J1122)</f>
        <v>245</v>
      </c>
      <c r="I1123" s="1716"/>
      <c r="J1123" s="1701">
        <f>B1123*H1123</f>
        <v>0</v>
      </c>
    </row>
    <row r="1124" spans="1:10">
      <c r="A1124" s="1713"/>
      <c r="B1124" s="1701"/>
      <c r="C1124" s="1688"/>
      <c r="D1124" s="1683"/>
      <c r="E1124" s="1683"/>
      <c r="F1124" s="1683"/>
      <c r="G1124" s="1683"/>
      <c r="H1124" s="1701"/>
      <c r="I1124" s="1716"/>
      <c r="J1124" s="1701">
        <f>SUM(J1120:J1123)</f>
        <v>251.25</v>
      </c>
    </row>
    <row r="1125" spans="1:10">
      <c r="A1125" s="1713"/>
      <c r="B1125" s="1715" t="s">
        <v>39</v>
      </c>
      <c r="C1125" s="1713" t="s">
        <v>61</v>
      </c>
      <c r="F1125" s="1683"/>
      <c r="G1125" s="1683"/>
      <c r="H1125" s="1683"/>
      <c r="I1125" s="1683"/>
      <c r="J1125" s="1684"/>
    </row>
    <row r="1126" spans="1:10" ht="38.25" customHeight="1">
      <c r="A1126" s="1713"/>
      <c r="B1126" s="1719">
        <v>5</v>
      </c>
      <c r="C1126" s="1718" t="s">
        <v>289</v>
      </c>
      <c r="D1126" s="2951" t="s">
        <v>290</v>
      </c>
      <c r="E1126" s="2951"/>
      <c r="F1126" s="2951"/>
      <c r="G1126" s="2951"/>
      <c r="H1126" s="1819">
        <v>193</v>
      </c>
      <c r="I1126" s="1719" t="s">
        <v>31</v>
      </c>
      <c r="J1126" s="1719">
        <f>ROUND(B1126*H1126,2)</f>
        <v>965</v>
      </c>
    </row>
    <row r="1127" spans="1:10">
      <c r="A1127" s="1713"/>
      <c r="B1127" s="1719"/>
      <c r="C1127" s="1718"/>
      <c r="D1127" s="1720"/>
      <c r="E1127" s="1720"/>
      <c r="F1127" s="1720"/>
      <c r="G1127" s="1720"/>
      <c r="H1127" s="1719"/>
      <c r="I1127" s="1719"/>
      <c r="J1127" s="1719">
        <f>SUM(J1126:J1126)</f>
        <v>965</v>
      </c>
    </row>
    <row r="1128" spans="1:10">
      <c r="A1128" s="1713"/>
      <c r="B1128" s="1701"/>
      <c r="C1128" s="1688"/>
      <c r="D1128" s="1683"/>
      <c r="F1128" s="1683"/>
      <c r="G1128" s="1683"/>
      <c r="H1128" s="1701"/>
      <c r="I1128" s="1701"/>
      <c r="J1128" s="1684"/>
    </row>
    <row r="1129" spans="1:10">
      <c r="B1129" s="1706">
        <f>'Input Data'!$D$25</f>
        <v>0</v>
      </c>
      <c r="C1129" s="1683" t="str">
        <f>"Over head charges "&amp;'Input Data'!$D$25*100&amp;"%  on (A) + (B)"</f>
        <v>Over head charges 0%  on (A) + (B)</v>
      </c>
      <c r="H1129" s="1687">
        <f>J1127+J1124</f>
        <v>1216.25</v>
      </c>
      <c r="J1129" s="1701">
        <f>H1129*B1129</f>
        <v>0</v>
      </c>
    </row>
    <row r="1130" spans="1:10">
      <c r="A1130" s="1713"/>
      <c r="B1130" s="1715" t="s">
        <v>45</v>
      </c>
      <c r="C1130" s="1683" t="s">
        <v>46</v>
      </c>
      <c r="F1130" s="1683"/>
      <c r="G1130" s="1683"/>
      <c r="H1130" s="1683"/>
      <c r="I1130" s="1683"/>
      <c r="J1130" s="1741">
        <f>J1124+J1127+J1129</f>
        <v>1216.25</v>
      </c>
    </row>
    <row r="1131" spans="1:10">
      <c r="A1131" s="1713"/>
      <c r="B1131" s="1715" t="s">
        <v>47</v>
      </c>
      <c r="C1131" s="1683" t="s">
        <v>48</v>
      </c>
      <c r="D1131" s="1683"/>
      <c r="F1131" s="1683"/>
      <c r="G1131" s="1683"/>
      <c r="H1131" s="1683"/>
      <c r="I1131" s="1683"/>
      <c r="J1131" s="1741">
        <f>J1130*10/100</f>
        <v>121.625</v>
      </c>
    </row>
    <row r="1132" spans="1:10">
      <c r="A1132" s="1713"/>
      <c r="B1132" s="1683"/>
      <c r="C1132" s="1683" t="s">
        <v>126</v>
      </c>
      <c r="D1132" s="1683"/>
      <c r="F1132" s="1683"/>
      <c r="G1132" s="1683"/>
      <c r="H1132" s="1683"/>
      <c r="I1132" s="1683"/>
      <c r="J1132" s="1741">
        <f>SUM(J1130:J1131)</f>
        <v>1337.875</v>
      </c>
    </row>
    <row r="1133" spans="1:10">
      <c r="A1133" s="1713"/>
      <c r="B1133" s="1683"/>
      <c r="C1133" s="1683" t="s">
        <v>127</v>
      </c>
      <c r="D1133" s="1683"/>
      <c r="F1133" s="1683"/>
      <c r="G1133" s="1683"/>
      <c r="H1133" s="1683"/>
      <c r="I1133" s="1683"/>
      <c r="J1133" s="1701">
        <f>J1132/10</f>
        <v>133.78749999999999</v>
      </c>
    </row>
    <row r="1134" spans="1:10">
      <c r="A1134" s="1713"/>
      <c r="B1134" s="1701"/>
      <c r="C1134" s="1688"/>
      <c r="D1134" s="2959" t="s">
        <v>128</v>
      </c>
      <c r="E1134" s="2960"/>
      <c r="F1134" s="1687"/>
      <c r="G1134" s="1687"/>
      <c r="H1134" s="1705"/>
      <c r="I1134" s="1687"/>
      <c r="J1134" s="1742">
        <f>ROUND(J1133,0)</f>
        <v>134</v>
      </c>
    </row>
    <row r="1135" spans="1:10">
      <c r="A1135" s="1713"/>
      <c r="B1135" s="1701"/>
      <c r="C1135" s="1688"/>
      <c r="D1135" s="1760"/>
      <c r="F1135" s="1687"/>
      <c r="G1135" s="1687"/>
      <c r="H1135" s="1705"/>
      <c r="I1135" s="1687"/>
      <c r="J1135" s="1741" t="s">
        <v>129</v>
      </c>
    </row>
    <row r="1136" spans="1:10">
      <c r="D1136" s="1687"/>
      <c r="H1136" s="1701"/>
      <c r="I1136" s="1701"/>
      <c r="J1136" s="1741"/>
    </row>
    <row r="1137" spans="1:10">
      <c r="D1137" s="1687"/>
      <c r="H1137" s="1701"/>
      <c r="I1137" s="1701"/>
      <c r="J1137" s="1741"/>
    </row>
    <row r="1138" spans="1:10">
      <c r="D1138" s="1687"/>
      <c r="H1138" s="1701"/>
      <c r="I1138" s="1701"/>
      <c r="J1138" s="1741"/>
    </row>
    <row r="1139" spans="1:10" ht="123.75" customHeight="1">
      <c r="A1139" s="1710">
        <v>5</v>
      </c>
      <c r="B1139" s="2946" t="s">
        <v>291</v>
      </c>
      <c r="C1139" s="2946"/>
      <c r="D1139" s="2946"/>
      <c r="E1139" s="2946"/>
      <c r="F1139" s="2946"/>
      <c r="G1139" s="2946"/>
      <c r="H1139" s="2946"/>
      <c r="I1139" s="2946"/>
      <c r="J1139" s="2946"/>
    </row>
    <row r="1140" spans="1:10">
      <c r="D1140" s="1687" t="s">
        <v>10</v>
      </c>
      <c r="F1140" s="1713" t="s">
        <v>292</v>
      </c>
      <c r="J1140" s="1684"/>
    </row>
    <row r="1141" spans="1:10">
      <c r="D1141" s="1687" t="s">
        <v>56</v>
      </c>
      <c r="J1141" s="1684"/>
    </row>
    <row r="1142" spans="1:10">
      <c r="B1142" s="1715" t="s">
        <v>36</v>
      </c>
      <c r="C1142" s="1722" t="s">
        <v>37</v>
      </c>
      <c r="J1142" s="1684"/>
    </row>
    <row r="1143" spans="1:10">
      <c r="B1143" s="1705">
        <v>0.86</v>
      </c>
      <c r="C1143" s="1683" t="s">
        <v>57</v>
      </c>
      <c r="D1143" s="1687" t="s">
        <v>14</v>
      </c>
      <c r="H1143" s="1701">
        <f>'SSR-rates'!$H$58</f>
        <v>490</v>
      </c>
      <c r="I1143" s="1716" t="s">
        <v>38</v>
      </c>
      <c r="J1143" s="1705">
        <f>ROUND(B1143*H1143,2)</f>
        <v>421.4</v>
      </c>
    </row>
    <row r="1144" spans="1:10">
      <c r="B1144" s="1705">
        <v>1.5</v>
      </c>
      <c r="C1144" s="1683" t="s">
        <v>57</v>
      </c>
      <c r="D1144" s="1687" t="s">
        <v>58</v>
      </c>
      <c r="H1144" s="1701">
        <f>'SSR-rates'!$H$59</f>
        <v>524</v>
      </c>
      <c r="I1144" s="1716" t="s">
        <v>38</v>
      </c>
      <c r="J1144" s="1705">
        <f>ROUND(B1144*H1144,2)</f>
        <v>786</v>
      </c>
    </row>
    <row r="1145" spans="1:10">
      <c r="B1145" s="1705">
        <v>20</v>
      </c>
      <c r="C1145" s="1683" t="s">
        <v>57</v>
      </c>
      <c r="D1145" s="1687" t="s">
        <v>59</v>
      </c>
      <c r="H1145" s="1701">
        <f>'SSR-rates'!$H$60</f>
        <v>490</v>
      </c>
      <c r="I1145" s="1716" t="s">
        <v>38</v>
      </c>
      <c r="J1145" s="1705">
        <f>ROUND(B1145*H1145,2)</f>
        <v>9800</v>
      </c>
    </row>
    <row r="1146" spans="1:10">
      <c r="A1146" s="1713"/>
      <c r="B1146" s="1702">
        <f>'Input Data'!$D$23</f>
        <v>0</v>
      </c>
      <c r="C1146" s="1688"/>
      <c r="D1146" s="1684" t="s">
        <v>17</v>
      </c>
      <c r="F1146" s="1683"/>
      <c r="G1146" s="1683"/>
      <c r="H1146" s="1701">
        <f>SUM(J1144:J1145)</f>
        <v>10586</v>
      </c>
      <c r="I1146" s="1716"/>
      <c r="J1146" s="1701">
        <f>B1146*H1146</f>
        <v>0</v>
      </c>
    </row>
    <row r="1147" spans="1:10">
      <c r="B1147" s="1705"/>
      <c r="C1147" s="1683"/>
      <c r="D1147" s="1687" t="s">
        <v>60</v>
      </c>
      <c r="H1147" s="1701"/>
      <c r="I1147" s="1701"/>
      <c r="J1147" s="1705">
        <f>SUM(J1143:J1146)</f>
        <v>11007.4</v>
      </c>
    </row>
    <row r="1148" spans="1:10">
      <c r="B1148" s="1715" t="s">
        <v>39</v>
      </c>
      <c r="C1148" s="1722" t="s">
        <v>61</v>
      </c>
      <c r="H1148" s="1701"/>
      <c r="I1148" s="1701"/>
      <c r="J1148" s="1701"/>
    </row>
    <row r="1149" spans="1:10">
      <c r="B1149" s="1705">
        <v>8.1</v>
      </c>
      <c r="C1149" s="1683" t="s">
        <v>31</v>
      </c>
      <c r="D1149" s="1684" t="s">
        <v>63</v>
      </c>
      <c r="H1149" s="1701">
        <f>lead!J16</f>
        <v>2031.2187651278443</v>
      </c>
      <c r="I1149" s="1701" t="s">
        <v>31</v>
      </c>
      <c r="J1149" s="1701">
        <f>ROUND(B1149*H1149,2)</f>
        <v>16452.87</v>
      </c>
    </row>
    <row r="1150" spans="1:10">
      <c r="B1150" s="1705">
        <v>5.4</v>
      </c>
      <c r="C1150" s="1683" t="s">
        <v>31</v>
      </c>
      <c r="D1150" s="1684" t="s">
        <v>64</v>
      </c>
      <c r="H1150" s="1701">
        <f>lead!J18</f>
        <v>1780.2187651278443</v>
      </c>
      <c r="I1150" s="1701" t="s">
        <v>31</v>
      </c>
      <c r="J1150" s="1701">
        <f>ROUND(B1150*H1150,2)</f>
        <v>9613.18</v>
      </c>
    </row>
    <row r="1151" spans="1:10">
      <c r="B1151" s="1705">
        <v>6.75</v>
      </c>
      <c r="C1151" s="1683" t="s">
        <v>31</v>
      </c>
      <c r="D1151" s="1687" t="s">
        <v>65</v>
      </c>
      <c r="H1151" s="1738">
        <f>lead!J12</f>
        <v>1684.4687651278443</v>
      </c>
      <c r="I1151" s="1701" t="s">
        <v>31</v>
      </c>
      <c r="J1151" s="1701">
        <f>ROUND(B1151*H1151,2)</f>
        <v>11370.16</v>
      </c>
    </row>
    <row r="1152" spans="1:10">
      <c r="B1152" s="1739">
        <v>5.12</v>
      </c>
      <c r="C1152" s="1683" t="s">
        <v>66</v>
      </c>
      <c r="D1152" s="1687" t="s">
        <v>67</v>
      </c>
      <c r="H1152" s="1701">
        <f>lead!J36</f>
        <v>5000</v>
      </c>
      <c r="I1152" s="1701" t="s">
        <v>66</v>
      </c>
      <c r="J1152" s="1701">
        <f>ROUND(B1152*H1152,2)</f>
        <v>25600</v>
      </c>
    </row>
    <row r="1153" spans="1:10">
      <c r="B1153" s="1687"/>
      <c r="D1153" s="1687" t="s">
        <v>60</v>
      </c>
      <c r="H1153" s="1701"/>
      <c r="I1153" s="1701"/>
      <c r="J1153" s="1701">
        <f>SUM(J1149:J1152)</f>
        <v>63036.21</v>
      </c>
    </row>
    <row r="1154" spans="1:10">
      <c r="B1154" s="1715" t="s">
        <v>27</v>
      </c>
      <c r="C1154" s="1722" t="s">
        <v>40</v>
      </c>
      <c r="H1154" s="1701"/>
      <c r="I1154" s="1701"/>
      <c r="J1154" s="1701"/>
    </row>
    <row r="1155" spans="1:10">
      <c r="B1155" s="1705">
        <v>6</v>
      </c>
      <c r="C1155" s="1683" t="s">
        <v>41</v>
      </c>
      <c r="D1155" s="1687" t="s">
        <v>68</v>
      </c>
      <c r="H1155" s="1701">
        <f>'SSR-rates'!H88</f>
        <v>627.6</v>
      </c>
      <c r="I1155" s="1701" t="s">
        <v>41</v>
      </c>
      <c r="J1155" s="1701">
        <f>ROUND(B1155*H1155,2)</f>
        <v>3765.6</v>
      </c>
    </row>
    <row r="1156" spans="1:10">
      <c r="B1156" s="1705">
        <v>6</v>
      </c>
      <c r="C1156" s="1683" t="s">
        <v>41</v>
      </c>
      <c r="D1156" s="1687" t="s">
        <v>69</v>
      </c>
      <c r="H1156" s="1701">
        <f>'SSR-rates'!H87</f>
        <v>1237.4000000000001</v>
      </c>
      <c r="I1156" s="1701" t="s">
        <v>41</v>
      </c>
      <c r="J1156" s="1701">
        <f>ROUND(B1156*H1156,2)</f>
        <v>7424.4</v>
      </c>
    </row>
    <row r="1157" spans="1:10">
      <c r="B1157" s="1705"/>
      <c r="C1157" s="1688"/>
      <c r="D1157" s="1687" t="s">
        <v>60</v>
      </c>
      <c r="H1157" s="1701"/>
      <c r="I1157" s="1701"/>
      <c r="J1157" s="1701">
        <f>SUM(J1155:J1156)</f>
        <v>11190</v>
      </c>
    </row>
    <row r="1158" spans="1:10">
      <c r="B1158" s="1715" t="s">
        <v>45</v>
      </c>
      <c r="C1158" s="1722" t="s">
        <v>71</v>
      </c>
      <c r="H1158" s="1701"/>
      <c r="I1158" s="1701"/>
      <c r="J1158" s="1701"/>
    </row>
    <row r="1159" spans="1:10">
      <c r="B1159" s="1687">
        <v>10</v>
      </c>
      <c r="C1159" s="1683" t="s">
        <v>29</v>
      </c>
      <c r="D1159" s="1684" t="s">
        <v>72</v>
      </c>
      <c r="H1159" s="1701">
        <f>J1147+J1153+J1157</f>
        <v>85233.61</v>
      </c>
      <c r="I1159" s="1716" t="s">
        <v>73</v>
      </c>
      <c r="J1159" s="1701">
        <f>ROUND(B1159*H1159/100,2)</f>
        <v>8523.36</v>
      </c>
    </row>
    <row r="1160" spans="1:10">
      <c r="A1160" s="1713"/>
      <c r="B1160" s="1715" t="s">
        <v>47</v>
      </c>
      <c r="C1160" s="1713" t="s">
        <v>97</v>
      </c>
      <c r="F1160" s="1683"/>
      <c r="G1160" s="1683"/>
      <c r="H1160" s="1683"/>
      <c r="I1160" s="1683"/>
      <c r="J1160" s="1741"/>
    </row>
    <row r="1161" spans="1:10">
      <c r="A1161" s="1713"/>
      <c r="B1161" s="1706">
        <f>'Input Data'!$D$25</f>
        <v>0</v>
      </c>
      <c r="C1161" s="2952" t="s">
        <v>293</v>
      </c>
      <c r="D1161" s="2953"/>
      <c r="E1161" s="2953"/>
      <c r="F1161" s="2953"/>
      <c r="G1161" s="2954"/>
      <c r="H1161" s="1688">
        <f>J1159+J1157+J1153+J1147</f>
        <v>93756.97</v>
      </c>
      <c r="I1161" s="1683"/>
      <c r="J1161" s="1701">
        <f>H1161*B1161</f>
        <v>0</v>
      </c>
    </row>
    <row r="1162" spans="1:10">
      <c r="A1162" s="1713"/>
      <c r="B1162" s="1715" t="s">
        <v>76</v>
      </c>
      <c r="C1162" s="1713" t="s">
        <v>77</v>
      </c>
      <c r="F1162" s="1683"/>
      <c r="G1162" s="1683"/>
      <c r="H1162" s="1683"/>
      <c r="I1162" s="1683"/>
      <c r="J1162" s="1741">
        <f>J1147+J1153+J1157+J1159+J1161</f>
        <v>93756.97</v>
      </c>
    </row>
    <row r="1163" spans="1:10">
      <c r="A1163" s="1713"/>
      <c r="B1163" s="1715" t="s">
        <v>78</v>
      </c>
      <c r="C1163" s="1713" t="s">
        <v>79</v>
      </c>
      <c r="F1163" s="1683"/>
      <c r="G1163" s="1683"/>
      <c r="H1163" s="1683"/>
      <c r="I1163" s="1683"/>
      <c r="J1163" s="1741">
        <f>J1162*10/100</f>
        <v>9375.6970000000001</v>
      </c>
    </row>
    <row r="1164" spans="1:10">
      <c r="B1164" s="1705"/>
      <c r="C1164" s="1683"/>
      <c r="D1164" s="1722" t="s">
        <v>80</v>
      </c>
      <c r="H1164" s="1701"/>
      <c r="I1164" s="1701"/>
      <c r="J1164" s="1741">
        <f>SUM(J1162:J1163)</f>
        <v>103132.667</v>
      </c>
    </row>
    <row r="1165" spans="1:10">
      <c r="B1165" s="1705"/>
      <c r="C1165" s="1683"/>
      <c r="D1165" s="1687" t="s">
        <v>81</v>
      </c>
      <c r="H1165" s="1701"/>
      <c r="I1165" s="1701"/>
      <c r="J1165" s="1701">
        <f>ROUND(J1164/15,2)</f>
        <v>6875.51</v>
      </c>
    </row>
    <row r="1166" spans="1:10">
      <c r="D1166" s="1687" t="s">
        <v>52</v>
      </c>
      <c r="H1166" s="1701"/>
      <c r="I1166" s="1701"/>
      <c r="J1166" s="1742">
        <f>ROUND(J1165,0)</f>
        <v>6876</v>
      </c>
    </row>
    <row r="1167" spans="1:10">
      <c r="D1167" s="1687"/>
      <c r="H1167" s="1701"/>
      <c r="I1167" s="1701"/>
      <c r="J1167" s="1741" t="s">
        <v>53</v>
      </c>
    </row>
    <row r="1170" spans="1:10" ht="125.25" customHeight="1">
      <c r="A1170" s="1759">
        <v>6.07</v>
      </c>
      <c r="B1170" s="2946" t="s">
        <v>294</v>
      </c>
      <c r="C1170" s="2946"/>
      <c r="D1170" s="2946"/>
      <c r="E1170" s="2946"/>
      <c r="F1170" s="2946"/>
      <c r="G1170" s="2946"/>
      <c r="H1170" s="2946"/>
      <c r="I1170" s="2946"/>
      <c r="J1170" s="2946"/>
    </row>
    <row r="1171" spans="1:10">
      <c r="D1171" s="1687" t="s">
        <v>10</v>
      </c>
      <c r="F1171" s="1713" t="s">
        <v>280</v>
      </c>
      <c r="J1171" s="1684"/>
    </row>
    <row r="1172" spans="1:10">
      <c r="D1172" s="1687" t="s">
        <v>56</v>
      </c>
      <c r="J1172" s="1684"/>
    </row>
    <row r="1173" spans="1:10">
      <c r="B1173" s="1715" t="s">
        <v>36</v>
      </c>
      <c r="C1173" s="1722" t="s">
        <v>37</v>
      </c>
      <c r="J1173" s="1684"/>
    </row>
    <row r="1174" spans="1:10">
      <c r="B1174" s="1705">
        <v>0.84</v>
      </c>
      <c r="C1174" s="1683" t="s">
        <v>57</v>
      </c>
      <c r="D1174" s="1687" t="s">
        <v>156</v>
      </c>
      <c r="H1174" s="1701">
        <f>'SSR-rates'!H$58</f>
        <v>490</v>
      </c>
      <c r="I1174" s="1716" t="s">
        <v>38</v>
      </c>
      <c r="J1174" s="1705">
        <f>ROUND(B1174*H1174,2)</f>
        <v>411.6</v>
      </c>
    </row>
    <row r="1175" spans="1:10">
      <c r="B1175" s="1705">
        <v>3</v>
      </c>
      <c r="C1175" s="1683" t="s">
        <v>57</v>
      </c>
      <c r="D1175" s="1687" t="s">
        <v>58</v>
      </c>
      <c r="H1175" s="1701">
        <f>'SSR-rates'!H$58</f>
        <v>490</v>
      </c>
      <c r="I1175" s="1716" t="s">
        <v>38</v>
      </c>
      <c r="J1175" s="1705">
        <f>ROUND(B1175*H1175,2)</f>
        <v>1470</v>
      </c>
    </row>
    <row r="1176" spans="1:10">
      <c r="B1176" s="1705">
        <v>18</v>
      </c>
      <c r="C1176" s="1683" t="s">
        <v>57</v>
      </c>
      <c r="D1176" s="1687" t="s">
        <v>59</v>
      </c>
      <c r="H1176" s="1701">
        <f>'SSR-rates'!H$60</f>
        <v>490</v>
      </c>
      <c r="I1176" s="1716" t="s">
        <v>38</v>
      </c>
      <c r="J1176" s="1705">
        <f>ROUND(B1176*H1176,2)</f>
        <v>8820</v>
      </c>
    </row>
    <row r="1177" spans="1:10">
      <c r="A1177" s="1713"/>
      <c r="B1177" s="1702">
        <f>'Input Data'!$D$23</f>
        <v>0</v>
      </c>
      <c r="C1177" s="1688"/>
      <c r="D1177" s="1684" t="s">
        <v>17</v>
      </c>
      <c r="F1177" s="1683"/>
      <c r="G1177" s="1683"/>
      <c r="H1177" s="1701">
        <f>SUM(J1174:J1176)</f>
        <v>10701.6</v>
      </c>
      <c r="I1177" s="1716"/>
      <c r="J1177" s="1701">
        <f>B1177*H1177</f>
        <v>0</v>
      </c>
    </row>
    <row r="1178" spans="1:10">
      <c r="B1178" s="1705"/>
      <c r="C1178" s="1683"/>
      <c r="D1178" s="1687" t="s">
        <v>60</v>
      </c>
      <c r="H1178" s="1701"/>
      <c r="I1178" s="1701"/>
      <c r="J1178" s="1705">
        <f>SUM(J1174:J1177)</f>
        <v>10701.6</v>
      </c>
    </row>
    <row r="1179" spans="1:10">
      <c r="B1179" s="1715" t="s">
        <v>39</v>
      </c>
      <c r="C1179" s="1722" t="s">
        <v>61</v>
      </c>
      <c r="H1179" s="1701"/>
      <c r="I1179" s="1701"/>
      <c r="J1179" s="1701"/>
    </row>
    <row r="1180" spans="1:10">
      <c r="B1180" s="1705">
        <v>8.1</v>
      </c>
      <c r="C1180" s="1683" t="s">
        <v>31</v>
      </c>
      <c r="D1180" s="1684" t="s">
        <v>63</v>
      </c>
      <c r="H1180" s="1701">
        <f>lead!J$16</f>
        <v>2031.2187651278443</v>
      </c>
      <c r="I1180" s="1701" t="s">
        <v>31</v>
      </c>
      <c r="J1180" s="1701">
        <f>ROUND(B1180*H1180,2)</f>
        <v>16452.87</v>
      </c>
    </row>
    <row r="1181" spans="1:10">
      <c r="B1181" s="1705">
        <v>5.4</v>
      </c>
      <c r="C1181" s="1683" t="s">
        <v>31</v>
      </c>
      <c r="D1181" s="1684" t="s">
        <v>64</v>
      </c>
      <c r="H1181" s="1701">
        <f>lead!J$18</f>
        <v>1780.2187651278443</v>
      </c>
      <c r="I1181" s="1701" t="s">
        <v>31</v>
      </c>
      <c r="J1181" s="1701">
        <f>ROUND(B1181*H1181,2)</f>
        <v>9613.18</v>
      </c>
    </row>
    <row r="1182" spans="1:10">
      <c r="B1182" s="1705">
        <v>6.75</v>
      </c>
      <c r="C1182" s="1683" t="s">
        <v>31</v>
      </c>
      <c r="D1182" s="1687" t="s">
        <v>65</v>
      </c>
      <c r="H1182" s="1701">
        <f>lead!J12</f>
        <v>1684.4687651278443</v>
      </c>
      <c r="I1182" s="1701" t="s">
        <v>31</v>
      </c>
      <c r="J1182" s="1701">
        <f>ROUND(B1182*H1182,2)</f>
        <v>11370.16</v>
      </c>
    </row>
    <row r="1183" spans="1:10">
      <c r="B1183" s="1766">
        <v>6.05</v>
      </c>
      <c r="C1183" s="1683" t="s">
        <v>66</v>
      </c>
      <c r="D1183" s="1687" t="s">
        <v>67</v>
      </c>
      <c r="H1183" s="1701">
        <f>lead!J$36</f>
        <v>5000</v>
      </c>
      <c r="I1183" s="1701" t="s">
        <v>66</v>
      </c>
      <c r="J1183" s="1701">
        <f>ROUND(B1183*H1183,2)</f>
        <v>30250</v>
      </c>
    </row>
    <row r="1184" spans="1:10">
      <c r="B1184" s="1687"/>
      <c r="D1184" s="1687" t="s">
        <v>60</v>
      </c>
      <c r="H1184" s="1701"/>
      <c r="I1184" s="1701"/>
      <c r="J1184" s="1701">
        <f>SUM(J1180:J1183)</f>
        <v>67686.209999999992</v>
      </c>
    </row>
    <row r="1185" spans="1:10">
      <c r="B1185" s="1715" t="s">
        <v>27</v>
      </c>
      <c r="C1185" s="1722" t="s">
        <v>40</v>
      </c>
      <c r="H1185" s="1701"/>
      <c r="I1185" s="1701"/>
      <c r="J1185" s="1701"/>
    </row>
    <row r="1186" spans="1:10">
      <c r="B1186" s="1705">
        <v>6</v>
      </c>
      <c r="C1186" s="1683" t="s">
        <v>41</v>
      </c>
      <c r="D1186" s="1684" t="s">
        <v>68</v>
      </c>
      <c r="H1186" s="1701">
        <f>'SSR-rates'!$H$88</f>
        <v>627.6</v>
      </c>
      <c r="I1186" s="1701" t="s">
        <v>41</v>
      </c>
      <c r="J1186" s="1701">
        <f>ROUND(B1186*H1186,2)</f>
        <v>3765.6</v>
      </c>
    </row>
    <row r="1187" spans="1:10">
      <c r="B1187" s="1705">
        <v>6</v>
      </c>
      <c r="C1187" s="1683" t="s">
        <v>41</v>
      </c>
      <c r="D1187" s="1684" t="s">
        <v>224</v>
      </c>
      <c r="H1187" s="1701">
        <f>'SSR-rates'!$H$87</f>
        <v>1237.4000000000001</v>
      </c>
      <c r="I1187" s="1701" t="s">
        <v>41</v>
      </c>
      <c r="J1187" s="1701">
        <f>ROUND(B1187*H1187,2)</f>
        <v>7424.4</v>
      </c>
    </row>
    <row r="1188" spans="1:10">
      <c r="B1188" s="1705"/>
      <c r="C1188" s="1688"/>
      <c r="D1188" s="1687" t="s">
        <v>60</v>
      </c>
      <c r="H1188" s="1701"/>
      <c r="I1188" s="1701"/>
      <c r="J1188" s="1701">
        <f>SUM(J1186:J1187)</f>
        <v>11190</v>
      </c>
    </row>
    <row r="1189" spans="1:10">
      <c r="B1189" s="1715" t="s">
        <v>45</v>
      </c>
      <c r="C1189" s="1722" t="s">
        <v>71</v>
      </c>
      <c r="H1189" s="1701"/>
      <c r="I1189" s="1701"/>
      <c r="J1189" s="1701"/>
    </row>
    <row r="1190" spans="1:10">
      <c r="B1190" s="1687">
        <v>2</v>
      </c>
      <c r="C1190" s="1683" t="s">
        <v>29</v>
      </c>
      <c r="D1190" s="1684" t="s">
        <v>181</v>
      </c>
      <c r="H1190" s="1701">
        <f>J1178+J1184+J1188</f>
        <v>89577.81</v>
      </c>
      <c r="I1190" s="1716" t="s">
        <v>73</v>
      </c>
      <c r="J1190" s="1701">
        <f>ROUND(B1190*H1190/100,2)</f>
        <v>1791.56</v>
      </c>
    </row>
    <row r="1191" spans="1:10">
      <c r="A1191" s="1713"/>
      <c r="B1191" s="1715" t="s">
        <v>47</v>
      </c>
      <c r="C1191" s="1713" t="s">
        <v>97</v>
      </c>
      <c r="F1191" s="1683"/>
      <c r="G1191" s="1683"/>
      <c r="H1191" s="1683"/>
      <c r="I1191" s="1683"/>
      <c r="J1191" s="1741"/>
    </row>
    <row r="1192" spans="1:10" ht="27" customHeight="1">
      <c r="A1192" s="1713"/>
      <c r="B1192" s="1706">
        <f>'Input Data'!$D$25</f>
        <v>0</v>
      </c>
      <c r="C1192" s="2955" t="str">
        <f>"Over head charges "&amp;'Input Data'!$D$25*100&amp;"%  on (A) + (B)+(C)+(D)"</f>
        <v>Over head charges 0%  on (A) + (B)+(C)+(D)</v>
      </c>
      <c r="D1192" s="2956"/>
      <c r="E1192" s="2956"/>
      <c r="F1192" s="2956"/>
      <c r="G1192" s="2957"/>
      <c r="H1192" s="1688">
        <f>J1190+J1188+J1184+J1178</f>
        <v>91369.37</v>
      </c>
      <c r="I1192" s="1683"/>
      <c r="J1192" s="1701">
        <f>H1192*B1192</f>
        <v>0</v>
      </c>
    </row>
    <row r="1193" spans="1:10">
      <c r="A1193" s="1713"/>
      <c r="B1193" s="1715" t="s">
        <v>76</v>
      </c>
      <c r="C1193" s="1713" t="s">
        <v>77</v>
      </c>
      <c r="F1193" s="1683"/>
      <c r="G1193" s="1683"/>
      <c r="H1193" s="1683"/>
      <c r="I1193" s="1683"/>
      <c r="J1193" s="1741">
        <f>J1178+J1184+J1188+J1190+J1192</f>
        <v>91369.37</v>
      </c>
    </row>
    <row r="1194" spans="1:10">
      <c r="A1194" s="1713"/>
      <c r="B1194" s="1715" t="s">
        <v>78</v>
      </c>
      <c r="C1194" s="1713" t="s">
        <v>79</v>
      </c>
      <c r="F1194" s="1683"/>
      <c r="G1194" s="1683"/>
      <c r="H1194" s="1683"/>
      <c r="I1194" s="1683"/>
      <c r="J1194" s="1741">
        <f>J1193*10/100</f>
        <v>9136.9369999999999</v>
      </c>
    </row>
    <row r="1195" spans="1:10">
      <c r="B1195" s="1705"/>
      <c r="C1195" s="1683"/>
      <c r="D1195" s="1722" t="s">
        <v>80</v>
      </c>
      <c r="H1195" s="1701"/>
      <c r="I1195" s="1701"/>
      <c r="J1195" s="1741">
        <f>SUM(J1193:J1194)</f>
        <v>100506.307</v>
      </c>
    </row>
    <row r="1196" spans="1:10">
      <c r="B1196" s="1705"/>
      <c r="C1196" s="1683"/>
      <c r="D1196" s="1687" t="s">
        <v>81</v>
      </c>
      <c r="H1196" s="1701"/>
      <c r="I1196" s="1701"/>
      <c r="J1196" s="1701">
        <f>ROUND(J1195/15,2)</f>
        <v>6700.42</v>
      </c>
    </row>
    <row r="1197" spans="1:10">
      <c r="D1197" s="1687" t="s">
        <v>52</v>
      </c>
      <c r="H1197" s="1701"/>
      <c r="I1197" s="1701"/>
      <c r="J1197" s="1742">
        <f>ROUND(J1196,0)</f>
        <v>6700</v>
      </c>
    </row>
    <row r="1198" spans="1:10">
      <c r="D1198" s="1687"/>
      <c r="H1198" s="1701"/>
      <c r="I1198" s="1701"/>
      <c r="J1198" s="1741" t="s">
        <v>53</v>
      </c>
    </row>
    <row r="1201" spans="1:10" ht="74.25" customHeight="1">
      <c r="A1201" s="1710">
        <v>6.02</v>
      </c>
      <c r="B1201" s="2946" t="s">
        <v>113</v>
      </c>
      <c r="C1201" s="2946"/>
      <c r="D1201" s="2946"/>
      <c r="E1201" s="2946"/>
      <c r="F1201" s="2946"/>
      <c r="G1201" s="2946"/>
      <c r="H1201" s="2946"/>
      <c r="I1201" s="2946"/>
      <c r="J1201" s="2946"/>
    </row>
    <row r="1202" spans="1:10">
      <c r="D1202" s="1687" t="s">
        <v>10</v>
      </c>
      <c r="F1202" s="1713" t="s">
        <v>114</v>
      </c>
      <c r="J1202" s="1684"/>
    </row>
    <row r="1203" spans="1:10">
      <c r="D1203" s="1687" t="s">
        <v>115</v>
      </c>
      <c r="J1203" s="1684"/>
    </row>
    <row r="1204" spans="1:10">
      <c r="B1204" s="1715" t="s">
        <v>36</v>
      </c>
      <c r="C1204" s="1722" t="s">
        <v>37</v>
      </c>
      <c r="J1204" s="1684"/>
    </row>
    <row r="1205" spans="1:10">
      <c r="B1205" s="1705">
        <v>0.05</v>
      </c>
      <c r="C1205" s="1683" t="s">
        <v>57</v>
      </c>
      <c r="D1205" s="1687" t="s">
        <v>14</v>
      </c>
      <c r="H1205" s="1701">
        <f>'SSR-rates'!$H$58</f>
        <v>490</v>
      </c>
      <c r="I1205" s="1716" t="s">
        <v>38</v>
      </c>
      <c r="J1205" s="1701">
        <f>ROUND(B1205*H1205,2)</f>
        <v>24.5</v>
      </c>
    </row>
    <row r="1206" spans="1:10">
      <c r="B1206" s="1705">
        <v>0.25</v>
      </c>
      <c r="C1206" s="1683" t="s">
        <v>57</v>
      </c>
      <c r="D1206" s="1687" t="s">
        <v>295</v>
      </c>
      <c r="H1206" s="1701">
        <f>'SSR-rates'!$H$59</f>
        <v>524</v>
      </c>
      <c r="I1206" s="1716" t="s">
        <v>38</v>
      </c>
      <c r="J1206" s="1701">
        <f>ROUND(B1206*H1206,2)</f>
        <v>131</v>
      </c>
    </row>
    <row r="1207" spans="1:10">
      <c r="B1207" s="1705">
        <v>1</v>
      </c>
      <c r="C1207" s="1683" t="s">
        <v>57</v>
      </c>
      <c r="D1207" s="1687" t="s">
        <v>59</v>
      </c>
      <c r="H1207" s="1701">
        <f>'SSR-rates'!H$60</f>
        <v>490</v>
      </c>
      <c r="I1207" s="1716" t="s">
        <v>38</v>
      </c>
      <c r="J1207" s="1705">
        <f>ROUND(B1207*H1207,2)</f>
        <v>490</v>
      </c>
    </row>
    <row r="1208" spans="1:10">
      <c r="A1208" s="1713"/>
      <c r="B1208" s="1702">
        <f>'Input Data'!$D$23</f>
        <v>0</v>
      </c>
      <c r="C1208" s="1688"/>
      <c r="D1208" s="1684" t="s">
        <v>17</v>
      </c>
      <c r="F1208" s="1683"/>
      <c r="G1208" s="1683"/>
      <c r="H1208" s="1701">
        <f>SUM(J1205:J1207)</f>
        <v>645.5</v>
      </c>
      <c r="I1208" s="1716"/>
      <c r="J1208" s="1701">
        <f>B1208*H1208</f>
        <v>0</v>
      </c>
    </row>
    <row r="1209" spans="1:10" ht="13.5" customHeight="1">
      <c r="B1209" s="1687" t="s">
        <v>85</v>
      </c>
      <c r="D1209" s="1687" t="s">
        <v>60</v>
      </c>
      <c r="H1209" s="1701"/>
      <c r="I1209" s="1716"/>
      <c r="J1209" s="1701">
        <f>SUM(J1205:J1208)</f>
        <v>645.5</v>
      </c>
    </row>
    <row r="1210" spans="1:10" hidden="1">
      <c r="B1210" s="1687"/>
      <c r="D1210" s="1687"/>
      <c r="H1210" s="1701"/>
      <c r="I1210" s="1701"/>
      <c r="J1210" s="1701"/>
    </row>
    <row r="1211" spans="1:10">
      <c r="B1211" s="1715" t="s">
        <v>39</v>
      </c>
      <c r="C1211" s="1722" t="s">
        <v>61</v>
      </c>
      <c r="H1211" s="1701"/>
      <c r="I1211" s="1701"/>
      <c r="J1211" s="1701"/>
    </row>
    <row r="1212" spans="1:10">
      <c r="B1212" s="1705">
        <v>1.2</v>
      </c>
      <c r="C1212" s="1683" t="s">
        <v>31</v>
      </c>
      <c r="D1212" s="1687" t="s">
        <v>86</v>
      </c>
      <c r="H1212" s="1701">
        <f>lead!$J$34</f>
        <v>219.2847335299036</v>
      </c>
      <c r="I1212" s="1701" t="s">
        <v>31</v>
      </c>
      <c r="J1212" s="1701">
        <f>ROUND(B1212*H1212,2)</f>
        <v>263.14</v>
      </c>
    </row>
    <row r="1213" spans="1:10">
      <c r="B1213" s="1687"/>
      <c r="D1213" s="1687" t="s">
        <v>60</v>
      </c>
      <c r="H1213" s="1701"/>
      <c r="I1213" s="1701"/>
      <c r="J1213" s="1701">
        <f>SUM(J1212:J1212)</f>
        <v>263.14</v>
      </c>
    </row>
    <row r="1214" spans="1:10">
      <c r="B1214" s="1715" t="s">
        <v>87</v>
      </c>
      <c r="C1214" s="1722" t="s">
        <v>40</v>
      </c>
      <c r="H1214" s="1701"/>
      <c r="I1214" s="1701"/>
      <c r="J1214" s="1701"/>
    </row>
    <row r="1215" spans="1:10" ht="30" customHeight="1">
      <c r="B1215" s="1705">
        <v>2.5</v>
      </c>
      <c r="C1215" s="1683" t="s">
        <v>41</v>
      </c>
      <c r="D1215" s="2955" t="s">
        <v>88</v>
      </c>
      <c r="E1215" s="2956"/>
      <c r="F1215" s="2956"/>
      <c r="G1215" s="2957"/>
      <c r="H1215" s="1701" t="e">
        <f>'SSR-rates'!#REF!</f>
        <v>#REF!</v>
      </c>
      <c r="I1215" s="1701" t="s">
        <v>41</v>
      </c>
      <c r="J1215" s="1701" t="e">
        <f>ROUND(B1215*H1215,2)</f>
        <v>#REF!</v>
      </c>
    </row>
    <row r="1216" spans="1:10">
      <c r="B1216" s="1705">
        <v>0.05</v>
      </c>
      <c r="C1216" s="1683" t="s">
        <v>41</v>
      </c>
      <c r="D1216" s="1687" t="s">
        <v>70</v>
      </c>
      <c r="H1216" s="1701" t="e">
        <f>'SSR-rates'!#REF!</f>
        <v>#REF!</v>
      </c>
      <c r="I1216" s="1701" t="s">
        <v>41</v>
      </c>
      <c r="J1216" s="1701" t="e">
        <f>ROUND(B1216*H1216,2)</f>
        <v>#REF!</v>
      </c>
    </row>
    <row r="1217" spans="1:10">
      <c r="B1217" s="1705"/>
      <c r="C1217" s="1683"/>
      <c r="D1217" s="1687" t="s">
        <v>60</v>
      </c>
      <c r="H1217" s="1701"/>
      <c r="I1217" s="1701"/>
      <c r="J1217" s="1701" t="e">
        <f>SUM(J1215:J1216)</f>
        <v>#REF!</v>
      </c>
    </row>
    <row r="1218" spans="1:10">
      <c r="A1218" s="1713"/>
      <c r="B1218" s="1715" t="s">
        <v>45</v>
      </c>
      <c r="C1218" s="1713" t="s">
        <v>44</v>
      </c>
      <c r="F1218" s="1683"/>
      <c r="G1218" s="1683"/>
      <c r="H1218" s="1683"/>
      <c r="I1218" s="1683"/>
      <c r="J1218" s="1741"/>
    </row>
    <row r="1219" spans="1:10" ht="34.5" customHeight="1">
      <c r="A1219" s="1713"/>
      <c r="B1219" s="1706">
        <f>'Input Data'!$D$25</f>
        <v>0</v>
      </c>
      <c r="C1219" s="2955" t="str">
        <f>"Over head charges "&amp;'Input Data'!$D$25*100&amp;"%  on (A) + (B)+(C)"</f>
        <v>Over head charges 0%  on (A) + (B)+(C)</v>
      </c>
      <c r="D1219" s="2956"/>
      <c r="E1219" s="2956"/>
      <c r="F1219" s="2956"/>
      <c r="G1219" s="2957"/>
      <c r="H1219" s="1688" t="e">
        <f>J1217+J1213+J1209</f>
        <v>#REF!</v>
      </c>
      <c r="I1219" s="1683"/>
      <c r="J1219" s="1701" t="e">
        <f>H1219*B1219</f>
        <v>#REF!</v>
      </c>
    </row>
    <row r="1220" spans="1:10">
      <c r="A1220" s="1713"/>
      <c r="B1220" s="1715" t="s">
        <v>47</v>
      </c>
      <c r="C1220" s="1713" t="s">
        <v>89</v>
      </c>
      <c r="F1220" s="1683"/>
      <c r="G1220" s="1683"/>
      <c r="H1220" s="1683"/>
      <c r="I1220" s="1683"/>
      <c r="J1220" s="1741" t="e">
        <f>J1209+J1213+J1217+J1219</f>
        <v>#REF!</v>
      </c>
    </row>
    <row r="1221" spans="1:10">
      <c r="A1221" s="1713"/>
      <c r="B1221" s="1715" t="s">
        <v>76</v>
      </c>
      <c r="C1221" s="1713" t="s">
        <v>90</v>
      </c>
      <c r="F1221" s="1683"/>
      <c r="G1221" s="1683"/>
      <c r="H1221" s="1683"/>
      <c r="I1221" s="1683"/>
      <c r="J1221" s="1741" t="e">
        <f>J1220*10/100</f>
        <v>#REF!</v>
      </c>
    </row>
    <row r="1222" spans="1:10">
      <c r="B1222" s="1705"/>
      <c r="C1222" s="1683"/>
      <c r="D1222" s="1722" t="s">
        <v>91</v>
      </c>
      <c r="H1222" s="1701"/>
      <c r="I1222" s="1701"/>
      <c r="J1222" s="1741" t="e">
        <f>SUM(J1220:J1221)</f>
        <v>#REF!</v>
      </c>
    </row>
    <row r="1223" spans="1:10">
      <c r="B1223" s="1705"/>
      <c r="C1223" s="1683"/>
      <c r="D1223" s="1687" t="s">
        <v>50</v>
      </c>
      <c r="H1223" s="1701"/>
      <c r="I1223" s="1701"/>
      <c r="J1223" s="1701" t="e">
        <f>J1222</f>
        <v>#REF!</v>
      </c>
    </row>
    <row r="1224" spans="1:10">
      <c r="D1224" s="1687" t="s">
        <v>52</v>
      </c>
      <c r="H1224" s="1701"/>
      <c r="I1224" s="1701"/>
      <c r="J1224" s="1742" t="e">
        <f>ROUND(J1223,0)</f>
        <v>#REF!</v>
      </c>
    </row>
    <row r="1225" spans="1:10">
      <c r="D1225" s="1687"/>
      <c r="H1225" s="1701"/>
      <c r="I1225" s="1701"/>
      <c r="J1225" s="1741" t="s">
        <v>53</v>
      </c>
    </row>
    <row r="1228" spans="1:10" s="1680" customFormat="1" ht="85.5" customHeight="1">
      <c r="A1228" s="1710">
        <v>7.02</v>
      </c>
      <c r="B1228" s="2946" t="s">
        <v>296</v>
      </c>
      <c r="C1228" s="2946"/>
      <c r="D1228" s="2946"/>
      <c r="E1228" s="2946"/>
      <c r="F1228" s="2946"/>
      <c r="G1228" s="2946"/>
      <c r="H1228" s="2946"/>
      <c r="I1228" s="2946"/>
      <c r="J1228" s="2946"/>
    </row>
    <row r="1229" spans="1:10" s="1680" customFormat="1" ht="15" customHeight="1">
      <c r="A1229" s="1711"/>
      <c r="B1229" s="2947" t="s">
        <v>33</v>
      </c>
      <c r="C1229" s="2947"/>
      <c r="D1229" s="1712"/>
      <c r="E1229" s="1712"/>
      <c r="F1229" s="1713" t="s">
        <v>34</v>
      </c>
      <c r="G1229" s="1712"/>
      <c r="H1229" s="1714"/>
      <c r="I1229" s="1714"/>
      <c r="J1229" s="1732"/>
    </row>
    <row r="1230" spans="1:10" s="1680" customFormat="1" ht="15" customHeight="1">
      <c r="A1230" s="1711"/>
      <c r="B1230" s="2947" t="s">
        <v>297</v>
      </c>
      <c r="C1230" s="2947"/>
      <c r="D1230" s="2947"/>
      <c r="E1230" s="2947"/>
      <c r="F1230" s="1712"/>
      <c r="G1230" s="1712"/>
      <c r="H1230" s="1714"/>
      <c r="I1230" s="1714"/>
      <c r="J1230" s="1732"/>
    </row>
    <row r="1231" spans="1:10" s="1680" customFormat="1" ht="15" customHeight="1">
      <c r="A1231" s="1711"/>
      <c r="B1231" s="1715" t="s">
        <v>36</v>
      </c>
      <c r="C1231" s="1713" t="s">
        <v>37</v>
      </c>
      <c r="D1231" s="1684"/>
      <c r="E1231" s="1712"/>
      <c r="F1231" s="1712"/>
      <c r="G1231" s="1712"/>
      <c r="H1231" s="1714"/>
      <c r="I1231" s="1714"/>
      <c r="J1231" s="1732"/>
    </row>
    <row r="1232" spans="1:10" s="1680" customFormat="1" ht="15" customHeight="1">
      <c r="A1232" s="1711"/>
      <c r="B1232" s="1705">
        <v>0.2</v>
      </c>
      <c r="C1232" s="1688" t="s">
        <v>38</v>
      </c>
      <c r="D1232" s="1683" t="s">
        <v>14</v>
      </c>
      <c r="E1232" s="1684"/>
      <c r="F1232" s="1683"/>
      <c r="G1232" s="1683"/>
      <c r="H1232" s="1701">
        <f>'SSR-rates'!$H$58</f>
        <v>490</v>
      </c>
      <c r="I1232" s="1716" t="s">
        <v>38</v>
      </c>
      <c r="J1232" s="1705">
        <f>ROUND(B1232*H1232,2)</f>
        <v>98</v>
      </c>
    </row>
    <row r="1233" spans="1:10" s="1680" customFormat="1" ht="15.75" customHeight="1">
      <c r="A1233" s="1711"/>
      <c r="B1233" s="1705">
        <v>5</v>
      </c>
      <c r="C1233" s="1688" t="s">
        <v>38</v>
      </c>
      <c r="D1233" s="1683" t="s">
        <v>16</v>
      </c>
      <c r="E1233" s="1684"/>
      <c r="F1233" s="1683"/>
      <c r="G1233" s="1683"/>
      <c r="H1233" s="1701">
        <f>'SSR-rates'!$H$60</f>
        <v>490</v>
      </c>
      <c r="I1233" s="1716" t="s">
        <v>38</v>
      </c>
      <c r="J1233" s="1705">
        <f>ROUND(B1233*H1233,2)</f>
        <v>2450</v>
      </c>
    </row>
    <row r="1234" spans="1:10">
      <c r="A1234" s="1713"/>
      <c r="B1234" s="1702">
        <f>'Input Data'!$D$23</f>
        <v>0</v>
      </c>
      <c r="C1234" s="1688"/>
      <c r="D1234" s="1684" t="s">
        <v>17</v>
      </c>
      <c r="F1234" s="1683"/>
      <c r="G1234" s="1683"/>
      <c r="H1234" s="1701">
        <f>SUM(J1232:J1233)</f>
        <v>2548</v>
      </c>
      <c r="I1234" s="1716"/>
      <c r="J1234" s="1701">
        <f>B1234*H1234</f>
        <v>0</v>
      </c>
    </row>
    <row r="1235" spans="1:10" s="1680" customFormat="1" ht="15" customHeight="1">
      <c r="A1235" s="1711"/>
      <c r="B1235" s="1705"/>
      <c r="C1235" s="1688"/>
      <c r="D1235" s="1683"/>
      <c r="E1235" s="1683"/>
      <c r="F1235" s="1683"/>
      <c r="G1235" s="1683"/>
      <c r="H1235" s="1701"/>
      <c r="I1235" s="1716"/>
      <c r="J1235" s="1733">
        <f>SUM(J1232:J1234)</f>
        <v>2548</v>
      </c>
    </row>
    <row r="1236" spans="1:10" s="1680" customFormat="1" ht="15" customHeight="1">
      <c r="A1236" s="1711"/>
      <c r="B1236" s="1715" t="s">
        <v>39</v>
      </c>
      <c r="C1236" s="1713" t="s">
        <v>40</v>
      </c>
      <c r="D1236" s="1684"/>
      <c r="E1236" s="1684"/>
      <c r="F1236" s="1683"/>
      <c r="G1236" s="1683"/>
      <c r="H1236" s="1683"/>
      <c r="I1236" s="1683"/>
      <c r="J1236" s="1734"/>
    </row>
    <row r="1237" spans="1:10" s="1680" customFormat="1" ht="15" customHeight="1">
      <c r="A1237" s="1711"/>
      <c r="B1237" s="1717">
        <v>10</v>
      </c>
      <c r="C1237" s="1718" t="s">
        <v>31</v>
      </c>
      <c r="D1237" s="2951" t="s">
        <v>43</v>
      </c>
      <c r="E1237" s="2951"/>
      <c r="F1237" s="2951"/>
      <c r="G1237" s="2951"/>
      <c r="H1237" s="1719">
        <v>19.5</v>
      </c>
      <c r="I1237" s="1719" t="s">
        <v>31</v>
      </c>
      <c r="J1237" s="1717">
        <f>ROUND(B1237*H1237,2)</f>
        <v>195</v>
      </c>
    </row>
    <row r="1238" spans="1:10" s="1680" customFormat="1" ht="15" hidden="1" customHeight="1">
      <c r="A1238" s="1711"/>
      <c r="B1238" s="1715"/>
      <c r="C1238" s="1713"/>
      <c r="D1238" s="1684"/>
      <c r="E1238" s="1684"/>
      <c r="F1238" s="1683"/>
      <c r="G1238" s="1683"/>
      <c r="H1238" s="1701"/>
      <c r="I1238" s="1701"/>
      <c r="J1238" s="1705"/>
    </row>
    <row r="1239" spans="1:10" s="1680" customFormat="1" ht="15" hidden="1" customHeight="1">
      <c r="A1239" s="1711"/>
      <c r="B1239" s="1705"/>
      <c r="C1239" s="1688"/>
      <c r="D1239" s="1683"/>
      <c r="E1239" s="1684"/>
      <c r="F1239" s="1683"/>
      <c r="G1239" s="1683"/>
      <c r="H1239" s="1701"/>
      <c r="I1239" s="1701"/>
      <c r="J1239" s="1705"/>
    </row>
    <row r="1240" spans="1:10" s="1680" customFormat="1" ht="15" customHeight="1">
      <c r="A1240" s="1711"/>
      <c r="B1240" s="1715" t="s">
        <v>27</v>
      </c>
      <c r="C1240" s="1713" t="s">
        <v>44</v>
      </c>
      <c r="D1240" s="1683"/>
      <c r="E1240" s="1684"/>
      <c r="F1240" s="1683"/>
      <c r="G1240" s="1683"/>
      <c r="H1240" s="1701"/>
      <c r="I1240" s="1701"/>
      <c r="J1240" s="1734"/>
    </row>
    <row r="1241" spans="1:10" s="1680" customFormat="1" ht="15" customHeight="1">
      <c r="A1241" s="1710"/>
      <c r="B1241" s="1706">
        <f>'Input Data'!$D$25</f>
        <v>0</v>
      </c>
      <c r="C1241" s="1713" t="str">
        <f>"Over head charges "&amp;'Input Data'!$D$25*100&amp;"%  on (A) + (B)"</f>
        <v>Over head charges 0%  on (A) + (B)</v>
      </c>
      <c r="D1241" s="1684"/>
      <c r="E1241" s="1684"/>
      <c r="F1241" s="1684"/>
      <c r="G1241" s="1684"/>
      <c r="H1241" s="1687">
        <f>J1237+J1235</f>
        <v>2743</v>
      </c>
      <c r="I1241" s="1684"/>
      <c r="J1241" s="1705">
        <f>H1241*B1241</f>
        <v>0</v>
      </c>
    </row>
    <row r="1242" spans="1:10" s="1680" customFormat="1" ht="15" customHeight="1">
      <c r="A1242" s="1710"/>
      <c r="B1242" s="1715" t="s">
        <v>45</v>
      </c>
      <c r="C1242" s="1713" t="s">
        <v>46</v>
      </c>
      <c r="D1242" s="1684"/>
      <c r="E1242" s="1684"/>
      <c r="F1242" s="1684"/>
      <c r="G1242" s="1684"/>
      <c r="H1242" s="1684"/>
      <c r="I1242" s="1684"/>
      <c r="J1242" s="1733">
        <f>J1235+J1237+J1239+J1241</f>
        <v>2743</v>
      </c>
    </row>
    <row r="1243" spans="1:10" s="1680" customFormat="1" ht="15" customHeight="1">
      <c r="A1243" s="1711"/>
      <c r="B1243" s="1715" t="s">
        <v>47</v>
      </c>
      <c r="C1243" s="1713" t="s">
        <v>48</v>
      </c>
      <c r="D1243" s="1684"/>
      <c r="E1243" s="1684"/>
      <c r="F1243" s="1683"/>
      <c r="G1243" s="1683"/>
      <c r="H1243" s="1683"/>
      <c r="I1243" s="1683"/>
      <c r="J1243" s="1733">
        <f>J1242*10/100</f>
        <v>274.3</v>
      </c>
    </row>
    <row r="1244" spans="1:10" s="1680" customFormat="1" ht="15" customHeight="1">
      <c r="A1244" s="1711"/>
      <c r="B1244" s="1683"/>
      <c r="C1244" s="1683"/>
      <c r="D1244" s="1713" t="s">
        <v>298</v>
      </c>
      <c r="E1244" s="1684"/>
      <c r="F1244" s="1683"/>
      <c r="G1244" s="1683"/>
      <c r="H1244" s="1683"/>
      <c r="I1244" s="1683"/>
      <c r="J1244" s="1733">
        <f>SUM(J1242:J1243)</f>
        <v>3017.3</v>
      </c>
    </row>
    <row r="1245" spans="1:10" s="1680" customFormat="1" ht="15" customHeight="1">
      <c r="A1245" s="1710"/>
      <c r="B1245" s="1684"/>
      <c r="C1245" s="1684"/>
      <c r="D1245" s="1684" t="s">
        <v>50</v>
      </c>
      <c r="E1245" s="1684"/>
      <c r="F1245" s="1684"/>
      <c r="G1245" s="1684"/>
      <c r="H1245" s="1716"/>
      <c r="I1245" s="1716"/>
      <c r="J1245" s="1705">
        <f>J1244/10</f>
        <v>301.73</v>
      </c>
    </row>
    <row r="1246" spans="1:10" s="1680" customFormat="1" ht="15" hidden="1" customHeight="1">
      <c r="A1246" s="1711"/>
      <c r="B1246" s="1721"/>
      <c r="C1246" s="1721"/>
      <c r="D1246" s="1721"/>
      <c r="E1246" s="1721"/>
      <c r="F1246" s="1721" t="s">
        <v>51</v>
      </c>
      <c r="G1246" s="1721"/>
      <c r="H1246" s="1721"/>
      <c r="I1246" s="1721"/>
      <c r="J1246" s="1735"/>
    </row>
    <row r="1247" spans="1:10" s="1680" customFormat="1" ht="15" hidden="1" customHeight="1">
      <c r="A1247" s="1711"/>
      <c r="B1247" s="1721"/>
      <c r="C1247" s="1721"/>
      <c r="D1247" s="1721"/>
      <c r="E1247" s="1721"/>
      <c r="F1247" s="1721"/>
      <c r="G1247" s="1721"/>
      <c r="H1247" s="1721"/>
      <c r="I1247" s="1721"/>
      <c r="J1247" s="1735">
        <f>SUM(J1245:J1246)</f>
        <v>301.73</v>
      </c>
    </row>
    <row r="1248" spans="1:10" s="1680" customFormat="1" ht="15" customHeight="1">
      <c r="A1248" s="1710"/>
      <c r="B1248" s="1684"/>
      <c r="C1248" s="1684"/>
      <c r="D1248" s="1684" t="s">
        <v>52</v>
      </c>
      <c r="E1248" s="1684"/>
      <c r="F1248" s="1684"/>
      <c r="G1248" s="1684"/>
      <c r="H1248" s="1684"/>
      <c r="I1248" s="1684"/>
      <c r="J1248" s="1736">
        <f>ROUND(J1247,0)</f>
        <v>302</v>
      </c>
    </row>
    <row r="1249" spans="1:10" s="1680" customFormat="1" ht="15" customHeight="1">
      <c r="A1249" s="1710"/>
      <c r="B1249" s="1684"/>
      <c r="C1249" s="1684"/>
      <c r="D1249" s="1684"/>
      <c r="E1249" s="1684"/>
      <c r="F1249" s="1684"/>
      <c r="G1249" s="1684"/>
      <c r="H1249" s="1684"/>
      <c r="I1249" s="1684"/>
      <c r="J1249" s="1737" t="s">
        <v>53</v>
      </c>
    </row>
    <row r="1252" spans="1:10" ht="126.75" customHeight="1">
      <c r="A1252" s="1759" t="s">
        <v>278</v>
      </c>
      <c r="B1252" s="2946" t="s">
        <v>299</v>
      </c>
      <c r="C1252" s="2946"/>
      <c r="D1252" s="2946"/>
      <c r="E1252" s="2946"/>
      <c r="F1252" s="2946"/>
      <c r="G1252" s="2946"/>
      <c r="H1252" s="2946"/>
      <c r="I1252" s="2946"/>
      <c r="J1252" s="2946"/>
    </row>
    <row r="1253" spans="1:10">
      <c r="D1253" s="1687" t="s">
        <v>10</v>
      </c>
      <c r="F1253" s="1713" t="s">
        <v>300</v>
      </c>
      <c r="J1253" s="1684"/>
    </row>
    <row r="1254" spans="1:10">
      <c r="D1254" s="1687" t="s">
        <v>170</v>
      </c>
      <c r="J1254" s="1684"/>
    </row>
    <row r="1255" spans="1:10">
      <c r="B1255" s="1715" t="s">
        <v>36</v>
      </c>
      <c r="C1255" s="1722" t="s">
        <v>37</v>
      </c>
      <c r="J1255" s="1684"/>
    </row>
    <row r="1256" spans="1:10">
      <c r="B1256" s="1705">
        <v>0.84</v>
      </c>
      <c r="C1256" s="1683" t="s">
        <v>57</v>
      </c>
      <c r="D1256" s="1687" t="s">
        <v>156</v>
      </c>
      <c r="H1256" s="1701">
        <f>'SSR-rates'!H$58</f>
        <v>490</v>
      </c>
      <c r="I1256" s="1716" t="s">
        <v>38</v>
      </c>
      <c r="J1256" s="1705">
        <f>ROUND(B1256*H1256,2)</f>
        <v>411.6</v>
      </c>
    </row>
    <row r="1257" spans="1:10">
      <c r="B1257" s="1705">
        <v>3</v>
      </c>
      <c r="C1257" s="1683" t="s">
        <v>57</v>
      </c>
      <c r="D1257" s="1687" t="s">
        <v>301</v>
      </c>
      <c r="H1257" s="1701">
        <f>'SSR-rates'!H59</f>
        <v>524</v>
      </c>
      <c r="I1257" s="1716" t="s">
        <v>38</v>
      </c>
      <c r="J1257" s="1705">
        <f>ROUND(B1257*H1257,2)</f>
        <v>1572</v>
      </c>
    </row>
    <row r="1258" spans="1:10">
      <c r="B1258" s="1705">
        <v>18</v>
      </c>
      <c r="C1258" s="1683" t="s">
        <v>57</v>
      </c>
      <c r="D1258" s="1687" t="s">
        <v>59</v>
      </c>
      <c r="H1258" s="1701">
        <f>'SSR-rates'!H$60</f>
        <v>490</v>
      </c>
      <c r="I1258" s="1716" t="s">
        <v>38</v>
      </c>
      <c r="J1258" s="1705">
        <f>ROUND(B1258*H1258,2)</f>
        <v>8820</v>
      </c>
    </row>
    <row r="1259" spans="1:10">
      <c r="A1259" s="1713"/>
      <c r="B1259" s="1702">
        <f>'Input Data'!$D$23</f>
        <v>0</v>
      </c>
      <c r="C1259" s="1688"/>
      <c r="D1259" s="1684" t="s">
        <v>17</v>
      </c>
      <c r="F1259" s="1683"/>
      <c r="G1259" s="1683"/>
      <c r="H1259" s="1701">
        <f>SUM(J1257:J1258)</f>
        <v>10392</v>
      </c>
      <c r="I1259" s="1716"/>
      <c r="J1259" s="1701">
        <f>B1259*H1259</f>
        <v>0</v>
      </c>
    </row>
    <row r="1260" spans="1:10">
      <c r="B1260" s="1705"/>
      <c r="C1260" s="1683"/>
      <c r="D1260" s="1687" t="s">
        <v>60</v>
      </c>
      <c r="H1260" s="1701"/>
      <c r="I1260" s="1701"/>
      <c r="J1260" s="1705">
        <f>SUM(J1256:J1259)</f>
        <v>10803.6</v>
      </c>
    </row>
    <row r="1261" spans="1:10">
      <c r="B1261" s="1715" t="s">
        <v>39</v>
      </c>
      <c r="C1261" s="1722" t="s">
        <v>61</v>
      </c>
      <c r="H1261" s="1701"/>
      <c r="I1261" s="1701"/>
      <c r="J1261" s="1701"/>
    </row>
    <row r="1262" spans="1:10">
      <c r="B1262" s="1705">
        <v>64.8</v>
      </c>
      <c r="C1262" s="1683" t="s">
        <v>31</v>
      </c>
      <c r="D1262" s="1684" t="s">
        <v>63</v>
      </c>
      <c r="H1262" s="1701">
        <f>lead!J$16</f>
        <v>2031.2187651278443</v>
      </c>
      <c r="I1262" s="1701" t="s">
        <v>31</v>
      </c>
      <c r="J1262" s="1701">
        <f>ROUND(B1262*H1262,2)</f>
        <v>131622.98000000001</v>
      </c>
    </row>
    <row r="1263" spans="1:10">
      <c r="B1263" s="1705">
        <v>43.2</v>
      </c>
      <c r="C1263" s="1683" t="s">
        <v>31</v>
      </c>
      <c r="D1263" s="1684" t="s">
        <v>64</v>
      </c>
      <c r="H1263" s="1701">
        <f>lead!J$18</f>
        <v>1780.2187651278443</v>
      </c>
      <c r="I1263" s="1701" t="s">
        <v>31</v>
      </c>
      <c r="J1263" s="1701">
        <f>ROUND(B1263*H1263,2)</f>
        <v>76905.45</v>
      </c>
    </row>
    <row r="1264" spans="1:10">
      <c r="B1264" s="1705">
        <v>54</v>
      </c>
      <c r="C1264" s="1683" t="s">
        <v>31</v>
      </c>
      <c r="D1264" s="1687" t="s">
        <v>65</v>
      </c>
      <c r="H1264" s="1701">
        <f>lead!J12</f>
        <v>1684.4687651278443</v>
      </c>
      <c r="I1264" s="1701" t="s">
        <v>31</v>
      </c>
      <c r="J1264" s="1701">
        <f>ROUND(B1264*H1264,2)</f>
        <v>90961.31</v>
      </c>
    </row>
    <row r="1265" spans="1:11">
      <c r="B1265" s="1818">
        <v>48.8</v>
      </c>
      <c r="C1265" s="1683" t="s">
        <v>66</v>
      </c>
      <c r="D1265" s="1687" t="s">
        <v>67</v>
      </c>
      <c r="H1265" s="1701">
        <f>lead!J$36</f>
        <v>5000</v>
      </c>
      <c r="I1265" s="1701" t="s">
        <v>66</v>
      </c>
      <c r="J1265" s="1701">
        <f>ROUND(B1265*H1265,2)</f>
        <v>244000</v>
      </c>
    </row>
    <row r="1266" spans="1:11">
      <c r="B1266" s="1687"/>
      <c r="D1266" s="1687" t="s">
        <v>60</v>
      </c>
      <c r="H1266" s="1701"/>
      <c r="I1266" s="1701"/>
      <c r="J1266" s="1701">
        <f>SUM(J1262:J1265)</f>
        <v>543489.74</v>
      </c>
      <c r="K1266" s="1687"/>
    </row>
    <row r="1267" spans="1:11">
      <c r="B1267" s="1715" t="s">
        <v>27</v>
      </c>
      <c r="C1267" s="1722" t="s">
        <v>40</v>
      </c>
      <c r="H1267" s="1701"/>
      <c r="I1267" s="1701"/>
      <c r="J1267" s="1701"/>
    </row>
    <row r="1268" spans="1:11">
      <c r="B1268" s="1705">
        <v>6</v>
      </c>
      <c r="C1268" s="1683" t="s">
        <v>41</v>
      </c>
      <c r="D1268" s="1684" t="s">
        <v>171</v>
      </c>
      <c r="H1268" s="1701">
        <f>'SSR-rates'!H$100</f>
        <v>1205.8</v>
      </c>
      <c r="I1268" s="1701" t="s">
        <v>41</v>
      </c>
      <c r="J1268" s="1701">
        <f>ROUND(B1268*H1268,2)</f>
        <v>7234.8</v>
      </c>
    </row>
    <row r="1269" spans="1:11">
      <c r="B1269" s="1705">
        <v>6</v>
      </c>
      <c r="C1269" s="1683" t="s">
        <v>41</v>
      </c>
      <c r="D1269" s="1684" t="s">
        <v>172</v>
      </c>
      <c r="H1269" s="1701">
        <f>'SSR-rates'!H$102</f>
        <v>1261</v>
      </c>
      <c r="I1269" s="1701" t="s">
        <v>41</v>
      </c>
      <c r="J1269" s="1701">
        <f>ROUND(B1269*H1269,2)</f>
        <v>7566</v>
      </c>
    </row>
    <row r="1270" spans="1:11">
      <c r="B1270" s="1705">
        <v>6</v>
      </c>
      <c r="C1270" s="1683" t="s">
        <v>41</v>
      </c>
      <c r="D1270" s="1684" t="s">
        <v>173</v>
      </c>
      <c r="H1270" s="1701">
        <f>'SSR-rates'!H$65</f>
        <v>1844</v>
      </c>
      <c r="I1270" s="1701" t="s">
        <v>41</v>
      </c>
      <c r="J1270" s="1701">
        <f>ROUND(B1270*H1270,2)</f>
        <v>11064</v>
      </c>
    </row>
    <row r="1271" spans="1:11">
      <c r="B1271" s="1705">
        <v>15</v>
      </c>
      <c r="C1271" s="1683" t="s">
        <v>41</v>
      </c>
      <c r="D1271" s="1684" t="s">
        <v>174</v>
      </c>
      <c r="H1271" s="1701">
        <f>'SSR-rates'!H$104</f>
        <v>2532.4</v>
      </c>
      <c r="I1271" s="1701" t="s">
        <v>41</v>
      </c>
      <c r="J1271" s="1701">
        <f>ROUND(B1271*H1271,2)</f>
        <v>37986</v>
      </c>
    </row>
    <row r="1272" spans="1:11" s="1682" customFormat="1" ht="33.75" customHeight="1">
      <c r="A1272" s="1772"/>
      <c r="B1272" s="1705">
        <v>300</v>
      </c>
      <c r="C1272" s="1683" t="s">
        <v>180</v>
      </c>
      <c r="D1272" s="2965" t="s">
        <v>176</v>
      </c>
      <c r="E1272" s="2965"/>
      <c r="F1272" s="2965"/>
      <c r="G1272" s="2965"/>
      <c r="H1272" s="1701">
        <v>0</v>
      </c>
      <c r="I1272" s="1701" t="s">
        <v>41</v>
      </c>
      <c r="J1272" s="1701"/>
    </row>
    <row r="1273" spans="1:11">
      <c r="B1273" s="1705">
        <v>6</v>
      </c>
      <c r="C1273" s="1683" t="s">
        <v>41</v>
      </c>
      <c r="D1273" s="1687" t="s">
        <v>177</v>
      </c>
      <c r="H1273" s="1701">
        <f>'SSR-rates'!H$106</f>
        <v>899</v>
      </c>
      <c r="I1273" s="1701" t="s">
        <v>41</v>
      </c>
      <c r="J1273" s="1701">
        <f>ROUND(B1273*H1273,2)</f>
        <v>5394</v>
      </c>
    </row>
    <row r="1274" spans="1:11" ht="15" customHeight="1">
      <c r="B1274" s="1705"/>
      <c r="C1274" s="1688"/>
      <c r="D1274" s="1687" t="s">
        <v>60</v>
      </c>
      <c r="H1274" s="1701"/>
      <c r="I1274" s="1701"/>
      <c r="J1274" s="1701">
        <f>SUM(J1268:J1273)</f>
        <v>69244.800000000003</v>
      </c>
    </row>
    <row r="1275" spans="1:11">
      <c r="B1275" s="1715" t="s">
        <v>45</v>
      </c>
      <c r="C1275" s="1722" t="s">
        <v>71</v>
      </c>
      <c r="H1275" s="1701"/>
      <c r="I1275" s="1701"/>
      <c r="J1275" s="1701"/>
    </row>
    <row r="1276" spans="1:11">
      <c r="B1276" s="1687">
        <v>3.5</v>
      </c>
      <c r="C1276" s="1683" t="s">
        <v>29</v>
      </c>
      <c r="D1276" s="1684" t="s">
        <v>302</v>
      </c>
      <c r="H1276" s="1701">
        <f>J1260+J1266+J1274</f>
        <v>623538.14</v>
      </c>
      <c r="I1276" s="1716" t="s">
        <v>73</v>
      </c>
      <c r="J1276" s="1701">
        <f>ROUND(B1276*H1276/100,2)</f>
        <v>21823.83</v>
      </c>
    </row>
    <row r="1277" spans="1:11" ht="15" customHeight="1">
      <c r="A1277" s="1713"/>
      <c r="B1277" s="1715" t="s">
        <v>47</v>
      </c>
      <c r="C1277" s="1713" t="s">
        <v>44</v>
      </c>
      <c r="F1277" s="1683"/>
      <c r="G1277" s="1683"/>
      <c r="H1277" s="1683"/>
      <c r="I1277" s="1683"/>
      <c r="J1277" s="1741"/>
    </row>
    <row r="1278" spans="1:11" ht="29.25" customHeight="1">
      <c r="A1278" s="1713"/>
      <c r="B1278" s="1706">
        <f>'Input Data'!$D$25</f>
        <v>0</v>
      </c>
      <c r="C1278" s="2952" t="str">
        <f>"Over head charges "&amp;'Input Data'!$D$25*100&amp;"%  on (A) + (B)+(C)+(D)"</f>
        <v>Over head charges 0%  on (A) + (B)+(C)+(D)</v>
      </c>
      <c r="D1278" s="2953"/>
      <c r="E1278" s="2953"/>
      <c r="F1278" s="2953"/>
      <c r="G1278" s="2954"/>
      <c r="H1278" s="1688">
        <f>J1276+J1274+J1266+J1260</f>
        <v>645361.97</v>
      </c>
      <c r="I1278" s="1683"/>
      <c r="J1278" s="1701">
        <f>H1278*B1278</f>
        <v>0</v>
      </c>
    </row>
    <row r="1279" spans="1:11">
      <c r="A1279" s="1713"/>
      <c r="B1279" s="1715" t="s">
        <v>76</v>
      </c>
      <c r="C1279" s="1713" t="s">
        <v>77</v>
      </c>
      <c r="F1279" s="1683"/>
      <c r="G1279" s="1683"/>
      <c r="H1279" s="1683"/>
      <c r="I1279" s="1683"/>
      <c r="J1279" s="1770">
        <f>J1260+J1266+J1274+J1276+J1278</f>
        <v>645361.97</v>
      </c>
    </row>
    <row r="1280" spans="1:11">
      <c r="A1280" s="1713"/>
      <c r="B1280" s="1715" t="s">
        <v>78</v>
      </c>
      <c r="C1280" s="1713" t="s">
        <v>79</v>
      </c>
      <c r="F1280" s="1683"/>
      <c r="G1280" s="1683"/>
      <c r="H1280" s="1683"/>
      <c r="I1280" s="1683"/>
      <c r="J1280" s="1741">
        <f>J1279*10/100</f>
        <v>64536.196999999993</v>
      </c>
    </row>
    <row r="1281" spans="1:10">
      <c r="B1281" s="1705"/>
      <c r="C1281" s="1683"/>
      <c r="D1281" s="1722" t="s">
        <v>158</v>
      </c>
      <c r="H1281" s="1701"/>
      <c r="I1281" s="1701"/>
      <c r="J1281" s="1770">
        <f>SUM(J1279:J1280)</f>
        <v>709898.16700000002</v>
      </c>
    </row>
    <row r="1282" spans="1:10">
      <c r="B1282" s="1705"/>
      <c r="C1282" s="1683"/>
      <c r="D1282" s="1687" t="s">
        <v>81</v>
      </c>
      <c r="H1282" s="1701"/>
      <c r="I1282" s="1701"/>
      <c r="J1282" s="1701">
        <f>ROUND(J1281/120,2)</f>
        <v>5915.82</v>
      </c>
    </row>
    <row r="1283" spans="1:10">
      <c r="D1283" s="1687" t="s">
        <v>52</v>
      </c>
      <c r="H1283" s="1701"/>
      <c r="I1283" s="1701"/>
      <c r="J1283" s="1742">
        <f>ROUND(J1282,0)</f>
        <v>5916</v>
      </c>
    </row>
    <row r="1284" spans="1:10">
      <c r="D1284" s="1687"/>
      <c r="H1284" s="1701"/>
      <c r="I1284" s="1701"/>
      <c r="J1284" s="1741" t="s">
        <v>53</v>
      </c>
    </row>
    <row r="1285" spans="1:10">
      <c r="A1285" s="1773"/>
      <c r="B1285" s="1697"/>
      <c r="C1285" s="1697"/>
      <c r="D1285" s="1774"/>
      <c r="E1285" s="1774"/>
      <c r="F1285" s="1774"/>
      <c r="G1285" s="1774"/>
      <c r="H1285" s="1707"/>
      <c r="I1285" s="1707"/>
      <c r="J1285" s="1728"/>
    </row>
    <row r="1286" spans="1:10" ht="126.75" customHeight="1">
      <c r="A1286" s="1759" t="s">
        <v>278</v>
      </c>
      <c r="B1286" s="2946" t="s">
        <v>303</v>
      </c>
      <c r="C1286" s="2946"/>
      <c r="D1286" s="2946"/>
      <c r="E1286" s="2946"/>
      <c r="F1286" s="2946"/>
      <c r="G1286" s="2946"/>
      <c r="H1286" s="2946"/>
      <c r="I1286" s="2946"/>
      <c r="J1286" s="2946"/>
    </row>
    <row r="1287" spans="1:10">
      <c r="D1287" s="1687" t="s">
        <v>10</v>
      </c>
      <c r="F1287" s="1713" t="s">
        <v>304</v>
      </c>
      <c r="J1287" s="1684"/>
    </row>
    <row r="1288" spans="1:10">
      <c r="D1288" s="1687" t="s">
        <v>170</v>
      </c>
      <c r="J1288" s="1684"/>
    </row>
    <row r="1289" spans="1:10">
      <c r="B1289" s="1715" t="s">
        <v>36</v>
      </c>
      <c r="C1289" s="1722" t="s">
        <v>37</v>
      </c>
      <c r="J1289" s="1684"/>
    </row>
    <row r="1290" spans="1:10">
      <c r="B1290" s="1705">
        <v>0.84</v>
      </c>
      <c r="C1290" s="1683" t="s">
        <v>57</v>
      </c>
      <c r="D1290" s="1687" t="s">
        <v>156</v>
      </c>
      <c r="H1290" s="1701">
        <f>'SSR-rates'!H$58</f>
        <v>490</v>
      </c>
      <c r="I1290" s="1716" t="s">
        <v>38</v>
      </c>
      <c r="J1290" s="1705">
        <f>ROUND(B1290*H1290,2)</f>
        <v>411.6</v>
      </c>
    </row>
    <row r="1291" spans="1:10">
      <c r="B1291" s="1705">
        <v>3</v>
      </c>
      <c r="C1291" s="1683" t="s">
        <v>57</v>
      </c>
      <c r="D1291" s="1687" t="s">
        <v>58</v>
      </c>
      <c r="H1291" s="1701">
        <f>'SSR-rates'!H59</f>
        <v>524</v>
      </c>
      <c r="I1291" s="1716" t="s">
        <v>38</v>
      </c>
      <c r="J1291" s="1705">
        <f>ROUND(B1291*H1291,2)</f>
        <v>1572</v>
      </c>
    </row>
    <row r="1292" spans="1:10">
      <c r="B1292" s="1705">
        <v>18</v>
      </c>
      <c r="C1292" s="1683" t="s">
        <v>57</v>
      </c>
      <c r="D1292" s="1687" t="s">
        <v>59</v>
      </c>
      <c r="H1292" s="1701">
        <f>'SSR-rates'!H$60</f>
        <v>490</v>
      </c>
      <c r="I1292" s="1716" t="s">
        <v>38</v>
      </c>
      <c r="J1292" s="1705">
        <f>ROUND(B1292*H1292,2)</f>
        <v>8820</v>
      </c>
    </row>
    <row r="1293" spans="1:10">
      <c r="A1293" s="1713"/>
      <c r="B1293" s="1702">
        <f>'Input Data'!$D$23</f>
        <v>0</v>
      </c>
      <c r="C1293" s="1688"/>
      <c r="D1293" s="1684" t="s">
        <v>17</v>
      </c>
      <c r="F1293" s="1683"/>
      <c r="G1293" s="1683"/>
      <c r="H1293" s="1701">
        <f>SUM(J1291:J1292)</f>
        <v>10392</v>
      </c>
      <c r="I1293" s="1716"/>
      <c r="J1293" s="1701">
        <f>B1293*H1293</f>
        <v>0</v>
      </c>
    </row>
    <row r="1294" spans="1:10">
      <c r="B1294" s="1705"/>
      <c r="C1294" s="1683"/>
      <c r="D1294" s="1687" t="s">
        <v>60</v>
      </c>
      <c r="H1294" s="1701"/>
      <c r="I1294" s="1701"/>
      <c r="J1294" s="1705">
        <f>SUM(J1290:J1293)</f>
        <v>10803.6</v>
      </c>
    </row>
    <row r="1295" spans="1:10">
      <c r="B1295" s="1715" t="s">
        <v>39</v>
      </c>
      <c r="C1295" s="1722" t="s">
        <v>61</v>
      </c>
      <c r="H1295" s="1701"/>
      <c r="I1295" s="1701"/>
      <c r="J1295" s="1701"/>
    </row>
    <row r="1296" spans="1:10">
      <c r="B1296" s="1705">
        <v>64.8</v>
      </c>
      <c r="C1296" s="1683" t="s">
        <v>31</v>
      </c>
      <c r="D1296" s="1684" t="s">
        <v>63</v>
      </c>
      <c r="H1296" s="1701">
        <f>lead!J$16</f>
        <v>2031.2187651278443</v>
      </c>
      <c r="I1296" s="1701" t="s">
        <v>31</v>
      </c>
      <c r="J1296" s="1701">
        <f>ROUND(B1296*H1296,2)</f>
        <v>131622.98000000001</v>
      </c>
    </row>
    <row r="1297" spans="1:11">
      <c r="B1297" s="1705">
        <v>43.2</v>
      </c>
      <c r="C1297" s="1683" t="s">
        <v>31</v>
      </c>
      <c r="D1297" s="1684" t="s">
        <v>64</v>
      </c>
      <c r="H1297" s="1701">
        <f>lead!J$18</f>
        <v>1780.2187651278443</v>
      </c>
      <c r="I1297" s="1701" t="s">
        <v>31</v>
      </c>
      <c r="J1297" s="1701">
        <f>ROUND(B1297*H1297,2)</f>
        <v>76905.45</v>
      </c>
    </row>
    <row r="1298" spans="1:11">
      <c r="B1298" s="1705">
        <v>54</v>
      </c>
      <c r="C1298" s="1683" t="s">
        <v>31</v>
      </c>
      <c r="D1298" s="1687" t="s">
        <v>65</v>
      </c>
      <c r="H1298" s="1701">
        <f>lead!J12</f>
        <v>1684.4687651278443</v>
      </c>
      <c r="I1298" s="1701" t="s">
        <v>31</v>
      </c>
      <c r="J1298" s="1701">
        <f>ROUND(B1298*H1298,2)</f>
        <v>90961.31</v>
      </c>
    </row>
    <row r="1299" spans="1:11">
      <c r="B1299" s="1818">
        <v>48.8</v>
      </c>
      <c r="C1299" s="1683" t="s">
        <v>66</v>
      </c>
      <c r="D1299" s="1687" t="s">
        <v>67</v>
      </c>
      <c r="H1299" s="1701">
        <f>lead!J$36</f>
        <v>5000</v>
      </c>
      <c r="I1299" s="1701" t="s">
        <v>66</v>
      </c>
      <c r="J1299" s="1701">
        <f>ROUND(B1299*H1299,2)</f>
        <v>244000</v>
      </c>
    </row>
    <row r="1300" spans="1:11">
      <c r="B1300" s="1687"/>
      <c r="D1300" s="1687" t="s">
        <v>60</v>
      </c>
      <c r="H1300" s="1701"/>
      <c r="I1300" s="1701"/>
      <c r="J1300" s="1701">
        <f>SUM(J1296:J1299)</f>
        <v>543489.74</v>
      </c>
      <c r="K1300" s="1687"/>
    </row>
    <row r="1301" spans="1:11">
      <c r="B1301" s="1715" t="s">
        <v>27</v>
      </c>
      <c r="C1301" s="1722" t="s">
        <v>40</v>
      </c>
      <c r="H1301" s="1701"/>
      <c r="I1301" s="1701"/>
      <c r="J1301" s="1701"/>
    </row>
    <row r="1302" spans="1:11">
      <c r="B1302" s="1705">
        <v>6</v>
      </c>
      <c r="C1302" s="1683" t="s">
        <v>41</v>
      </c>
      <c r="D1302" s="1684" t="s">
        <v>171</v>
      </c>
      <c r="H1302" s="1701">
        <f>'SSR-rates'!H$100</f>
        <v>1205.8</v>
      </c>
      <c r="I1302" s="1701" t="s">
        <v>41</v>
      </c>
      <c r="J1302" s="1701">
        <f>ROUND(B1302*H1302,2)</f>
        <v>7234.8</v>
      </c>
    </row>
    <row r="1303" spans="1:11">
      <c r="B1303" s="1705">
        <v>6</v>
      </c>
      <c r="C1303" s="1683" t="s">
        <v>41</v>
      </c>
      <c r="D1303" s="1684" t="s">
        <v>172</v>
      </c>
      <c r="H1303" s="1701">
        <f>'SSR-rates'!H$102</f>
        <v>1261</v>
      </c>
      <c r="I1303" s="1701" t="s">
        <v>41</v>
      </c>
      <c r="J1303" s="1701">
        <f>ROUND(B1303*H1303,2)</f>
        <v>7566</v>
      </c>
    </row>
    <row r="1304" spans="1:11">
      <c r="B1304" s="1705">
        <v>6</v>
      </c>
      <c r="C1304" s="1683" t="s">
        <v>41</v>
      </c>
      <c r="D1304" s="1684" t="s">
        <v>173</v>
      </c>
      <c r="H1304" s="1701">
        <f>'SSR-rates'!H$65</f>
        <v>1844</v>
      </c>
      <c r="I1304" s="1701" t="s">
        <v>41</v>
      </c>
      <c r="J1304" s="1701">
        <f>ROUND(B1304*H1304,2)</f>
        <v>11064</v>
      </c>
    </row>
    <row r="1305" spans="1:11">
      <c r="B1305" s="1705">
        <v>15</v>
      </c>
      <c r="C1305" s="1683" t="s">
        <v>41</v>
      </c>
      <c r="D1305" s="1684" t="s">
        <v>174</v>
      </c>
      <c r="H1305" s="1701">
        <f>'SSR-rates'!H$104</f>
        <v>2532.4</v>
      </c>
      <c r="I1305" s="1701" t="s">
        <v>41</v>
      </c>
      <c r="J1305" s="1701">
        <f>ROUND(B1305*H1305,2)</f>
        <v>37986</v>
      </c>
    </row>
    <row r="1306" spans="1:11" s="1682" customFormat="1" ht="33.75" customHeight="1">
      <c r="A1306" s="1772"/>
      <c r="B1306" s="1705">
        <v>300</v>
      </c>
      <c r="C1306" s="1683" t="s">
        <v>180</v>
      </c>
      <c r="D1306" s="2965" t="s">
        <v>176</v>
      </c>
      <c r="E1306" s="2965"/>
      <c r="F1306" s="2965"/>
      <c r="G1306" s="2965"/>
      <c r="H1306" s="1701">
        <v>0</v>
      </c>
      <c r="I1306" s="1701" t="s">
        <v>41</v>
      </c>
      <c r="J1306" s="1701"/>
    </row>
    <row r="1307" spans="1:11">
      <c r="B1307" s="1705">
        <v>6</v>
      </c>
      <c r="C1307" s="1683" t="s">
        <v>41</v>
      </c>
      <c r="D1307" s="1687" t="s">
        <v>177</v>
      </c>
      <c r="H1307" s="1701">
        <f>'SSR-rates'!H$106</f>
        <v>899</v>
      </c>
      <c r="I1307" s="1701" t="s">
        <v>41</v>
      </c>
      <c r="J1307" s="1701">
        <f>ROUND(B1307*H1307,2)</f>
        <v>5394</v>
      </c>
    </row>
    <row r="1308" spans="1:11" ht="15" customHeight="1">
      <c r="B1308" s="1705"/>
      <c r="C1308" s="1688"/>
      <c r="D1308" s="1687" t="s">
        <v>60</v>
      </c>
      <c r="H1308" s="1701"/>
      <c r="I1308" s="1701"/>
      <c r="J1308" s="1701">
        <f>SUM(J1302:J1307)</f>
        <v>69244.800000000003</v>
      </c>
    </row>
    <row r="1309" spans="1:11">
      <c r="B1309" s="1715" t="s">
        <v>45</v>
      </c>
      <c r="C1309" s="1722" t="s">
        <v>71</v>
      </c>
      <c r="H1309" s="1701"/>
      <c r="I1309" s="1701"/>
      <c r="J1309" s="1701"/>
    </row>
    <row r="1310" spans="1:11">
      <c r="B1310" s="1687">
        <v>10</v>
      </c>
      <c r="C1310" s="1683" t="s">
        <v>29</v>
      </c>
      <c r="D1310" s="1684" t="s">
        <v>305</v>
      </c>
      <c r="H1310" s="1701">
        <f>J1294+J1300+J1308</f>
        <v>623538.14</v>
      </c>
      <c r="I1310" s="1716" t="s">
        <v>73</v>
      </c>
      <c r="J1310" s="1701">
        <f>ROUND(B1310*H1310/100,2)</f>
        <v>62353.81</v>
      </c>
    </row>
    <row r="1311" spans="1:11" ht="15" customHeight="1">
      <c r="A1311" s="1713"/>
      <c r="B1311" s="1715" t="s">
        <v>47</v>
      </c>
      <c r="C1311" s="1713" t="s">
        <v>44</v>
      </c>
      <c r="F1311" s="1683"/>
      <c r="G1311" s="1683"/>
      <c r="H1311" s="1683"/>
      <c r="I1311" s="1683"/>
      <c r="J1311" s="1741"/>
    </row>
    <row r="1312" spans="1:11" ht="29.25" customHeight="1">
      <c r="A1312" s="1713"/>
      <c r="B1312" s="1706">
        <f>'Input Data'!$D$25</f>
        <v>0</v>
      </c>
      <c r="C1312" s="2952" t="str">
        <f>"Over head charges "&amp;'Input Data'!$D$25*100&amp;"%  on (A) + (B)+(C)+(D)"</f>
        <v>Over head charges 0%  on (A) + (B)+(C)+(D)</v>
      </c>
      <c r="D1312" s="2953"/>
      <c r="E1312" s="2953"/>
      <c r="F1312" s="2953"/>
      <c r="G1312" s="2954"/>
      <c r="H1312" s="1688">
        <f>J1310+J1308+J1300+J1294</f>
        <v>685891.95</v>
      </c>
      <c r="I1312" s="1683"/>
      <c r="J1312" s="1701">
        <f>H1312*B1312</f>
        <v>0</v>
      </c>
    </row>
    <row r="1313" spans="1:10">
      <c r="A1313" s="1713"/>
      <c r="B1313" s="1715" t="s">
        <v>76</v>
      </c>
      <c r="C1313" s="1713" t="s">
        <v>77</v>
      </c>
      <c r="F1313" s="1683"/>
      <c r="G1313" s="1683"/>
      <c r="H1313" s="1683"/>
      <c r="I1313" s="1683"/>
      <c r="J1313" s="1770">
        <f>J1294+J1300+J1308+J1310+J1312</f>
        <v>685891.95</v>
      </c>
    </row>
    <row r="1314" spans="1:10">
      <c r="A1314" s="1713"/>
      <c r="B1314" s="1715" t="s">
        <v>78</v>
      </c>
      <c r="C1314" s="1713" t="s">
        <v>79</v>
      </c>
      <c r="F1314" s="1683"/>
      <c r="G1314" s="1683"/>
      <c r="H1314" s="1683"/>
      <c r="I1314" s="1683"/>
      <c r="J1314" s="1741">
        <f>J1313*10/100</f>
        <v>68589.195000000007</v>
      </c>
    </row>
    <row r="1315" spans="1:10">
      <c r="B1315" s="1705"/>
      <c r="C1315" s="1683"/>
      <c r="D1315" s="1722" t="s">
        <v>158</v>
      </c>
      <c r="H1315" s="1701"/>
      <c r="I1315" s="1701"/>
      <c r="J1315" s="1770">
        <f>SUM(J1313:J1314)</f>
        <v>754481.14500000002</v>
      </c>
    </row>
    <row r="1316" spans="1:10">
      <c r="B1316" s="1705"/>
      <c r="C1316" s="1683"/>
      <c r="D1316" s="1687" t="s">
        <v>81</v>
      </c>
      <c r="H1316" s="1701"/>
      <c r="I1316" s="1701"/>
      <c r="J1316" s="1701">
        <f>ROUND(J1315/120,2)</f>
        <v>6287.34</v>
      </c>
    </row>
    <row r="1317" spans="1:10">
      <c r="D1317" s="1687" t="s">
        <v>52</v>
      </c>
      <c r="H1317" s="1701"/>
      <c r="I1317" s="1701"/>
      <c r="J1317" s="1742">
        <f>ROUND(J1316,0)</f>
        <v>6287</v>
      </c>
    </row>
    <row r="1318" spans="1:10">
      <c r="D1318" s="1687"/>
      <c r="H1318" s="1701"/>
      <c r="I1318" s="1701"/>
      <c r="J1318" s="1741" t="s">
        <v>53</v>
      </c>
    </row>
    <row r="1320" spans="1:10" ht="126.75" customHeight="1">
      <c r="A1320" s="1759" t="s">
        <v>278</v>
      </c>
      <c r="B1320" s="2946" t="s">
        <v>306</v>
      </c>
      <c r="C1320" s="2946"/>
      <c r="D1320" s="2946"/>
      <c r="E1320" s="2946"/>
      <c r="F1320" s="2946"/>
      <c r="G1320" s="2946"/>
      <c r="H1320" s="2946"/>
      <c r="I1320" s="2946"/>
      <c r="J1320" s="2946"/>
    </row>
    <row r="1321" spans="1:10">
      <c r="D1321" s="1687" t="s">
        <v>10</v>
      </c>
      <c r="F1321" s="1713" t="s">
        <v>307</v>
      </c>
      <c r="J1321" s="1684"/>
    </row>
    <row r="1322" spans="1:10">
      <c r="D1322" s="1687" t="s">
        <v>170</v>
      </c>
      <c r="J1322" s="1684"/>
    </row>
    <row r="1323" spans="1:10">
      <c r="B1323" s="1715" t="s">
        <v>36</v>
      </c>
      <c r="C1323" s="1722" t="s">
        <v>37</v>
      </c>
      <c r="J1323" s="1684"/>
    </row>
    <row r="1324" spans="1:10">
      <c r="B1324" s="1705">
        <v>0.88</v>
      </c>
      <c r="C1324" s="1683" t="s">
        <v>57</v>
      </c>
      <c r="D1324" s="1687" t="s">
        <v>156</v>
      </c>
      <c r="H1324" s="1701">
        <f>'SSR-rates'!H$58</f>
        <v>490</v>
      </c>
      <c r="I1324" s="1716" t="s">
        <v>38</v>
      </c>
      <c r="J1324" s="1705">
        <f>ROUND(B1324*H1324,2)</f>
        <v>431.2</v>
      </c>
    </row>
    <row r="1325" spans="1:10">
      <c r="B1325" s="1705">
        <v>3</v>
      </c>
      <c r="C1325" s="1683" t="s">
        <v>57</v>
      </c>
      <c r="D1325" s="1687" t="s">
        <v>58</v>
      </c>
      <c r="H1325" s="1701">
        <f>'SSR-rates'!H59</f>
        <v>524</v>
      </c>
      <c r="I1325" s="1716" t="s">
        <v>38</v>
      </c>
      <c r="J1325" s="1705">
        <f>ROUND(B1325*H1325,2)</f>
        <v>1572</v>
      </c>
    </row>
    <row r="1326" spans="1:10">
      <c r="B1326" s="1705">
        <v>19</v>
      </c>
      <c r="C1326" s="1683" t="s">
        <v>57</v>
      </c>
      <c r="D1326" s="1687" t="s">
        <v>59</v>
      </c>
      <c r="H1326" s="1701">
        <f>'SSR-rates'!H$60</f>
        <v>490</v>
      </c>
      <c r="I1326" s="1716" t="s">
        <v>38</v>
      </c>
      <c r="J1326" s="1705">
        <f>ROUND(B1326*H1326,2)</f>
        <v>9310</v>
      </c>
    </row>
    <row r="1327" spans="1:10">
      <c r="A1327" s="1713"/>
      <c r="B1327" s="1702">
        <f>'Input Data'!$D$23</f>
        <v>0</v>
      </c>
      <c r="C1327" s="1688"/>
      <c r="D1327" s="1684" t="s">
        <v>17</v>
      </c>
      <c r="F1327" s="1683"/>
      <c r="G1327" s="1683"/>
      <c r="H1327" s="1701">
        <f>SUM(J1325:J1326)</f>
        <v>10882</v>
      </c>
      <c r="I1327" s="1716"/>
      <c r="J1327" s="1701">
        <f>B1327*H1327</f>
        <v>0</v>
      </c>
    </row>
    <row r="1328" spans="1:10">
      <c r="B1328" s="1705"/>
      <c r="C1328" s="1683"/>
      <c r="D1328" s="1687" t="s">
        <v>60</v>
      </c>
      <c r="H1328" s="1701"/>
      <c r="I1328" s="1701"/>
      <c r="J1328" s="1705">
        <f>SUM(J1324:J1327)</f>
        <v>11313.2</v>
      </c>
    </row>
    <row r="1329" spans="1:11">
      <c r="B1329" s="1715" t="s">
        <v>39</v>
      </c>
      <c r="C1329" s="1722" t="s">
        <v>61</v>
      </c>
      <c r="H1329" s="1701"/>
      <c r="I1329" s="1701"/>
      <c r="J1329" s="1701"/>
    </row>
    <row r="1330" spans="1:11">
      <c r="B1330" s="1705">
        <v>64.8</v>
      </c>
      <c r="C1330" s="1683" t="s">
        <v>31</v>
      </c>
      <c r="D1330" s="1684" t="s">
        <v>63</v>
      </c>
      <c r="H1330" s="1701">
        <f>lead!J$16</f>
        <v>2031.2187651278443</v>
      </c>
      <c r="I1330" s="1701" t="s">
        <v>31</v>
      </c>
      <c r="J1330" s="1701">
        <f>ROUND(B1330*H1330,2)</f>
        <v>131622.98000000001</v>
      </c>
    </row>
    <row r="1331" spans="1:11">
      <c r="B1331" s="1705">
        <v>43.2</v>
      </c>
      <c r="C1331" s="1683" t="s">
        <v>31</v>
      </c>
      <c r="D1331" s="1684" t="s">
        <v>64</v>
      </c>
      <c r="H1331" s="1701">
        <f>lead!J$18</f>
        <v>1780.2187651278443</v>
      </c>
      <c r="I1331" s="1701" t="s">
        <v>31</v>
      </c>
      <c r="J1331" s="1701">
        <f>ROUND(B1331*H1331,2)</f>
        <v>76905.45</v>
      </c>
    </row>
    <row r="1332" spans="1:11">
      <c r="B1332" s="1705">
        <v>54.6</v>
      </c>
      <c r="C1332" s="1683" t="s">
        <v>31</v>
      </c>
      <c r="D1332" s="1687" t="s">
        <v>65</v>
      </c>
      <c r="H1332" s="1701">
        <f>lead!J12</f>
        <v>1684.4687651278443</v>
      </c>
      <c r="I1332" s="1701" t="s">
        <v>31</v>
      </c>
      <c r="J1332" s="1701">
        <f>ROUND(B1332*H1332,2)</f>
        <v>91971.99</v>
      </c>
    </row>
    <row r="1333" spans="1:11">
      <c r="B1333" s="1818">
        <v>48.79</v>
      </c>
      <c r="C1333" s="1683" t="s">
        <v>66</v>
      </c>
      <c r="D1333" s="1687" t="s">
        <v>67</v>
      </c>
      <c r="H1333" s="1701">
        <f>lead!J$36</f>
        <v>5000</v>
      </c>
      <c r="I1333" s="1701" t="s">
        <v>66</v>
      </c>
      <c r="J1333" s="1701">
        <f>ROUND(B1333*H1333,2)</f>
        <v>243950</v>
      </c>
    </row>
    <row r="1334" spans="1:11">
      <c r="B1334" s="1687"/>
      <c r="D1334" s="1687" t="s">
        <v>60</v>
      </c>
      <c r="H1334" s="1701"/>
      <c r="I1334" s="1701"/>
      <c r="J1334" s="1701">
        <f>SUM(J1330:J1333)</f>
        <v>544450.41999999993</v>
      </c>
      <c r="K1334" s="1687"/>
    </row>
    <row r="1335" spans="1:11">
      <c r="B1335" s="1715" t="s">
        <v>27</v>
      </c>
      <c r="C1335" s="1722" t="s">
        <v>40</v>
      </c>
      <c r="H1335" s="1701"/>
      <c r="I1335" s="1701"/>
      <c r="J1335" s="1701"/>
    </row>
    <row r="1336" spans="1:11">
      <c r="B1336" s="1705">
        <v>6</v>
      </c>
      <c r="C1336" s="1683" t="s">
        <v>41</v>
      </c>
      <c r="D1336" s="1684" t="s">
        <v>171</v>
      </c>
      <c r="H1336" s="1701">
        <f>'SSR-rates'!H$100</f>
        <v>1205.8</v>
      </c>
      <c r="I1336" s="1701" t="s">
        <v>41</v>
      </c>
      <c r="J1336" s="1701">
        <f>ROUND(B1336*H1336,2)</f>
        <v>7234.8</v>
      </c>
    </row>
    <row r="1337" spans="1:11">
      <c r="B1337" s="1705">
        <v>6</v>
      </c>
      <c r="C1337" s="1683" t="s">
        <v>41</v>
      </c>
      <c r="D1337" s="1684" t="s">
        <v>172</v>
      </c>
      <c r="H1337" s="1701">
        <f>'SSR-rates'!H$102</f>
        <v>1261</v>
      </c>
      <c r="I1337" s="1701" t="s">
        <v>41</v>
      </c>
      <c r="J1337" s="1701">
        <f>ROUND(B1337*H1337,2)</f>
        <v>7566</v>
      </c>
    </row>
    <row r="1338" spans="1:11">
      <c r="B1338" s="1705">
        <v>6</v>
      </c>
      <c r="C1338" s="1683" t="s">
        <v>41</v>
      </c>
      <c r="D1338" s="1684" t="s">
        <v>173</v>
      </c>
      <c r="H1338" s="1701">
        <f>'SSR-rates'!H$65</f>
        <v>1844</v>
      </c>
      <c r="I1338" s="1701" t="s">
        <v>41</v>
      </c>
      <c r="J1338" s="1701">
        <f>ROUND(B1338*H1338,2)</f>
        <v>11064</v>
      </c>
    </row>
    <row r="1339" spans="1:11">
      <c r="B1339" s="1705">
        <v>15</v>
      </c>
      <c r="C1339" s="1683" t="s">
        <v>41</v>
      </c>
      <c r="D1339" s="1684" t="s">
        <v>174</v>
      </c>
      <c r="H1339" s="1701">
        <f>'SSR-rates'!H$104</f>
        <v>2532.4</v>
      </c>
      <c r="I1339" s="1701" t="s">
        <v>41</v>
      </c>
      <c r="J1339" s="1701">
        <f>ROUND(B1339*H1339,2)</f>
        <v>37986</v>
      </c>
    </row>
    <row r="1340" spans="1:11" s="1682" customFormat="1" ht="33.75" customHeight="1">
      <c r="A1340" s="1772"/>
      <c r="B1340" s="1705">
        <v>300</v>
      </c>
      <c r="C1340" s="1683" t="s">
        <v>180</v>
      </c>
      <c r="D1340" s="2965" t="s">
        <v>176</v>
      </c>
      <c r="E1340" s="2965"/>
      <c r="F1340" s="2965"/>
      <c r="G1340" s="2965"/>
      <c r="H1340" s="1701">
        <v>0</v>
      </c>
      <c r="I1340" s="1701" t="s">
        <v>41</v>
      </c>
      <c r="J1340" s="1701"/>
    </row>
    <row r="1341" spans="1:11">
      <c r="B1341" s="1705">
        <v>6</v>
      </c>
      <c r="C1341" s="1683" t="s">
        <v>41</v>
      </c>
      <c r="D1341" s="1687" t="s">
        <v>177</v>
      </c>
      <c r="H1341" s="1701">
        <f>'SSR-rates'!H$106</f>
        <v>899</v>
      </c>
      <c r="I1341" s="1701" t="s">
        <v>41</v>
      </c>
      <c r="J1341" s="1701">
        <f>ROUND(B1341*H1341,2)</f>
        <v>5394</v>
      </c>
    </row>
    <row r="1342" spans="1:11" ht="15" customHeight="1">
      <c r="B1342" s="1705"/>
      <c r="C1342" s="1688"/>
      <c r="D1342" s="1687" t="s">
        <v>60</v>
      </c>
      <c r="H1342" s="1701"/>
      <c r="I1342" s="1701"/>
      <c r="J1342" s="1701">
        <f>SUM(J1336:J1341)</f>
        <v>69244.800000000003</v>
      </c>
    </row>
    <row r="1343" spans="1:11">
      <c r="B1343" s="1715" t="s">
        <v>45</v>
      </c>
      <c r="C1343" s="1722" t="s">
        <v>71</v>
      </c>
      <c r="H1343" s="1701"/>
      <c r="I1343" s="1701"/>
      <c r="J1343" s="1701"/>
    </row>
    <row r="1344" spans="1:11">
      <c r="B1344" s="1687">
        <v>20</v>
      </c>
      <c r="C1344" s="1683" t="s">
        <v>29</v>
      </c>
      <c r="D1344" s="1684" t="s">
        <v>161</v>
      </c>
      <c r="H1344" s="1701">
        <f>J1328+J1334+J1342</f>
        <v>625008.41999999993</v>
      </c>
      <c r="I1344" s="1716" t="s">
        <v>73</v>
      </c>
      <c r="J1344" s="1701">
        <f>ROUND(B1344*H1344/100,2)</f>
        <v>125001.68</v>
      </c>
    </row>
    <row r="1345" spans="1:10" ht="15" customHeight="1">
      <c r="A1345" s="1713"/>
      <c r="B1345" s="1715" t="s">
        <v>47</v>
      </c>
      <c r="C1345" s="1713" t="s">
        <v>44</v>
      </c>
      <c r="F1345" s="1683"/>
      <c r="G1345" s="1683"/>
      <c r="H1345" s="1683"/>
      <c r="I1345" s="1683"/>
      <c r="J1345" s="1741"/>
    </row>
    <row r="1346" spans="1:10" ht="29.25" customHeight="1">
      <c r="A1346" s="1713"/>
      <c r="B1346" s="1706">
        <f>'Input Data'!$D$25</f>
        <v>0</v>
      </c>
      <c r="C1346" s="2952" t="str">
        <f>"Over head charges "&amp;'Input Data'!$D$25*100&amp;"%  on (A) + (B)+(C)+(D)"</f>
        <v>Over head charges 0%  on (A) + (B)+(C)+(D)</v>
      </c>
      <c r="D1346" s="2953"/>
      <c r="E1346" s="2953"/>
      <c r="F1346" s="2953"/>
      <c r="G1346" s="2954"/>
      <c r="H1346" s="1688">
        <f>J1344+J1342+J1334+J1328</f>
        <v>750010.09999999986</v>
      </c>
      <c r="I1346" s="1683"/>
      <c r="J1346" s="1701">
        <f>H1346*B1346</f>
        <v>0</v>
      </c>
    </row>
    <row r="1347" spans="1:10">
      <c r="A1347" s="1713"/>
      <c r="B1347" s="1715" t="s">
        <v>76</v>
      </c>
      <c r="C1347" s="1713" t="s">
        <v>77</v>
      </c>
      <c r="F1347" s="1683"/>
      <c r="G1347" s="1683"/>
      <c r="H1347" s="1683"/>
      <c r="I1347" s="1683"/>
      <c r="J1347" s="1741">
        <f>J1328+J1334+J1342+J1344+J1346</f>
        <v>750010.09999999986</v>
      </c>
    </row>
    <row r="1348" spans="1:10">
      <c r="A1348" s="1713"/>
      <c r="B1348" s="1715" t="s">
        <v>78</v>
      </c>
      <c r="C1348" s="1713" t="s">
        <v>79</v>
      </c>
      <c r="F1348" s="1683"/>
      <c r="G1348" s="1683"/>
      <c r="H1348" s="1683"/>
      <c r="I1348" s="1683"/>
      <c r="J1348" s="1741">
        <f>J1347*10/100</f>
        <v>75001.00999999998</v>
      </c>
    </row>
    <row r="1349" spans="1:10">
      <c r="B1349" s="1705"/>
      <c r="C1349" s="1683"/>
      <c r="D1349" s="1722" t="s">
        <v>158</v>
      </c>
      <c r="H1349" s="1701"/>
      <c r="I1349" s="1701"/>
      <c r="J1349" s="1741">
        <f>SUM(J1347:J1348)</f>
        <v>825011.10999999987</v>
      </c>
    </row>
    <row r="1350" spans="1:10">
      <c r="B1350" s="1705"/>
      <c r="C1350" s="1683"/>
      <c r="D1350" s="1687" t="s">
        <v>81</v>
      </c>
      <c r="H1350" s="1701"/>
      <c r="I1350" s="1701"/>
      <c r="J1350" s="1701">
        <f>ROUND(J1349/120,2)</f>
        <v>6875.09</v>
      </c>
    </row>
    <row r="1351" spans="1:10">
      <c r="D1351" s="1687" t="s">
        <v>52</v>
      </c>
      <c r="H1351" s="1701"/>
      <c r="I1351" s="1701"/>
      <c r="J1351" s="1742">
        <f>ROUND(J1350,0)</f>
        <v>6875</v>
      </c>
    </row>
    <row r="1352" spans="1:10">
      <c r="D1352" s="1687"/>
      <c r="H1352" s="1701"/>
      <c r="I1352" s="1701"/>
      <c r="J1352" s="1741" t="s">
        <v>53</v>
      </c>
    </row>
    <row r="1354" spans="1:10" ht="56.25" customHeight="1">
      <c r="A1354" s="1710">
        <v>16</v>
      </c>
      <c r="B1354" s="2946" t="s">
        <v>308</v>
      </c>
      <c r="C1354" s="2946"/>
      <c r="D1354" s="2946"/>
      <c r="E1354" s="2946"/>
      <c r="F1354" s="2946"/>
      <c r="G1354" s="2946"/>
      <c r="H1354" s="2946"/>
      <c r="I1354" s="2946"/>
      <c r="J1354" s="2946"/>
    </row>
    <row r="1355" spans="1:10">
      <c r="A1355" s="1713"/>
      <c r="B1355" s="2947" t="s">
        <v>309</v>
      </c>
      <c r="C1355" s="2947"/>
      <c r="D1355" s="1712"/>
      <c r="E1355" s="1712"/>
      <c r="F1355" s="1712"/>
      <c r="G1355" s="1712"/>
      <c r="H1355" s="1714"/>
      <c r="I1355" s="1714"/>
      <c r="J1355" s="1714"/>
    </row>
    <row r="1356" spans="1:10">
      <c r="A1356" s="1713"/>
      <c r="B1356" s="2947" t="s">
        <v>310</v>
      </c>
      <c r="C1356" s="2947"/>
      <c r="D1356" s="2947"/>
      <c r="E1356" s="2947"/>
      <c r="F1356" s="1713" t="s">
        <v>311</v>
      </c>
      <c r="G1356" s="1712"/>
      <c r="H1356" s="1714"/>
      <c r="I1356" s="1714"/>
      <c r="J1356" s="1714"/>
    </row>
    <row r="1357" spans="1:10">
      <c r="A1357" s="1713"/>
      <c r="B1357" s="1715" t="s">
        <v>36</v>
      </c>
      <c r="C1357" s="1713" t="s">
        <v>37</v>
      </c>
      <c r="D1357" s="1712"/>
      <c r="E1357" s="1712"/>
      <c r="F1357" s="1712"/>
      <c r="G1357" s="1712"/>
      <c r="H1357" s="1714"/>
      <c r="I1357" s="1714"/>
      <c r="J1357" s="1714"/>
    </row>
    <row r="1358" spans="1:10">
      <c r="A1358" s="1713"/>
      <c r="B1358" s="1734">
        <v>0.04</v>
      </c>
      <c r="C1358" s="1688" t="s">
        <v>38</v>
      </c>
      <c r="D1358" s="1712"/>
      <c r="E1358" s="1683" t="s">
        <v>14</v>
      </c>
      <c r="F1358" s="1712"/>
      <c r="G1358" s="1712"/>
      <c r="H1358" s="1701">
        <f>'SSR-rates'!$H$58</f>
        <v>490</v>
      </c>
      <c r="I1358" s="1716" t="s">
        <v>38</v>
      </c>
      <c r="J1358" s="1701">
        <f>ROUND(B1358*H1358,2)</f>
        <v>19.600000000000001</v>
      </c>
    </row>
    <row r="1359" spans="1:10">
      <c r="A1359" s="1713"/>
      <c r="B1359" s="1701">
        <v>0.5</v>
      </c>
      <c r="C1359" s="1688" t="s">
        <v>38</v>
      </c>
      <c r="D1359" s="1683"/>
      <c r="E1359" s="1683" t="s">
        <v>312</v>
      </c>
      <c r="F1359" s="1683"/>
      <c r="G1359" s="1683"/>
      <c r="H1359" s="1701">
        <f>'SSR-rates'!H60</f>
        <v>490</v>
      </c>
      <c r="I1359" s="1716" t="s">
        <v>38</v>
      </c>
      <c r="J1359" s="1701">
        <f>ROUND(B1359*H1359,2)</f>
        <v>245</v>
      </c>
    </row>
    <row r="1360" spans="1:10">
      <c r="A1360" s="1713"/>
      <c r="B1360" s="1701">
        <v>0.5</v>
      </c>
      <c r="C1360" s="1688" t="s">
        <v>38</v>
      </c>
      <c r="D1360" s="1683"/>
      <c r="E1360" s="1683" t="s">
        <v>15</v>
      </c>
      <c r="F1360" s="1683"/>
      <c r="G1360" s="1683"/>
      <c r="H1360" s="1701">
        <f>'SSR-rates'!H59</f>
        <v>524</v>
      </c>
      <c r="I1360" s="1716" t="s">
        <v>38</v>
      </c>
      <c r="J1360" s="1701">
        <f>ROUND(B1360*H1360,2)</f>
        <v>262</v>
      </c>
    </row>
    <row r="1361" spans="1:10" ht="15.75" customHeight="1">
      <c r="A1361" s="1713"/>
      <c r="B1361" s="1702">
        <f>'Input Data'!$D$23</f>
        <v>0</v>
      </c>
      <c r="C1361" s="1688"/>
      <c r="D1361" s="1684" t="s">
        <v>17</v>
      </c>
      <c r="F1361" s="1683"/>
      <c r="G1361" s="1683"/>
      <c r="H1361" s="1701">
        <f>SUM(J1359:J1360)</f>
        <v>507</v>
      </c>
      <c r="I1361" s="1716"/>
      <c r="J1361" s="1701">
        <f>B1361*H1361</f>
        <v>0</v>
      </c>
    </row>
    <row r="1362" spans="1:10">
      <c r="A1362" s="1713"/>
      <c r="B1362" s="1701"/>
      <c r="C1362" s="1688"/>
      <c r="D1362" s="1683"/>
      <c r="E1362" s="1683"/>
      <c r="F1362" s="1683"/>
      <c r="G1362" s="1683"/>
      <c r="H1362" s="1701"/>
      <c r="I1362" s="1716"/>
      <c r="J1362" s="1701">
        <f>SUM(J1358:J1361)</f>
        <v>526.6</v>
      </c>
    </row>
    <row r="1363" spans="1:10">
      <c r="A1363" s="1713"/>
      <c r="B1363" s="1715" t="s">
        <v>39</v>
      </c>
      <c r="C1363" s="1713" t="s">
        <v>61</v>
      </c>
      <c r="F1363" s="1683"/>
      <c r="G1363" s="1683"/>
      <c r="H1363" s="1683"/>
      <c r="I1363" s="1683"/>
      <c r="J1363" s="1684"/>
    </row>
    <row r="1364" spans="1:10" ht="38.25" customHeight="1">
      <c r="A1364" s="1713"/>
      <c r="B1364" s="1719">
        <v>55</v>
      </c>
      <c r="C1364" s="1718" t="s">
        <v>191</v>
      </c>
      <c r="D1364" s="2951" t="s">
        <v>313</v>
      </c>
      <c r="E1364" s="2951"/>
      <c r="F1364" s="2951"/>
      <c r="G1364" s="2951"/>
      <c r="H1364" s="1819">
        <v>605</v>
      </c>
      <c r="I1364" s="1719" t="s">
        <v>191</v>
      </c>
      <c r="J1364" s="1719">
        <f>ROUND(B1364*H1364,2)</f>
        <v>33275</v>
      </c>
    </row>
    <row r="1365" spans="1:10">
      <c r="A1365" s="1713"/>
      <c r="B1365" s="1719"/>
      <c r="C1365" s="1718"/>
      <c r="D1365" s="1720"/>
      <c r="E1365" s="1720"/>
      <c r="F1365" s="1720"/>
      <c r="G1365" s="1720"/>
      <c r="H1365" s="1719"/>
      <c r="I1365" s="1719"/>
      <c r="J1365" s="1719">
        <f>SUM(J1364:J1364)</f>
        <v>33275</v>
      </c>
    </row>
    <row r="1366" spans="1:10">
      <c r="A1366" s="1713"/>
      <c r="B1366" s="1701"/>
      <c r="C1366" s="1688"/>
      <c r="D1366" s="1683"/>
      <c r="F1366" s="1683"/>
      <c r="G1366" s="1683"/>
      <c r="H1366" s="1701"/>
      <c r="I1366" s="1701"/>
      <c r="J1366" s="1684"/>
    </row>
    <row r="1367" spans="1:10">
      <c r="B1367" s="1706">
        <f>'Input Data'!$D$25</f>
        <v>0</v>
      </c>
      <c r="C1367" s="1683" t="str">
        <f>"Over head charges "&amp;'Input Data'!$D$25*100&amp;"%  on (A) + (B)"</f>
        <v>Over head charges 0%  on (A) + (B)</v>
      </c>
      <c r="H1367" s="1687">
        <f>J1365+J1362</f>
        <v>33801.599999999999</v>
      </c>
      <c r="J1367" s="1701">
        <f>H1367*B1367</f>
        <v>0</v>
      </c>
    </row>
    <row r="1368" spans="1:10">
      <c r="A1368" s="1713"/>
      <c r="B1368" s="1715" t="s">
        <v>45</v>
      </c>
      <c r="C1368" s="1683" t="s">
        <v>46</v>
      </c>
      <c r="F1368" s="1683"/>
      <c r="G1368" s="1683"/>
      <c r="H1368" s="1683"/>
      <c r="I1368" s="1683"/>
      <c r="J1368" s="1741">
        <f>J1362+J1365+J1367</f>
        <v>33801.599999999999</v>
      </c>
    </row>
    <row r="1369" spans="1:10">
      <c r="A1369" s="1713"/>
      <c r="B1369" s="1715" t="s">
        <v>47</v>
      </c>
      <c r="C1369" s="1683" t="s">
        <v>48</v>
      </c>
      <c r="D1369" s="1683"/>
      <c r="F1369" s="1683"/>
      <c r="G1369" s="1683"/>
      <c r="H1369" s="1683"/>
      <c r="I1369" s="1683"/>
      <c r="J1369" s="1741">
        <f>J1368*10/100</f>
        <v>3380.16</v>
      </c>
    </row>
    <row r="1370" spans="1:10">
      <c r="A1370" s="1713"/>
      <c r="B1370" s="1683"/>
      <c r="C1370" s="1683" t="s">
        <v>314</v>
      </c>
      <c r="D1370" s="1683"/>
      <c r="F1370" s="1683"/>
      <c r="G1370" s="1683"/>
      <c r="H1370" s="1683"/>
      <c r="I1370" s="1683"/>
      <c r="J1370" s="1741">
        <f>SUM(J1368:J1369)</f>
        <v>37181.759999999995</v>
      </c>
    </row>
    <row r="1371" spans="1:10">
      <c r="A1371" s="1713"/>
      <c r="B1371" s="1683"/>
      <c r="C1371" s="1683" t="s">
        <v>127</v>
      </c>
      <c r="D1371" s="1683"/>
      <c r="F1371" s="1683"/>
      <c r="G1371" s="1683"/>
      <c r="H1371" s="1683"/>
      <c r="I1371" s="1683"/>
      <c r="J1371" s="1701">
        <f>J1370/12</f>
        <v>3098.4799999999996</v>
      </c>
    </row>
    <row r="1372" spans="1:10">
      <c r="A1372" s="1713"/>
      <c r="B1372" s="1701"/>
      <c r="C1372" s="1688"/>
      <c r="D1372" s="2959" t="s">
        <v>315</v>
      </c>
      <c r="E1372" s="2960"/>
      <c r="F1372" s="1687"/>
      <c r="G1372" s="1687"/>
      <c r="H1372" s="1705"/>
      <c r="I1372" s="1687"/>
      <c r="J1372" s="1742">
        <f>ROUND(J1371,0)</f>
        <v>3098</v>
      </c>
    </row>
    <row r="1374" spans="1:10" ht="126.75" customHeight="1">
      <c r="A1374" s="1759" t="s">
        <v>278</v>
      </c>
      <c r="B1374" s="2946" t="s">
        <v>306</v>
      </c>
      <c r="C1374" s="2946"/>
      <c r="D1374" s="2946"/>
      <c r="E1374" s="2946"/>
      <c r="F1374" s="2946"/>
      <c r="G1374" s="2946"/>
      <c r="H1374" s="2946"/>
      <c r="I1374" s="2946"/>
      <c r="J1374" s="2946"/>
    </row>
    <row r="1375" spans="1:10">
      <c r="D1375" s="1687" t="s">
        <v>10</v>
      </c>
      <c r="F1375" s="1713" t="s">
        <v>307</v>
      </c>
      <c r="J1375" s="1684"/>
    </row>
    <row r="1376" spans="1:10">
      <c r="D1376" s="1687" t="s">
        <v>170</v>
      </c>
      <c r="J1376" s="1684"/>
    </row>
    <row r="1377" spans="1:11">
      <c r="B1377" s="1715" t="s">
        <v>36</v>
      </c>
      <c r="C1377" s="1722" t="s">
        <v>37</v>
      </c>
      <c r="J1377" s="1684"/>
    </row>
    <row r="1378" spans="1:11">
      <c r="B1378" s="1705">
        <v>0.88</v>
      </c>
      <c r="C1378" s="1683" t="s">
        <v>57</v>
      </c>
      <c r="D1378" s="1687" t="s">
        <v>156</v>
      </c>
      <c r="H1378" s="1701">
        <f>'SSR-rates'!H$58</f>
        <v>490</v>
      </c>
      <c r="I1378" s="1716" t="s">
        <v>38</v>
      </c>
      <c r="J1378" s="1705">
        <f>ROUND(B1378*H1378,2)</f>
        <v>431.2</v>
      </c>
    </row>
    <row r="1379" spans="1:11">
      <c r="B1379" s="1705">
        <v>3</v>
      </c>
      <c r="C1379" s="1683" t="s">
        <v>57</v>
      </c>
      <c r="D1379" s="1687" t="s">
        <v>58</v>
      </c>
      <c r="H1379" s="1701">
        <v>357</v>
      </c>
      <c r="I1379" s="1716" t="s">
        <v>38</v>
      </c>
      <c r="J1379" s="1705">
        <f>ROUND(B1379*H1379,2)</f>
        <v>1071</v>
      </c>
    </row>
    <row r="1380" spans="1:11">
      <c r="B1380" s="1705">
        <v>19</v>
      </c>
      <c r="C1380" s="1683" t="s">
        <v>57</v>
      </c>
      <c r="D1380" s="1687" t="s">
        <v>59</v>
      </c>
      <c r="H1380" s="1701">
        <f>'SSR-rates'!H$60</f>
        <v>490</v>
      </c>
      <c r="I1380" s="1716" t="s">
        <v>38</v>
      </c>
      <c r="J1380" s="1705">
        <f>ROUND(B1380*H1380,2)</f>
        <v>9310</v>
      </c>
    </row>
    <row r="1381" spans="1:11">
      <c r="A1381" s="1713"/>
      <c r="B1381" s="1702">
        <f>'Input Data'!$D$23</f>
        <v>0</v>
      </c>
      <c r="C1381" s="1688"/>
      <c r="D1381" s="1684" t="s">
        <v>17</v>
      </c>
      <c r="F1381" s="1683"/>
      <c r="G1381" s="1683"/>
      <c r="H1381" s="1701">
        <f>SUM(J1379:J1380)</f>
        <v>10381</v>
      </c>
      <c r="I1381" s="1716"/>
      <c r="J1381" s="1701">
        <f>B1381*H1381</f>
        <v>0</v>
      </c>
    </row>
    <row r="1382" spans="1:11">
      <c r="B1382" s="1705"/>
      <c r="C1382" s="1683"/>
      <c r="D1382" s="1687" t="s">
        <v>60</v>
      </c>
      <c r="H1382" s="1701"/>
      <c r="I1382" s="1701"/>
      <c r="J1382" s="1705">
        <f>SUM(J1378:J1381)</f>
        <v>10812.2</v>
      </c>
    </row>
    <row r="1383" spans="1:11">
      <c r="B1383" s="1715" t="s">
        <v>39</v>
      </c>
      <c r="C1383" s="1722" t="s">
        <v>61</v>
      </c>
      <c r="H1383" s="1701"/>
      <c r="I1383" s="1701"/>
      <c r="J1383" s="1701"/>
    </row>
    <row r="1384" spans="1:11">
      <c r="B1384" s="1705">
        <v>64.8</v>
      </c>
      <c r="C1384" s="1683" t="s">
        <v>31</v>
      </c>
      <c r="D1384" s="1684" t="s">
        <v>63</v>
      </c>
      <c r="H1384" s="1701">
        <f>lead!J$16</f>
        <v>2031.2187651278443</v>
      </c>
      <c r="I1384" s="1701" t="s">
        <v>31</v>
      </c>
      <c r="J1384" s="1701">
        <f>ROUND(B1384*H1384,2)</f>
        <v>131622.98000000001</v>
      </c>
    </row>
    <row r="1385" spans="1:11">
      <c r="B1385" s="1705">
        <v>43.2</v>
      </c>
      <c r="C1385" s="1683" t="s">
        <v>31</v>
      </c>
      <c r="D1385" s="1684" t="s">
        <v>64</v>
      </c>
      <c r="H1385" s="1701">
        <f>lead!J$18</f>
        <v>1780.2187651278443</v>
      </c>
      <c r="I1385" s="1701" t="s">
        <v>31</v>
      </c>
      <c r="J1385" s="1701">
        <f>ROUND(B1385*H1385,2)</f>
        <v>76905.45</v>
      </c>
    </row>
    <row r="1386" spans="1:11">
      <c r="B1386" s="1705">
        <v>54.6</v>
      </c>
      <c r="C1386" s="1683" t="s">
        <v>31</v>
      </c>
      <c r="D1386" s="1687" t="s">
        <v>65</v>
      </c>
      <c r="H1386" s="1701">
        <f>lead!J12</f>
        <v>1684.4687651278443</v>
      </c>
      <c r="I1386" s="1701" t="s">
        <v>31</v>
      </c>
      <c r="J1386" s="1701">
        <f>ROUND(B1386*H1386,2)</f>
        <v>91971.99</v>
      </c>
    </row>
    <row r="1387" spans="1:11">
      <c r="B1387" s="1818">
        <v>48.79</v>
      </c>
      <c r="C1387" s="1683" t="s">
        <v>66</v>
      </c>
      <c r="D1387" s="1687" t="s">
        <v>67</v>
      </c>
      <c r="H1387" s="1701">
        <f>lead!J$36</f>
        <v>5000</v>
      </c>
      <c r="I1387" s="1701" t="s">
        <v>66</v>
      </c>
      <c r="J1387" s="1701">
        <f>ROUND(B1387*H1387,2)</f>
        <v>243950</v>
      </c>
    </row>
    <row r="1388" spans="1:11">
      <c r="B1388" s="1687"/>
      <c r="D1388" s="1687" t="s">
        <v>60</v>
      </c>
      <c r="H1388" s="1701"/>
      <c r="I1388" s="1701"/>
      <c r="J1388" s="1701">
        <f>SUM(J1384:J1387)</f>
        <v>544450.41999999993</v>
      </c>
      <c r="K1388" s="1687"/>
    </row>
    <row r="1389" spans="1:11">
      <c r="B1389" s="1715" t="s">
        <v>27</v>
      </c>
      <c r="C1389" s="1722" t="s">
        <v>40</v>
      </c>
      <c r="H1389" s="1701"/>
      <c r="I1389" s="1701"/>
      <c r="J1389" s="1701"/>
    </row>
    <row r="1390" spans="1:11">
      <c r="B1390" s="1705">
        <v>6</v>
      </c>
      <c r="C1390" s="1683" t="s">
        <v>41</v>
      </c>
      <c r="D1390" s="1684" t="s">
        <v>171</v>
      </c>
      <c r="H1390" s="1701">
        <f>'SSR-rates'!H$100</f>
        <v>1205.8</v>
      </c>
      <c r="I1390" s="1701" t="s">
        <v>41</v>
      </c>
      <c r="J1390" s="1701">
        <f>ROUND(B1390*H1390,2)</f>
        <v>7234.8</v>
      </c>
    </row>
    <row r="1391" spans="1:11">
      <c r="B1391" s="1705">
        <v>6</v>
      </c>
      <c r="C1391" s="1683" t="s">
        <v>41</v>
      </c>
      <c r="D1391" s="1684" t="s">
        <v>172</v>
      </c>
      <c r="H1391" s="1701">
        <f>'SSR-rates'!H$102</f>
        <v>1261</v>
      </c>
      <c r="I1391" s="1701" t="s">
        <v>41</v>
      </c>
      <c r="J1391" s="1701">
        <f>ROUND(B1391*H1391,2)</f>
        <v>7566</v>
      </c>
    </row>
    <row r="1392" spans="1:11">
      <c r="B1392" s="1705">
        <v>6</v>
      </c>
      <c r="C1392" s="1683" t="s">
        <v>41</v>
      </c>
      <c r="D1392" s="1684" t="s">
        <v>173</v>
      </c>
      <c r="H1392" s="1701">
        <f>'SSR-rates'!H$65</f>
        <v>1844</v>
      </c>
      <c r="I1392" s="1701" t="s">
        <v>41</v>
      </c>
      <c r="J1392" s="1701">
        <f>ROUND(B1392*H1392,2)</f>
        <v>11064</v>
      </c>
    </row>
    <row r="1393" spans="1:10">
      <c r="B1393" s="1705">
        <v>15</v>
      </c>
      <c r="C1393" s="1683" t="s">
        <v>41</v>
      </c>
      <c r="D1393" s="1684" t="s">
        <v>174</v>
      </c>
      <c r="H1393" s="1701">
        <f>'SSR-rates'!H$104</f>
        <v>2532.4</v>
      </c>
      <c r="I1393" s="1701" t="s">
        <v>41</v>
      </c>
      <c r="J1393" s="1701">
        <f>ROUND(B1393*H1393,2)</f>
        <v>37986</v>
      </c>
    </row>
    <row r="1394" spans="1:10" s="1682" customFormat="1" ht="33.75" customHeight="1">
      <c r="A1394" s="1772"/>
      <c r="B1394" s="1705">
        <v>300</v>
      </c>
      <c r="C1394" s="1683" t="s">
        <v>180</v>
      </c>
      <c r="D1394" s="2965" t="s">
        <v>176</v>
      </c>
      <c r="E1394" s="2965"/>
      <c r="F1394" s="2965"/>
      <c r="G1394" s="2965"/>
      <c r="H1394" s="1701">
        <v>0</v>
      </c>
      <c r="I1394" s="1701" t="s">
        <v>41</v>
      </c>
      <c r="J1394" s="1701">
        <f>ROUND(B1394*H1394*'Input Data'!$E$17,2)</f>
        <v>0</v>
      </c>
    </row>
    <row r="1395" spans="1:10">
      <c r="B1395" s="1705">
        <v>6</v>
      </c>
      <c r="C1395" s="1683" t="s">
        <v>41</v>
      </c>
      <c r="D1395" s="1687" t="s">
        <v>177</v>
      </c>
      <c r="H1395" s="1701">
        <f>'SSR-rates'!H$106</f>
        <v>899</v>
      </c>
      <c r="I1395" s="1701" t="s">
        <v>41</v>
      </c>
      <c r="J1395" s="1701">
        <f>ROUND(B1395*H1395,2)</f>
        <v>5394</v>
      </c>
    </row>
    <row r="1396" spans="1:10" ht="15" customHeight="1">
      <c r="B1396" s="1705"/>
      <c r="C1396" s="1688"/>
      <c r="D1396" s="1687" t="s">
        <v>60</v>
      </c>
      <c r="H1396" s="1701"/>
      <c r="I1396" s="1701"/>
      <c r="J1396" s="1701">
        <f>SUM(J1390:J1395)</f>
        <v>69244.800000000003</v>
      </c>
    </row>
    <row r="1397" spans="1:10">
      <c r="B1397" s="1715" t="s">
        <v>45</v>
      </c>
      <c r="C1397" s="1722" t="s">
        <v>71</v>
      </c>
      <c r="H1397" s="1701"/>
      <c r="I1397" s="1701"/>
      <c r="J1397" s="1701"/>
    </row>
    <row r="1398" spans="1:10">
      <c r="B1398" s="1687">
        <v>20</v>
      </c>
      <c r="C1398" s="1683" t="s">
        <v>29</v>
      </c>
      <c r="D1398" s="1684" t="s">
        <v>302</v>
      </c>
      <c r="H1398" s="1701">
        <f>J1382+J1388+J1396</f>
        <v>624507.41999999993</v>
      </c>
      <c r="I1398" s="1716" t="s">
        <v>73</v>
      </c>
      <c r="J1398" s="1701">
        <f>ROUND(B1398*H1398/100,2)</f>
        <v>124901.48</v>
      </c>
    </row>
    <row r="1399" spans="1:10" ht="15" customHeight="1">
      <c r="A1399" s="1713"/>
      <c r="B1399" s="1715" t="s">
        <v>47</v>
      </c>
      <c r="C1399" s="1713" t="s">
        <v>44</v>
      </c>
      <c r="F1399" s="1683"/>
      <c r="G1399" s="1683"/>
      <c r="H1399" s="1683"/>
      <c r="I1399" s="1683"/>
      <c r="J1399" s="1741"/>
    </row>
    <row r="1400" spans="1:10" ht="29.25" customHeight="1">
      <c r="A1400" s="1713"/>
      <c r="B1400" s="1706"/>
      <c r="C1400" s="2952" t="str">
        <f>"Over head charges "&amp;'Input Data'!$D$25*100&amp;"%  on (A) + (B)+(C)+(D)"</f>
        <v>Over head charges 0%  on (A) + (B)+(C)+(D)</v>
      </c>
      <c r="D1400" s="2953"/>
      <c r="E1400" s="2953"/>
      <c r="F1400" s="2953"/>
      <c r="G1400" s="2954"/>
      <c r="H1400" s="1688">
        <f>J1398+J1396+J1388+J1382</f>
        <v>749408.89999999991</v>
      </c>
      <c r="I1400" s="1683"/>
      <c r="J1400" s="1701">
        <f>H1400*B1400</f>
        <v>0</v>
      </c>
    </row>
    <row r="1401" spans="1:10">
      <c r="A1401" s="1713"/>
      <c r="B1401" s="1715" t="s">
        <v>76</v>
      </c>
      <c r="C1401" s="1713" t="s">
        <v>77</v>
      </c>
      <c r="F1401" s="1683"/>
      <c r="G1401" s="1683"/>
      <c r="H1401" s="1683"/>
      <c r="I1401" s="1683"/>
      <c r="J1401" s="1770">
        <f>J1382+J1388+J1396+J1398+J1400</f>
        <v>749408.89999999991</v>
      </c>
    </row>
    <row r="1402" spans="1:10">
      <c r="A1402" s="1713"/>
      <c r="B1402" s="1715" t="s">
        <v>78</v>
      </c>
      <c r="C1402" s="1713" t="s">
        <v>79</v>
      </c>
      <c r="F1402" s="1683"/>
      <c r="G1402" s="1683"/>
      <c r="H1402" s="1683"/>
      <c r="I1402" s="1683"/>
      <c r="J1402" s="1741">
        <f>J1401*0/100</f>
        <v>0</v>
      </c>
    </row>
    <row r="1403" spans="1:10">
      <c r="B1403" s="1705"/>
      <c r="C1403" s="1683"/>
      <c r="D1403" s="1722" t="s">
        <v>158</v>
      </c>
      <c r="H1403" s="1701"/>
      <c r="I1403" s="1701"/>
      <c r="J1403" s="1770">
        <f>SUM(J1401:J1402)</f>
        <v>749408.89999999991</v>
      </c>
    </row>
    <row r="1404" spans="1:10">
      <c r="B1404" s="1705"/>
      <c r="C1404" s="1683"/>
      <c r="D1404" s="1687" t="s">
        <v>81</v>
      </c>
      <c r="H1404" s="1701"/>
      <c r="I1404" s="1701"/>
      <c r="J1404" s="1701">
        <f>ROUND(J1403/120,2)</f>
        <v>6245.07</v>
      </c>
    </row>
    <row r="1405" spans="1:10">
      <c r="D1405" s="1687" t="s">
        <v>52</v>
      </c>
      <c r="H1405" s="1701"/>
      <c r="I1405" s="1701"/>
      <c r="J1405" s="1742">
        <f>ROUND(J1404,0)</f>
        <v>6245</v>
      </c>
    </row>
    <row r="1406" spans="1:10">
      <c r="D1406" s="1687"/>
      <c r="H1406" s="1701"/>
      <c r="I1406" s="1701"/>
      <c r="J1406" s="1741" t="s">
        <v>53</v>
      </c>
    </row>
    <row r="1407" spans="1:10" ht="137.25" customHeight="1">
      <c r="A1407" s="1710" t="s">
        <v>316</v>
      </c>
      <c r="B1407" s="2966" t="s">
        <v>317</v>
      </c>
      <c r="C1407" s="2966"/>
      <c r="D1407" s="2966"/>
      <c r="E1407" s="2966"/>
      <c r="F1407" s="2966"/>
      <c r="G1407" s="2966"/>
      <c r="H1407" s="2966"/>
      <c r="I1407" s="2966"/>
      <c r="J1407" s="2966"/>
    </row>
    <row r="1408" spans="1:10">
      <c r="A1408" s="1773"/>
      <c r="B1408" s="1692"/>
      <c r="C1408" s="1692"/>
      <c r="D1408" s="2967" t="s">
        <v>198</v>
      </c>
      <c r="E1408" s="2967"/>
      <c r="F1408" s="2967"/>
      <c r="G1408" s="2967"/>
      <c r="H1408" s="1692"/>
      <c r="I1408" s="1692"/>
      <c r="J1408" s="1725"/>
    </row>
    <row r="1409" spans="1:12">
      <c r="A1409" s="1773"/>
      <c r="B1409" s="1692"/>
      <c r="C1409" s="1692"/>
      <c r="D1409" s="2968" t="s">
        <v>186</v>
      </c>
      <c r="E1409" s="2968"/>
      <c r="F1409" s="2968"/>
      <c r="G1409" s="2968"/>
      <c r="H1409" s="1692"/>
      <c r="I1409" s="1692"/>
      <c r="J1409" s="1725"/>
    </row>
    <row r="1410" spans="1:12">
      <c r="A1410" s="1773"/>
      <c r="B1410" s="1692"/>
      <c r="C1410" s="1697"/>
      <c r="D1410" s="2968" t="s">
        <v>187</v>
      </c>
      <c r="E1410" s="2968"/>
      <c r="F1410" s="2968"/>
      <c r="G1410" s="2968"/>
      <c r="H1410" s="1692"/>
      <c r="I1410" s="1692"/>
      <c r="J1410" s="1725"/>
    </row>
    <row r="1411" spans="1:12">
      <c r="A1411" s="1773"/>
      <c r="B1411" s="1692"/>
      <c r="C1411" s="1698"/>
      <c r="D1411" s="2941" t="s">
        <v>12</v>
      </c>
      <c r="E1411" s="2941"/>
      <c r="F1411" s="2941"/>
      <c r="G1411" s="2941"/>
      <c r="H1411" s="1692"/>
      <c r="I1411" s="1692"/>
      <c r="J1411" s="1725"/>
    </row>
    <row r="1412" spans="1:12">
      <c r="A1412" s="1773"/>
      <c r="B1412" s="1697">
        <v>0.44</v>
      </c>
      <c r="C1412" s="1776" t="s">
        <v>13</v>
      </c>
      <c r="D1412" s="2942" t="s">
        <v>14</v>
      </c>
      <c r="E1412" s="2942"/>
      <c r="F1412" s="2942"/>
      <c r="G1412" s="2942"/>
      <c r="H1412" s="1707">
        <f>'SSR-rates'!$H$58</f>
        <v>490</v>
      </c>
      <c r="I1412" s="1697">
        <v>1</v>
      </c>
      <c r="J1412" s="1726">
        <f>ROUND(B1412*H1412,2)</f>
        <v>215.6</v>
      </c>
      <c r="L1412" s="1684">
        <v>0.44</v>
      </c>
    </row>
    <row r="1413" spans="1:12">
      <c r="A1413" s="1773"/>
      <c r="B1413" s="1697">
        <v>3</v>
      </c>
      <c r="C1413" s="1776" t="s">
        <v>13</v>
      </c>
      <c r="D1413" s="2942" t="s">
        <v>188</v>
      </c>
      <c r="E1413" s="2942"/>
      <c r="F1413" s="2942"/>
      <c r="G1413" s="2942"/>
      <c r="H1413" s="1707">
        <f>'SSR-rates'!$H$92</f>
        <v>540</v>
      </c>
      <c r="I1413" s="1697">
        <v>1</v>
      </c>
      <c r="J1413" s="1726">
        <f>ROUND(B1413*H1413,2)</f>
        <v>1620</v>
      </c>
      <c r="L1413" s="1684">
        <v>3</v>
      </c>
    </row>
    <row r="1414" spans="1:12">
      <c r="A1414" s="1773"/>
      <c r="B1414" s="1697">
        <v>8</v>
      </c>
      <c r="C1414" s="1776" t="s">
        <v>13</v>
      </c>
      <c r="D1414" s="2942" t="s">
        <v>59</v>
      </c>
      <c r="E1414" s="2942"/>
      <c r="F1414" s="2942"/>
      <c r="G1414" s="2942"/>
      <c r="H1414" s="1707">
        <f>'SSR-rates'!$H$60</f>
        <v>490</v>
      </c>
      <c r="I1414" s="1697">
        <v>1</v>
      </c>
      <c r="J1414" s="1726">
        <f>ROUND(B1414*H1414,2)</f>
        <v>3920</v>
      </c>
      <c r="L1414" s="1684">
        <v>8</v>
      </c>
    </row>
    <row r="1415" spans="1:12" ht="15" customHeight="1">
      <c r="A1415" s="1773"/>
      <c r="B1415" s="1702">
        <f>'Input Data'!$D$23</f>
        <v>0</v>
      </c>
      <c r="C1415" s="1688"/>
      <c r="D1415" s="1684" t="s">
        <v>17</v>
      </c>
      <c r="F1415" s="1683"/>
      <c r="G1415" s="1683"/>
      <c r="H1415" s="1701">
        <f>SUM(J1414:J1414)</f>
        <v>3920</v>
      </c>
      <c r="I1415" s="1716"/>
      <c r="J1415" s="1701">
        <f>B1415*H1415</f>
        <v>0</v>
      </c>
    </row>
    <row r="1416" spans="1:12">
      <c r="A1416" s="1773"/>
      <c r="B1416" s="1697"/>
      <c r="C1416" s="1777"/>
      <c r="D1416" s="2943" t="s">
        <v>18</v>
      </c>
      <c r="E1416" s="2943"/>
      <c r="F1416" s="2943"/>
      <c r="G1416" s="2943"/>
      <c r="H1416" s="1697"/>
      <c r="I1416" s="1727" t="s">
        <v>19</v>
      </c>
      <c r="J1416" s="1728">
        <f>SUM(J1412:J1415)</f>
        <v>5755.6</v>
      </c>
    </row>
    <row r="1417" spans="1:12">
      <c r="A1417" s="1773"/>
      <c r="B1417" s="1697"/>
      <c r="C1417" s="1778"/>
      <c r="D1417" s="2941" t="s">
        <v>189</v>
      </c>
      <c r="E1417" s="2941"/>
      <c r="F1417" s="2941"/>
      <c r="G1417" s="2941"/>
      <c r="H1417" s="1697"/>
      <c r="I1417" s="1697"/>
      <c r="J1417" s="1726"/>
    </row>
    <row r="1418" spans="1:12" ht="42" customHeight="1">
      <c r="A1418" s="1773"/>
      <c r="B1418" s="1697">
        <v>1.05</v>
      </c>
      <c r="C1418" s="1776" t="s">
        <v>66</v>
      </c>
      <c r="D1418" s="2969" t="s">
        <v>199</v>
      </c>
      <c r="E1418" s="2970"/>
      <c r="F1418" s="2970"/>
      <c r="G1418" s="2971"/>
      <c r="H1418" s="1697">
        <f>lead!$J$37</f>
        <v>49000</v>
      </c>
      <c r="I1418" s="1697">
        <v>1</v>
      </c>
      <c r="J1418" s="1726">
        <f>ROUND(B1418*H1418,2)</f>
        <v>51450</v>
      </c>
    </row>
    <row r="1419" spans="1:12">
      <c r="A1419" s="1773"/>
      <c r="B1419" s="1697">
        <v>8</v>
      </c>
      <c r="C1419" s="1776" t="s">
        <v>191</v>
      </c>
      <c r="D1419" s="2945" t="s">
        <v>196</v>
      </c>
      <c r="E1419" s="2945"/>
      <c r="F1419" s="2945"/>
      <c r="G1419" s="2945"/>
      <c r="H1419" s="1697">
        <f>'SSR-rates'!H93</f>
        <v>66</v>
      </c>
      <c r="I1419" s="1697">
        <v>1</v>
      </c>
      <c r="J1419" s="1726">
        <f>H1419*B1419</f>
        <v>528</v>
      </c>
    </row>
    <row r="1420" spans="1:12">
      <c r="A1420" s="1773"/>
      <c r="B1420" s="1697"/>
      <c r="C1420" s="1777"/>
      <c r="D1420" s="2943" t="s">
        <v>18</v>
      </c>
      <c r="E1420" s="2943"/>
      <c r="F1420" s="2943"/>
      <c r="G1420" s="2943"/>
      <c r="H1420" s="1697"/>
      <c r="I1420" s="1727" t="s">
        <v>25</v>
      </c>
      <c r="J1420" s="1728">
        <f>SUM(J1418:J1419)</f>
        <v>51978</v>
      </c>
    </row>
    <row r="1421" spans="1:12">
      <c r="A1421" s="1773"/>
      <c r="B1421" s="1707"/>
      <c r="C1421" s="1779"/>
      <c r="D1421" s="2941" t="s">
        <v>26</v>
      </c>
      <c r="E1421" s="2941"/>
      <c r="F1421" s="2941"/>
      <c r="G1421" s="2941"/>
      <c r="H1421" s="1707"/>
      <c r="I1421" s="1789"/>
      <c r="J1421" s="1731">
        <f>J1416+J1420</f>
        <v>57733.599999999999</v>
      </c>
    </row>
    <row r="1422" spans="1:12">
      <c r="A1422" s="1773"/>
      <c r="B1422" s="1706"/>
      <c r="C1422" s="1779"/>
      <c r="D1422" s="2941" t="s">
        <v>193</v>
      </c>
      <c r="E1422" s="2941"/>
      <c r="F1422" s="2941"/>
      <c r="G1422" s="2941"/>
      <c r="H1422" s="1707">
        <f>J1421</f>
        <v>57733.599999999999</v>
      </c>
      <c r="I1422" s="1729"/>
      <c r="J1422" s="1730">
        <f>H1422*B1422</f>
        <v>0</v>
      </c>
    </row>
    <row r="1423" spans="1:12">
      <c r="A1423" s="1773"/>
      <c r="B1423" s="1707"/>
      <c r="C1423" s="1779"/>
      <c r="D1423" s="2941"/>
      <c r="E1423" s="2941"/>
      <c r="F1423" s="2941"/>
      <c r="G1423" s="2941"/>
      <c r="H1423" s="1707"/>
      <c r="I1423" s="1729"/>
      <c r="J1423" s="1730"/>
    </row>
    <row r="1424" spans="1:12">
      <c r="A1424" s="1773"/>
      <c r="B1424" s="1707"/>
      <c r="C1424" s="1779" t="s">
        <v>29</v>
      </c>
      <c r="D1424" s="2941" t="s">
        <v>30</v>
      </c>
      <c r="E1424" s="2941"/>
      <c r="F1424" s="2941"/>
      <c r="G1424" s="2941"/>
      <c r="H1424" s="1707">
        <f>J1421+J1422</f>
        <v>57733.599999999999</v>
      </c>
      <c r="I1424" s="1729"/>
      <c r="J1424" s="1730">
        <f>ROUND(B1424*H1424/100,2)</f>
        <v>0</v>
      </c>
    </row>
    <row r="1425" spans="1:11">
      <c r="A1425" s="1773"/>
      <c r="B1425" s="1707"/>
      <c r="C1425" s="1779"/>
      <c r="D1425" s="2941"/>
      <c r="E1425" s="2941"/>
      <c r="F1425" s="2941"/>
      <c r="G1425" s="2941"/>
      <c r="H1425" s="1707"/>
      <c r="I1425" s="1729"/>
      <c r="J1425" s="1731"/>
    </row>
    <row r="1426" spans="1:11">
      <c r="A1426" s="1773"/>
      <c r="B1426" s="1708">
        <v>1</v>
      </c>
      <c r="C1426" s="1779" t="s">
        <v>66</v>
      </c>
      <c r="D1426" s="2943" t="str">
        <f>CONCATENATE("TOTAL Cost for ",B1426,"  ",C1426,"  =  (A+B+C+D)",)</f>
        <v>TOTAL Cost for 1  MT  =  (A+B+C+D)</v>
      </c>
      <c r="E1426" s="2943"/>
      <c r="F1426" s="2943"/>
      <c r="G1426" s="2943"/>
      <c r="H1426" s="1707"/>
      <c r="I1426" s="1707"/>
      <c r="J1426" s="1730">
        <f>SUM(J1421:J1424)</f>
        <v>57733.599999999999</v>
      </c>
    </row>
    <row r="1427" spans="1:11">
      <c r="A1427" s="1773"/>
      <c r="B1427" s="1707"/>
      <c r="C1427" s="1707"/>
      <c r="D1427" s="2945" t="str">
        <f>CONCATENATE("Rate per  1  ",C1426)</f>
        <v>Rate per  1  MT</v>
      </c>
      <c r="E1427" s="2945"/>
      <c r="F1427" s="2945"/>
      <c r="G1427" s="2945"/>
      <c r="H1427" s="1707"/>
      <c r="I1427" s="1707"/>
      <c r="J1427" s="1726">
        <f>J1426/B1426</f>
        <v>57733.599999999999</v>
      </c>
    </row>
    <row r="1428" spans="1:11">
      <c r="A1428" s="1773"/>
      <c r="B1428" s="1697"/>
      <c r="C1428" s="1697"/>
      <c r="D1428" s="2967" t="str">
        <f>D1427</f>
        <v>Rate per  1  MT</v>
      </c>
      <c r="E1428" s="2967"/>
      <c r="F1428" s="2967"/>
      <c r="G1428" s="2967"/>
      <c r="H1428" s="1707"/>
      <c r="I1428" s="1707"/>
      <c r="J1428" s="1728">
        <f>ROUND(J1427,0)</f>
        <v>57734</v>
      </c>
      <c r="K1428" s="1684">
        <v>58243</v>
      </c>
    </row>
    <row r="1429" spans="1:11" ht="84" customHeight="1">
      <c r="A1429" s="1710">
        <v>16</v>
      </c>
      <c r="B1429" s="2946" t="s">
        <v>318</v>
      </c>
      <c r="C1429" s="2946"/>
      <c r="D1429" s="2946"/>
      <c r="E1429" s="2946"/>
      <c r="F1429" s="2946"/>
      <c r="G1429" s="2946"/>
      <c r="H1429" s="2946"/>
      <c r="I1429" s="2946"/>
      <c r="J1429" s="2946"/>
    </row>
    <row r="1430" spans="1:11">
      <c r="A1430" s="1713"/>
      <c r="B1430" s="2947" t="s">
        <v>309</v>
      </c>
      <c r="C1430" s="2947"/>
      <c r="D1430" s="1712"/>
      <c r="E1430" s="1712"/>
      <c r="F1430" s="1712"/>
      <c r="G1430" s="1712"/>
      <c r="H1430" s="1714"/>
      <c r="I1430" s="1714"/>
      <c r="J1430" s="1714"/>
    </row>
    <row r="1431" spans="1:11">
      <c r="A1431" s="1713"/>
      <c r="B1431" s="2947" t="s">
        <v>319</v>
      </c>
      <c r="C1431" s="2947"/>
      <c r="D1431" s="2947"/>
      <c r="E1431" s="2947"/>
      <c r="F1431" s="1713" t="s">
        <v>320</v>
      </c>
      <c r="G1431" s="1712"/>
      <c r="H1431" s="1714"/>
      <c r="I1431" s="1714"/>
      <c r="J1431" s="1714"/>
    </row>
    <row r="1432" spans="1:11">
      <c r="A1432" s="1713"/>
      <c r="B1432" s="1715" t="s">
        <v>36</v>
      </c>
      <c r="C1432" s="1713" t="s">
        <v>37</v>
      </c>
      <c r="D1432" s="1712"/>
      <c r="E1432" s="1712"/>
      <c r="F1432" s="1712"/>
      <c r="G1432" s="1712"/>
      <c r="H1432" s="1714"/>
      <c r="I1432" s="1714"/>
      <c r="J1432" s="1714"/>
    </row>
    <row r="1433" spans="1:11">
      <c r="A1433" s="1713"/>
      <c r="B1433" s="1734"/>
      <c r="C1433" s="1688" t="s">
        <v>38</v>
      </c>
      <c r="D1433" s="1712"/>
      <c r="E1433" s="1683" t="s">
        <v>14</v>
      </c>
      <c r="F1433" s="1712"/>
      <c r="G1433" s="1712"/>
      <c r="H1433" s="1701">
        <f>'SSR-rates'!$H$58</f>
        <v>490</v>
      </c>
      <c r="I1433" s="1716" t="s">
        <v>38</v>
      </c>
      <c r="J1433" s="1701">
        <f>ROUND(B1433*H1433,2)</f>
        <v>0</v>
      </c>
    </row>
    <row r="1434" spans="1:11">
      <c r="A1434" s="1713"/>
      <c r="B1434" s="1701"/>
      <c r="C1434" s="1688" t="s">
        <v>38</v>
      </c>
      <c r="D1434" s="1683"/>
      <c r="E1434" s="1683" t="s">
        <v>312</v>
      </c>
      <c r="F1434" s="1683"/>
      <c r="G1434" s="1683"/>
      <c r="H1434" s="1701">
        <f>'SSR-rates'!H81</f>
        <v>2875</v>
      </c>
      <c r="I1434" s="1716" t="s">
        <v>38</v>
      </c>
      <c r="J1434" s="1701">
        <f>ROUND(B1434*H1434,2)</f>
        <v>0</v>
      </c>
    </row>
    <row r="1435" spans="1:11">
      <c r="A1435" s="1713"/>
      <c r="B1435" s="1701"/>
      <c r="C1435" s="1688" t="s">
        <v>38</v>
      </c>
      <c r="D1435" s="1683"/>
      <c r="E1435" s="1683" t="s">
        <v>15</v>
      </c>
      <c r="F1435" s="1683"/>
      <c r="G1435" s="1683"/>
      <c r="H1435" s="1701">
        <f>'SSR-rates'!H80</f>
        <v>2519</v>
      </c>
      <c r="I1435" s="1716" t="s">
        <v>38</v>
      </c>
      <c r="J1435" s="1701">
        <f>ROUND(B1435*H1435,2)</f>
        <v>0</v>
      </c>
    </row>
    <row r="1436" spans="1:11" ht="15.75" customHeight="1">
      <c r="A1436" s="1713"/>
      <c r="B1436" s="1702">
        <f>'Input Data'!$D$23</f>
        <v>0</v>
      </c>
      <c r="C1436" s="1688"/>
      <c r="D1436" s="1684" t="s">
        <v>17</v>
      </c>
      <c r="F1436" s="1683"/>
      <c r="G1436" s="1683"/>
      <c r="H1436" s="1701">
        <f>SUM(J1434:J1435)</f>
        <v>0</v>
      </c>
      <c r="I1436" s="1716"/>
      <c r="J1436" s="1701">
        <f>B1436*H1436</f>
        <v>0</v>
      </c>
    </row>
    <row r="1437" spans="1:11">
      <c r="A1437" s="1713"/>
      <c r="B1437" s="1701"/>
      <c r="C1437" s="1688"/>
      <c r="D1437" s="1683"/>
      <c r="E1437" s="1683"/>
      <c r="F1437" s="1683"/>
      <c r="G1437" s="1683"/>
      <c r="H1437" s="1701"/>
      <c r="I1437" s="1716"/>
      <c r="J1437" s="1701">
        <f>SUM(J1433:J1436)</f>
        <v>0</v>
      </c>
    </row>
    <row r="1438" spans="1:11">
      <c r="A1438" s="1713"/>
      <c r="B1438" s="1715" t="s">
        <v>39</v>
      </c>
      <c r="C1438" s="1713" t="s">
        <v>61</v>
      </c>
      <c r="F1438" s="1683"/>
      <c r="G1438" s="1683"/>
      <c r="H1438" s="1683"/>
      <c r="I1438" s="1683"/>
      <c r="J1438" s="1684"/>
    </row>
    <row r="1439" spans="1:11">
      <c r="A1439" s="1713"/>
      <c r="B1439" s="1719">
        <v>4.0919999999999996</v>
      </c>
      <c r="C1439" s="1718" t="s">
        <v>73</v>
      </c>
      <c r="D1439" s="2951" t="s">
        <v>321</v>
      </c>
      <c r="E1439" s="2951"/>
      <c r="F1439" s="2951"/>
      <c r="G1439" s="2951"/>
      <c r="H1439" s="1819">
        <f>J1405</f>
        <v>6245</v>
      </c>
      <c r="I1439" s="1719" t="s">
        <v>191</v>
      </c>
      <c r="J1439" s="1719">
        <f>ROUND(B1439*H1439,2)</f>
        <v>25554.54</v>
      </c>
    </row>
    <row r="1440" spans="1:11" ht="30" customHeight="1">
      <c r="A1440" s="1713"/>
      <c r="B1440" s="1719"/>
      <c r="C1440" s="1718"/>
      <c r="D1440" s="2948" t="s">
        <v>322</v>
      </c>
      <c r="E1440" s="2949"/>
      <c r="F1440" s="2949"/>
      <c r="G1440" s="2950"/>
      <c r="H1440" s="1819"/>
      <c r="I1440" s="1719"/>
      <c r="J1440" s="1719">
        <f>J1439*0.05</f>
        <v>1277.7270000000001</v>
      </c>
    </row>
    <row r="1441" spans="1:10">
      <c r="A1441" s="1713"/>
      <c r="B1441" s="1719">
        <v>0.86499999999999999</v>
      </c>
      <c r="C1441" s="1718" t="s">
        <v>66</v>
      </c>
      <c r="D1441" s="2951" t="s">
        <v>323</v>
      </c>
      <c r="E1441" s="2951"/>
      <c r="F1441" s="2951"/>
      <c r="G1441" s="2951"/>
      <c r="H1441" s="1819">
        <f>J1428</f>
        <v>57734</v>
      </c>
      <c r="I1441" s="1719" t="s">
        <v>191</v>
      </c>
      <c r="J1441" s="1719">
        <f>ROUND(B1441*H1441,2)</f>
        <v>49939.91</v>
      </c>
    </row>
    <row r="1442" spans="1:10" ht="33" customHeight="1">
      <c r="A1442" s="1713"/>
      <c r="B1442" s="1719"/>
      <c r="C1442" s="1718"/>
      <c r="D1442" s="2948" t="s">
        <v>324</v>
      </c>
      <c r="E1442" s="2949"/>
      <c r="F1442" s="2949"/>
      <c r="G1442" s="2950"/>
      <c r="H1442" s="1819"/>
      <c r="I1442" s="1719"/>
      <c r="J1442" s="1719">
        <f>J1441*0.05</f>
        <v>2496.9955000000004</v>
      </c>
    </row>
    <row r="1443" spans="1:10">
      <c r="A1443" s="1713"/>
      <c r="B1443" s="1719"/>
      <c r="C1443" s="1718"/>
      <c r="D1443" s="1720"/>
      <c r="E1443" s="1720"/>
      <c r="F1443" s="1720"/>
      <c r="G1443" s="1720"/>
      <c r="H1443" s="1719"/>
      <c r="I1443" s="1719"/>
      <c r="J1443" s="1719">
        <f>SUM(J1439:J1441)</f>
        <v>76772.176999999996</v>
      </c>
    </row>
    <row r="1444" spans="1:10">
      <c r="A1444" s="1713"/>
      <c r="B1444" s="1701"/>
      <c r="C1444" s="1688"/>
      <c r="D1444" s="1683"/>
      <c r="F1444" s="1683"/>
      <c r="G1444" s="1683"/>
      <c r="H1444" s="1701"/>
      <c r="I1444" s="1701"/>
      <c r="J1444" s="1684"/>
    </row>
    <row r="1445" spans="1:10">
      <c r="B1445" s="1706">
        <f>'Input Data'!$D$25</f>
        <v>0</v>
      </c>
      <c r="C1445" s="1683" t="str">
        <f>"Over head charges "&amp;'Input Data'!$D$25*100&amp;"%  on (A) + (B)"</f>
        <v>Over head charges 0%  on (A) + (B)</v>
      </c>
      <c r="H1445" s="1687">
        <f>J1443+J1437</f>
        <v>76772.176999999996</v>
      </c>
      <c r="J1445" s="1701">
        <f>H1445*B1445</f>
        <v>0</v>
      </c>
    </row>
    <row r="1446" spans="1:10">
      <c r="A1446" s="1713"/>
      <c r="B1446" s="1715" t="s">
        <v>45</v>
      </c>
      <c r="C1446" s="1683" t="s">
        <v>46</v>
      </c>
      <c r="F1446" s="1683"/>
      <c r="G1446" s="1683"/>
      <c r="H1446" s="1683"/>
      <c r="I1446" s="1683"/>
      <c r="J1446" s="1741">
        <f>J1437+J1443+J1445</f>
        <v>76772.176999999996</v>
      </c>
    </row>
    <row r="1447" spans="1:10">
      <c r="A1447" s="1713"/>
      <c r="B1447" s="1715" t="s">
        <v>47</v>
      </c>
      <c r="C1447" s="1683" t="s">
        <v>48</v>
      </c>
      <c r="D1447" s="1683"/>
      <c r="F1447" s="1683"/>
      <c r="G1447" s="1683"/>
      <c r="H1447" s="1683"/>
      <c r="I1447" s="1683"/>
      <c r="J1447" s="1741">
        <f>J1446*10/100</f>
        <v>7677.2177000000001</v>
      </c>
    </row>
    <row r="1448" spans="1:10">
      <c r="A1448" s="1713"/>
      <c r="B1448" s="1683"/>
      <c r="C1448" s="1683" t="s">
        <v>325</v>
      </c>
      <c r="D1448" s="1683"/>
      <c r="F1448" s="1683"/>
      <c r="G1448" s="1683"/>
      <c r="H1448" s="1683"/>
      <c r="I1448" s="1683"/>
      <c r="J1448" s="1741">
        <f>SUM(J1446:J1447)</f>
        <v>84449.39469999999</v>
      </c>
    </row>
    <row r="1449" spans="1:10">
      <c r="A1449" s="1713"/>
      <c r="B1449" s="1683"/>
      <c r="C1449" s="1683" t="s">
        <v>127</v>
      </c>
      <c r="D1449" s="1683"/>
      <c r="F1449" s="1683"/>
      <c r="G1449" s="1683"/>
      <c r="H1449" s="1683"/>
      <c r="I1449" s="1683"/>
      <c r="J1449" s="1701">
        <f>J1448/48</f>
        <v>1759.3623895833332</v>
      </c>
    </row>
    <row r="1450" spans="1:10">
      <c r="A1450" s="1713"/>
      <c r="B1450" s="1701"/>
      <c r="C1450" s="1688"/>
      <c r="D1450" s="2959" t="s">
        <v>315</v>
      </c>
      <c r="E1450" s="2960"/>
      <c r="F1450" s="1687"/>
      <c r="G1450" s="1687"/>
      <c r="H1450" s="1705"/>
      <c r="I1450" s="1687"/>
      <c r="J1450" s="1742">
        <f>ROUND(J1449,0)</f>
        <v>1759</v>
      </c>
    </row>
    <row r="1453" spans="1:10" ht="125.25" customHeight="1">
      <c r="A1453" s="1759">
        <v>6.07</v>
      </c>
      <c r="B1453" s="2946" t="s">
        <v>326</v>
      </c>
      <c r="C1453" s="2946"/>
      <c r="D1453" s="2946"/>
      <c r="E1453" s="2946"/>
      <c r="F1453" s="2946"/>
      <c r="G1453" s="2946"/>
      <c r="H1453" s="2946"/>
      <c r="I1453" s="2946"/>
      <c r="J1453" s="2946"/>
    </row>
    <row r="1454" spans="1:10">
      <c r="D1454" s="1687" t="s">
        <v>10</v>
      </c>
      <c r="F1454" s="1713" t="s">
        <v>327</v>
      </c>
      <c r="J1454" s="1684"/>
    </row>
    <row r="1455" spans="1:10">
      <c r="D1455" s="1687" t="s">
        <v>56</v>
      </c>
      <c r="J1455" s="1684"/>
    </row>
    <row r="1456" spans="1:10">
      <c r="B1456" s="1715" t="s">
        <v>36</v>
      </c>
      <c r="C1456" s="1722" t="s">
        <v>37</v>
      </c>
      <c r="J1456" s="1684"/>
    </row>
    <row r="1457" spans="1:10">
      <c r="B1457" s="1705">
        <v>0.86</v>
      </c>
      <c r="C1457" s="1683" t="s">
        <v>57</v>
      </c>
      <c r="D1457" s="1687" t="s">
        <v>156</v>
      </c>
      <c r="H1457" s="1701">
        <f>'SSR-rates'!H$58</f>
        <v>490</v>
      </c>
      <c r="I1457" s="1716" t="s">
        <v>38</v>
      </c>
      <c r="J1457" s="1705">
        <f>ROUND(B1457*H1457,2)</f>
        <v>421.4</v>
      </c>
    </row>
    <row r="1458" spans="1:10">
      <c r="B1458" s="1705">
        <v>1.5</v>
      </c>
      <c r="C1458" s="1683" t="s">
        <v>57</v>
      </c>
      <c r="D1458" s="1687" t="s">
        <v>58</v>
      </c>
      <c r="H1458" s="1701">
        <f>'SSR-rates'!H$58</f>
        <v>490</v>
      </c>
      <c r="I1458" s="1716" t="s">
        <v>38</v>
      </c>
      <c r="J1458" s="1705">
        <f>ROUND(B1458*H1458,2)</f>
        <v>735</v>
      </c>
    </row>
    <row r="1459" spans="1:10">
      <c r="B1459" s="1705">
        <v>20</v>
      </c>
      <c r="C1459" s="1683" t="s">
        <v>57</v>
      </c>
      <c r="D1459" s="1687" t="s">
        <v>59</v>
      </c>
      <c r="H1459" s="1701">
        <f>'SSR-rates'!H$60</f>
        <v>490</v>
      </c>
      <c r="I1459" s="1716" t="s">
        <v>38</v>
      </c>
      <c r="J1459" s="1705">
        <f>ROUND(B1459*H1459,2)</f>
        <v>9800</v>
      </c>
    </row>
    <row r="1460" spans="1:10">
      <c r="A1460" s="1713"/>
      <c r="B1460" s="1702">
        <f>'Input Data'!$D$23</f>
        <v>0</v>
      </c>
      <c r="C1460" s="1688"/>
      <c r="D1460" s="1684" t="s">
        <v>17</v>
      </c>
      <c r="F1460" s="1683"/>
      <c r="G1460" s="1683"/>
      <c r="H1460" s="1701">
        <f>SUM(J1457:J1459)</f>
        <v>10956.4</v>
      </c>
      <c r="I1460" s="1716"/>
      <c r="J1460" s="1701">
        <f>B1460*H1460</f>
        <v>0</v>
      </c>
    </row>
    <row r="1461" spans="1:10">
      <c r="B1461" s="1705"/>
      <c r="C1461" s="1683"/>
      <c r="D1461" s="1687" t="s">
        <v>60</v>
      </c>
      <c r="H1461" s="1701"/>
      <c r="I1461" s="1701"/>
      <c r="J1461" s="1705">
        <f>SUM(J1457:J1460)</f>
        <v>10956.4</v>
      </c>
    </row>
    <row r="1462" spans="1:10">
      <c r="B1462" s="1715" t="s">
        <v>39</v>
      </c>
      <c r="C1462" s="1722" t="s">
        <v>61</v>
      </c>
      <c r="H1462" s="1701"/>
      <c r="I1462" s="1701"/>
      <c r="J1462" s="1701"/>
    </row>
    <row r="1463" spans="1:10">
      <c r="B1463" s="1705">
        <v>5.4</v>
      </c>
      <c r="C1463" s="1683" t="s">
        <v>31</v>
      </c>
      <c r="D1463" s="1684" t="s">
        <v>62</v>
      </c>
      <c r="H1463" s="1701">
        <f>lead!J14</f>
        <v>1732.2187651278443</v>
      </c>
      <c r="I1463" s="1701" t="s">
        <v>31</v>
      </c>
      <c r="J1463" s="1701">
        <f>ROUND(B1463*H1463,2)</f>
        <v>9353.98</v>
      </c>
    </row>
    <row r="1464" spans="1:10">
      <c r="B1464" s="1705">
        <v>5.4</v>
      </c>
      <c r="C1464" s="1683" t="s">
        <v>31</v>
      </c>
      <c r="D1464" s="1684" t="s">
        <v>63</v>
      </c>
      <c r="H1464" s="1701">
        <f>lead!J$16</f>
        <v>2031.2187651278443</v>
      </c>
      <c r="I1464" s="1701" t="s">
        <v>31</v>
      </c>
      <c r="J1464" s="1701">
        <f>ROUND(B1464*H1464,2)</f>
        <v>10968.58</v>
      </c>
    </row>
    <row r="1465" spans="1:10">
      <c r="B1465" s="1705">
        <v>2.7</v>
      </c>
      <c r="C1465" s="1683" t="s">
        <v>31</v>
      </c>
      <c r="D1465" s="1684" t="s">
        <v>64</v>
      </c>
      <c r="H1465" s="1701">
        <f>lead!J$18</f>
        <v>1780.2187651278443</v>
      </c>
      <c r="I1465" s="1701" t="s">
        <v>31</v>
      </c>
      <c r="J1465" s="1701">
        <f>ROUND(B1465*H1465,2)</f>
        <v>4806.59</v>
      </c>
    </row>
    <row r="1466" spans="1:10">
      <c r="B1466" s="1705">
        <v>6.75</v>
      </c>
      <c r="C1466" s="1683" t="s">
        <v>31</v>
      </c>
      <c r="D1466" s="1687" t="s">
        <v>65</v>
      </c>
      <c r="H1466" s="1701">
        <f>lead!J12</f>
        <v>1684.4687651278443</v>
      </c>
      <c r="I1466" s="1701" t="s">
        <v>31</v>
      </c>
      <c r="J1466" s="1701">
        <f>ROUND(B1466*H1466,2)</f>
        <v>11370.16</v>
      </c>
    </row>
    <row r="1467" spans="1:10">
      <c r="B1467" s="1766">
        <v>6.08</v>
      </c>
      <c r="C1467" s="1683" t="s">
        <v>66</v>
      </c>
      <c r="D1467" s="1687" t="s">
        <v>67</v>
      </c>
      <c r="H1467" s="1701">
        <f>lead!J$36</f>
        <v>5000</v>
      </c>
      <c r="I1467" s="1701" t="s">
        <v>66</v>
      </c>
      <c r="J1467" s="1701">
        <f>ROUND(B1467*H1467,2)</f>
        <v>30400</v>
      </c>
    </row>
    <row r="1468" spans="1:10">
      <c r="B1468" s="1687"/>
      <c r="D1468" s="1687" t="s">
        <v>60</v>
      </c>
      <c r="H1468" s="1701"/>
      <c r="I1468" s="1701"/>
      <c r="J1468" s="1701">
        <f>SUM(J1464:J1467)</f>
        <v>57545.33</v>
      </c>
    </row>
    <row r="1469" spans="1:10">
      <c r="B1469" s="1715" t="s">
        <v>27</v>
      </c>
      <c r="C1469" s="1722" t="s">
        <v>40</v>
      </c>
      <c r="H1469" s="1701"/>
      <c r="I1469" s="1701"/>
      <c r="J1469" s="1701"/>
    </row>
    <row r="1470" spans="1:10">
      <c r="B1470" s="1705">
        <v>6</v>
      </c>
      <c r="C1470" s="1683" t="s">
        <v>41</v>
      </c>
      <c r="D1470" s="1684" t="s">
        <v>68</v>
      </c>
      <c r="H1470" s="1701">
        <f>'SSR-rates'!$H$88</f>
        <v>627.6</v>
      </c>
      <c r="I1470" s="1701" t="s">
        <v>41</v>
      </c>
      <c r="J1470" s="1701">
        <f>ROUND(B1470*H1470,2)</f>
        <v>3765.6</v>
      </c>
    </row>
    <row r="1471" spans="1:10">
      <c r="B1471" s="1705">
        <v>6</v>
      </c>
      <c r="C1471" s="1683" t="s">
        <v>41</v>
      </c>
      <c r="D1471" s="1684" t="s">
        <v>224</v>
      </c>
      <c r="H1471" s="1701">
        <f>'SSR-rates'!$H$87</f>
        <v>1237.4000000000001</v>
      </c>
      <c r="I1471" s="1701" t="s">
        <v>41</v>
      </c>
      <c r="J1471" s="1701">
        <f>ROUND(B1471*H1471,2)</f>
        <v>7424.4</v>
      </c>
    </row>
    <row r="1472" spans="1:10">
      <c r="B1472" s="1705"/>
      <c r="C1472" s="1688"/>
      <c r="D1472" s="1687" t="s">
        <v>60</v>
      </c>
      <c r="H1472" s="1701"/>
      <c r="I1472" s="1701"/>
      <c r="J1472" s="1701">
        <f>SUM(J1470:J1471)</f>
        <v>11190</v>
      </c>
    </row>
    <row r="1473" spans="1:10">
      <c r="B1473" s="1715" t="s">
        <v>45</v>
      </c>
      <c r="C1473" s="1722" t="s">
        <v>71</v>
      </c>
      <c r="H1473" s="1701"/>
      <c r="I1473" s="1701"/>
      <c r="J1473" s="1701"/>
    </row>
    <row r="1474" spans="1:10">
      <c r="B1474" s="1687">
        <v>2</v>
      </c>
      <c r="C1474" s="1683" t="s">
        <v>29</v>
      </c>
      <c r="D1474" s="1684" t="s">
        <v>181</v>
      </c>
      <c r="H1474" s="1701">
        <f>J1461+J1468+J1472</f>
        <v>79691.73</v>
      </c>
      <c r="I1474" s="1716" t="s">
        <v>73</v>
      </c>
      <c r="J1474" s="1701">
        <f>ROUND(B1474*H1474/100,2)</f>
        <v>1593.83</v>
      </c>
    </row>
    <row r="1475" spans="1:10">
      <c r="A1475" s="1713"/>
      <c r="B1475" s="1715" t="s">
        <v>47</v>
      </c>
      <c r="C1475" s="1713" t="s">
        <v>97</v>
      </c>
      <c r="F1475" s="1683"/>
      <c r="G1475" s="1683"/>
      <c r="H1475" s="1683"/>
      <c r="I1475" s="1683"/>
      <c r="J1475" s="1741"/>
    </row>
    <row r="1476" spans="1:10" ht="27" customHeight="1">
      <c r="A1476" s="1713"/>
      <c r="B1476" s="1706">
        <f>'Input Data'!$D$25</f>
        <v>0</v>
      </c>
      <c r="C1476" s="2955" t="str">
        <f>"Over head charges "&amp;'Input Data'!$D$25*100&amp;"%  on (A) + (B)+(C)+(D)"</f>
        <v>Over head charges 0%  on (A) + (B)+(C)+(D)</v>
      </c>
      <c r="D1476" s="2956"/>
      <c r="E1476" s="2956"/>
      <c r="F1476" s="2956"/>
      <c r="G1476" s="2957"/>
      <c r="H1476" s="1688">
        <f>J1474+J1472+J1468+J1461</f>
        <v>81285.56</v>
      </c>
      <c r="I1476" s="1683"/>
      <c r="J1476" s="1701">
        <f>H1476*B1476</f>
        <v>0</v>
      </c>
    </row>
    <row r="1477" spans="1:10">
      <c r="A1477" s="1713"/>
      <c r="B1477" s="1715" t="s">
        <v>76</v>
      </c>
      <c r="C1477" s="1713" t="s">
        <v>77</v>
      </c>
      <c r="F1477" s="1683"/>
      <c r="G1477" s="1683"/>
      <c r="H1477" s="1683"/>
      <c r="I1477" s="1683"/>
      <c r="J1477" s="1741">
        <f>J1461+J1468+J1472+J1474+J1476</f>
        <v>81285.56</v>
      </c>
    </row>
    <row r="1478" spans="1:10">
      <c r="A1478" s="1713"/>
      <c r="B1478" s="1715" t="s">
        <v>78</v>
      </c>
      <c r="C1478" s="1713" t="s">
        <v>79</v>
      </c>
      <c r="F1478" s="1683"/>
      <c r="G1478" s="1683"/>
      <c r="H1478" s="1683"/>
      <c r="I1478" s="1683"/>
      <c r="J1478" s="1741">
        <f>J1477*10/100</f>
        <v>8128.5559999999996</v>
      </c>
    </row>
    <row r="1479" spans="1:10">
      <c r="B1479" s="1705"/>
      <c r="C1479" s="1683"/>
      <c r="D1479" s="1722" t="s">
        <v>80</v>
      </c>
      <c r="H1479" s="1701"/>
      <c r="I1479" s="1701"/>
      <c r="J1479" s="1741">
        <f>SUM(J1477:J1478)</f>
        <v>89414.115999999995</v>
      </c>
    </row>
    <row r="1480" spans="1:10">
      <c r="B1480" s="1705"/>
      <c r="C1480" s="1683"/>
      <c r="D1480" s="1687" t="s">
        <v>81</v>
      </c>
      <c r="H1480" s="1701"/>
      <c r="I1480" s="1701"/>
      <c r="J1480" s="1701">
        <f>ROUND(J1479/15,2)</f>
        <v>5960.94</v>
      </c>
    </row>
    <row r="1481" spans="1:10">
      <c r="D1481" s="1687" t="s">
        <v>52</v>
      </c>
      <c r="H1481" s="1701"/>
      <c r="I1481" s="1701"/>
      <c r="J1481" s="1742">
        <f>ROUND(J1480,0)</f>
        <v>5961</v>
      </c>
    </row>
    <row r="1482" spans="1:10">
      <c r="D1482" s="1687"/>
      <c r="H1482" s="1701"/>
      <c r="I1482" s="1701"/>
      <c r="J1482" s="1741" t="s">
        <v>53</v>
      </c>
    </row>
  </sheetData>
  <mergeCells count="320">
    <mergeCell ref="D1442:G1442"/>
    <mergeCell ref="D1450:E1450"/>
    <mergeCell ref="B1453:J1453"/>
    <mergeCell ref="C1476:G1476"/>
    <mergeCell ref="D2:J3"/>
    <mergeCell ref="D1426:G1426"/>
    <mergeCell ref="D1427:G1427"/>
    <mergeCell ref="D1428:G1428"/>
    <mergeCell ref="B1429:J1429"/>
    <mergeCell ref="B1430:C1430"/>
    <mergeCell ref="B1431:E1431"/>
    <mergeCell ref="D1439:G1439"/>
    <mergeCell ref="D1440:G1440"/>
    <mergeCell ref="D1441:G1441"/>
    <mergeCell ref="D1417:G1417"/>
    <mergeCell ref="D1418:G1418"/>
    <mergeCell ref="D1419:G1419"/>
    <mergeCell ref="D1420:G1420"/>
    <mergeCell ref="D1421:G1421"/>
    <mergeCell ref="D1422:G1422"/>
    <mergeCell ref="D1423:G1423"/>
    <mergeCell ref="D1424:G1424"/>
    <mergeCell ref="D1425:G1425"/>
    <mergeCell ref="B1407:J1407"/>
    <mergeCell ref="D1408:G1408"/>
    <mergeCell ref="D1409:G1409"/>
    <mergeCell ref="D1410:G1410"/>
    <mergeCell ref="D1411:G1411"/>
    <mergeCell ref="D1412:G1412"/>
    <mergeCell ref="D1413:G1413"/>
    <mergeCell ref="D1414:G1414"/>
    <mergeCell ref="D1416:G1416"/>
    <mergeCell ref="C1346:G1346"/>
    <mergeCell ref="B1354:J1354"/>
    <mergeCell ref="B1355:C1355"/>
    <mergeCell ref="B1356:E1356"/>
    <mergeCell ref="D1364:G1364"/>
    <mergeCell ref="D1372:E1372"/>
    <mergeCell ref="B1374:J1374"/>
    <mergeCell ref="D1394:G1394"/>
    <mergeCell ref="C1400:G1400"/>
    <mergeCell ref="D1237:G1237"/>
    <mergeCell ref="B1252:J1252"/>
    <mergeCell ref="D1272:G1272"/>
    <mergeCell ref="C1278:G1278"/>
    <mergeCell ref="B1286:J1286"/>
    <mergeCell ref="D1306:G1306"/>
    <mergeCell ref="C1312:G1312"/>
    <mergeCell ref="B1320:J1320"/>
    <mergeCell ref="D1340:G1340"/>
    <mergeCell ref="C1161:G1161"/>
    <mergeCell ref="B1170:J1170"/>
    <mergeCell ref="C1192:G1192"/>
    <mergeCell ref="B1201:J1201"/>
    <mergeCell ref="D1215:G1215"/>
    <mergeCell ref="C1219:G1219"/>
    <mergeCell ref="B1228:J1228"/>
    <mergeCell ref="B1229:C1229"/>
    <mergeCell ref="B1230:E1230"/>
    <mergeCell ref="B1085:J1085"/>
    <mergeCell ref="B1088:J1088"/>
    <mergeCell ref="C1108:G1108"/>
    <mergeCell ref="B1116:J1116"/>
    <mergeCell ref="B1117:C1117"/>
    <mergeCell ref="B1118:E1118"/>
    <mergeCell ref="D1126:G1126"/>
    <mergeCell ref="D1134:E1134"/>
    <mergeCell ref="B1139:J1139"/>
    <mergeCell ref="D1004:G1004"/>
    <mergeCell ref="D1005:G1005"/>
    <mergeCell ref="D1006:G1006"/>
    <mergeCell ref="D1007:G1007"/>
    <mergeCell ref="D1008:G1008"/>
    <mergeCell ref="B1013:J1013"/>
    <mergeCell ref="B1051:J1051"/>
    <mergeCell ref="D1071:G1071"/>
    <mergeCell ref="C1077:G1077"/>
    <mergeCell ref="D994:G994"/>
    <mergeCell ref="D996:G996"/>
    <mergeCell ref="D997:G997"/>
    <mergeCell ref="D998:G998"/>
    <mergeCell ref="D999:G999"/>
    <mergeCell ref="D1000:G1000"/>
    <mergeCell ref="D1001:G1001"/>
    <mergeCell ref="D1002:G1002"/>
    <mergeCell ref="D1003:G1003"/>
    <mergeCell ref="B951:J951"/>
    <mergeCell ref="D952:G952"/>
    <mergeCell ref="D953:G953"/>
    <mergeCell ref="D958:G958"/>
    <mergeCell ref="D976:G976"/>
    <mergeCell ref="D990:G990"/>
    <mergeCell ref="D991:G991"/>
    <mergeCell ref="D992:G992"/>
    <mergeCell ref="D993:G993"/>
    <mergeCell ref="D931:F931"/>
    <mergeCell ref="D933:F933"/>
    <mergeCell ref="D934:F934"/>
    <mergeCell ref="D937:F937"/>
    <mergeCell ref="D939:F939"/>
    <mergeCell ref="D940:F940"/>
    <mergeCell ref="D942:F942"/>
    <mergeCell ref="D944:F944"/>
    <mergeCell ref="D945:F945"/>
    <mergeCell ref="D922:F922"/>
    <mergeCell ref="D923:F923"/>
    <mergeCell ref="D924:F924"/>
    <mergeCell ref="D925:F925"/>
    <mergeCell ref="D926:F926"/>
    <mergeCell ref="D927:F927"/>
    <mergeCell ref="D928:F928"/>
    <mergeCell ref="D929:F929"/>
    <mergeCell ref="D930:F930"/>
    <mergeCell ref="D912:F912"/>
    <mergeCell ref="D913:F913"/>
    <mergeCell ref="D914:F914"/>
    <mergeCell ref="D916:F916"/>
    <mergeCell ref="D917:F917"/>
    <mergeCell ref="D918:F918"/>
    <mergeCell ref="D919:F919"/>
    <mergeCell ref="D920:F920"/>
    <mergeCell ref="D921:F921"/>
    <mergeCell ref="D902:F902"/>
    <mergeCell ref="D903:F903"/>
    <mergeCell ref="D904:F904"/>
    <mergeCell ref="C905:H905"/>
    <mergeCell ref="D906:F906"/>
    <mergeCell ref="D907:F907"/>
    <mergeCell ref="D908:F908"/>
    <mergeCell ref="D910:F910"/>
    <mergeCell ref="D911:F911"/>
    <mergeCell ref="D834:G834"/>
    <mergeCell ref="D835:G835"/>
    <mergeCell ref="D836:G836"/>
    <mergeCell ref="D837:G837"/>
    <mergeCell ref="D838:G838"/>
    <mergeCell ref="D839:G839"/>
    <mergeCell ref="B840:J840"/>
    <mergeCell ref="B870:J870"/>
    <mergeCell ref="B901:J901"/>
    <mergeCell ref="D825:G825"/>
    <mergeCell ref="D826:G826"/>
    <mergeCell ref="D827:G827"/>
    <mergeCell ref="D828:G828"/>
    <mergeCell ref="D829:G829"/>
    <mergeCell ref="D830:G830"/>
    <mergeCell ref="D831:G831"/>
    <mergeCell ref="D832:G832"/>
    <mergeCell ref="D833:G833"/>
    <mergeCell ref="D815:G815"/>
    <mergeCell ref="D816:G816"/>
    <mergeCell ref="D817:G817"/>
    <mergeCell ref="D818:G818"/>
    <mergeCell ref="D819:G819"/>
    <mergeCell ref="D820:G820"/>
    <mergeCell ref="D821:G821"/>
    <mergeCell ref="D822:G822"/>
    <mergeCell ref="D824:G824"/>
    <mergeCell ref="C746:G746"/>
    <mergeCell ref="B754:J754"/>
    <mergeCell ref="C777:G777"/>
    <mergeCell ref="C802:G802"/>
    <mergeCell ref="B809:J809"/>
    <mergeCell ref="D810:G810"/>
    <mergeCell ref="D811:G811"/>
    <mergeCell ref="D813:G813"/>
    <mergeCell ref="D814:G814"/>
    <mergeCell ref="B701:J701"/>
    <mergeCell ref="B702:C702"/>
    <mergeCell ref="B703:E703"/>
    <mergeCell ref="D710:G710"/>
    <mergeCell ref="D712:G712"/>
    <mergeCell ref="D713:G713"/>
    <mergeCell ref="D714:G714"/>
    <mergeCell ref="C724:F724"/>
    <mergeCell ref="B726:J726"/>
    <mergeCell ref="D691:G691"/>
    <mergeCell ref="D692:G692"/>
    <mergeCell ref="D693:G693"/>
    <mergeCell ref="D694:G694"/>
    <mergeCell ref="D695:G695"/>
    <mergeCell ref="D696:G696"/>
    <mergeCell ref="B698:J698"/>
    <mergeCell ref="D699:F699"/>
    <mergeCell ref="D700:F700"/>
    <mergeCell ref="D681:G681"/>
    <mergeCell ref="D682:G682"/>
    <mergeCell ref="D684:G684"/>
    <mergeCell ref="D685:G685"/>
    <mergeCell ref="D686:G686"/>
    <mergeCell ref="D687:G687"/>
    <mergeCell ref="D688:G688"/>
    <mergeCell ref="D689:G689"/>
    <mergeCell ref="D690:G690"/>
    <mergeCell ref="D672:G672"/>
    <mergeCell ref="D673:G673"/>
    <mergeCell ref="D674:G674"/>
    <mergeCell ref="B675:J675"/>
    <mergeCell ref="D676:G676"/>
    <mergeCell ref="D677:G677"/>
    <mergeCell ref="D678:G678"/>
    <mergeCell ref="D679:G679"/>
    <mergeCell ref="D680:G680"/>
    <mergeCell ref="D663:G663"/>
    <mergeCell ref="D664:G664"/>
    <mergeCell ref="D665:G665"/>
    <mergeCell ref="D666:G666"/>
    <mergeCell ref="D667:G667"/>
    <mergeCell ref="D668:G668"/>
    <mergeCell ref="D669:G669"/>
    <mergeCell ref="D670:G670"/>
    <mergeCell ref="D671:G671"/>
    <mergeCell ref="B653:J653"/>
    <mergeCell ref="D654:G654"/>
    <mergeCell ref="D655:G655"/>
    <mergeCell ref="D656:G656"/>
    <mergeCell ref="D657:G657"/>
    <mergeCell ref="D658:G658"/>
    <mergeCell ref="D659:G659"/>
    <mergeCell ref="D660:G660"/>
    <mergeCell ref="D662:G662"/>
    <mergeCell ref="D644:G644"/>
    <mergeCell ref="D645:G645"/>
    <mergeCell ref="D646:G646"/>
    <mergeCell ref="D647:G647"/>
    <mergeCell ref="D648:G648"/>
    <mergeCell ref="D649:G649"/>
    <mergeCell ref="D650:G650"/>
    <mergeCell ref="D651:G651"/>
    <mergeCell ref="D652:G652"/>
    <mergeCell ref="D634:G634"/>
    <mergeCell ref="D635:G635"/>
    <mergeCell ref="D636:G636"/>
    <mergeCell ref="D637:G637"/>
    <mergeCell ref="D638:G638"/>
    <mergeCell ref="D640:G640"/>
    <mergeCell ref="D641:G641"/>
    <mergeCell ref="D642:G642"/>
    <mergeCell ref="D643:G643"/>
    <mergeCell ref="B564:J564"/>
    <mergeCell ref="D584:G584"/>
    <mergeCell ref="C590:G590"/>
    <mergeCell ref="B597:J597"/>
    <mergeCell ref="D617:G617"/>
    <mergeCell ref="C623:G623"/>
    <mergeCell ref="B631:J631"/>
    <mergeCell ref="D632:G632"/>
    <mergeCell ref="D633:G633"/>
    <mergeCell ref="B451:J451"/>
    <mergeCell ref="C473:G473"/>
    <mergeCell ref="B480:J480"/>
    <mergeCell ref="C503:G503"/>
    <mergeCell ref="C520:G520"/>
    <mergeCell ref="B526:J526"/>
    <mergeCell ref="B531:J531"/>
    <mergeCell ref="D551:G551"/>
    <mergeCell ref="C557:G557"/>
    <mergeCell ref="C298:G298"/>
    <mergeCell ref="B306:J306"/>
    <mergeCell ref="C323:G323"/>
    <mergeCell ref="B331:J331"/>
    <mergeCell ref="C354:G354"/>
    <mergeCell ref="B361:J361"/>
    <mergeCell ref="C384:G384"/>
    <mergeCell ref="B391:J391"/>
    <mergeCell ref="B421:J421"/>
    <mergeCell ref="B236:J236"/>
    <mergeCell ref="B237:C237"/>
    <mergeCell ref="B238:E238"/>
    <mergeCell ref="D246:G246"/>
    <mergeCell ref="D255:E255"/>
    <mergeCell ref="B258:J258"/>
    <mergeCell ref="C272:G272"/>
    <mergeCell ref="B281:J281"/>
    <mergeCell ref="D294:G294"/>
    <mergeCell ref="C102:G102"/>
    <mergeCell ref="B110:J110"/>
    <mergeCell ref="B140:J140"/>
    <mergeCell ref="C162:G162"/>
    <mergeCell ref="B171:J171"/>
    <mergeCell ref="B193:J193"/>
    <mergeCell ref="C207:G207"/>
    <mergeCell ref="B215:J215"/>
    <mergeCell ref="C230:G230"/>
    <mergeCell ref="B30:J30"/>
    <mergeCell ref="B31:C31"/>
    <mergeCell ref="B32:E32"/>
    <mergeCell ref="D39:G39"/>
    <mergeCell ref="D40:G40"/>
    <mergeCell ref="B53:J53"/>
    <mergeCell ref="C77:G77"/>
    <mergeCell ref="B85:J85"/>
    <mergeCell ref="D98:G98"/>
    <mergeCell ref="D21:G21"/>
    <mergeCell ref="D22:G22"/>
    <mergeCell ref="D23:G23"/>
    <mergeCell ref="D24:G24"/>
    <mergeCell ref="D25:G25"/>
    <mergeCell ref="D26:G26"/>
    <mergeCell ref="D27:G27"/>
    <mergeCell ref="D28:G28"/>
    <mergeCell ref="D29:G29"/>
    <mergeCell ref="D13:G13"/>
    <mergeCell ref="D15:G15"/>
    <mergeCell ref="D16:G16"/>
    <mergeCell ref="L16:O16"/>
    <mergeCell ref="D17:G17"/>
    <mergeCell ref="D18:G18"/>
    <mergeCell ref="L18:O18"/>
    <mergeCell ref="D19:G19"/>
    <mergeCell ref="D20:G20"/>
    <mergeCell ref="B1:J1"/>
    <mergeCell ref="B4:C4"/>
    <mergeCell ref="D4:G4"/>
    <mergeCell ref="A5:J5"/>
    <mergeCell ref="B6:J6"/>
    <mergeCell ref="D7:G7"/>
    <mergeCell ref="D10:G10"/>
    <mergeCell ref="D11:G11"/>
    <mergeCell ref="D12:G12"/>
  </mergeCells>
  <conditionalFormatting sqref="A6">
    <cfRule type="cellIs" dxfId="38" priority="6" stopIfTrue="1" operator="equal">
      <formula>A2273</formula>
    </cfRule>
  </conditionalFormatting>
  <conditionalFormatting sqref="A7:A13">
    <cfRule type="cellIs" dxfId="37" priority="7" stopIfTrue="1" operator="equal">
      <formula>A6</formula>
    </cfRule>
  </conditionalFormatting>
  <conditionalFormatting sqref="A15:A17 A20:A29">
    <cfRule type="cellIs" dxfId="36" priority="9" stopIfTrue="1" operator="equal">
      <formula>A14</formula>
    </cfRule>
  </conditionalFormatting>
  <conditionalFormatting sqref="A18">
    <cfRule type="cellIs" dxfId="35" priority="4" stopIfTrue="1" operator="equal">
      <formula>A16</formula>
    </cfRule>
  </conditionalFormatting>
  <conditionalFormatting sqref="A19">
    <cfRule type="cellIs" dxfId="34" priority="5" stopIfTrue="1" operator="equal">
      <formula>#REF!</formula>
    </cfRule>
  </conditionalFormatting>
  <conditionalFormatting sqref="A698">
    <cfRule type="cellIs" dxfId="33" priority="2" stopIfTrue="1" operator="equal">
      <formula>A527</formula>
    </cfRule>
  </conditionalFormatting>
  <conditionalFormatting sqref="A699:A700">
    <cfRule type="cellIs" dxfId="32" priority="3" stopIfTrue="1" operator="equal">
      <formula>A698</formula>
    </cfRule>
  </conditionalFormatting>
  <conditionalFormatting sqref="A901">
    <cfRule type="cellIs" dxfId="31" priority="1" stopIfTrue="1" operator="equal">
      <formula>A234</formula>
    </cfRule>
  </conditionalFormatting>
  <conditionalFormatting sqref="A902:A909 A911:A945">
    <cfRule type="cellIs" dxfId="30" priority="11" stopIfTrue="1" operator="equal">
      <formula>A901</formula>
    </cfRule>
  </conditionalFormatting>
  <conditionalFormatting sqref="A910">
    <cfRule type="cellIs" dxfId="29" priority="10" stopIfTrue="1" operator="equal">
      <formula>A908</formula>
    </cfRule>
  </conditionalFormatting>
  <printOptions headings="1"/>
  <pageMargins left="0.62992125984252001" right="0.196850393700787" top="0.511811023622047" bottom="0.23622047244094499" header="0.511811023622047" footer="0.39370078740157499"/>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57"/>
  </sheetPr>
  <dimension ref="A1:H29"/>
  <sheetViews>
    <sheetView workbookViewId="0">
      <selection activeCell="C7" sqref="C7"/>
    </sheetView>
  </sheetViews>
  <sheetFormatPr defaultColWidth="9" defaultRowHeight="13.2"/>
  <cols>
    <col min="1" max="1" width="22.33203125" style="3" customWidth="1"/>
    <col min="2" max="2" width="31" style="3" customWidth="1"/>
    <col min="3" max="3" width="32.109375" style="3" customWidth="1"/>
    <col min="4" max="4" width="15" style="3" customWidth="1"/>
    <col min="5" max="5" width="14.44140625" style="3" customWidth="1"/>
    <col min="6" max="6" width="15.44140625" style="3" customWidth="1"/>
    <col min="7" max="7" width="9.44140625" style="1658" customWidth="1"/>
    <col min="8" max="8" width="14" style="3" customWidth="1"/>
    <col min="9" max="256" width="9.109375" style="3"/>
    <col min="257" max="257" width="25.5546875" style="3" customWidth="1"/>
    <col min="258" max="258" width="34.109375" style="3" customWidth="1"/>
    <col min="259" max="259" width="27.109375" style="3" customWidth="1"/>
    <col min="260" max="260" width="11.5546875" style="3" customWidth="1"/>
    <col min="261" max="261" width="12.88671875" style="3" customWidth="1"/>
    <col min="262" max="262" width="21" style="3" customWidth="1"/>
    <col min="263" max="263" width="9.44140625" style="3" customWidth="1"/>
    <col min="264" max="264" width="12.109375" style="3" customWidth="1"/>
    <col min="265" max="512" width="9.109375" style="3"/>
    <col min="513" max="513" width="25.5546875" style="3" customWidth="1"/>
    <col min="514" max="514" width="34.109375" style="3" customWidth="1"/>
    <col min="515" max="515" width="27.109375" style="3" customWidth="1"/>
    <col min="516" max="516" width="11.5546875" style="3" customWidth="1"/>
    <col min="517" max="517" width="12.88671875" style="3" customWidth="1"/>
    <col min="518" max="518" width="21" style="3" customWidth="1"/>
    <col min="519" max="519" width="9.44140625" style="3" customWidth="1"/>
    <col min="520" max="520" width="12.109375" style="3" customWidth="1"/>
    <col min="521" max="768" width="9.109375" style="3"/>
    <col min="769" max="769" width="25.5546875" style="3" customWidth="1"/>
    <col min="770" max="770" width="34.109375" style="3" customWidth="1"/>
    <col min="771" max="771" width="27.109375" style="3" customWidth="1"/>
    <col min="772" max="772" width="11.5546875" style="3" customWidth="1"/>
    <col min="773" max="773" width="12.88671875" style="3" customWidth="1"/>
    <col min="774" max="774" width="21" style="3" customWidth="1"/>
    <col min="775" max="775" width="9.44140625" style="3" customWidth="1"/>
    <col min="776" max="776" width="12.109375" style="3" customWidth="1"/>
    <col min="777" max="1024" width="9.109375" style="3"/>
    <col min="1025" max="1025" width="25.5546875" style="3" customWidth="1"/>
    <col min="1026" max="1026" width="34.109375" style="3" customWidth="1"/>
    <col min="1027" max="1027" width="27.109375" style="3" customWidth="1"/>
    <col min="1028" max="1028" width="11.5546875" style="3" customWidth="1"/>
    <col min="1029" max="1029" width="12.88671875" style="3" customWidth="1"/>
    <col min="1030" max="1030" width="21" style="3" customWidth="1"/>
    <col min="1031" max="1031" width="9.44140625" style="3" customWidth="1"/>
    <col min="1032" max="1032" width="12.109375" style="3" customWidth="1"/>
    <col min="1033" max="1280" width="9.109375" style="3"/>
    <col min="1281" max="1281" width="25.5546875" style="3" customWidth="1"/>
    <col min="1282" max="1282" width="34.109375" style="3" customWidth="1"/>
    <col min="1283" max="1283" width="27.109375" style="3" customWidth="1"/>
    <col min="1284" max="1284" width="11.5546875" style="3" customWidth="1"/>
    <col min="1285" max="1285" width="12.88671875" style="3" customWidth="1"/>
    <col min="1286" max="1286" width="21" style="3" customWidth="1"/>
    <col min="1287" max="1287" width="9.44140625" style="3" customWidth="1"/>
    <col min="1288" max="1288" width="12.109375" style="3" customWidth="1"/>
    <col min="1289" max="1536" width="9.109375" style="3"/>
    <col min="1537" max="1537" width="25.5546875" style="3" customWidth="1"/>
    <col min="1538" max="1538" width="34.109375" style="3" customWidth="1"/>
    <col min="1539" max="1539" width="27.109375" style="3" customWidth="1"/>
    <col min="1540" max="1540" width="11.5546875" style="3" customWidth="1"/>
    <col min="1541" max="1541" width="12.88671875" style="3" customWidth="1"/>
    <col min="1542" max="1542" width="21" style="3" customWidth="1"/>
    <col min="1543" max="1543" width="9.44140625" style="3" customWidth="1"/>
    <col min="1544" max="1544" width="12.109375" style="3" customWidth="1"/>
    <col min="1545" max="1792" width="9.109375" style="3"/>
    <col min="1793" max="1793" width="25.5546875" style="3" customWidth="1"/>
    <col min="1794" max="1794" width="34.109375" style="3" customWidth="1"/>
    <col min="1795" max="1795" width="27.109375" style="3" customWidth="1"/>
    <col min="1796" max="1796" width="11.5546875" style="3" customWidth="1"/>
    <col min="1797" max="1797" width="12.88671875" style="3" customWidth="1"/>
    <col min="1798" max="1798" width="21" style="3" customWidth="1"/>
    <col min="1799" max="1799" width="9.44140625" style="3" customWidth="1"/>
    <col min="1800" max="1800" width="12.109375" style="3" customWidth="1"/>
    <col min="1801" max="2048" width="9.109375" style="3"/>
    <col min="2049" max="2049" width="25.5546875" style="3" customWidth="1"/>
    <col min="2050" max="2050" width="34.109375" style="3" customWidth="1"/>
    <col min="2051" max="2051" width="27.109375" style="3" customWidth="1"/>
    <col min="2052" max="2052" width="11.5546875" style="3" customWidth="1"/>
    <col min="2053" max="2053" width="12.88671875" style="3" customWidth="1"/>
    <col min="2054" max="2054" width="21" style="3" customWidth="1"/>
    <col min="2055" max="2055" width="9.44140625" style="3" customWidth="1"/>
    <col min="2056" max="2056" width="12.109375" style="3" customWidth="1"/>
    <col min="2057" max="2304" width="9.109375" style="3"/>
    <col min="2305" max="2305" width="25.5546875" style="3" customWidth="1"/>
    <col min="2306" max="2306" width="34.109375" style="3" customWidth="1"/>
    <col min="2307" max="2307" width="27.109375" style="3" customWidth="1"/>
    <col min="2308" max="2308" width="11.5546875" style="3" customWidth="1"/>
    <col min="2309" max="2309" width="12.88671875" style="3" customWidth="1"/>
    <col min="2310" max="2310" width="21" style="3" customWidth="1"/>
    <col min="2311" max="2311" width="9.44140625" style="3" customWidth="1"/>
    <col min="2312" max="2312" width="12.109375" style="3" customWidth="1"/>
    <col min="2313" max="2560" width="9.109375" style="3"/>
    <col min="2561" max="2561" width="25.5546875" style="3" customWidth="1"/>
    <col min="2562" max="2562" width="34.109375" style="3" customWidth="1"/>
    <col min="2563" max="2563" width="27.109375" style="3" customWidth="1"/>
    <col min="2564" max="2564" width="11.5546875" style="3" customWidth="1"/>
    <col min="2565" max="2565" width="12.88671875" style="3" customWidth="1"/>
    <col min="2566" max="2566" width="21" style="3" customWidth="1"/>
    <col min="2567" max="2567" width="9.44140625" style="3" customWidth="1"/>
    <col min="2568" max="2568" width="12.109375" style="3" customWidth="1"/>
    <col min="2569" max="2816" width="9.109375" style="3"/>
    <col min="2817" max="2817" width="25.5546875" style="3" customWidth="1"/>
    <col min="2818" max="2818" width="34.109375" style="3" customWidth="1"/>
    <col min="2819" max="2819" width="27.109375" style="3" customWidth="1"/>
    <col min="2820" max="2820" width="11.5546875" style="3" customWidth="1"/>
    <col min="2821" max="2821" width="12.88671875" style="3" customWidth="1"/>
    <col min="2822" max="2822" width="21" style="3" customWidth="1"/>
    <col min="2823" max="2823" width="9.44140625" style="3" customWidth="1"/>
    <col min="2824" max="2824" width="12.109375" style="3" customWidth="1"/>
    <col min="2825" max="3072" width="9.109375" style="3"/>
    <col min="3073" max="3073" width="25.5546875" style="3" customWidth="1"/>
    <col min="3074" max="3074" width="34.109375" style="3" customWidth="1"/>
    <col min="3075" max="3075" width="27.109375" style="3" customWidth="1"/>
    <col min="3076" max="3076" width="11.5546875" style="3" customWidth="1"/>
    <col min="3077" max="3077" width="12.88671875" style="3" customWidth="1"/>
    <col min="3078" max="3078" width="21" style="3" customWidth="1"/>
    <col min="3079" max="3079" width="9.44140625" style="3" customWidth="1"/>
    <col min="3080" max="3080" width="12.109375" style="3" customWidth="1"/>
    <col min="3081" max="3328" width="9.109375" style="3"/>
    <col min="3329" max="3329" width="25.5546875" style="3" customWidth="1"/>
    <col min="3330" max="3330" width="34.109375" style="3" customWidth="1"/>
    <col min="3331" max="3331" width="27.109375" style="3" customWidth="1"/>
    <col min="3332" max="3332" width="11.5546875" style="3" customWidth="1"/>
    <col min="3333" max="3333" width="12.88671875" style="3" customWidth="1"/>
    <col min="3334" max="3334" width="21" style="3" customWidth="1"/>
    <col min="3335" max="3335" width="9.44140625" style="3" customWidth="1"/>
    <col min="3336" max="3336" width="12.109375" style="3" customWidth="1"/>
    <col min="3337" max="3584" width="9.109375" style="3"/>
    <col min="3585" max="3585" width="25.5546875" style="3" customWidth="1"/>
    <col min="3586" max="3586" width="34.109375" style="3" customWidth="1"/>
    <col min="3587" max="3587" width="27.109375" style="3" customWidth="1"/>
    <col min="3588" max="3588" width="11.5546875" style="3" customWidth="1"/>
    <col min="3589" max="3589" width="12.88671875" style="3" customWidth="1"/>
    <col min="3590" max="3590" width="21" style="3" customWidth="1"/>
    <col min="3591" max="3591" width="9.44140625" style="3" customWidth="1"/>
    <col min="3592" max="3592" width="12.109375" style="3" customWidth="1"/>
    <col min="3593" max="3840" width="9.109375" style="3"/>
    <col min="3841" max="3841" width="25.5546875" style="3" customWidth="1"/>
    <col min="3842" max="3842" width="34.109375" style="3" customWidth="1"/>
    <col min="3843" max="3843" width="27.109375" style="3" customWidth="1"/>
    <col min="3844" max="3844" width="11.5546875" style="3" customWidth="1"/>
    <col min="3845" max="3845" width="12.88671875" style="3" customWidth="1"/>
    <col min="3846" max="3846" width="21" style="3" customWidth="1"/>
    <col min="3847" max="3847" width="9.44140625" style="3" customWidth="1"/>
    <col min="3848" max="3848" width="12.109375" style="3" customWidth="1"/>
    <col min="3849" max="4096" width="9.109375" style="3"/>
    <col min="4097" max="4097" width="25.5546875" style="3" customWidth="1"/>
    <col min="4098" max="4098" width="34.109375" style="3" customWidth="1"/>
    <col min="4099" max="4099" width="27.109375" style="3" customWidth="1"/>
    <col min="4100" max="4100" width="11.5546875" style="3" customWidth="1"/>
    <col min="4101" max="4101" width="12.88671875" style="3" customWidth="1"/>
    <col min="4102" max="4102" width="21" style="3" customWidth="1"/>
    <col min="4103" max="4103" width="9.44140625" style="3" customWidth="1"/>
    <col min="4104" max="4104" width="12.109375" style="3" customWidth="1"/>
    <col min="4105" max="4352" width="9.109375" style="3"/>
    <col min="4353" max="4353" width="25.5546875" style="3" customWidth="1"/>
    <col min="4354" max="4354" width="34.109375" style="3" customWidth="1"/>
    <col min="4355" max="4355" width="27.109375" style="3" customWidth="1"/>
    <col min="4356" max="4356" width="11.5546875" style="3" customWidth="1"/>
    <col min="4357" max="4357" width="12.88671875" style="3" customWidth="1"/>
    <col min="4358" max="4358" width="21" style="3" customWidth="1"/>
    <col min="4359" max="4359" width="9.44140625" style="3" customWidth="1"/>
    <col min="4360" max="4360" width="12.109375" style="3" customWidth="1"/>
    <col min="4361" max="4608" width="9.109375" style="3"/>
    <col min="4609" max="4609" width="25.5546875" style="3" customWidth="1"/>
    <col min="4610" max="4610" width="34.109375" style="3" customWidth="1"/>
    <col min="4611" max="4611" width="27.109375" style="3" customWidth="1"/>
    <col min="4612" max="4612" width="11.5546875" style="3" customWidth="1"/>
    <col min="4613" max="4613" width="12.88671875" style="3" customWidth="1"/>
    <col min="4614" max="4614" width="21" style="3" customWidth="1"/>
    <col min="4615" max="4615" width="9.44140625" style="3" customWidth="1"/>
    <col min="4616" max="4616" width="12.109375" style="3" customWidth="1"/>
    <col min="4617" max="4864" width="9.109375" style="3"/>
    <col min="4865" max="4865" width="25.5546875" style="3" customWidth="1"/>
    <col min="4866" max="4866" width="34.109375" style="3" customWidth="1"/>
    <col min="4867" max="4867" width="27.109375" style="3" customWidth="1"/>
    <col min="4868" max="4868" width="11.5546875" style="3" customWidth="1"/>
    <col min="4869" max="4869" width="12.88671875" style="3" customWidth="1"/>
    <col min="4870" max="4870" width="21" style="3" customWidth="1"/>
    <col min="4871" max="4871" width="9.44140625" style="3" customWidth="1"/>
    <col min="4872" max="4872" width="12.109375" style="3" customWidth="1"/>
    <col min="4873" max="5120" width="9.109375" style="3"/>
    <col min="5121" max="5121" width="25.5546875" style="3" customWidth="1"/>
    <col min="5122" max="5122" width="34.109375" style="3" customWidth="1"/>
    <col min="5123" max="5123" width="27.109375" style="3" customWidth="1"/>
    <col min="5124" max="5124" width="11.5546875" style="3" customWidth="1"/>
    <col min="5125" max="5125" width="12.88671875" style="3" customWidth="1"/>
    <col min="5126" max="5126" width="21" style="3" customWidth="1"/>
    <col min="5127" max="5127" width="9.44140625" style="3" customWidth="1"/>
    <col min="5128" max="5128" width="12.109375" style="3" customWidth="1"/>
    <col min="5129" max="5376" width="9.109375" style="3"/>
    <col min="5377" max="5377" width="25.5546875" style="3" customWidth="1"/>
    <col min="5378" max="5378" width="34.109375" style="3" customWidth="1"/>
    <col min="5379" max="5379" width="27.109375" style="3" customWidth="1"/>
    <col min="5380" max="5380" width="11.5546875" style="3" customWidth="1"/>
    <col min="5381" max="5381" width="12.88671875" style="3" customWidth="1"/>
    <col min="5382" max="5382" width="21" style="3" customWidth="1"/>
    <col min="5383" max="5383" width="9.44140625" style="3" customWidth="1"/>
    <col min="5384" max="5384" width="12.109375" style="3" customWidth="1"/>
    <col min="5385" max="5632" width="9.109375" style="3"/>
    <col min="5633" max="5633" width="25.5546875" style="3" customWidth="1"/>
    <col min="5634" max="5634" width="34.109375" style="3" customWidth="1"/>
    <col min="5635" max="5635" width="27.109375" style="3" customWidth="1"/>
    <col min="5636" max="5636" width="11.5546875" style="3" customWidth="1"/>
    <col min="5637" max="5637" width="12.88671875" style="3" customWidth="1"/>
    <col min="5638" max="5638" width="21" style="3" customWidth="1"/>
    <col min="5639" max="5639" width="9.44140625" style="3" customWidth="1"/>
    <col min="5640" max="5640" width="12.109375" style="3" customWidth="1"/>
    <col min="5641" max="5888" width="9.109375" style="3"/>
    <col min="5889" max="5889" width="25.5546875" style="3" customWidth="1"/>
    <col min="5890" max="5890" width="34.109375" style="3" customWidth="1"/>
    <col min="5891" max="5891" width="27.109375" style="3" customWidth="1"/>
    <col min="5892" max="5892" width="11.5546875" style="3" customWidth="1"/>
    <col min="5893" max="5893" width="12.88671875" style="3" customWidth="1"/>
    <col min="5894" max="5894" width="21" style="3" customWidth="1"/>
    <col min="5895" max="5895" width="9.44140625" style="3" customWidth="1"/>
    <col min="5896" max="5896" width="12.109375" style="3" customWidth="1"/>
    <col min="5897" max="6144" width="9.109375" style="3"/>
    <col min="6145" max="6145" width="25.5546875" style="3" customWidth="1"/>
    <col min="6146" max="6146" width="34.109375" style="3" customWidth="1"/>
    <col min="6147" max="6147" width="27.109375" style="3" customWidth="1"/>
    <col min="6148" max="6148" width="11.5546875" style="3" customWidth="1"/>
    <col min="6149" max="6149" width="12.88671875" style="3" customWidth="1"/>
    <col min="6150" max="6150" width="21" style="3" customWidth="1"/>
    <col min="6151" max="6151" width="9.44140625" style="3" customWidth="1"/>
    <col min="6152" max="6152" width="12.109375" style="3" customWidth="1"/>
    <col min="6153" max="6400" width="9.109375" style="3"/>
    <col min="6401" max="6401" width="25.5546875" style="3" customWidth="1"/>
    <col min="6402" max="6402" width="34.109375" style="3" customWidth="1"/>
    <col min="6403" max="6403" width="27.109375" style="3" customWidth="1"/>
    <col min="6404" max="6404" width="11.5546875" style="3" customWidth="1"/>
    <col min="6405" max="6405" width="12.88671875" style="3" customWidth="1"/>
    <col min="6406" max="6406" width="21" style="3" customWidth="1"/>
    <col min="6407" max="6407" width="9.44140625" style="3" customWidth="1"/>
    <col min="6408" max="6408" width="12.109375" style="3" customWidth="1"/>
    <col min="6409" max="6656" width="9.109375" style="3"/>
    <col min="6657" max="6657" width="25.5546875" style="3" customWidth="1"/>
    <col min="6658" max="6658" width="34.109375" style="3" customWidth="1"/>
    <col min="6659" max="6659" width="27.109375" style="3" customWidth="1"/>
    <col min="6660" max="6660" width="11.5546875" style="3" customWidth="1"/>
    <col min="6661" max="6661" width="12.88671875" style="3" customWidth="1"/>
    <col min="6662" max="6662" width="21" style="3" customWidth="1"/>
    <col min="6663" max="6663" width="9.44140625" style="3" customWidth="1"/>
    <col min="6664" max="6664" width="12.109375" style="3" customWidth="1"/>
    <col min="6665" max="6912" width="9.109375" style="3"/>
    <col min="6913" max="6913" width="25.5546875" style="3" customWidth="1"/>
    <col min="6914" max="6914" width="34.109375" style="3" customWidth="1"/>
    <col min="6915" max="6915" width="27.109375" style="3" customWidth="1"/>
    <col min="6916" max="6916" width="11.5546875" style="3" customWidth="1"/>
    <col min="6917" max="6917" width="12.88671875" style="3" customWidth="1"/>
    <col min="6918" max="6918" width="21" style="3" customWidth="1"/>
    <col min="6919" max="6919" width="9.44140625" style="3" customWidth="1"/>
    <col min="6920" max="6920" width="12.109375" style="3" customWidth="1"/>
    <col min="6921" max="7168" width="9.109375" style="3"/>
    <col min="7169" max="7169" width="25.5546875" style="3" customWidth="1"/>
    <col min="7170" max="7170" width="34.109375" style="3" customWidth="1"/>
    <col min="7171" max="7171" width="27.109375" style="3" customWidth="1"/>
    <col min="7172" max="7172" width="11.5546875" style="3" customWidth="1"/>
    <col min="7173" max="7173" width="12.88671875" style="3" customWidth="1"/>
    <col min="7174" max="7174" width="21" style="3" customWidth="1"/>
    <col min="7175" max="7175" width="9.44140625" style="3" customWidth="1"/>
    <col min="7176" max="7176" width="12.109375" style="3" customWidth="1"/>
    <col min="7177" max="7424" width="9.109375" style="3"/>
    <col min="7425" max="7425" width="25.5546875" style="3" customWidth="1"/>
    <col min="7426" max="7426" width="34.109375" style="3" customWidth="1"/>
    <col min="7427" max="7427" width="27.109375" style="3" customWidth="1"/>
    <col min="7428" max="7428" width="11.5546875" style="3" customWidth="1"/>
    <col min="7429" max="7429" width="12.88671875" style="3" customWidth="1"/>
    <col min="7430" max="7430" width="21" style="3" customWidth="1"/>
    <col min="7431" max="7431" width="9.44140625" style="3" customWidth="1"/>
    <col min="7432" max="7432" width="12.109375" style="3" customWidth="1"/>
    <col min="7433" max="7680" width="9.109375" style="3"/>
    <col min="7681" max="7681" width="25.5546875" style="3" customWidth="1"/>
    <col min="7682" max="7682" width="34.109375" style="3" customWidth="1"/>
    <col min="7683" max="7683" width="27.109375" style="3" customWidth="1"/>
    <col min="7684" max="7684" width="11.5546875" style="3" customWidth="1"/>
    <col min="7685" max="7685" width="12.88671875" style="3" customWidth="1"/>
    <col min="7686" max="7686" width="21" style="3" customWidth="1"/>
    <col min="7687" max="7687" width="9.44140625" style="3" customWidth="1"/>
    <col min="7688" max="7688" width="12.109375" style="3" customWidth="1"/>
    <col min="7689" max="7936" width="9.109375" style="3"/>
    <col min="7937" max="7937" width="25.5546875" style="3" customWidth="1"/>
    <col min="7938" max="7938" width="34.109375" style="3" customWidth="1"/>
    <col min="7939" max="7939" width="27.109375" style="3" customWidth="1"/>
    <col min="7940" max="7940" width="11.5546875" style="3" customWidth="1"/>
    <col min="7941" max="7941" width="12.88671875" style="3" customWidth="1"/>
    <col min="7942" max="7942" width="21" style="3" customWidth="1"/>
    <col min="7943" max="7943" width="9.44140625" style="3" customWidth="1"/>
    <col min="7944" max="7944" width="12.109375" style="3" customWidth="1"/>
    <col min="7945" max="8192" width="9.109375" style="3"/>
    <col min="8193" max="8193" width="25.5546875" style="3" customWidth="1"/>
    <col min="8194" max="8194" width="34.109375" style="3" customWidth="1"/>
    <col min="8195" max="8195" width="27.109375" style="3" customWidth="1"/>
    <col min="8196" max="8196" width="11.5546875" style="3" customWidth="1"/>
    <col min="8197" max="8197" width="12.88671875" style="3" customWidth="1"/>
    <col min="8198" max="8198" width="21" style="3" customWidth="1"/>
    <col min="8199" max="8199" width="9.44140625" style="3" customWidth="1"/>
    <col min="8200" max="8200" width="12.109375" style="3" customWidth="1"/>
    <col min="8201" max="8448" width="9.109375" style="3"/>
    <col min="8449" max="8449" width="25.5546875" style="3" customWidth="1"/>
    <col min="8450" max="8450" width="34.109375" style="3" customWidth="1"/>
    <col min="8451" max="8451" width="27.109375" style="3" customWidth="1"/>
    <col min="8452" max="8452" width="11.5546875" style="3" customWidth="1"/>
    <col min="8453" max="8453" width="12.88671875" style="3" customWidth="1"/>
    <col min="8454" max="8454" width="21" style="3" customWidth="1"/>
    <col min="8455" max="8455" width="9.44140625" style="3" customWidth="1"/>
    <col min="8456" max="8456" width="12.109375" style="3" customWidth="1"/>
    <col min="8457" max="8704" width="9.109375" style="3"/>
    <col min="8705" max="8705" width="25.5546875" style="3" customWidth="1"/>
    <col min="8706" max="8706" width="34.109375" style="3" customWidth="1"/>
    <col min="8707" max="8707" width="27.109375" style="3" customWidth="1"/>
    <col min="8708" max="8708" width="11.5546875" style="3" customWidth="1"/>
    <col min="8709" max="8709" width="12.88671875" style="3" customWidth="1"/>
    <col min="8710" max="8710" width="21" style="3" customWidth="1"/>
    <col min="8711" max="8711" width="9.44140625" style="3" customWidth="1"/>
    <col min="8712" max="8712" width="12.109375" style="3" customWidth="1"/>
    <col min="8713" max="8960" width="9.109375" style="3"/>
    <col min="8961" max="8961" width="25.5546875" style="3" customWidth="1"/>
    <col min="8962" max="8962" width="34.109375" style="3" customWidth="1"/>
    <col min="8963" max="8963" width="27.109375" style="3" customWidth="1"/>
    <col min="8964" max="8964" width="11.5546875" style="3" customWidth="1"/>
    <col min="8965" max="8965" width="12.88671875" style="3" customWidth="1"/>
    <col min="8966" max="8966" width="21" style="3" customWidth="1"/>
    <col min="8967" max="8967" width="9.44140625" style="3" customWidth="1"/>
    <col min="8968" max="8968" width="12.109375" style="3" customWidth="1"/>
    <col min="8969" max="9216" width="9.109375" style="3"/>
    <col min="9217" max="9217" width="25.5546875" style="3" customWidth="1"/>
    <col min="9218" max="9218" width="34.109375" style="3" customWidth="1"/>
    <col min="9219" max="9219" width="27.109375" style="3" customWidth="1"/>
    <col min="9220" max="9220" width="11.5546875" style="3" customWidth="1"/>
    <col min="9221" max="9221" width="12.88671875" style="3" customWidth="1"/>
    <col min="9222" max="9222" width="21" style="3" customWidth="1"/>
    <col min="9223" max="9223" width="9.44140625" style="3" customWidth="1"/>
    <col min="9224" max="9224" width="12.109375" style="3" customWidth="1"/>
    <col min="9225" max="9472" width="9.109375" style="3"/>
    <col min="9473" max="9473" width="25.5546875" style="3" customWidth="1"/>
    <col min="9474" max="9474" width="34.109375" style="3" customWidth="1"/>
    <col min="9475" max="9475" width="27.109375" style="3" customWidth="1"/>
    <col min="9476" max="9476" width="11.5546875" style="3" customWidth="1"/>
    <col min="9477" max="9477" width="12.88671875" style="3" customWidth="1"/>
    <col min="9478" max="9478" width="21" style="3" customWidth="1"/>
    <col min="9479" max="9479" width="9.44140625" style="3" customWidth="1"/>
    <col min="9480" max="9480" width="12.109375" style="3" customWidth="1"/>
    <col min="9481" max="9728" width="9.109375" style="3"/>
    <col min="9729" max="9729" width="25.5546875" style="3" customWidth="1"/>
    <col min="9730" max="9730" width="34.109375" style="3" customWidth="1"/>
    <col min="9731" max="9731" width="27.109375" style="3" customWidth="1"/>
    <col min="9732" max="9732" width="11.5546875" style="3" customWidth="1"/>
    <col min="9733" max="9733" width="12.88671875" style="3" customWidth="1"/>
    <col min="9734" max="9734" width="21" style="3" customWidth="1"/>
    <col min="9735" max="9735" width="9.44140625" style="3" customWidth="1"/>
    <col min="9736" max="9736" width="12.109375" style="3" customWidth="1"/>
    <col min="9737" max="9984" width="9.109375" style="3"/>
    <col min="9985" max="9985" width="25.5546875" style="3" customWidth="1"/>
    <col min="9986" max="9986" width="34.109375" style="3" customWidth="1"/>
    <col min="9987" max="9987" width="27.109375" style="3" customWidth="1"/>
    <col min="9988" max="9988" width="11.5546875" style="3" customWidth="1"/>
    <col min="9989" max="9989" width="12.88671875" style="3" customWidth="1"/>
    <col min="9990" max="9990" width="21" style="3" customWidth="1"/>
    <col min="9991" max="9991" width="9.44140625" style="3" customWidth="1"/>
    <col min="9992" max="9992" width="12.109375" style="3" customWidth="1"/>
    <col min="9993" max="10240" width="9.109375" style="3"/>
    <col min="10241" max="10241" width="25.5546875" style="3" customWidth="1"/>
    <col min="10242" max="10242" width="34.109375" style="3" customWidth="1"/>
    <col min="10243" max="10243" width="27.109375" style="3" customWidth="1"/>
    <col min="10244" max="10244" width="11.5546875" style="3" customWidth="1"/>
    <col min="10245" max="10245" width="12.88671875" style="3" customWidth="1"/>
    <col min="10246" max="10246" width="21" style="3" customWidth="1"/>
    <col min="10247" max="10247" width="9.44140625" style="3" customWidth="1"/>
    <col min="10248" max="10248" width="12.109375" style="3" customWidth="1"/>
    <col min="10249" max="10496" width="9.109375" style="3"/>
    <col min="10497" max="10497" width="25.5546875" style="3" customWidth="1"/>
    <col min="10498" max="10498" width="34.109375" style="3" customWidth="1"/>
    <col min="10499" max="10499" width="27.109375" style="3" customWidth="1"/>
    <col min="10500" max="10500" width="11.5546875" style="3" customWidth="1"/>
    <col min="10501" max="10501" width="12.88671875" style="3" customWidth="1"/>
    <col min="10502" max="10502" width="21" style="3" customWidth="1"/>
    <col min="10503" max="10503" width="9.44140625" style="3" customWidth="1"/>
    <col min="10504" max="10504" width="12.109375" style="3" customWidth="1"/>
    <col min="10505" max="10752" width="9.109375" style="3"/>
    <col min="10753" max="10753" width="25.5546875" style="3" customWidth="1"/>
    <col min="10754" max="10754" width="34.109375" style="3" customWidth="1"/>
    <col min="10755" max="10755" width="27.109375" style="3" customWidth="1"/>
    <col min="10756" max="10756" width="11.5546875" style="3" customWidth="1"/>
    <col min="10757" max="10757" width="12.88671875" style="3" customWidth="1"/>
    <col min="10758" max="10758" width="21" style="3" customWidth="1"/>
    <col min="10759" max="10759" width="9.44140625" style="3" customWidth="1"/>
    <col min="10760" max="10760" width="12.109375" style="3" customWidth="1"/>
    <col min="10761" max="11008" width="9.109375" style="3"/>
    <col min="11009" max="11009" width="25.5546875" style="3" customWidth="1"/>
    <col min="11010" max="11010" width="34.109375" style="3" customWidth="1"/>
    <col min="11011" max="11011" width="27.109375" style="3" customWidth="1"/>
    <col min="11012" max="11012" width="11.5546875" style="3" customWidth="1"/>
    <col min="11013" max="11013" width="12.88671875" style="3" customWidth="1"/>
    <col min="11014" max="11014" width="21" style="3" customWidth="1"/>
    <col min="11015" max="11015" width="9.44140625" style="3" customWidth="1"/>
    <col min="11016" max="11016" width="12.109375" style="3" customWidth="1"/>
    <col min="11017" max="11264" width="9.109375" style="3"/>
    <col min="11265" max="11265" width="25.5546875" style="3" customWidth="1"/>
    <col min="11266" max="11266" width="34.109375" style="3" customWidth="1"/>
    <col min="11267" max="11267" width="27.109375" style="3" customWidth="1"/>
    <col min="11268" max="11268" width="11.5546875" style="3" customWidth="1"/>
    <col min="11269" max="11269" width="12.88671875" style="3" customWidth="1"/>
    <col min="11270" max="11270" width="21" style="3" customWidth="1"/>
    <col min="11271" max="11271" width="9.44140625" style="3" customWidth="1"/>
    <col min="11272" max="11272" width="12.109375" style="3" customWidth="1"/>
    <col min="11273" max="11520" width="9.109375" style="3"/>
    <col min="11521" max="11521" width="25.5546875" style="3" customWidth="1"/>
    <col min="11522" max="11522" width="34.109375" style="3" customWidth="1"/>
    <col min="11523" max="11523" width="27.109375" style="3" customWidth="1"/>
    <col min="11524" max="11524" width="11.5546875" style="3" customWidth="1"/>
    <col min="11525" max="11525" width="12.88671875" style="3" customWidth="1"/>
    <col min="11526" max="11526" width="21" style="3" customWidth="1"/>
    <col min="11527" max="11527" width="9.44140625" style="3" customWidth="1"/>
    <col min="11528" max="11528" width="12.109375" style="3" customWidth="1"/>
    <col min="11529" max="11776" width="9.109375" style="3"/>
    <col min="11777" max="11777" width="25.5546875" style="3" customWidth="1"/>
    <col min="11778" max="11778" width="34.109375" style="3" customWidth="1"/>
    <col min="11779" max="11779" width="27.109375" style="3" customWidth="1"/>
    <col min="11780" max="11780" width="11.5546875" style="3" customWidth="1"/>
    <col min="11781" max="11781" width="12.88671875" style="3" customWidth="1"/>
    <col min="11782" max="11782" width="21" style="3" customWidth="1"/>
    <col min="11783" max="11783" width="9.44140625" style="3" customWidth="1"/>
    <col min="11784" max="11784" width="12.109375" style="3" customWidth="1"/>
    <col min="11785" max="12032" width="9.109375" style="3"/>
    <col min="12033" max="12033" width="25.5546875" style="3" customWidth="1"/>
    <col min="12034" max="12034" width="34.109375" style="3" customWidth="1"/>
    <col min="12035" max="12035" width="27.109375" style="3" customWidth="1"/>
    <col min="12036" max="12036" width="11.5546875" style="3" customWidth="1"/>
    <col min="12037" max="12037" width="12.88671875" style="3" customWidth="1"/>
    <col min="12038" max="12038" width="21" style="3" customWidth="1"/>
    <col min="12039" max="12039" width="9.44140625" style="3" customWidth="1"/>
    <col min="12040" max="12040" width="12.109375" style="3" customWidth="1"/>
    <col min="12041" max="12288" width="9.109375" style="3"/>
    <col min="12289" max="12289" width="25.5546875" style="3" customWidth="1"/>
    <col min="12290" max="12290" width="34.109375" style="3" customWidth="1"/>
    <col min="12291" max="12291" width="27.109375" style="3" customWidth="1"/>
    <col min="12292" max="12292" width="11.5546875" style="3" customWidth="1"/>
    <col min="12293" max="12293" width="12.88671875" style="3" customWidth="1"/>
    <col min="12294" max="12294" width="21" style="3" customWidth="1"/>
    <col min="12295" max="12295" width="9.44140625" style="3" customWidth="1"/>
    <col min="12296" max="12296" width="12.109375" style="3" customWidth="1"/>
    <col min="12297" max="12544" width="9.109375" style="3"/>
    <col min="12545" max="12545" width="25.5546875" style="3" customWidth="1"/>
    <col min="12546" max="12546" width="34.109375" style="3" customWidth="1"/>
    <col min="12547" max="12547" width="27.109375" style="3" customWidth="1"/>
    <col min="12548" max="12548" width="11.5546875" style="3" customWidth="1"/>
    <col min="12549" max="12549" width="12.88671875" style="3" customWidth="1"/>
    <col min="12550" max="12550" width="21" style="3" customWidth="1"/>
    <col min="12551" max="12551" width="9.44140625" style="3" customWidth="1"/>
    <col min="12552" max="12552" width="12.109375" style="3" customWidth="1"/>
    <col min="12553" max="12800" width="9.109375" style="3"/>
    <col min="12801" max="12801" width="25.5546875" style="3" customWidth="1"/>
    <col min="12802" max="12802" width="34.109375" style="3" customWidth="1"/>
    <col min="12803" max="12803" width="27.109375" style="3" customWidth="1"/>
    <col min="12804" max="12804" width="11.5546875" style="3" customWidth="1"/>
    <col min="12805" max="12805" width="12.88671875" style="3" customWidth="1"/>
    <col min="12806" max="12806" width="21" style="3" customWidth="1"/>
    <col min="12807" max="12807" width="9.44140625" style="3" customWidth="1"/>
    <col min="12808" max="12808" width="12.109375" style="3" customWidth="1"/>
    <col min="12809" max="13056" width="9.109375" style="3"/>
    <col min="13057" max="13057" width="25.5546875" style="3" customWidth="1"/>
    <col min="13058" max="13058" width="34.109375" style="3" customWidth="1"/>
    <col min="13059" max="13059" width="27.109375" style="3" customWidth="1"/>
    <col min="13060" max="13060" width="11.5546875" style="3" customWidth="1"/>
    <col min="13061" max="13061" width="12.88671875" style="3" customWidth="1"/>
    <col min="13062" max="13062" width="21" style="3" customWidth="1"/>
    <col min="13063" max="13063" width="9.44140625" style="3" customWidth="1"/>
    <col min="13064" max="13064" width="12.109375" style="3" customWidth="1"/>
    <col min="13065" max="13312" width="9.109375" style="3"/>
    <col min="13313" max="13313" width="25.5546875" style="3" customWidth="1"/>
    <col min="13314" max="13314" width="34.109375" style="3" customWidth="1"/>
    <col min="13315" max="13315" width="27.109375" style="3" customWidth="1"/>
    <col min="13316" max="13316" width="11.5546875" style="3" customWidth="1"/>
    <col min="13317" max="13317" width="12.88671875" style="3" customWidth="1"/>
    <col min="13318" max="13318" width="21" style="3" customWidth="1"/>
    <col min="13319" max="13319" width="9.44140625" style="3" customWidth="1"/>
    <col min="13320" max="13320" width="12.109375" style="3" customWidth="1"/>
    <col min="13321" max="13568" width="9.109375" style="3"/>
    <col min="13569" max="13569" width="25.5546875" style="3" customWidth="1"/>
    <col min="13570" max="13570" width="34.109375" style="3" customWidth="1"/>
    <col min="13571" max="13571" width="27.109375" style="3" customWidth="1"/>
    <col min="13572" max="13572" width="11.5546875" style="3" customWidth="1"/>
    <col min="13573" max="13573" width="12.88671875" style="3" customWidth="1"/>
    <col min="13574" max="13574" width="21" style="3" customWidth="1"/>
    <col min="13575" max="13575" width="9.44140625" style="3" customWidth="1"/>
    <col min="13576" max="13576" width="12.109375" style="3" customWidth="1"/>
    <col min="13577" max="13824" width="9.109375" style="3"/>
    <col min="13825" max="13825" width="25.5546875" style="3" customWidth="1"/>
    <col min="13826" max="13826" width="34.109375" style="3" customWidth="1"/>
    <col min="13827" max="13827" width="27.109375" style="3" customWidth="1"/>
    <col min="13828" max="13828" width="11.5546875" style="3" customWidth="1"/>
    <col min="13829" max="13829" width="12.88671875" style="3" customWidth="1"/>
    <col min="13830" max="13830" width="21" style="3" customWidth="1"/>
    <col min="13831" max="13831" width="9.44140625" style="3" customWidth="1"/>
    <col min="13832" max="13832" width="12.109375" style="3" customWidth="1"/>
    <col min="13833" max="14080" width="9.109375" style="3"/>
    <col min="14081" max="14081" width="25.5546875" style="3" customWidth="1"/>
    <col min="14082" max="14082" width="34.109375" style="3" customWidth="1"/>
    <col min="14083" max="14083" width="27.109375" style="3" customWidth="1"/>
    <col min="14084" max="14084" width="11.5546875" style="3" customWidth="1"/>
    <col min="14085" max="14085" width="12.88671875" style="3" customWidth="1"/>
    <col min="14086" max="14086" width="21" style="3" customWidth="1"/>
    <col min="14087" max="14087" width="9.44140625" style="3" customWidth="1"/>
    <col min="14088" max="14088" width="12.109375" style="3" customWidth="1"/>
    <col min="14089" max="14336" width="9.109375" style="3"/>
    <col min="14337" max="14337" width="25.5546875" style="3" customWidth="1"/>
    <col min="14338" max="14338" width="34.109375" style="3" customWidth="1"/>
    <col min="14339" max="14339" width="27.109375" style="3" customWidth="1"/>
    <col min="14340" max="14340" width="11.5546875" style="3" customWidth="1"/>
    <col min="14341" max="14341" width="12.88671875" style="3" customWidth="1"/>
    <col min="14342" max="14342" width="21" style="3" customWidth="1"/>
    <col min="14343" max="14343" width="9.44140625" style="3" customWidth="1"/>
    <col min="14344" max="14344" width="12.109375" style="3" customWidth="1"/>
    <col min="14345" max="14592" width="9.109375" style="3"/>
    <col min="14593" max="14593" width="25.5546875" style="3" customWidth="1"/>
    <col min="14594" max="14594" width="34.109375" style="3" customWidth="1"/>
    <col min="14595" max="14595" width="27.109375" style="3" customWidth="1"/>
    <col min="14596" max="14596" width="11.5546875" style="3" customWidth="1"/>
    <col min="14597" max="14597" width="12.88671875" style="3" customWidth="1"/>
    <col min="14598" max="14598" width="21" style="3" customWidth="1"/>
    <col min="14599" max="14599" width="9.44140625" style="3" customWidth="1"/>
    <col min="14600" max="14600" width="12.109375" style="3" customWidth="1"/>
    <col min="14601" max="14848" width="9.109375" style="3"/>
    <col min="14849" max="14849" width="25.5546875" style="3" customWidth="1"/>
    <col min="14850" max="14850" width="34.109375" style="3" customWidth="1"/>
    <col min="14851" max="14851" width="27.109375" style="3" customWidth="1"/>
    <col min="14852" max="14852" width="11.5546875" style="3" customWidth="1"/>
    <col min="14853" max="14853" width="12.88671875" style="3" customWidth="1"/>
    <col min="14854" max="14854" width="21" style="3" customWidth="1"/>
    <col min="14855" max="14855" width="9.44140625" style="3" customWidth="1"/>
    <col min="14856" max="14856" width="12.109375" style="3" customWidth="1"/>
    <col min="14857" max="15104" width="9.109375" style="3"/>
    <col min="15105" max="15105" width="25.5546875" style="3" customWidth="1"/>
    <col min="15106" max="15106" width="34.109375" style="3" customWidth="1"/>
    <col min="15107" max="15107" width="27.109375" style="3" customWidth="1"/>
    <col min="15108" max="15108" width="11.5546875" style="3" customWidth="1"/>
    <col min="15109" max="15109" width="12.88671875" style="3" customWidth="1"/>
    <col min="15110" max="15110" width="21" style="3" customWidth="1"/>
    <col min="15111" max="15111" width="9.44140625" style="3" customWidth="1"/>
    <col min="15112" max="15112" width="12.109375" style="3" customWidth="1"/>
    <col min="15113" max="15360" width="9.109375" style="3"/>
    <col min="15361" max="15361" width="25.5546875" style="3" customWidth="1"/>
    <col min="15362" max="15362" width="34.109375" style="3" customWidth="1"/>
    <col min="15363" max="15363" width="27.109375" style="3" customWidth="1"/>
    <col min="15364" max="15364" width="11.5546875" style="3" customWidth="1"/>
    <col min="15365" max="15365" width="12.88671875" style="3" customWidth="1"/>
    <col min="15366" max="15366" width="21" style="3" customWidth="1"/>
    <col min="15367" max="15367" width="9.44140625" style="3" customWidth="1"/>
    <col min="15368" max="15368" width="12.109375" style="3" customWidth="1"/>
    <col min="15369" max="15616" width="9.109375" style="3"/>
    <col min="15617" max="15617" width="25.5546875" style="3" customWidth="1"/>
    <col min="15618" max="15618" width="34.109375" style="3" customWidth="1"/>
    <col min="15619" max="15619" width="27.109375" style="3" customWidth="1"/>
    <col min="15620" max="15620" width="11.5546875" style="3" customWidth="1"/>
    <col min="15621" max="15621" width="12.88671875" style="3" customWidth="1"/>
    <col min="15622" max="15622" width="21" style="3" customWidth="1"/>
    <col min="15623" max="15623" width="9.44140625" style="3" customWidth="1"/>
    <col min="15624" max="15624" width="12.109375" style="3" customWidth="1"/>
    <col min="15625" max="15872" width="9.109375" style="3"/>
    <col min="15873" max="15873" width="25.5546875" style="3" customWidth="1"/>
    <col min="15874" max="15874" width="34.109375" style="3" customWidth="1"/>
    <col min="15875" max="15875" width="27.109375" style="3" customWidth="1"/>
    <col min="15876" max="15876" width="11.5546875" style="3" customWidth="1"/>
    <col min="15877" max="15877" width="12.88671875" style="3" customWidth="1"/>
    <col min="15878" max="15878" width="21" style="3" customWidth="1"/>
    <col min="15879" max="15879" width="9.44140625" style="3" customWidth="1"/>
    <col min="15880" max="15880" width="12.109375" style="3" customWidth="1"/>
    <col min="15881" max="16128" width="9.109375" style="3"/>
    <col min="16129" max="16129" width="25.5546875" style="3" customWidth="1"/>
    <col min="16130" max="16130" width="34.109375" style="3" customWidth="1"/>
    <col min="16131" max="16131" width="27.109375" style="3" customWidth="1"/>
    <col min="16132" max="16132" width="11.5546875" style="3" customWidth="1"/>
    <col min="16133" max="16133" width="12.88671875" style="3" customWidth="1"/>
    <col min="16134" max="16134" width="21" style="3" customWidth="1"/>
    <col min="16135" max="16135" width="9.44140625" style="3" customWidth="1"/>
    <col min="16136" max="16136" width="12.109375" style="3" customWidth="1"/>
    <col min="16137" max="16384" width="9.109375" style="3"/>
  </cols>
  <sheetData>
    <row r="1" spans="1:7" ht="15.6">
      <c r="A1" s="3003" t="str">
        <f>'Schedule-A'!D3</f>
        <v xml:space="preserve">BT Renewal from Balabadraipally to Danamma Thanda of Gundumal Mandal in Narayanpet District </v>
      </c>
      <c r="B1" s="3003"/>
      <c r="C1" s="3003"/>
      <c r="D1" s="3003"/>
      <c r="E1" s="3003"/>
      <c r="F1" s="3003"/>
      <c r="G1" s="3003"/>
    </row>
    <row r="2" spans="1:7" ht="15.6">
      <c r="A2" s="2"/>
      <c r="B2" s="2" t="str">
        <f>'Schedule-A'!H4</f>
        <v>NIT.No--</v>
      </c>
      <c r="C2" s="1659" t="s">
        <v>328</v>
      </c>
      <c r="D2" s="1660">
        <f>'Schedule-A'!C4</f>
        <v>96.15</v>
      </c>
      <c r="E2" s="2" t="s">
        <v>329</v>
      </c>
      <c r="F2" s="2"/>
      <c r="G2" s="2"/>
    </row>
    <row r="3" spans="1:7" s="9" customFormat="1" ht="24.9" customHeight="1">
      <c r="A3" s="1661" t="s">
        <v>330</v>
      </c>
      <c r="B3" s="1662">
        <f>'Schedule-A'!H192</f>
        <v>7737566</v>
      </c>
      <c r="C3" s="7">
        <f>B3</f>
        <v>7737566</v>
      </c>
      <c r="D3" s="1820" t="s">
        <v>331</v>
      </c>
      <c r="E3" s="8">
        <v>1.4999999999999999E-2</v>
      </c>
      <c r="F3" s="8">
        <v>2.5000000000000001E-2</v>
      </c>
      <c r="G3" s="1663"/>
    </row>
    <row r="4" spans="1:7" s="9" customFormat="1" ht="22.5" customHeight="1">
      <c r="A4" s="10" t="s">
        <v>332</v>
      </c>
      <c r="B4" s="11" t="s">
        <v>333</v>
      </c>
      <c r="C4" s="12">
        <f>CEILING(1%*B3,100)</f>
        <v>77400</v>
      </c>
      <c r="D4" s="13">
        <f>CEILING(1%*C3,100)</f>
        <v>77400</v>
      </c>
      <c r="E4" s="13">
        <f>CEILING(1.5%*C3,100)</f>
        <v>116100</v>
      </c>
      <c r="F4" s="13">
        <f>SUM(D4:E4)</f>
        <v>193500</v>
      </c>
      <c r="G4" s="1663"/>
    </row>
    <row r="5" spans="1:7" s="9" customFormat="1" ht="25.5" customHeight="1">
      <c r="A5" s="14" t="s">
        <v>334</v>
      </c>
      <c r="B5" s="15" t="s">
        <v>335</v>
      </c>
      <c r="C5" s="16" t="s">
        <v>336</v>
      </c>
      <c r="D5" s="1664">
        <f>1.12368*(ROUND(0.03%*C3,0))</f>
        <v>2608.0612799999999</v>
      </c>
      <c r="E5" s="1665" t="s">
        <v>337</v>
      </c>
      <c r="F5" s="1666"/>
      <c r="G5" s="1663"/>
    </row>
    <row r="6" spans="1:7" s="9" customFormat="1" ht="33.75" customHeight="1">
      <c r="A6" s="1667" t="s">
        <v>338</v>
      </c>
      <c r="B6" s="1668">
        <f>IF(B3&lt;=20000000,12,15)</f>
        <v>12</v>
      </c>
      <c r="C6" s="1669" t="s">
        <v>339</v>
      </c>
      <c r="G6" s="1663"/>
    </row>
    <row r="7" spans="1:7" s="9" customFormat="1" ht="30.75" customHeight="1">
      <c r="A7" s="10" t="s">
        <v>340</v>
      </c>
      <c r="B7" s="1670" t="s">
        <v>341</v>
      </c>
      <c r="C7" s="1671">
        <f>ROUNDUP((3*C3)/(B6),0)</f>
        <v>1934392</v>
      </c>
      <c r="D7" s="30" t="s">
        <v>342</v>
      </c>
      <c r="E7" s="1672" t="e">
        <f>'Schedule-A'!#REF!</f>
        <v>#REF!</v>
      </c>
      <c r="F7" s="1673" t="e">
        <f>'Schedule-A'!#REF!</f>
        <v>#REF!</v>
      </c>
      <c r="G7" s="1663"/>
    </row>
    <row r="8" spans="1:7" s="9" customFormat="1" ht="29.25" customHeight="1">
      <c r="A8" s="10" t="s">
        <v>343</v>
      </c>
      <c r="B8" s="9" t="s">
        <v>344</v>
      </c>
      <c r="C8" s="1671">
        <f>ROUNDUP(50%*C3*12/B6,0)</f>
        <v>3868783</v>
      </c>
      <c r="G8" s="1663"/>
    </row>
    <row r="9" spans="1:7" s="9" customFormat="1" ht="19.5" customHeight="1">
      <c r="A9" s="10" t="s">
        <v>345</v>
      </c>
      <c r="B9" s="9" t="s">
        <v>330</v>
      </c>
      <c r="C9" s="1671">
        <f>C3</f>
        <v>7737566</v>
      </c>
      <c r="G9" s="1663"/>
    </row>
    <row r="10" spans="1:7" s="9" customFormat="1" ht="24.9" customHeight="1">
      <c r="A10" s="10" t="s">
        <v>346</v>
      </c>
      <c r="B10" s="23" t="s">
        <v>347</v>
      </c>
      <c r="C10" s="1674" t="s">
        <v>348</v>
      </c>
      <c r="D10" s="23"/>
      <c r="G10" s="1663"/>
    </row>
    <row r="11" spans="1:7" s="9" customFormat="1" ht="24.9" customHeight="1">
      <c r="A11" s="10" t="s">
        <v>349</v>
      </c>
      <c r="B11" s="34">
        <v>0</v>
      </c>
      <c r="C11" s="35">
        <f>ROUNDUP(B11*50%*12/B6,0)</f>
        <v>0</v>
      </c>
      <c r="D11" s="23" t="s">
        <v>31</v>
      </c>
      <c r="G11" s="1663"/>
    </row>
    <row r="12" spans="1:7" s="9" customFormat="1" ht="24.9" customHeight="1">
      <c r="A12" s="10" t="s">
        <v>350</v>
      </c>
      <c r="B12" s="34">
        <v>0</v>
      </c>
      <c r="C12" s="35">
        <f>ROUNDUP(B12*50%*12/B6,0)</f>
        <v>0</v>
      </c>
      <c r="D12" s="23" t="s">
        <v>31</v>
      </c>
      <c r="G12" s="1663"/>
    </row>
    <row r="13" spans="1:7" s="9" customFormat="1" ht="24.9" customHeight="1">
      <c r="A13" s="10" t="s">
        <v>351</v>
      </c>
      <c r="B13" s="34">
        <v>0</v>
      </c>
      <c r="C13" s="35">
        <f>ROUNDUP(B13*50%*12/B6,0)</f>
        <v>0</v>
      </c>
      <c r="D13" s="23" t="s">
        <v>31</v>
      </c>
      <c r="G13" s="1663"/>
    </row>
    <row r="14" spans="1:7" s="9" customFormat="1" ht="24.9" customHeight="1">
      <c r="A14" s="10" t="s">
        <v>352</v>
      </c>
      <c r="B14" s="34">
        <v>0</v>
      </c>
      <c r="C14" s="35">
        <f>ROUNDUP(B14*50%*12/B6,0)</f>
        <v>0</v>
      </c>
      <c r="D14" s="23" t="s">
        <v>353</v>
      </c>
      <c r="G14" s="1663"/>
    </row>
    <row r="15" spans="1:7" s="9" customFormat="1" ht="24.9" customHeight="1">
      <c r="A15" s="1675" t="s">
        <v>354</v>
      </c>
      <c r="B15" s="34">
        <v>0</v>
      </c>
      <c r="C15" s="35">
        <f>ROUNDUP(B15*50%*12/B6,0)</f>
        <v>0</v>
      </c>
      <c r="D15" s="23" t="s">
        <v>31</v>
      </c>
      <c r="G15" s="1663"/>
    </row>
    <row r="16" spans="1:7">
      <c r="A16" s="37"/>
      <c r="C16" s="38"/>
    </row>
    <row r="17" spans="1:8">
      <c r="A17" s="10" t="s">
        <v>355</v>
      </c>
      <c r="B17" s="39" t="s">
        <v>356</v>
      </c>
      <c r="C17" s="1676">
        <f>(C9/3)</f>
        <v>2579188.6666666665</v>
      </c>
      <c r="D17" s="41">
        <f>C17*0.5</f>
        <v>1289594.3333333333</v>
      </c>
      <c r="E17" s="3">
        <f>ROUND(D17*0.1%,0)</f>
        <v>1290</v>
      </c>
    </row>
    <row r="18" spans="1:8">
      <c r="A18" s="10"/>
      <c r="B18" s="39" t="s">
        <v>357</v>
      </c>
      <c r="C18" s="1676">
        <f>2*C17</f>
        <v>5158377.333333333</v>
      </c>
      <c r="D18" s="41">
        <f t="shared" ref="D18:D19" si="0">C18*0.5</f>
        <v>2579188.6666666665</v>
      </c>
      <c r="E18" s="3">
        <f t="shared" ref="E18:E19" si="1">ROUND(D18*0.1%,0)</f>
        <v>2579</v>
      </c>
    </row>
    <row r="19" spans="1:8" ht="13.5" customHeight="1">
      <c r="A19" s="10"/>
      <c r="B19" s="39" t="s">
        <v>358</v>
      </c>
      <c r="C19" s="1676">
        <f>3*C17</f>
        <v>7737566</v>
      </c>
      <c r="D19" s="41">
        <f t="shared" si="0"/>
        <v>3868783</v>
      </c>
      <c r="E19" s="3">
        <f t="shared" si="1"/>
        <v>3869</v>
      </c>
    </row>
    <row r="20" spans="1:8" s="9" customFormat="1" ht="24.75" customHeight="1">
      <c r="B20" s="42"/>
      <c r="C20" s="44"/>
      <c r="D20" s="44">
        <f>SUM(D17:D19)</f>
        <v>7737566</v>
      </c>
      <c r="E20" s="23"/>
      <c r="F20" s="45" t="s">
        <v>359</v>
      </c>
      <c r="G20" s="1663" t="s">
        <v>360</v>
      </c>
      <c r="H20" s="44">
        <f>C20*0.5%</f>
        <v>0</v>
      </c>
    </row>
    <row r="21" spans="1:8">
      <c r="A21" s="10" t="s">
        <v>361</v>
      </c>
      <c r="B21" s="39" t="s">
        <v>362</v>
      </c>
      <c r="C21" s="1677">
        <f>ROUND(((C3/3)/1000),0)</f>
        <v>2579</v>
      </c>
      <c r="D21" s="47">
        <f>C21*10%</f>
        <v>257.90000000000003</v>
      </c>
      <c r="E21" s="48">
        <f>C3/3</f>
        <v>2579188.6666666665</v>
      </c>
      <c r="F21" s="49">
        <f>E21*100/100000</f>
        <v>2579.1886666666664</v>
      </c>
      <c r="G21" s="1678">
        <f>C21-F21</f>
        <v>-0.1886666666664496</v>
      </c>
    </row>
    <row r="22" spans="1:8">
      <c r="B22" s="39" t="s">
        <v>363</v>
      </c>
      <c r="C22" s="1677">
        <f>C21</f>
        <v>2579</v>
      </c>
      <c r="D22" s="47">
        <f t="shared" ref="D22:D23" si="2">C22*10%</f>
        <v>257.90000000000003</v>
      </c>
      <c r="E22" s="48">
        <f>E21*2</f>
        <v>5158377.333333333</v>
      </c>
      <c r="F22" s="49">
        <f>E22*100/100000</f>
        <v>5158.3773333333329</v>
      </c>
      <c r="G22" s="1678">
        <f>C22-F22</f>
        <v>-2579.3773333333329</v>
      </c>
    </row>
    <row r="23" spans="1:8">
      <c r="B23" s="39" t="s">
        <v>364</v>
      </c>
      <c r="C23" s="1677">
        <f>C22</f>
        <v>2579</v>
      </c>
      <c r="D23" s="47">
        <f t="shared" si="2"/>
        <v>257.90000000000003</v>
      </c>
      <c r="E23" s="48">
        <f>E21*3</f>
        <v>7737566</v>
      </c>
      <c r="F23" s="49">
        <f>E23*100/100000</f>
        <v>7737.5659999999998</v>
      </c>
      <c r="G23" s="1678">
        <f>C23-F23</f>
        <v>-5158.5659999999998</v>
      </c>
    </row>
    <row r="24" spans="1:8">
      <c r="A24" s="50"/>
      <c r="B24" s="51"/>
      <c r="C24" s="39"/>
      <c r="E24" s="52"/>
      <c r="F24" s="52"/>
    </row>
    <row r="25" spans="1:8" ht="18.75" customHeight="1">
      <c r="B25" s="43" t="s">
        <v>60</v>
      </c>
      <c r="C25" s="53">
        <f>C21*3</f>
        <v>7737</v>
      </c>
      <c r="D25" s="39"/>
      <c r="E25" s="51" t="s">
        <v>365</v>
      </c>
      <c r="F25" s="1679" t="s">
        <v>366</v>
      </c>
      <c r="H25" s="47">
        <f>D17*10%</f>
        <v>128959.43333333333</v>
      </c>
    </row>
    <row r="26" spans="1:8" ht="18.75" customHeight="1">
      <c r="D26" s="39" t="s">
        <v>367</v>
      </c>
      <c r="E26" s="48">
        <f>C3/3</f>
        <v>2579188.6666666665</v>
      </c>
      <c r="F26" s="49">
        <f>E26*0.1%</f>
        <v>2579.1886666666664</v>
      </c>
      <c r="G26" s="1678">
        <f>C21-F26</f>
        <v>-0.1886666666664496</v>
      </c>
      <c r="H26" s="47">
        <f>D18*10%</f>
        <v>257918.86666666667</v>
      </c>
    </row>
    <row r="27" spans="1:8" ht="18.75" customHeight="1">
      <c r="D27" s="39" t="s">
        <v>368</v>
      </c>
      <c r="E27" s="48">
        <f>E26*2</f>
        <v>5158377.333333333</v>
      </c>
      <c r="F27" s="49">
        <f>E27*0.1%</f>
        <v>5158.3773333333329</v>
      </c>
      <c r="G27" s="1678">
        <f>C22-F27</f>
        <v>-2579.3773333333329</v>
      </c>
      <c r="H27" s="47">
        <f>D19*10%</f>
        <v>386878.30000000005</v>
      </c>
    </row>
    <row r="28" spans="1:8" ht="18.75" customHeight="1">
      <c r="D28" s="39" t="s">
        <v>369</v>
      </c>
      <c r="E28" s="48">
        <f>E26*3</f>
        <v>7737566</v>
      </c>
      <c r="F28" s="49">
        <f>E28*0.1%</f>
        <v>7737.5659999999998</v>
      </c>
      <c r="G28" s="1678">
        <f>C23-F28</f>
        <v>-5158.5659999999998</v>
      </c>
      <c r="H28" s="47">
        <f>SUM(H25:H27)</f>
        <v>773756.60000000009</v>
      </c>
    </row>
    <row r="29" spans="1:8" ht="18.75" customHeight="1"/>
  </sheetData>
  <mergeCells count="1">
    <mergeCell ref="A1:G1"/>
  </mergeCells>
  <printOptions headings="1"/>
  <pageMargins left="0.35" right="0.17" top="0.511811023622047" bottom="0.23622047244094499" header="0.511811023622047" footer="0.511811023622047"/>
  <pageSetup paperSize="9" scale="8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0000"/>
  </sheetPr>
  <dimension ref="A1:O35"/>
  <sheetViews>
    <sheetView topLeftCell="B1" workbookViewId="0">
      <selection activeCell="E11" sqref="E11"/>
    </sheetView>
  </sheetViews>
  <sheetFormatPr defaultColWidth="8.88671875" defaultRowHeight="15.6"/>
  <cols>
    <col min="1" max="1" width="3.109375" style="902" customWidth="1"/>
    <col min="2" max="2" width="6.5546875" style="902" customWidth="1"/>
    <col min="3" max="3" width="36.5546875" style="902" customWidth="1"/>
    <col min="4" max="4" width="18.6640625" style="902" customWidth="1"/>
    <col min="5" max="5" width="9.44140625" style="902" customWidth="1"/>
    <col min="6" max="6" width="3" style="902" customWidth="1"/>
    <col min="7" max="7" width="7.44140625" style="902" customWidth="1"/>
    <col min="8" max="8" width="19" style="902" customWidth="1"/>
    <col min="9" max="9" width="27.44140625" style="902" customWidth="1"/>
    <col min="10" max="10" width="17.33203125" style="902" customWidth="1"/>
    <col min="11" max="11" width="9" style="902" customWidth="1"/>
    <col min="12" max="12" width="14.44140625" style="902" customWidth="1"/>
    <col min="13" max="13" width="17.44140625" style="902" customWidth="1"/>
    <col min="14" max="14" width="10.5546875" style="902" customWidth="1"/>
    <col min="15" max="16384" width="8.88671875" style="902"/>
  </cols>
  <sheetData>
    <row r="1" spans="1:15" s="903" customFormat="1" ht="35.4" customHeight="1">
      <c r="A1" s="900"/>
      <c r="B1" s="3009" t="s">
        <v>370</v>
      </c>
      <c r="C1" s="3009"/>
      <c r="D1" s="1591"/>
      <c r="E1" s="3010" t="s">
        <v>2815</v>
      </c>
      <c r="F1" s="3011"/>
      <c r="G1" s="3011"/>
      <c r="H1" s="3011"/>
      <c r="I1" s="3011"/>
      <c r="J1" s="3012"/>
    </row>
    <row r="2" spans="1:15" s="903" customFormat="1" ht="19.5" customHeight="1">
      <c r="A2" s="900"/>
      <c r="B2" s="1592"/>
      <c r="C2" s="1592"/>
      <c r="D2" s="1592"/>
      <c r="E2" s="1592"/>
      <c r="F2" s="1592"/>
      <c r="G2" s="1592"/>
      <c r="H2" s="3008" t="s">
        <v>371</v>
      </c>
      <c r="I2" s="3008"/>
      <c r="J2" s="3008"/>
      <c r="K2" s="1105" t="s">
        <v>372</v>
      </c>
      <c r="L2" s="1105" t="s">
        <v>373</v>
      </c>
      <c r="M2" s="1105" t="s">
        <v>374</v>
      </c>
    </row>
    <row r="3" spans="1:15" s="903" customFormat="1" ht="35.25" customHeight="1">
      <c r="A3" s="900"/>
      <c r="B3" s="1593">
        <v>1</v>
      </c>
      <c r="C3" s="1594" t="s">
        <v>375</v>
      </c>
      <c r="D3" s="1595" t="s">
        <v>376</v>
      </c>
      <c r="E3" s="1596" t="s">
        <v>377</v>
      </c>
      <c r="F3" s="1597"/>
      <c r="G3" s="900"/>
      <c r="H3" s="1598" t="s">
        <v>378</v>
      </c>
      <c r="I3" s="3013"/>
      <c r="J3" s="3013"/>
      <c r="K3" s="1625"/>
      <c r="L3" s="1626"/>
      <c r="M3" s="1627"/>
    </row>
    <row r="4" spans="1:15" s="903" customFormat="1" ht="32.25" customHeight="1">
      <c r="A4" s="900"/>
      <c r="B4" s="1593">
        <v>2</v>
      </c>
      <c r="C4" s="1594" t="s">
        <v>379</v>
      </c>
      <c r="D4" s="1595" t="s">
        <v>2766</v>
      </c>
      <c r="F4" s="1597"/>
      <c r="G4" s="900"/>
      <c r="H4" s="1598" t="s">
        <v>380</v>
      </c>
      <c r="I4" s="1628" t="s">
        <v>381</v>
      </c>
      <c r="J4" s="1821">
        <v>96.15</v>
      </c>
      <c r="K4" s="1629">
        <f>J4</f>
        <v>96.15</v>
      </c>
      <c r="L4" s="1630" t="s">
        <v>382</v>
      </c>
    </row>
    <row r="5" spans="1:15" s="903" customFormat="1" ht="34.5" customHeight="1">
      <c r="A5" s="900"/>
      <c r="B5" s="1593">
        <v>3</v>
      </c>
      <c r="C5" s="1594" t="s">
        <v>383</v>
      </c>
      <c r="D5" s="1595" t="s">
        <v>2766</v>
      </c>
      <c r="F5" s="1597"/>
      <c r="G5" s="900"/>
      <c r="H5" s="1598" t="s">
        <v>384</v>
      </c>
      <c r="I5" s="1628" t="s">
        <v>385</v>
      </c>
      <c r="J5" s="1822">
        <v>2.0699999999999998</v>
      </c>
      <c r="K5" s="1631">
        <f>J5</f>
        <v>2.0699999999999998</v>
      </c>
      <c r="L5" s="1632" t="s">
        <v>386</v>
      </c>
    </row>
    <row r="6" spans="1:15" s="903" customFormat="1" ht="33.75" customHeight="1">
      <c r="A6" s="900"/>
      <c r="B6" s="1593">
        <v>4</v>
      </c>
      <c r="C6" s="1594" t="s">
        <v>387</v>
      </c>
      <c r="D6" s="1595" t="s">
        <v>2767</v>
      </c>
      <c r="F6" s="1597"/>
      <c r="G6" s="900"/>
      <c r="H6" s="1598" t="s">
        <v>388</v>
      </c>
      <c r="I6" s="1633" t="s">
        <v>389</v>
      </c>
      <c r="J6" s="1634" t="str">
        <f>H7&amp;""&amp;I6&amp;"-"&amp;I7</f>
        <v>SDF-2024-25</v>
      </c>
      <c r="K6" s="1635" t="s">
        <v>390</v>
      </c>
      <c r="L6" s="1636">
        <v>0</v>
      </c>
      <c r="M6" s="945"/>
    </row>
    <row r="7" spans="1:15" s="903" customFormat="1" ht="24" customHeight="1">
      <c r="A7" s="900"/>
      <c r="B7" s="1593">
        <v>5</v>
      </c>
      <c r="C7" s="1594" t="s">
        <v>391</v>
      </c>
      <c r="D7" s="1595" t="s">
        <v>2814</v>
      </c>
      <c r="F7" s="1597"/>
      <c r="G7" s="900"/>
      <c r="H7" s="1599"/>
      <c r="I7" s="1599" t="s">
        <v>392</v>
      </c>
      <c r="J7" s="1637"/>
      <c r="K7" s="1638"/>
      <c r="L7" s="1638"/>
      <c r="M7" s="1639"/>
    </row>
    <row r="8" spans="1:15">
      <c r="A8" s="904"/>
      <c r="B8" s="904"/>
      <c r="C8" s="904"/>
      <c r="D8" s="904"/>
      <c r="E8" s="904"/>
      <c r="F8" s="904"/>
      <c r="G8" s="904"/>
      <c r="H8" s="904"/>
      <c r="I8" s="904"/>
      <c r="J8" s="904"/>
      <c r="K8" s="1640"/>
    </row>
    <row r="9" spans="1:15">
      <c r="A9" s="904"/>
      <c r="B9" s="3014" t="s">
        <v>393</v>
      </c>
      <c r="C9" s="3015"/>
      <c r="D9" s="3015"/>
      <c r="E9" s="3016"/>
      <c r="F9" s="955"/>
      <c r="G9" s="3006" t="s">
        <v>394</v>
      </c>
      <c r="H9" s="3006"/>
      <c r="I9" s="3006"/>
      <c r="J9" s="3006"/>
      <c r="K9" s="1640"/>
      <c r="O9" s="1641"/>
    </row>
    <row r="10" spans="1:15" s="903" customFormat="1" ht="34.5" customHeight="1">
      <c r="A10" s="900"/>
      <c r="B10" s="1593" t="s">
        <v>395</v>
      </c>
      <c r="C10" s="1593" t="s">
        <v>396</v>
      </c>
      <c r="D10" s="1593" t="s">
        <v>397</v>
      </c>
      <c r="E10" s="1593" t="s">
        <v>398</v>
      </c>
      <c r="F10" s="1592"/>
      <c r="G10" s="3004" t="s">
        <v>399</v>
      </c>
      <c r="H10" s="3005"/>
      <c r="I10" s="1642" t="s">
        <v>400</v>
      </c>
      <c r="J10" s="3007" t="s">
        <v>401</v>
      </c>
      <c r="K10" s="1643"/>
      <c r="O10" s="1641"/>
    </row>
    <row r="11" spans="1:15" ht="18.75" customHeight="1">
      <c r="A11" s="904"/>
      <c r="B11" s="936">
        <v>1</v>
      </c>
      <c r="C11" s="927" t="s">
        <v>402</v>
      </c>
      <c r="D11" s="1600" t="s">
        <v>2818</v>
      </c>
      <c r="E11" s="1601">
        <v>59</v>
      </c>
      <c r="F11" s="904"/>
      <c r="G11" s="1593" t="s">
        <v>395</v>
      </c>
      <c r="H11" s="1593" t="s">
        <v>403</v>
      </c>
      <c r="I11" s="1593" t="s">
        <v>396</v>
      </c>
      <c r="J11" s="3008"/>
      <c r="N11" s="1644"/>
      <c r="O11" s="1641"/>
    </row>
    <row r="12" spans="1:15" ht="18.75" customHeight="1">
      <c r="A12" s="904"/>
      <c r="B12" s="936">
        <v>2</v>
      </c>
      <c r="C12" s="1602" t="s">
        <v>404</v>
      </c>
      <c r="D12" s="1603" t="str">
        <f>D11</f>
        <v>MBNR(Palkonda)</v>
      </c>
      <c r="E12" s="1601">
        <f>E11</f>
        <v>59</v>
      </c>
      <c r="F12" s="904"/>
      <c r="G12" s="1604"/>
      <c r="H12" s="1605"/>
      <c r="I12" s="1604"/>
      <c r="J12" s="1645"/>
      <c r="N12" s="1644"/>
      <c r="O12" s="1641"/>
    </row>
    <row r="13" spans="1:15" ht="18.75" customHeight="1">
      <c r="A13" s="904"/>
      <c r="B13" s="936">
        <v>3</v>
      </c>
      <c r="C13" s="927" t="s">
        <v>405</v>
      </c>
      <c r="D13" s="1603" t="s">
        <v>2768</v>
      </c>
      <c r="E13" s="1601">
        <f>72+12+1</f>
        <v>85</v>
      </c>
      <c r="F13" s="904"/>
      <c r="G13" s="1604"/>
      <c r="H13" s="1605"/>
      <c r="I13" s="1604"/>
      <c r="J13" s="1645"/>
      <c r="N13" s="1644"/>
    </row>
    <row r="14" spans="1:15" ht="18.75" customHeight="1">
      <c r="A14" s="904"/>
      <c r="B14" s="936">
        <v>4</v>
      </c>
      <c r="C14" s="927" t="s">
        <v>406</v>
      </c>
      <c r="D14" s="1603" t="s">
        <v>407</v>
      </c>
      <c r="E14" s="1601">
        <v>5</v>
      </c>
      <c r="F14" s="904"/>
      <c r="G14" s="925">
        <v>1</v>
      </c>
      <c r="H14" s="1606">
        <v>45642</v>
      </c>
      <c r="I14" s="1646" t="s">
        <v>408</v>
      </c>
      <c r="J14" s="1647">
        <v>45682</v>
      </c>
      <c r="N14" s="1644"/>
    </row>
    <row r="15" spans="1:15" ht="18.75" customHeight="1">
      <c r="A15" s="904"/>
      <c r="B15" s="936">
        <v>5</v>
      </c>
      <c r="C15" s="927" t="s">
        <v>409</v>
      </c>
      <c r="D15" s="1603" t="s">
        <v>407</v>
      </c>
      <c r="E15" s="1601">
        <v>8</v>
      </c>
      <c r="F15" s="904"/>
      <c r="G15" s="925">
        <v>2</v>
      </c>
      <c r="H15" s="1607">
        <f>H14</f>
        <v>45642</v>
      </c>
      <c r="I15" s="1646" t="s">
        <v>410</v>
      </c>
      <c r="J15" s="1647">
        <v>75983</v>
      </c>
      <c r="N15" s="1644"/>
    </row>
    <row r="16" spans="1:15" ht="18.75" customHeight="1">
      <c r="A16" s="904"/>
      <c r="B16" s="936">
        <v>6</v>
      </c>
      <c r="C16" s="927" t="s">
        <v>411</v>
      </c>
      <c r="D16" s="1603" t="s">
        <v>2769</v>
      </c>
      <c r="E16" s="1601">
        <f>91+1</f>
        <v>92</v>
      </c>
      <c r="F16" s="904"/>
      <c r="G16" s="925">
        <v>3</v>
      </c>
      <c r="H16" s="1607">
        <f>H15</f>
        <v>45642</v>
      </c>
      <c r="I16" s="1646" t="s">
        <v>412</v>
      </c>
      <c r="J16" s="1647">
        <v>43017</v>
      </c>
      <c r="L16" s="316"/>
      <c r="M16" s="316"/>
      <c r="N16" s="316"/>
    </row>
    <row r="17" spans="1:15" ht="18.75" customHeight="1">
      <c r="A17" s="904"/>
      <c r="B17" s="1608">
        <v>7</v>
      </c>
      <c r="C17" s="1135" t="s">
        <v>413</v>
      </c>
      <c r="D17" s="1609"/>
      <c r="E17" s="1601">
        <v>1</v>
      </c>
      <c r="F17" s="904"/>
      <c r="G17" s="904"/>
      <c r="H17" s="1610"/>
      <c r="I17" s="904"/>
      <c r="J17" s="1648"/>
      <c r="N17" s="1644"/>
    </row>
    <row r="18" spans="1:15" ht="18.75" customHeight="1">
      <c r="A18" s="904"/>
      <c r="B18" s="1608">
        <v>8</v>
      </c>
      <c r="C18" s="1135" t="s">
        <v>414</v>
      </c>
      <c r="D18" s="1609" t="s">
        <v>407</v>
      </c>
      <c r="E18" s="1601">
        <v>8</v>
      </c>
      <c r="F18" s="904"/>
      <c r="G18" s="904"/>
      <c r="H18" s="1610"/>
      <c r="I18" s="904"/>
      <c r="J18" s="1649"/>
      <c r="N18" s="1644"/>
    </row>
    <row r="19" spans="1:15" ht="46.8">
      <c r="A19" s="904"/>
      <c r="B19" s="936">
        <v>9</v>
      </c>
      <c r="C19" s="1611" t="s">
        <v>415</v>
      </c>
      <c r="D19" s="1612" t="s">
        <v>407</v>
      </c>
      <c r="E19" s="1601">
        <v>5</v>
      </c>
      <c r="F19" s="904"/>
      <c r="G19" s="904"/>
      <c r="H19" s="1613" t="s">
        <v>416</v>
      </c>
      <c r="I19" s="1650" t="s">
        <v>417</v>
      </c>
      <c r="J19" s="1651" t="s">
        <v>418</v>
      </c>
      <c r="N19" s="1644"/>
      <c r="O19" s="1652"/>
    </row>
    <row r="20" spans="1:15" ht="22.2" customHeight="1">
      <c r="A20" s="904"/>
      <c r="B20" s="936">
        <v>10</v>
      </c>
      <c r="C20" s="1611" t="s">
        <v>419</v>
      </c>
      <c r="D20" s="1612" t="s">
        <v>420</v>
      </c>
      <c r="E20" s="1601">
        <v>650</v>
      </c>
      <c r="F20" s="904"/>
      <c r="G20" s="904"/>
      <c r="H20" s="1614"/>
      <c r="I20" s="1653"/>
      <c r="J20" s="1649"/>
      <c r="N20" s="1644"/>
      <c r="O20" s="1652"/>
    </row>
    <row r="21" spans="1:15" ht="20.399999999999999" customHeight="1">
      <c r="A21" s="904"/>
      <c r="B21" s="936">
        <v>11</v>
      </c>
      <c r="C21" s="1615" t="s">
        <v>421</v>
      </c>
      <c r="D21" s="1603" t="str">
        <f>D11</f>
        <v>MBNR(Palkonda)</v>
      </c>
      <c r="E21" s="1601">
        <f>E11</f>
        <v>59</v>
      </c>
      <c r="F21" s="904"/>
      <c r="G21" s="904"/>
      <c r="H21" s="1610"/>
      <c r="I21" s="904"/>
      <c r="J21" s="1649"/>
      <c r="N21" s="1644"/>
    </row>
    <row r="22" spans="1:15">
      <c r="A22" s="904"/>
      <c r="B22" s="3006" t="s">
        <v>422</v>
      </c>
      <c r="C22" s="3006"/>
      <c r="D22" s="3006"/>
      <c r="E22" s="3006"/>
      <c r="F22" s="904"/>
      <c r="G22" s="3006" t="s">
        <v>423</v>
      </c>
      <c r="H22" s="3006"/>
      <c r="I22" s="3006"/>
      <c r="J22" s="904"/>
      <c r="N22" s="1644"/>
    </row>
    <row r="23" spans="1:15" ht="23.25" customHeight="1">
      <c r="A23" s="904"/>
      <c r="B23" s="936">
        <v>1</v>
      </c>
      <c r="C23" s="925" t="s">
        <v>424</v>
      </c>
      <c r="D23" s="1616">
        <v>0</v>
      </c>
      <c r="F23" s="904"/>
      <c r="G23" s="1617" t="s">
        <v>395</v>
      </c>
      <c r="H23" s="1617" t="s">
        <v>396</v>
      </c>
      <c r="I23" s="1617" t="s">
        <v>425</v>
      </c>
      <c r="J23" s="904"/>
      <c r="N23" s="1644"/>
    </row>
    <row r="24" spans="1:15" s="903" customFormat="1" ht="34.5" customHeight="1">
      <c r="A24" s="900"/>
      <c r="B24" s="1105">
        <v>2</v>
      </c>
      <c r="C24" s="1618" t="s">
        <v>426</v>
      </c>
      <c r="D24" s="1619">
        <v>0.13614999999999999</v>
      </c>
      <c r="E24" s="1620">
        <v>0</v>
      </c>
      <c r="F24" s="900"/>
      <c r="G24" s="907">
        <v>1</v>
      </c>
      <c r="H24" s="1621" t="str">
        <f>"Cement, "&amp;I19&amp;""</f>
        <v>Cement, NOV' 2024</v>
      </c>
      <c r="I24" s="1654">
        <v>5000</v>
      </c>
      <c r="J24" s="1655"/>
      <c r="K24" s="1656"/>
      <c r="L24" s="902"/>
      <c r="M24" s="902"/>
      <c r="N24" s="1644"/>
    </row>
    <row r="25" spans="1:15" s="903" customFormat="1" ht="34.5" customHeight="1">
      <c r="A25" s="900"/>
      <c r="B25" s="907">
        <v>3</v>
      </c>
      <c r="C25" s="908" t="s">
        <v>427</v>
      </c>
      <c r="D25" s="1622">
        <v>0</v>
      </c>
      <c r="F25" s="900"/>
      <c r="G25" s="907">
        <v>2</v>
      </c>
      <c r="H25" s="1621" t="str">
        <f>"Steel HYSD-Fe-500 Bars, "&amp;I19&amp;""</f>
        <v>Steel HYSD-Fe-500 Bars, NOV' 2024</v>
      </c>
      <c r="I25" s="1654">
        <v>49000</v>
      </c>
      <c r="J25" s="900"/>
      <c r="K25" s="1657"/>
      <c r="L25" s="902"/>
      <c r="M25" s="902"/>
      <c r="N25" s="1644"/>
    </row>
    <row r="26" spans="1:15" s="903" customFormat="1" ht="31.2">
      <c r="A26" s="900"/>
      <c r="B26" s="936">
        <v>4</v>
      </c>
      <c r="C26" s="1593" t="s">
        <v>428</v>
      </c>
      <c r="D26" s="1616" t="s">
        <v>429</v>
      </c>
      <c r="E26" s="1623"/>
      <c r="F26" s="900"/>
      <c r="G26" s="907">
        <v>3</v>
      </c>
      <c r="H26" s="1621" t="str">
        <f>"Mild Steel Bars, "&amp;I19&amp;""</f>
        <v>Mild Steel Bars, NOV' 2024</v>
      </c>
      <c r="I26" s="1654">
        <v>60000</v>
      </c>
      <c r="J26" s="900"/>
      <c r="L26" s="902"/>
      <c r="M26" s="902"/>
      <c r="N26" s="1644"/>
    </row>
    <row r="27" spans="1:15" s="903" customFormat="1" ht="31.2">
      <c r="A27" s="900"/>
      <c r="B27" s="900"/>
      <c r="C27" s="900"/>
      <c r="D27" s="900"/>
      <c r="E27" s="900"/>
      <c r="F27" s="900"/>
      <c r="G27" s="907">
        <v>4</v>
      </c>
      <c r="H27" s="1621" t="str">
        <f>"6mm M.S. Rods, "&amp;I19&amp;""</f>
        <v>6mm M.S. Rods, NOV' 2024</v>
      </c>
      <c r="I27" s="1654">
        <v>55000</v>
      </c>
      <c r="J27" s="900"/>
      <c r="L27" s="902"/>
      <c r="M27" s="902"/>
      <c r="N27" s="1644"/>
    </row>
    <row r="28" spans="1:15">
      <c r="N28" s="1644"/>
    </row>
    <row r="29" spans="1:15">
      <c r="N29" s="1644"/>
    </row>
    <row r="31" spans="1:15">
      <c r="D31" s="1624"/>
    </row>
    <row r="32" spans="1:15">
      <c r="D32" s="1624"/>
    </row>
    <row r="33" spans="4:4">
      <c r="D33" s="1624"/>
    </row>
    <row r="35" spans="4:4">
      <c r="D35" s="1624"/>
    </row>
  </sheetData>
  <protectedRanges>
    <protectedRange password="CC6F" sqref="B17:D17 B18:C18" name="Range1"/>
    <protectedRange password="CC6F" sqref="D18" name="Range1_1"/>
  </protectedRanges>
  <mergeCells count="10">
    <mergeCell ref="G10:H10"/>
    <mergeCell ref="B22:E22"/>
    <mergeCell ref="G22:I22"/>
    <mergeCell ref="J10:J11"/>
    <mergeCell ref="B1:C1"/>
    <mergeCell ref="E1:J1"/>
    <mergeCell ref="H2:J2"/>
    <mergeCell ref="I3:J3"/>
    <mergeCell ref="B9:E9"/>
    <mergeCell ref="G9:J9"/>
  </mergeCells>
  <printOptions horizontalCentered="1"/>
  <pageMargins left="0.5" right="0.25" top="0.5" bottom="0.5" header="0.3" footer="0.3"/>
  <pageSetup paperSize="9" scale="71" orientation="landscape"/>
  <rowBreaks count="1" manualBreakCount="1">
    <brk id="27"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37"/>
  <sheetViews>
    <sheetView view="pageBreakPreview" topLeftCell="A21" workbookViewId="0">
      <selection activeCell="AA27" sqref="AA27"/>
    </sheetView>
  </sheetViews>
  <sheetFormatPr defaultColWidth="9.109375" defaultRowHeight="13.2"/>
  <cols>
    <col min="1" max="5" width="5.33203125" style="1823" customWidth="1"/>
    <col min="6" max="6" width="7.33203125" style="1823" customWidth="1"/>
    <col min="7" max="7" width="5.33203125" style="1823" customWidth="1"/>
    <col min="8" max="10" width="4.6640625" style="1823" customWidth="1"/>
    <col min="11" max="15" width="5.33203125" style="1823" customWidth="1"/>
    <col min="16" max="16" width="6.88671875" style="1823" customWidth="1"/>
    <col min="17" max="17" width="5.33203125" style="1823" customWidth="1"/>
    <col min="18" max="21" width="1.5546875" style="1823" customWidth="1"/>
    <col min="22" max="35" width="2.6640625" style="1823" customWidth="1"/>
    <col min="36" max="16384" width="9.109375" style="1823"/>
  </cols>
  <sheetData>
    <row r="1" spans="2:36" ht="25.5" customHeight="1"/>
    <row r="2" spans="2:36" ht="25.5" customHeight="1"/>
    <row r="3" spans="2:36" ht="25.5" customHeight="1">
      <c r="B3" s="1824"/>
      <c r="C3" s="3018" t="s">
        <v>430</v>
      </c>
      <c r="D3" s="3018"/>
      <c r="E3" s="3018"/>
      <c r="F3" s="3018"/>
      <c r="G3" s="3018"/>
      <c r="H3" s="3018"/>
      <c r="I3" s="3018"/>
      <c r="J3" s="3018"/>
      <c r="K3" s="3018"/>
      <c r="L3" s="3018"/>
      <c r="M3" s="3018"/>
      <c r="N3" s="3018"/>
      <c r="O3" s="3018"/>
      <c r="P3" s="1824"/>
      <c r="Q3" s="1824"/>
    </row>
    <row r="4" spans="2:36" ht="30">
      <c r="B4" s="1824"/>
      <c r="C4" s="3018"/>
      <c r="D4" s="3018"/>
      <c r="E4" s="3018"/>
      <c r="F4" s="3018"/>
      <c r="G4" s="3018"/>
      <c r="H4" s="3018"/>
      <c r="I4" s="3018"/>
      <c r="J4" s="3018"/>
      <c r="K4" s="3018"/>
      <c r="L4" s="3018"/>
      <c r="M4" s="3018"/>
      <c r="N4" s="3018"/>
      <c r="O4" s="3018"/>
      <c r="P4" s="1824"/>
      <c r="Q4" s="1824"/>
      <c r="AJ4" s="1825"/>
    </row>
    <row r="5" spans="2:36" ht="12.75" customHeight="1">
      <c r="B5" s="1826"/>
      <c r="C5" s="3018"/>
      <c r="D5" s="3018"/>
      <c r="E5" s="3018"/>
      <c r="F5" s="3018"/>
      <c r="G5" s="3018"/>
      <c r="H5" s="3018"/>
      <c r="I5" s="3018"/>
      <c r="J5" s="3018"/>
      <c r="K5" s="3018"/>
      <c r="L5" s="3018"/>
      <c r="M5" s="3018"/>
      <c r="N5" s="3018"/>
      <c r="O5" s="3018"/>
      <c r="P5" s="1826"/>
      <c r="Q5" s="1826"/>
    </row>
    <row r="6" spans="2:36" ht="40.5" customHeight="1">
      <c r="B6" s="1826"/>
      <c r="C6" s="1826"/>
      <c r="D6" s="1826"/>
      <c r="E6" s="1826"/>
      <c r="F6" s="1826"/>
      <c r="G6" s="1826"/>
      <c r="H6" s="1826"/>
      <c r="I6" s="1826"/>
      <c r="J6" s="1826"/>
      <c r="K6" s="1826"/>
      <c r="L6" s="1826"/>
      <c r="M6" s="1826"/>
      <c r="N6" s="1826"/>
      <c r="O6" s="1826"/>
      <c r="P6" s="1826"/>
      <c r="Q6" s="1826"/>
    </row>
    <row r="7" spans="2:36" ht="25.5" customHeight="1">
      <c r="B7" s="1826"/>
      <c r="C7" s="3019" t="s">
        <v>431</v>
      </c>
      <c r="D7" s="3019"/>
      <c r="E7" s="3019"/>
      <c r="F7" s="3019"/>
      <c r="G7" s="3019"/>
      <c r="H7" s="3019"/>
      <c r="I7" s="3019"/>
      <c r="J7" s="3019"/>
      <c r="K7" s="3019"/>
      <c r="L7" s="3019"/>
      <c r="M7" s="3019"/>
      <c r="N7" s="3019"/>
      <c r="O7" s="3019"/>
      <c r="P7" s="1826"/>
      <c r="Q7" s="1826"/>
    </row>
    <row r="8" spans="2:36" ht="30" customHeight="1">
      <c r="B8" s="1826"/>
      <c r="C8" s="3019"/>
      <c r="D8" s="3019"/>
      <c r="E8" s="3019"/>
      <c r="F8" s="3019"/>
      <c r="G8" s="3019"/>
      <c r="H8" s="3019"/>
      <c r="I8" s="3019"/>
      <c r="J8" s="3019"/>
      <c r="K8" s="3019"/>
      <c r="L8" s="3019"/>
      <c r="M8" s="3019"/>
      <c r="N8" s="3019"/>
      <c r="O8" s="3019"/>
      <c r="P8" s="1826"/>
      <c r="Q8" s="1826"/>
    </row>
    <row r="9" spans="2:36" ht="3" hidden="1" customHeight="1">
      <c r="B9" s="1826"/>
      <c r="C9" s="3019"/>
      <c r="D9" s="3019"/>
      <c r="E9" s="3019"/>
      <c r="F9" s="3019"/>
      <c r="G9" s="3019"/>
      <c r="H9" s="3019"/>
      <c r="I9" s="3019"/>
      <c r="J9" s="3019"/>
      <c r="K9" s="3019"/>
      <c r="L9" s="3019"/>
      <c r="M9" s="3019"/>
      <c r="N9" s="3019"/>
      <c r="O9" s="3019"/>
      <c r="P9" s="1826"/>
      <c r="Q9" s="1826"/>
    </row>
    <row r="10" spans="2:36" ht="6.75" customHeight="1">
      <c r="B10" s="1826"/>
      <c r="C10" s="1826"/>
      <c r="D10" s="1827"/>
      <c r="E10" s="1827"/>
      <c r="F10" s="1827"/>
      <c r="G10" s="1827"/>
      <c r="H10" s="1827"/>
      <c r="I10" s="1827"/>
      <c r="J10" s="1827"/>
      <c r="K10" s="1827"/>
      <c r="L10" s="1827"/>
      <c r="M10" s="1827"/>
      <c r="N10" s="1827"/>
      <c r="O10" s="1826"/>
      <c r="P10" s="1826"/>
      <c r="Q10" s="1826"/>
    </row>
    <row r="11" spans="2:36" ht="15" customHeight="1">
      <c r="B11" s="1828"/>
      <c r="C11" s="1829"/>
      <c r="D11" s="1828"/>
      <c r="E11" s="1828"/>
      <c r="F11" s="3021" t="s">
        <v>432</v>
      </c>
      <c r="G11" s="3021"/>
      <c r="H11" s="3021"/>
      <c r="I11" s="3021"/>
      <c r="J11" s="3021"/>
      <c r="K11" s="3021"/>
      <c r="L11" s="3021"/>
      <c r="M11" s="3021"/>
      <c r="N11" s="1828"/>
      <c r="O11" s="1828"/>
      <c r="P11" s="1828"/>
      <c r="Q11" s="1826"/>
    </row>
    <row r="12" spans="2:36" ht="12" customHeight="1">
      <c r="B12" s="1828"/>
      <c r="D12" s="1828"/>
      <c r="E12" s="1828"/>
      <c r="F12" s="3021"/>
      <c r="G12" s="3021"/>
      <c r="H12" s="3021"/>
      <c r="I12" s="3021"/>
      <c r="J12" s="3021"/>
      <c r="K12" s="3021"/>
      <c r="L12" s="3021"/>
      <c r="M12" s="3021"/>
      <c r="N12" s="1828"/>
      <c r="O12" s="1828"/>
      <c r="P12" s="1828"/>
      <c r="Q12" s="1826"/>
    </row>
    <row r="13" spans="2:36" ht="15.75" customHeight="1">
      <c r="B13" s="1828"/>
      <c r="C13" s="1828"/>
      <c r="D13" s="1828"/>
      <c r="E13" s="1828"/>
      <c r="F13" s="1828"/>
      <c r="G13" s="1828"/>
      <c r="H13" s="1828"/>
      <c r="I13" s="1828"/>
      <c r="J13" s="1828"/>
      <c r="K13" s="1828"/>
      <c r="L13" s="1828"/>
      <c r="M13" s="1828"/>
      <c r="N13" s="1828"/>
      <c r="O13" s="1828"/>
      <c r="P13" s="1828"/>
    </row>
    <row r="14" spans="2:36" ht="37.5" customHeight="1">
      <c r="B14" s="1828"/>
      <c r="C14" s="3022" t="s">
        <v>433</v>
      </c>
      <c r="D14" s="3022"/>
      <c r="E14" s="3022"/>
      <c r="F14" s="3022"/>
      <c r="G14" s="3022"/>
      <c r="H14" s="3022"/>
      <c r="I14" s="1827" t="s">
        <v>434</v>
      </c>
      <c r="J14" s="3023" t="str">
        <f>'Input Data'!J6</f>
        <v>SDF-2024-25</v>
      </c>
      <c r="K14" s="3024"/>
      <c r="L14" s="3024"/>
      <c r="M14" s="3024"/>
      <c r="N14" s="3024"/>
      <c r="O14" s="3024"/>
      <c r="P14" s="3024"/>
    </row>
    <row r="15" spans="2:36" ht="15.75" customHeight="1">
      <c r="B15" s="1828"/>
      <c r="C15" s="1828"/>
      <c r="D15" s="1828"/>
      <c r="E15" s="1828"/>
      <c r="F15" s="1828"/>
      <c r="G15" s="1828"/>
      <c r="H15" s="1828"/>
      <c r="I15" s="1828"/>
      <c r="J15" s="1828"/>
      <c r="K15" s="1828"/>
      <c r="L15" s="1828"/>
      <c r="M15" s="1828"/>
      <c r="N15" s="1828"/>
      <c r="O15" s="1828"/>
      <c r="P15" s="1828"/>
    </row>
    <row r="16" spans="2:36" ht="25.5" customHeight="1">
      <c r="B16" s="1830"/>
      <c r="C16" s="1831" t="s">
        <v>435</v>
      </c>
      <c r="D16" s="1830"/>
      <c r="E16" s="1830"/>
      <c r="F16" s="1830"/>
      <c r="G16" s="1828"/>
      <c r="H16" s="1828"/>
      <c r="I16" s="1832"/>
      <c r="J16" s="1832"/>
      <c r="K16" s="1832"/>
      <c r="L16" s="1832"/>
      <c r="M16" s="1832"/>
      <c r="N16" s="1832"/>
      <c r="O16" s="1832"/>
      <c r="P16" s="1833"/>
      <c r="Q16" s="1833"/>
    </row>
    <row r="17" spans="3:18" ht="24.75" customHeight="1">
      <c r="C17" s="3020" t="str">
        <f>'Input Data'!E1</f>
        <v xml:space="preserve">BT Renewal from Balabadraipally to Danamma Thanda of Gundumal Mandal in Narayanpet District </v>
      </c>
      <c r="D17" s="3020"/>
      <c r="E17" s="3020"/>
      <c r="F17" s="3020"/>
      <c r="G17" s="3020"/>
      <c r="H17" s="3020"/>
      <c r="I17" s="3020"/>
      <c r="J17" s="3020"/>
      <c r="K17" s="3020"/>
      <c r="L17" s="3020"/>
      <c r="M17" s="3020"/>
      <c r="N17" s="3020"/>
      <c r="O17" s="3020"/>
      <c r="P17" s="3020"/>
      <c r="Q17" s="1833"/>
    </row>
    <row r="18" spans="3:18" ht="48.75" customHeight="1">
      <c r="C18" s="3020"/>
      <c r="D18" s="3020"/>
      <c r="E18" s="3020"/>
      <c r="F18" s="3020"/>
      <c r="G18" s="3020"/>
      <c r="H18" s="3020"/>
      <c r="I18" s="3020"/>
      <c r="J18" s="3020"/>
      <c r="K18" s="3020"/>
      <c r="L18" s="3020"/>
      <c r="M18" s="3020"/>
      <c r="N18" s="3020"/>
      <c r="O18" s="3020"/>
      <c r="P18" s="3020"/>
      <c r="Q18" s="1833"/>
    </row>
    <row r="19" spans="3:18" ht="24.6" hidden="1">
      <c r="C19" s="3020"/>
      <c r="D19" s="3020"/>
      <c r="E19" s="3020"/>
      <c r="F19" s="3020"/>
      <c r="G19" s="3020"/>
      <c r="H19" s="3020"/>
      <c r="I19" s="3020"/>
      <c r="J19" s="3020"/>
      <c r="K19" s="3020"/>
      <c r="L19" s="3020"/>
      <c r="M19" s="3020"/>
      <c r="N19" s="3020"/>
      <c r="O19" s="3020"/>
      <c r="P19" s="3020"/>
      <c r="Q19" s="1833"/>
    </row>
    <row r="20" spans="3:18" ht="39.75" hidden="1" customHeight="1">
      <c r="C20" s="3020"/>
      <c r="D20" s="3020"/>
      <c r="E20" s="3020"/>
      <c r="F20" s="3020"/>
      <c r="G20" s="3020"/>
      <c r="H20" s="3020"/>
      <c r="I20" s="3020"/>
      <c r="J20" s="3020"/>
      <c r="K20" s="3020"/>
      <c r="L20" s="3020"/>
      <c r="M20" s="3020"/>
      <c r="N20" s="3020"/>
      <c r="O20" s="3020"/>
      <c r="P20" s="3020"/>
      <c r="Q20" s="1833"/>
      <c r="R20" s="1833"/>
    </row>
    <row r="21" spans="3:18" ht="25.5" customHeight="1">
      <c r="D21" s="1832"/>
      <c r="E21" s="1832"/>
      <c r="F21" s="1832"/>
      <c r="G21" s="1832"/>
      <c r="H21" s="1832"/>
      <c r="I21" s="1832"/>
      <c r="J21" s="1832"/>
      <c r="K21" s="1832"/>
      <c r="L21" s="1832"/>
      <c r="M21" s="1832"/>
      <c r="N21" s="1832"/>
      <c r="O21" s="1832"/>
      <c r="P21" s="1832"/>
      <c r="Q21" s="1833"/>
      <c r="R21" s="1833"/>
    </row>
    <row r="22" spans="3:18" s="1834" customFormat="1" ht="25.5" customHeight="1">
      <c r="D22" s="3025" t="s">
        <v>436</v>
      </c>
      <c r="E22" s="3025"/>
      <c r="F22" s="3025"/>
      <c r="G22" s="3025"/>
      <c r="H22" s="3025"/>
      <c r="I22" s="3025"/>
      <c r="J22" s="3025"/>
      <c r="K22" s="1835" t="s">
        <v>434</v>
      </c>
      <c r="L22" s="1836" t="s">
        <v>437</v>
      </c>
      <c r="M22" s="3026">
        <f>'Input Data'!K4</f>
        <v>96.15</v>
      </c>
      <c r="N22" s="3026"/>
      <c r="O22" s="1837" t="s">
        <v>329</v>
      </c>
      <c r="P22" s="1838"/>
      <c r="Q22" s="1839"/>
      <c r="R22" s="1839"/>
    </row>
    <row r="23" spans="3:18" s="1834" customFormat="1" ht="25.5" hidden="1" customHeight="1">
      <c r="C23" s="1840"/>
      <c r="D23" s="3025" t="s">
        <v>438</v>
      </c>
      <c r="E23" s="3025"/>
      <c r="F23" s="3025"/>
      <c r="G23" s="3025"/>
      <c r="H23" s="3025"/>
      <c r="I23" s="3025"/>
      <c r="J23" s="3025"/>
      <c r="K23" s="1835" t="s">
        <v>434</v>
      </c>
      <c r="L23" s="3026">
        <f>'Input Data'!K5</f>
        <v>2.0699999999999998</v>
      </c>
      <c r="M23" s="3026"/>
      <c r="N23" s="1836" t="s">
        <v>398</v>
      </c>
      <c r="O23" s="1840"/>
      <c r="P23" s="1840"/>
      <c r="Q23" s="1840"/>
    </row>
    <row r="24" spans="3:18" ht="25.5" customHeight="1">
      <c r="C24" s="1841"/>
      <c r="N24" s="1841"/>
      <c r="O24" s="1842"/>
      <c r="P24" s="1843"/>
      <c r="Q24" s="1843"/>
    </row>
    <row r="25" spans="3:18" ht="30" customHeight="1">
      <c r="C25" s="3017" t="s">
        <v>439</v>
      </c>
      <c r="D25" s="3017"/>
      <c r="E25" s="3017"/>
      <c r="F25" s="3017"/>
      <c r="G25" s="1844" t="s">
        <v>440</v>
      </c>
      <c r="H25" s="3017" t="str">
        <f>'Input Data'!D3</f>
        <v>Vikarabad</v>
      </c>
      <c r="I25" s="3017"/>
      <c r="J25" s="3017"/>
      <c r="K25" s="3017"/>
      <c r="L25" s="3017"/>
      <c r="M25" s="3017"/>
      <c r="N25" s="3017"/>
      <c r="O25" s="3017"/>
      <c r="P25" s="3017"/>
      <c r="Q25" s="1845"/>
    </row>
    <row r="26" spans="3:18" ht="30" customHeight="1">
      <c r="C26" s="3017" t="s">
        <v>379</v>
      </c>
      <c r="D26" s="3017"/>
      <c r="E26" s="3017"/>
      <c r="F26" s="3017"/>
      <c r="G26" s="1844" t="s">
        <v>440</v>
      </c>
      <c r="H26" s="3017" t="str">
        <f>'Input Data'!D4</f>
        <v>Narayanpet</v>
      </c>
      <c r="I26" s="3017"/>
      <c r="J26" s="3017"/>
      <c r="K26" s="3017"/>
      <c r="L26" s="3017"/>
      <c r="M26" s="3017"/>
      <c r="N26" s="3017"/>
      <c r="O26" s="3017"/>
      <c r="P26" s="3017"/>
      <c r="Q26" s="1845"/>
    </row>
    <row r="27" spans="3:18" ht="30" customHeight="1">
      <c r="C27" s="3017" t="s">
        <v>383</v>
      </c>
      <c r="D27" s="3017"/>
      <c r="E27" s="3017"/>
      <c r="F27" s="3017"/>
      <c r="G27" s="1844" t="s">
        <v>440</v>
      </c>
      <c r="H27" s="3017" t="str">
        <f>'Input Data'!D5</f>
        <v>Narayanpet</v>
      </c>
      <c r="I27" s="3017"/>
      <c r="J27" s="3017"/>
      <c r="K27" s="3017"/>
      <c r="L27" s="3017"/>
      <c r="M27" s="3017"/>
      <c r="N27" s="3017"/>
      <c r="O27" s="3017"/>
      <c r="P27" s="1846"/>
      <c r="Q27" s="1845"/>
    </row>
    <row r="28" spans="3:18" ht="30" customHeight="1">
      <c r="C28" s="3017" t="s">
        <v>387</v>
      </c>
      <c r="D28" s="3017"/>
      <c r="E28" s="3017"/>
      <c r="F28" s="3017"/>
      <c r="G28" s="1844" t="s">
        <v>440</v>
      </c>
      <c r="H28" s="3017" t="str">
        <f>'Input Data'!D6</f>
        <v>Maddur</v>
      </c>
      <c r="I28" s="3017"/>
      <c r="J28" s="3017"/>
      <c r="K28" s="3017"/>
      <c r="L28" s="3017"/>
      <c r="M28" s="3017"/>
      <c r="N28" s="3017"/>
      <c r="O28" s="3017"/>
      <c r="P28" s="1847"/>
      <c r="Q28" s="1845"/>
    </row>
    <row r="29" spans="3:18" ht="30" customHeight="1">
      <c r="C29" s="3017" t="s">
        <v>391</v>
      </c>
      <c r="D29" s="3017"/>
      <c r="E29" s="3017"/>
      <c r="F29" s="3017"/>
      <c r="G29" s="1844" t="s">
        <v>440</v>
      </c>
      <c r="H29" s="3017" t="str">
        <f>'Input Data'!D7</f>
        <v>Gundumal</v>
      </c>
      <c r="I29" s="3017"/>
      <c r="J29" s="3017"/>
      <c r="K29" s="3017"/>
      <c r="L29" s="3017"/>
      <c r="M29" s="3017"/>
      <c r="N29" s="3017"/>
      <c r="O29" s="3017"/>
      <c r="P29" s="3017"/>
      <c r="Q29" s="1845"/>
    </row>
    <row r="30" spans="3:18" ht="25.5" customHeight="1">
      <c r="C30" s="1845"/>
      <c r="D30" s="1845"/>
      <c r="E30" s="1845"/>
      <c r="F30" s="1845"/>
      <c r="G30" s="1845"/>
      <c r="H30" s="1845"/>
      <c r="I30" s="1845"/>
      <c r="J30" s="1845"/>
      <c r="K30" s="1845"/>
      <c r="L30" s="1845"/>
      <c r="M30" s="1845"/>
      <c r="N30" s="1845"/>
      <c r="O30" s="1845"/>
      <c r="P30" s="1845"/>
      <c r="Q30" s="1845"/>
    </row>
    <row r="31" spans="3:18" ht="25.5" customHeight="1">
      <c r="C31" s="1845"/>
      <c r="D31" s="1845"/>
      <c r="E31" s="1845"/>
      <c r="F31" s="1845"/>
      <c r="G31" s="1845"/>
      <c r="H31" s="1845"/>
      <c r="I31" s="1845"/>
      <c r="J31" s="1845"/>
      <c r="K31" s="1845"/>
      <c r="L31" s="1845"/>
      <c r="M31" s="1845"/>
      <c r="N31" s="1845"/>
      <c r="O31" s="1845"/>
      <c r="P31" s="1845"/>
      <c r="Q31" s="1845"/>
    </row>
    <row r="37" spans="8:8">
      <c r="H37" s="1848"/>
    </row>
  </sheetData>
  <mergeCells count="20">
    <mergeCell ref="C3:O5"/>
    <mergeCell ref="C7:O9"/>
    <mergeCell ref="C17:P20"/>
    <mergeCell ref="F11:M12"/>
    <mergeCell ref="C25:F25"/>
    <mergeCell ref="H25:P25"/>
    <mergeCell ref="C14:H14"/>
    <mergeCell ref="J14:P14"/>
    <mergeCell ref="D22:J22"/>
    <mergeCell ref="M22:N22"/>
    <mergeCell ref="D23:J23"/>
    <mergeCell ref="L23:M23"/>
    <mergeCell ref="C28:F28"/>
    <mergeCell ref="H28:O28"/>
    <mergeCell ref="C29:F29"/>
    <mergeCell ref="H29:P29"/>
    <mergeCell ref="C26:F26"/>
    <mergeCell ref="H26:P26"/>
    <mergeCell ref="C27:F27"/>
    <mergeCell ref="H27:O27"/>
  </mergeCells>
  <printOptions horizontalCentered="1"/>
  <pageMargins left="0.75138888888888899" right="0.30277777777777798" top="0.89305555555555505" bottom="0.5" header="0.5" footer="0.5"/>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29"/>
  <sheetViews>
    <sheetView view="pageBreakPreview" topLeftCell="A19" zoomScale="85" zoomScaleSheetLayoutView="85" workbookViewId="0">
      <selection activeCell="O16" sqref="O16"/>
    </sheetView>
  </sheetViews>
  <sheetFormatPr defaultColWidth="9.109375" defaultRowHeight="13.8"/>
  <cols>
    <col min="1" max="1" width="4.5546875" style="1850" customWidth="1"/>
    <col min="2" max="2" width="3.44140625" style="1850" customWidth="1"/>
    <col min="3" max="3" width="31.6640625" style="1850" customWidth="1"/>
    <col min="4" max="4" width="2" style="1852" customWidth="1"/>
    <col min="5" max="5" width="4.5546875" style="1850" customWidth="1"/>
    <col min="6" max="6" width="1.88671875" style="1850" customWidth="1"/>
    <col min="7" max="7" width="7.88671875" style="1850" customWidth="1"/>
    <col min="8" max="8" width="39.5546875" style="1850" customWidth="1"/>
    <col min="9" max="16384" width="9.109375" style="1850"/>
  </cols>
  <sheetData>
    <row r="2" spans="1:12" ht="17.399999999999999">
      <c r="A2" s="3027" t="s">
        <v>441</v>
      </c>
      <c r="B2" s="3027"/>
      <c r="C2" s="3027"/>
      <c r="D2" s="3027"/>
      <c r="E2" s="3027"/>
      <c r="F2" s="3027"/>
      <c r="G2" s="3027"/>
      <c r="H2" s="3027"/>
      <c r="I2" s="1849"/>
      <c r="J2" s="1849"/>
      <c r="K2" s="1849"/>
      <c r="L2" s="1849"/>
    </row>
    <row r="3" spans="1:12" ht="17.399999999999999">
      <c r="A3" s="3027" t="s">
        <v>442</v>
      </c>
      <c r="B3" s="3027"/>
      <c r="C3" s="3027"/>
      <c r="D3" s="3027"/>
      <c r="E3" s="3027"/>
      <c r="F3" s="3027"/>
      <c r="G3" s="3027"/>
      <c r="H3" s="3027"/>
      <c r="I3" s="1849"/>
      <c r="J3" s="1849"/>
      <c r="K3" s="1849"/>
      <c r="L3" s="1849"/>
    </row>
    <row r="4" spans="1:12" ht="15">
      <c r="A4" s="1851" t="s">
        <v>85</v>
      </c>
      <c r="B4" s="1851"/>
    </row>
    <row r="6" spans="1:12" s="1853" customFormat="1" ht="32.1" customHeight="1">
      <c r="A6" s="1853">
        <v>1</v>
      </c>
      <c r="B6" s="3028" t="s">
        <v>443</v>
      </c>
      <c r="C6" s="3028"/>
      <c r="D6" s="1854" t="s">
        <v>434</v>
      </c>
      <c r="E6" s="3029"/>
      <c r="F6" s="3029"/>
      <c r="G6" s="3029"/>
      <c r="H6" s="3029"/>
    </row>
    <row r="7" spans="1:12" s="1855" customFormat="1" ht="30.9" customHeight="1">
      <c r="A7" s="1855">
        <v>2</v>
      </c>
      <c r="B7" s="3030" t="s">
        <v>444</v>
      </c>
      <c r="C7" s="3030"/>
      <c r="D7" s="1856" t="s">
        <v>434</v>
      </c>
      <c r="E7" s="1857">
        <v>1</v>
      </c>
      <c r="F7" s="3031" t="s">
        <v>2763</v>
      </c>
      <c r="G7" s="3031"/>
      <c r="H7" s="3031"/>
    </row>
    <row r="8" spans="1:12" ht="30.9" customHeight="1">
      <c r="D8" s="1856" t="s">
        <v>434</v>
      </c>
      <c r="E8" s="1857">
        <v>2</v>
      </c>
      <c r="F8" s="3031" t="s">
        <v>2764</v>
      </c>
      <c r="G8" s="3031"/>
      <c r="H8" s="3031"/>
    </row>
    <row r="9" spans="1:12" ht="18" customHeight="1">
      <c r="D9" s="1858" t="s">
        <v>434</v>
      </c>
      <c r="E9" s="1857">
        <v>3</v>
      </c>
      <c r="F9" s="3031" t="s">
        <v>2765</v>
      </c>
      <c r="G9" s="3031"/>
      <c r="H9" s="3031"/>
    </row>
    <row r="10" spans="1:12" s="1855" customFormat="1" ht="38.1" customHeight="1">
      <c r="A10" s="1855">
        <v>3</v>
      </c>
      <c r="B10" s="3030" t="s">
        <v>445</v>
      </c>
      <c r="C10" s="3030"/>
      <c r="D10" s="1856" t="s">
        <v>434</v>
      </c>
      <c r="E10" s="3031" t="str">
        <f>'Input Data'!E1</f>
        <v xml:space="preserve">BT Renewal from Balabadraipally to Danamma Thanda of Gundumal Mandal in Narayanpet District </v>
      </c>
      <c r="F10" s="3031"/>
      <c r="G10" s="3031"/>
      <c r="H10" s="3031"/>
    </row>
    <row r="11" spans="1:12">
      <c r="A11" s="1850">
        <v>4</v>
      </c>
      <c r="B11" s="3032" t="s">
        <v>446</v>
      </c>
      <c r="C11" s="3032"/>
      <c r="D11" s="1858" t="s">
        <v>434</v>
      </c>
      <c r="E11" s="3033" t="s">
        <v>447</v>
      </c>
      <c r="F11" s="3033"/>
      <c r="G11" s="1859">
        <f>'Input Data'!J4</f>
        <v>96.15</v>
      </c>
      <c r="H11" s="1860" t="s">
        <v>329</v>
      </c>
    </row>
    <row r="12" spans="1:12" s="1861" customFormat="1" ht="36" customHeight="1">
      <c r="A12" s="1861">
        <v>5</v>
      </c>
      <c r="B12" s="3034" t="s">
        <v>448</v>
      </c>
      <c r="C12" s="3034"/>
      <c r="D12" s="1862" t="s">
        <v>434</v>
      </c>
      <c r="E12" s="3034">
        <f>'Input Data'!I3</f>
        <v>0</v>
      </c>
      <c r="F12" s="3034"/>
      <c r="G12" s="3034"/>
      <c r="H12" s="3034"/>
    </row>
    <row r="13" spans="1:12">
      <c r="A13" s="1850">
        <v>6</v>
      </c>
      <c r="B13" s="3035" t="s">
        <v>388</v>
      </c>
      <c r="C13" s="3035"/>
      <c r="D13" s="1858" t="s">
        <v>434</v>
      </c>
      <c r="E13" s="3035" t="str">
        <f>'Input Data'!J6</f>
        <v>SDF-2024-25</v>
      </c>
      <c r="F13" s="3035"/>
      <c r="G13" s="3035"/>
      <c r="H13" s="3035"/>
    </row>
    <row r="16" spans="1:12" s="1861" customFormat="1" ht="30.9" customHeight="1">
      <c r="C16" s="3034" t="str">
        <f>CONCATENATE("The total length of the Road is ",'Input Data'!J5," Km. ",'Road Estimate'!B45," Km is BT Surface with many pot holes along with damaged WMM with existing GSB 125mm and WMM 75mm thick.")</f>
        <v>The total length of the Road is 2.07 Km. 0/000 to 2/070 km Km is BT Surface with many pot holes along with damaged WMM with existing GSB 125mm and WMM 75mm thick.</v>
      </c>
      <c r="D16" s="3034"/>
      <c r="E16" s="3034"/>
      <c r="F16" s="3034"/>
      <c r="G16" s="3034"/>
      <c r="H16" s="3034"/>
    </row>
    <row r="17" spans="1:8" s="1855" customFormat="1" ht="55.8" customHeight="1">
      <c r="C17" s="3034" t="str">
        <f>CONCATENATE(" As the reaches  ",'Road Estimate'!B25," Km is badly damaged along with WMM,  Scarify existing BT from",'Road Estimate'!B25," Km &amp; Provide  BT  with DGBM 50mm ,BC 30mm over  WMM 150mm as per traffic conditions.")</f>
        <v xml:space="preserve"> As the reaches  0/000 to 2/070 km Km is badly damaged along with WMM,  Scarify existing BT from0/000 to 2/070 km Km &amp; Provide  BT  with DGBM 50mm ,BC 30mm over  WMM 150mm as per traffic conditions.</v>
      </c>
      <c r="D17" s="3034"/>
      <c r="E17" s="3034"/>
      <c r="F17" s="3034"/>
      <c r="G17" s="3034"/>
      <c r="H17" s="3034"/>
    </row>
    <row r="18" spans="1:8" s="1855" customFormat="1" ht="60.6" customHeight="1">
      <c r="C18" s="3034" t="s">
        <v>2760</v>
      </c>
      <c r="D18" s="3034"/>
      <c r="E18" s="3034"/>
      <c r="F18" s="3034"/>
      <c r="G18" s="3034"/>
      <c r="H18" s="3034"/>
    </row>
    <row r="19" spans="1:8" s="1865" customFormat="1" ht="42.75" customHeight="1">
      <c r="A19" s="1863"/>
      <c r="B19" s="1864" t="s">
        <v>395</v>
      </c>
      <c r="C19" s="1864" t="s">
        <v>449</v>
      </c>
      <c r="D19" s="3040" t="s">
        <v>450</v>
      </c>
      <c r="E19" s="3040"/>
      <c r="F19" s="3040" t="s">
        <v>451</v>
      </c>
      <c r="G19" s="3040"/>
      <c r="H19" s="1864" t="s">
        <v>452</v>
      </c>
    </row>
    <row r="20" spans="1:8" s="1865" customFormat="1" ht="39.6">
      <c r="A20" s="1863"/>
      <c r="B20" s="1866">
        <v>1</v>
      </c>
      <c r="C20" s="1867" t="s">
        <v>2761</v>
      </c>
      <c r="D20" s="3036" t="str">
        <f>'Road Estimate'!B6</f>
        <v>0/000 to 2/070 km</v>
      </c>
      <c r="E20" s="3036"/>
      <c r="F20" s="3037">
        <f>'Road Estimate'!F6</f>
        <v>2070</v>
      </c>
      <c r="G20" s="3037"/>
      <c r="H20" s="1867" t="s">
        <v>453</v>
      </c>
    </row>
    <row r="21" spans="1:8" s="1865" customFormat="1" ht="12" customHeight="1">
      <c r="A21" s="1868"/>
      <c r="B21" s="1866"/>
      <c r="C21" s="1869" t="s">
        <v>60</v>
      </c>
      <c r="D21" s="1870"/>
      <c r="E21" s="1871"/>
      <c r="F21" s="3038">
        <f>SUM(F20:G20)</f>
        <v>2070</v>
      </c>
      <c r="G21" s="3039"/>
      <c r="H21" s="1870"/>
    </row>
    <row r="22" spans="1:8" ht="19.5" customHeight="1">
      <c r="C22" s="1855"/>
    </row>
    <row r="23" spans="1:8" s="1853" customFormat="1" ht="30" customHeight="1">
      <c r="B23" s="1872"/>
      <c r="C23" s="3041"/>
      <c r="D23" s="3041"/>
      <c r="E23" s="3041"/>
      <c r="F23" s="3041"/>
      <c r="G23" s="3041"/>
      <c r="H23" s="3041"/>
    </row>
    <row r="25" spans="1:8" s="1861" customFormat="1" ht="36" customHeight="1">
      <c r="B25" s="3034" t="s">
        <v>454</v>
      </c>
      <c r="C25" s="3034"/>
      <c r="D25" s="3034"/>
      <c r="E25" s="3034"/>
      <c r="F25" s="3034"/>
      <c r="G25" s="3034"/>
      <c r="H25" s="3034"/>
    </row>
    <row r="28" spans="1:8" ht="15">
      <c r="H28" s="1851" t="s">
        <v>455</v>
      </c>
    </row>
    <row r="29" spans="1:8" ht="15">
      <c r="H29" s="1851" t="s">
        <v>456</v>
      </c>
    </row>
  </sheetData>
  <mergeCells count="26">
    <mergeCell ref="B25:H25"/>
    <mergeCell ref="D20:E20"/>
    <mergeCell ref="F20:G20"/>
    <mergeCell ref="F21:G21"/>
    <mergeCell ref="C17:H17"/>
    <mergeCell ref="C18:H18"/>
    <mergeCell ref="D19:E19"/>
    <mergeCell ref="F19:G19"/>
    <mergeCell ref="C23:H23"/>
    <mergeCell ref="B12:C12"/>
    <mergeCell ref="E12:H12"/>
    <mergeCell ref="B13:C13"/>
    <mergeCell ref="E13:H13"/>
    <mergeCell ref="C16:H16"/>
    <mergeCell ref="F8:H8"/>
    <mergeCell ref="F9:H9"/>
    <mergeCell ref="B10:C10"/>
    <mergeCell ref="E10:H10"/>
    <mergeCell ref="B11:C11"/>
    <mergeCell ref="E11:F11"/>
    <mergeCell ref="A2:H2"/>
    <mergeCell ref="A3:H3"/>
    <mergeCell ref="B6:C6"/>
    <mergeCell ref="E6:H6"/>
    <mergeCell ref="B7:C7"/>
    <mergeCell ref="F7:H7"/>
  </mergeCells>
  <pageMargins left="0.51180555555555596" right="0.31458333333333299" top="0.55069444444444404" bottom="0.156944444444444" header="0.31458333333333299" footer="0.31458333333333299"/>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filterMode="1">
    <tabColor indexed="14"/>
  </sheetPr>
  <dimension ref="A1:AD197"/>
  <sheetViews>
    <sheetView view="pageBreakPreview" topLeftCell="A135" workbookViewId="0">
      <selection activeCell="F66" sqref="F66"/>
    </sheetView>
  </sheetViews>
  <sheetFormatPr defaultColWidth="7.88671875" defaultRowHeight="13.8"/>
  <cols>
    <col min="1" max="1" width="4.33203125" style="1931" customWidth="1"/>
    <col min="2" max="2" width="12" style="1876" customWidth="1"/>
    <col min="3" max="3" width="7.88671875" style="1876" customWidth="1"/>
    <col min="4" max="4" width="11.109375" style="1876" customWidth="1"/>
    <col min="5" max="5" width="15.44140625" style="1876" customWidth="1"/>
    <col min="6" max="6" width="11" style="1931" customWidth="1"/>
    <col min="7" max="7" width="10.33203125" style="1931" customWidth="1"/>
    <col min="8" max="8" width="15" style="1876" customWidth="1"/>
    <col min="9" max="9" width="12.44140625" style="1876" customWidth="1"/>
    <col min="10" max="10" width="13.44140625" style="1876" customWidth="1"/>
    <col min="11" max="11" width="12.109375" style="1874" customWidth="1"/>
    <col min="12" max="12" width="19.44140625" style="1876" customWidth="1"/>
    <col min="13" max="13" width="15.109375" style="1876" customWidth="1"/>
    <col min="14" max="14" width="12.33203125" style="1876" customWidth="1"/>
    <col min="15" max="15" width="11.5546875" style="1876" customWidth="1"/>
    <col min="16" max="16" width="12.5546875" style="1876" customWidth="1"/>
    <col min="17" max="17" width="4.109375" style="1876" customWidth="1"/>
    <col min="18" max="18" width="3.88671875" style="1876" customWidth="1"/>
    <col min="19" max="16384" width="7.88671875" style="1876"/>
  </cols>
  <sheetData>
    <row r="1" spans="1:21" ht="20.25" customHeight="1">
      <c r="A1" s="1873"/>
      <c r="B1" s="3042" t="s">
        <v>457</v>
      </c>
      <c r="C1" s="3043"/>
      <c r="D1" s="3043"/>
      <c r="E1" s="3043"/>
      <c r="F1" s="3043"/>
      <c r="G1" s="3043"/>
      <c r="H1" s="3043"/>
      <c r="I1" s="3043"/>
      <c r="J1" s="3043"/>
      <c r="K1" s="1874" t="s">
        <v>458</v>
      </c>
      <c r="L1" s="1875" t="str">
        <f>'Input Data'!D3</f>
        <v>Vikarabad</v>
      </c>
      <c r="P1" s="1877" t="s">
        <v>459</v>
      </c>
      <c r="Q1" s="1878"/>
      <c r="R1" s="1879"/>
    </row>
    <row r="2" spans="1:21" ht="20.25" customHeight="1">
      <c r="A2" s="1880"/>
      <c r="B2" s="3044" t="str">
        <f>"Note file.No. "&amp;$L$2</f>
        <v>Note file.No. AE-DEE-Gundumal-Vkb-SDF-2024-25</v>
      </c>
      <c r="C2" s="3045"/>
      <c r="D2" s="3045"/>
      <c r="E2" s="3045"/>
      <c r="F2" s="3045"/>
      <c r="G2" s="3045"/>
      <c r="H2" s="3045"/>
      <c r="I2" s="3045"/>
      <c r="J2" s="3045"/>
      <c r="L2" s="1875" t="str">
        <f>"AE-DEE-"&amp;'Input Data'!D7&amp;"-"&amp;N4</f>
        <v>AE-DEE-Gundumal-Vkb-SDF-2024-25</v>
      </c>
      <c r="P2" s="1881" t="s">
        <v>460</v>
      </c>
      <c r="Q2" s="1882"/>
      <c r="R2" s="1883"/>
    </row>
    <row r="3" spans="1:21" ht="48.75" customHeight="1">
      <c r="A3" s="1880" t="s">
        <v>85</v>
      </c>
      <c r="B3" s="1884" t="s">
        <v>461</v>
      </c>
      <c r="C3" s="3046" t="str">
        <f>"PR Circle: "&amp;L1&amp;" - "&amp;$L$7&amp;" Dist"&amp;'Input Data'!J6&amp;" - "&amp;$L$3&amp;"- Estt.Cost.Rs."&amp;$L$4&amp;".00 Lakhs Detailed estimates Submitted for Technical Sanction - regarding"</f>
        <v>PR Circle: Vikarabad - Narayanpet DistSDF-2024-25 - BT Renewal from Balabadraipally to Danamma Thanda of Gundumal Mandal in Narayanpet District - Estt.Cost.Rs.96.15.00 Lakhs Detailed estimates Submitted for Technical Sanction - regarding</v>
      </c>
      <c r="D3" s="3047"/>
      <c r="E3" s="3047"/>
      <c r="F3" s="3047"/>
      <c r="G3" s="3047"/>
      <c r="H3" s="3047"/>
      <c r="I3" s="3047"/>
      <c r="J3" s="3047"/>
      <c r="K3" s="1885" t="s">
        <v>462</v>
      </c>
      <c r="L3" s="1886" t="str">
        <f>'Input Data'!E1</f>
        <v xml:space="preserve">BT Renewal from Balabadraipally to Danamma Thanda of Gundumal Mandal in Narayanpet District </v>
      </c>
      <c r="M3" s="1887"/>
      <c r="N3" s="1888"/>
      <c r="O3" s="1888"/>
      <c r="P3" s="1889"/>
    </row>
    <row r="4" spans="1:21" ht="25.5" customHeight="1">
      <c r="A4" s="3203"/>
      <c r="B4" s="3204" t="s">
        <v>463</v>
      </c>
      <c r="C4" s="3048" t="str">
        <f>"1)."&amp;'Input Data'!I3&amp;"."</f>
        <v>1)..</v>
      </c>
      <c r="D4" s="3048"/>
      <c r="E4" s="3048"/>
      <c r="F4" s="3048"/>
      <c r="G4" s="3048"/>
      <c r="H4" s="3048"/>
      <c r="I4" s="3048"/>
      <c r="J4" s="3048"/>
      <c r="K4" s="1890" t="s">
        <v>464</v>
      </c>
      <c r="L4" s="1891">
        <f>'Input Data'!J4</f>
        <v>96.15</v>
      </c>
      <c r="M4" s="1892" t="s">
        <v>465</v>
      </c>
      <c r="N4" s="1893" t="str">
        <f>'Input Data'!E3&amp;"-"&amp;'Input Data'!J6&amp;""</f>
        <v>Vkb-SDF-2024-25</v>
      </c>
      <c r="O4" s="1894"/>
      <c r="Q4" s="1895">
        <f>'Input Data'!L6</f>
        <v>0</v>
      </c>
    </row>
    <row r="5" spans="1:21" ht="24" customHeight="1">
      <c r="A5" s="3203"/>
      <c r="B5" s="3205"/>
      <c r="C5" s="3049" t="str">
        <f>"2). SE,PR,"&amp;$L$1&amp;$O$7</f>
        <v>2). SE,PR,Vikarabad vide Lr.No.T4/CRR/Wanaparthy/22 Dt: 06.09.2022</v>
      </c>
      <c r="D5" s="3049"/>
      <c r="E5" s="3049"/>
      <c r="F5" s="3049"/>
      <c r="G5" s="3049"/>
      <c r="H5" s="3049"/>
      <c r="I5" s="3049"/>
      <c r="J5" s="3049"/>
      <c r="K5" s="1890" t="s">
        <v>391</v>
      </c>
      <c r="L5" s="1896" t="str">
        <f>'Input Data'!D7</f>
        <v>Gundumal</v>
      </c>
      <c r="M5" s="1897" t="s">
        <v>466</v>
      </c>
      <c r="N5" s="1898">
        <f>'Input Data'!J5</f>
        <v>2.0699999999999998</v>
      </c>
      <c r="O5" s="3050"/>
      <c r="P5" s="3050"/>
      <c r="Q5" s="3050"/>
      <c r="R5" s="3050"/>
    </row>
    <row r="6" spans="1:21" s="1522" customFormat="1" ht="20.25" hidden="1" customHeight="1">
      <c r="A6" s="1526"/>
      <c r="B6" s="1527"/>
      <c r="C6" s="3051" t="s">
        <v>467</v>
      </c>
      <c r="D6" s="3052"/>
      <c r="E6" s="3052"/>
      <c r="F6" s="3052"/>
      <c r="G6" s="3052"/>
      <c r="H6" s="3052"/>
      <c r="I6" s="3052"/>
      <c r="J6" s="3053"/>
      <c r="K6" s="1542"/>
      <c r="L6" s="1543"/>
      <c r="M6" s="1544"/>
      <c r="N6" s="1545"/>
      <c r="O6" s="1546"/>
      <c r="P6" s="1546"/>
      <c r="Q6" s="1546"/>
      <c r="R6" s="1546"/>
    </row>
    <row r="7" spans="1:21" ht="15.75" customHeight="1">
      <c r="A7" s="1880"/>
      <c r="B7" s="3054"/>
      <c r="C7" s="3055"/>
      <c r="D7" s="3055"/>
      <c r="E7" s="3056" t="s">
        <v>468</v>
      </c>
      <c r="F7" s="3055"/>
      <c r="G7" s="3055"/>
      <c r="H7" s="3055"/>
      <c r="I7" s="3055"/>
      <c r="J7" s="3057"/>
      <c r="K7" s="1899" t="s">
        <v>469</v>
      </c>
      <c r="L7" s="1896" t="str">
        <f>'Input Data'!D4</f>
        <v>Narayanpet</v>
      </c>
      <c r="M7" s="1900" t="s">
        <v>470</v>
      </c>
      <c r="N7" s="1901">
        <f>'Input Data'!K5</f>
        <v>2.0699999999999998</v>
      </c>
      <c r="O7" s="1902" t="s">
        <v>471</v>
      </c>
      <c r="P7" s="1903"/>
      <c r="Q7" s="1903"/>
      <c r="R7" s="1903"/>
      <c r="T7" s="1904"/>
    </row>
    <row r="8" spans="1:21" ht="26.25" customHeight="1">
      <c r="A8" s="1880"/>
      <c r="B8" s="3058" t="s">
        <v>472</v>
      </c>
      <c r="C8" s="3059"/>
      <c r="D8" s="3059"/>
      <c r="E8" s="3059"/>
      <c r="F8" s="3059"/>
      <c r="G8" s="3059"/>
      <c r="H8" s="3059"/>
      <c r="I8" s="3059"/>
      <c r="J8" s="3060"/>
      <c r="K8" s="1899" t="s">
        <v>473</v>
      </c>
      <c r="L8" s="1905" t="str">
        <f>"P.R."&amp;'Input Data'!D5</f>
        <v>P.R.Narayanpet</v>
      </c>
      <c r="M8" s="1906"/>
      <c r="N8" s="1907"/>
      <c r="O8" s="1908"/>
      <c r="P8" s="1908"/>
      <c r="Q8" s="1908"/>
      <c r="R8" s="1909"/>
      <c r="T8" s="1910"/>
    </row>
    <row r="9" spans="1:21" ht="51.75" customHeight="1">
      <c r="A9" s="1911"/>
      <c r="B9" s="3061" t="s">
        <v>474</v>
      </c>
      <c r="C9" s="3062"/>
      <c r="D9" s="3062"/>
      <c r="E9" s="3062"/>
      <c r="F9" s="3062"/>
      <c r="G9" s="3062"/>
      <c r="H9" s="3062"/>
      <c r="I9" s="3062"/>
      <c r="J9" s="3063"/>
      <c r="K9" s="1899" t="s">
        <v>475</v>
      </c>
      <c r="L9" s="1912">
        <f>ROUND(GA!E21/100000,2)</f>
        <v>96.15</v>
      </c>
      <c r="M9" s="1913"/>
      <c r="N9" s="1914"/>
      <c r="O9" s="1914"/>
      <c r="P9" s="1914"/>
      <c r="Q9" s="1914"/>
      <c r="R9" s="1914"/>
    </row>
    <row r="10" spans="1:21" ht="28.5" customHeight="1">
      <c r="A10" s="1915">
        <v>1</v>
      </c>
      <c r="B10" s="3064" t="s">
        <v>476</v>
      </c>
      <c r="C10" s="3065"/>
      <c r="D10" s="3066"/>
      <c r="E10" s="1915" t="s">
        <v>434</v>
      </c>
      <c r="F10" s="3067" t="str">
        <f>'Input Data'!D4</f>
        <v>Narayanpet</v>
      </c>
      <c r="G10" s="3067"/>
      <c r="H10" s="3067"/>
      <c r="I10" s="3067"/>
      <c r="J10" s="3067"/>
      <c r="K10" s="1916" t="s">
        <v>477</v>
      </c>
      <c r="L10" s="1917">
        <f>'Schedule-A'!H191</f>
        <v>7737566</v>
      </c>
      <c r="M10" s="1918"/>
      <c r="N10" s="1919"/>
      <c r="O10" s="3068"/>
      <c r="P10" s="3068"/>
      <c r="Q10" s="3068"/>
      <c r="R10" s="3068"/>
      <c r="S10" s="1920"/>
      <c r="T10" s="1920"/>
      <c r="U10" s="1920"/>
    </row>
    <row r="11" spans="1:21" ht="28.5" customHeight="1">
      <c r="A11" s="1915">
        <v>2</v>
      </c>
      <c r="B11" s="3064" t="s">
        <v>478</v>
      </c>
      <c r="C11" s="3065"/>
      <c r="D11" s="3066"/>
      <c r="E11" s="1915" t="s">
        <v>434</v>
      </c>
      <c r="F11" s="3067" t="str">
        <f>L8</f>
        <v>P.R.Narayanpet</v>
      </c>
      <c r="G11" s="3067"/>
      <c r="H11" s="3067"/>
      <c r="I11" s="3067"/>
      <c r="J11" s="3067"/>
      <c r="K11" s="1916" t="s">
        <v>479</v>
      </c>
      <c r="L11" s="1917" t="e">
        <f>'Schedule-A'!#REF!</f>
        <v>#REF!</v>
      </c>
      <c r="M11" s="1913"/>
      <c r="N11" s="1914"/>
      <c r="O11" s="1914"/>
      <c r="P11" s="1914"/>
      <c r="Q11" s="1914"/>
      <c r="R11" s="1914"/>
      <c r="S11" s="1920"/>
      <c r="T11" s="1920"/>
      <c r="U11" s="1920"/>
    </row>
    <row r="12" spans="1:21" ht="28.5" customHeight="1">
      <c r="A12" s="1915">
        <v>3</v>
      </c>
      <c r="B12" s="3064" t="s">
        <v>480</v>
      </c>
      <c r="C12" s="3065"/>
      <c r="D12" s="3066"/>
      <c r="E12" s="1915" t="s">
        <v>434</v>
      </c>
      <c r="F12" s="3067" t="str">
        <f>L5</f>
        <v>Gundumal</v>
      </c>
      <c r="G12" s="3067"/>
      <c r="H12" s="3067"/>
      <c r="I12" s="3067"/>
      <c r="J12" s="3067"/>
      <c r="K12" s="1921" t="s">
        <v>330</v>
      </c>
      <c r="L12" s="1922" t="e">
        <f>CEILING(SUM(L10:L11),1)</f>
        <v>#REF!</v>
      </c>
      <c r="M12" s="1923" t="e">
        <f>L13-L12</f>
        <v>#REF!</v>
      </c>
      <c r="N12" s="1914"/>
      <c r="O12" s="1914"/>
      <c r="P12" s="1914"/>
      <c r="Q12" s="1914"/>
      <c r="R12" s="1914"/>
      <c r="S12" s="1924"/>
      <c r="T12" s="1924"/>
      <c r="U12" s="1924"/>
    </row>
    <row r="13" spans="1:21" ht="50.25" customHeight="1">
      <c r="A13" s="1915">
        <v>4</v>
      </c>
      <c r="B13" s="3067" t="s">
        <v>462</v>
      </c>
      <c r="C13" s="3067"/>
      <c r="D13" s="3067"/>
      <c r="E13" s="1915" t="s">
        <v>434</v>
      </c>
      <c r="F13" s="3069" t="str">
        <f>L3</f>
        <v xml:space="preserve">BT Renewal from Balabadraipally to Danamma Thanda of Gundumal Mandal in Narayanpet District </v>
      </c>
      <c r="G13" s="3069"/>
      <c r="H13" s="3069"/>
      <c r="I13" s="3069"/>
      <c r="J13" s="3069"/>
      <c r="K13" s="1925"/>
      <c r="L13" s="1926">
        <f>'Schedule-A'!H192</f>
        <v>7737566</v>
      </c>
      <c r="M13" s="1927" t="s">
        <v>481</v>
      </c>
      <c r="N13" s="1914"/>
      <c r="O13" s="1914"/>
      <c r="P13" s="1914"/>
      <c r="Q13" s="1914"/>
      <c r="R13" s="1914"/>
      <c r="S13" s="1924"/>
      <c r="T13" s="1924"/>
      <c r="U13" s="1924"/>
    </row>
    <row r="14" spans="1:21" ht="33.75" customHeight="1">
      <c r="A14" s="1915">
        <v>5</v>
      </c>
      <c r="B14" s="3069" t="s">
        <v>482</v>
      </c>
      <c r="C14" s="3069"/>
      <c r="D14" s="3069"/>
      <c r="E14" s="1915" t="s">
        <v>434</v>
      </c>
      <c r="F14" s="3069">
        <f>'Input Data'!I3</f>
        <v>0</v>
      </c>
      <c r="G14" s="3069"/>
      <c r="H14" s="3069"/>
      <c r="I14" s="3069"/>
      <c r="J14" s="3069"/>
      <c r="K14" s="1928"/>
      <c r="L14" s="1928"/>
      <c r="M14" s="1929"/>
      <c r="N14" s="1928">
        <f>7.5*3</f>
        <v>22.5</v>
      </c>
      <c r="O14" s="1928">
        <f>2*7.5*3</f>
        <v>45</v>
      </c>
      <c r="P14" s="1928"/>
      <c r="Q14" s="1928"/>
      <c r="R14" s="1928"/>
      <c r="S14" s="1928"/>
      <c r="T14" s="1928"/>
      <c r="U14" s="1928"/>
    </row>
    <row r="15" spans="1:21" ht="22.95" customHeight="1">
      <c r="A15" s="1915">
        <v>6</v>
      </c>
      <c r="B15" s="3067" t="s">
        <v>483</v>
      </c>
      <c r="C15" s="3067"/>
      <c r="D15" s="3067"/>
      <c r="E15" s="1915" t="s">
        <v>434</v>
      </c>
      <c r="F15" s="3067" t="str">
        <f>'Input Data'!J6</f>
        <v>SDF-2024-25</v>
      </c>
      <c r="G15" s="3067"/>
      <c r="H15" s="3067"/>
      <c r="I15" s="3067"/>
      <c r="J15" s="3067"/>
      <c r="K15" s="1930"/>
      <c r="L15" s="1931"/>
      <c r="N15" s="1876">
        <f>(0.91+0.76)/2</f>
        <v>0.83499999999999996</v>
      </c>
      <c r="O15" s="1876">
        <f>2.7/2</f>
        <v>1.35</v>
      </c>
    </row>
    <row r="16" spans="1:21">
      <c r="A16" s="1915">
        <v>7</v>
      </c>
      <c r="B16" s="3067" t="s">
        <v>484</v>
      </c>
      <c r="C16" s="3067"/>
      <c r="D16" s="3067"/>
      <c r="E16" s="1915" t="s">
        <v>434</v>
      </c>
      <c r="F16" s="3070">
        <f>L4</f>
        <v>96.15</v>
      </c>
      <c r="G16" s="3070"/>
      <c r="H16" s="3070"/>
      <c r="I16" s="3070"/>
      <c r="J16" s="3070"/>
      <c r="K16" s="1930"/>
      <c r="L16" s="1874"/>
      <c r="M16" s="1874"/>
      <c r="N16" s="1874">
        <f>N14*N15</f>
        <v>18.787499999999998</v>
      </c>
      <c r="O16" s="1874">
        <f>O14*O15</f>
        <v>60.750000000000007</v>
      </c>
      <c r="P16" s="1932"/>
    </row>
    <row r="17" spans="1:28">
      <c r="A17" s="1933">
        <v>8</v>
      </c>
      <c r="B17" s="3071" t="s">
        <v>470</v>
      </c>
      <c r="C17" s="3071"/>
      <c r="D17" s="3071"/>
      <c r="E17" s="1933" t="s">
        <v>434</v>
      </c>
      <c r="F17" s="3072">
        <f>'Input Data'!J5</f>
        <v>2.0699999999999998</v>
      </c>
      <c r="G17" s="3072"/>
      <c r="H17" s="3072"/>
      <c r="I17" s="3072"/>
      <c r="J17" s="3072"/>
      <c r="K17" s="1934">
        <f>F17*3</f>
        <v>6.2099999999999991</v>
      </c>
      <c r="L17" s="1931"/>
    </row>
    <row r="18" spans="1:28">
      <c r="A18" s="1915">
        <v>9</v>
      </c>
      <c r="B18" s="3073" t="s">
        <v>485</v>
      </c>
      <c r="C18" s="3074"/>
      <c r="D18" s="3074"/>
      <c r="E18" s="3074"/>
      <c r="F18" s="3074"/>
      <c r="G18" s="3074"/>
      <c r="H18" s="3074"/>
      <c r="I18" s="3074"/>
      <c r="J18" s="3075"/>
      <c r="K18" s="1930"/>
      <c r="L18" s="1935"/>
      <c r="M18" s="1936"/>
      <c r="N18" s="1936"/>
      <c r="O18" s="1937"/>
      <c r="P18" s="1938"/>
      <c r="Q18" s="1939"/>
      <c r="X18" s="1940"/>
      <c r="Y18" s="1941"/>
      <c r="Z18" s="1942"/>
      <c r="AA18" s="1942"/>
      <c r="AB18" s="1943"/>
    </row>
    <row r="19" spans="1:28" s="1874" customFormat="1">
      <c r="A19" s="3085" t="s">
        <v>486</v>
      </c>
      <c r="B19" s="3085"/>
      <c r="C19" s="3076" t="s">
        <v>480</v>
      </c>
      <c r="D19" s="3077"/>
      <c r="E19" s="3077"/>
      <c r="F19" s="3076" t="s">
        <v>487</v>
      </c>
      <c r="G19" s="3086"/>
      <c r="H19" s="3078" t="s">
        <v>488</v>
      </c>
      <c r="I19" s="3079"/>
      <c r="J19" s="3080"/>
      <c r="K19" s="1930"/>
      <c r="L19" s="1944"/>
      <c r="M19" s="3081"/>
      <c r="N19" s="3081"/>
      <c r="O19" s="3081"/>
      <c r="P19" s="3081"/>
      <c r="Q19" s="3081"/>
      <c r="R19" s="3081"/>
      <c r="S19" s="3081"/>
      <c r="T19" s="3082">
        <v>1505</v>
      </c>
      <c r="U19" s="3082"/>
      <c r="V19" s="3083" t="s">
        <v>489</v>
      </c>
      <c r="W19" s="3083"/>
      <c r="X19" s="3083"/>
      <c r="Y19" s="3083"/>
      <c r="Z19" s="1945"/>
      <c r="AA19" s="1945"/>
      <c r="AB19" s="1946"/>
    </row>
    <row r="20" spans="1:28" s="1874" customFormat="1">
      <c r="A20" s="3085"/>
      <c r="B20" s="3085"/>
      <c r="C20" s="1947"/>
      <c r="D20" s="1948"/>
      <c r="E20" s="1948"/>
      <c r="F20" s="3087"/>
      <c r="G20" s="3088"/>
      <c r="H20" s="1949" t="s">
        <v>490</v>
      </c>
      <c r="I20" s="1949" t="s">
        <v>491</v>
      </c>
      <c r="J20" s="1949" t="s">
        <v>492</v>
      </c>
      <c r="K20" s="1930"/>
      <c r="L20" s="1944"/>
      <c r="M20" s="1950"/>
      <c r="N20" s="1950"/>
      <c r="O20" s="1950"/>
      <c r="P20" s="1950"/>
      <c r="Q20" s="1950"/>
      <c r="R20" s="1950"/>
      <c r="S20" s="1950"/>
      <c r="T20" s="1951"/>
      <c r="U20" s="1951"/>
      <c r="V20" s="1944"/>
      <c r="W20" s="1944"/>
      <c r="X20" s="1944"/>
      <c r="Y20" s="1944"/>
      <c r="Z20" s="1945"/>
      <c r="AA20" s="1945"/>
      <c r="AB20" s="1946"/>
    </row>
    <row r="21" spans="1:28">
      <c r="A21" s="3084">
        <v>1</v>
      </c>
      <c r="B21" s="3084"/>
      <c r="C21" s="3085" t="str">
        <f>SPR!C10</f>
        <v>Gundumal</v>
      </c>
      <c r="D21" s="3085"/>
      <c r="E21" s="3085"/>
      <c r="F21" s="3085" t="str">
        <f>SPR!F10</f>
        <v>Balabadraiaplly</v>
      </c>
      <c r="G21" s="3085"/>
      <c r="H21" s="1952">
        <f>SPR!J10</f>
        <v>602</v>
      </c>
      <c r="I21" s="1952">
        <f>SPR!L10</f>
        <v>0</v>
      </c>
      <c r="J21" s="1952">
        <f>SPR!O10</f>
        <v>1085</v>
      </c>
      <c r="K21" s="1930"/>
      <c r="L21" s="1953"/>
      <c r="M21" s="1954"/>
      <c r="N21" s="1954"/>
      <c r="O21" s="1954"/>
      <c r="P21" s="1954"/>
      <c r="Q21" s="1954"/>
      <c r="R21" s="1954"/>
      <c r="S21" s="1954"/>
      <c r="T21" s="1955"/>
      <c r="U21" s="1955"/>
      <c r="V21" s="1953"/>
      <c r="W21" s="1953"/>
      <c r="X21" s="1953"/>
      <c r="Y21" s="1953"/>
      <c r="Z21" s="1945"/>
      <c r="AA21" s="1945"/>
      <c r="AB21" s="1946"/>
    </row>
    <row r="22" spans="1:28">
      <c r="A22" s="3084">
        <v>2</v>
      </c>
      <c r="B22" s="3084"/>
      <c r="C22" s="3085" t="str">
        <f>SPR!C11</f>
        <v>Gundumal</v>
      </c>
      <c r="D22" s="3085"/>
      <c r="E22" s="3085"/>
      <c r="F22" s="3085" t="str">
        <f>SPR!F11</f>
        <v>Danamma Thanda</v>
      </c>
      <c r="G22" s="3085"/>
      <c r="H22" s="1952">
        <f>SPR!J11</f>
        <v>0</v>
      </c>
      <c r="I22" s="1952">
        <f>SPR!L11</f>
        <v>145</v>
      </c>
      <c r="J22" s="1952">
        <f>SPR!O11</f>
        <v>0</v>
      </c>
      <c r="K22" s="1930"/>
      <c r="L22" s="1956"/>
      <c r="M22" s="1957"/>
      <c r="N22" s="1957"/>
      <c r="O22" s="1957"/>
      <c r="P22" s="1957"/>
      <c r="Q22" s="1957"/>
      <c r="R22" s="1957"/>
      <c r="S22" s="1957"/>
      <c r="T22" s="1958"/>
      <c r="U22" s="1958"/>
      <c r="V22" s="1956"/>
      <c r="W22" s="1956"/>
      <c r="X22" s="1956"/>
      <c r="Y22" s="1956"/>
      <c r="Z22" s="1959"/>
      <c r="AA22" s="1959"/>
      <c r="AB22" s="1959"/>
    </row>
    <row r="23" spans="1:28">
      <c r="A23" s="3089" t="s">
        <v>60</v>
      </c>
      <c r="B23" s="3090"/>
      <c r="C23" s="3090"/>
      <c r="D23" s="3090"/>
      <c r="E23" s="3090"/>
      <c r="F23" s="3090"/>
      <c r="G23" s="3090"/>
      <c r="H23" s="3091"/>
      <c r="I23" s="3092">
        <v>2825</v>
      </c>
      <c r="J23" s="3093"/>
      <c r="K23" s="1930"/>
    </row>
    <row r="24" spans="1:28">
      <c r="A24" s="3094" t="str">
        <f>"The true extract of the Inspection report of the SE, PR, "&amp;L1&amp;""&amp;'Inspection Report'!E6&amp;""</f>
        <v>The true extract of the Inspection report of the SE, PR, Vikarabad</v>
      </c>
      <c r="B24" s="3095"/>
      <c r="C24" s="3095"/>
      <c r="D24" s="3095"/>
      <c r="E24" s="3095"/>
      <c r="F24" s="3095"/>
      <c r="G24" s="3095"/>
      <c r="H24" s="3095"/>
      <c r="I24" s="3095"/>
      <c r="J24" s="3096"/>
      <c r="K24" s="1930"/>
    </row>
    <row r="25" spans="1:28">
      <c r="A25" s="3094" t="str">
        <f>'Inspection Report'!C16</f>
        <v>The total length of the Road is 2.07 Km. 0/000 to 2/070 km Km is BT Surface with many pot holes along with damaged WMM with existing GSB 125mm and WMM 75mm thick.</v>
      </c>
      <c r="B25" s="3095"/>
      <c r="C25" s="3095"/>
      <c r="D25" s="3095"/>
      <c r="E25" s="3095"/>
      <c r="F25" s="3095"/>
      <c r="G25" s="3095"/>
      <c r="H25" s="3095"/>
      <c r="I25" s="3095"/>
      <c r="J25" s="3096"/>
      <c r="K25" s="1930"/>
    </row>
    <row r="26" spans="1:28" ht="27.75" customHeight="1">
      <c r="A26" s="3094" t="str">
        <f>'Inspection Report'!C17</f>
        <v xml:space="preserve"> As the reaches  0/000 to 2/070 km Km is badly damaged along with WMM,  Scarify existing BT from0/000 to 2/070 km Km &amp; Provide  BT  with DGBM 50mm ,BC 30mm over  WMM 150mm as per traffic conditions.</v>
      </c>
      <c r="B26" s="3095"/>
      <c r="C26" s="3095"/>
      <c r="D26" s="3095"/>
      <c r="E26" s="3095"/>
      <c r="F26" s="3095"/>
      <c r="G26" s="3095"/>
      <c r="H26" s="3095"/>
      <c r="I26" s="3095"/>
      <c r="J26" s="3096"/>
      <c r="K26" s="1930"/>
    </row>
    <row r="27" spans="1:28">
      <c r="A27" s="3094" t="str">
        <f>'Inspection Report'!C18</f>
        <v xml:space="preserve">The entire road stretch is passing through  Fertile lands. Therefore Iron Cage Wheel tractors are regularly being passed on the road for cultivation purpose. Therefore, Provide BT  with DGBM 50mm ,BC 30mm over  WMM 150mm as a special case to over the above problem and to provide better riding surface. </v>
      </c>
      <c r="B27" s="3095"/>
      <c r="C27" s="3095"/>
      <c r="D27" s="3095"/>
      <c r="E27" s="3095"/>
      <c r="F27" s="3095"/>
      <c r="G27" s="3095"/>
      <c r="H27" s="3095"/>
      <c r="I27" s="3095"/>
      <c r="J27" s="3096"/>
      <c r="K27" s="1930"/>
    </row>
    <row r="28" spans="1:28" s="1525" customFormat="1" ht="14.4" hidden="1">
      <c r="A28" s="3097" t="e">
        <f>'Inspection Report'!#REF!</f>
        <v>#REF!</v>
      </c>
      <c r="B28" s="3098"/>
      <c r="C28" s="3098"/>
      <c r="D28" s="3098"/>
      <c r="E28" s="3098"/>
      <c r="F28" s="3098"/>
      <c r="G28" s="3098"/>
      <c r="H28" s="3098"/>
      <c r="I28" s="3098"/>
      <c r="J28" s="3099"/>
      <c r="K28" s="1547"/>
    </row>
    <row r="29" spans="1:28">
      <c r="A29" s="3094">
        <f>'Inspection Report'!C22</f>
        <v>0</v>
      </c>
      <c r="B29" s="3095"/>
      <c r="C29" s="3095"/>
      <c r="D29" s="3095"/>
      <c r="E29" s="3095"/>
      <c r="F29" s="3095"/>
      <c r="G29" s="3095"/>
      <c r="H29" s="3095"/>
      <c r="I29" s="3095"/>
      <c r="J29" s="3096"/>
      <c r="K29" s="1930"/>
    </row>
    <row r="30" spans="1:28">
      <c r="A30" s="3094">
        <f>'Inspection Report'!C23</f>
        <v>0</v>
      </c>
      <c r="B30" s="3095"/>
      <c r="C30" s="3095"/>
      <c r="D30" s="3095"/>
      <c r="E30" s="3095"/>
      <c r="F30" s="3095"/>
      <c r="G30" s="3095"/>
      <c r="H30" s="3095"/>
      <c r="I30" s="3095"/>
      <c r="J30" s="3096"/>
      <c r="K30" s="1930"/>
    </row>
    <row r="31" spans="1:28" s="1525" customFormat="1" ht="14.4" hidden="1">
      <c r="A31" s="3097">
        <f>'Inspection Report'!C24</f>
        <v>0</v>
      </c>
      <c r="B31" s="3098"/>
      <c r="C31" s="3098"/>
      <c r="D31" s="3098"/>
      <c r="E31" s="3098"/>
      <c r="F31" s="3098"/>
      <c r="G31" s="3098"/>
      <c r="H31" s="3098"/>
      <c r="I31" s="3098"/>
      <c r="J31" s="3099"/>
      <c r="K31" s="1547"/>
      <c r="L31" s="1524" t="s">
        <v>493</v>
      </c>
      <c r="M31" s="1524" t="s">
        <v>494</v>
      </c>
      <c r="N31" s="1524" t="s">
        <v>495</v>
      </c>
    </row>
    <row r="32" spans="1:28" s="1525" customFormat="1" ht="14.4" hidden="1">
      <c r="A32" s="3097">
        <f>'Inspection Report'!C25</f>
        <v>0</v>
      </c>
      <c r="B32" s="3098"/>
      <c r="C32" s="3098"/>
      <c r="D32" s="3098"/>
      <c r="E32" s="3098"/>
      <c r="F32" s="3098"/>
      <c r="G32" s="3098"/>
      <c r="H32" s="3098"/>
      <c r="I32" s="3098"/>
      <c r="J32" s="3099"/>
      <c r="K32" s="1547"/>
      <c r="L32" s="1548">
        <f>'TRAFF-Count-ESAL-Cal'!N11</f>
        <v>176</v>
      </c>
      <c r="M32" s="1524">
        <f>'ESAL-result'!K16</f>
        <v>9</v>
      </c>
      <c r="N32" s="1549">
        <f>'ESAL-result'!E29/100</f>
        <v>0.1</v>
      </c>
    </row>
    <row r="33" spans="1:28">
      <c r="A33" s="1961">
        <v>10</v>
      </c>
      <c r="B33" s="3100" t="s">
        <v>496</v>
      </c>
      <c r="C33" s="3100"/>
      <c r="D33" s="3100"/>
      <c r="E33" s="3100" t="s">
        <v>450</v>
      </c>
      <c r="F33" s="3100"/>
      <c r="G33" s="3100"/>
      <c r="H33" s="1949" t="s">
        <v>497</v>
      </c>
      <c r="I33" s="1962" t="s">
        <v>498</v>
      </c>
      <c r="J33" s="1962" t="s">
        <v>499</v>
      </c>
      <c r="K33" s="1930"/>
      <c r="L33" s="1963" t="s">
        <v>496</v>
      </c>
      <c r="M33" s="1964"/>
      <c r="N33" s="1964"/>
      <c r="O33" s="1964"/>
      <c r="P33" s="1964"/>
      <c r="Q33" s="1964"/>
      <c r="R33" s="1964"/>
      <c r="S33" s="1964"/>
      <c r="T33" s="1964"/>
      <c r="U33" s="1964"/>
      <c r="V33" s="1964"/>
      <c r="W33" s="1964"/>
      <c r="X33" s="1964"/>
      <c r="Y33" s="1964"/>
      <c r="Z33" s="1965"/>
      <c r="AA33" s="1965"/>
      <c r="AB33" s="1965"/>
    </row>
    <row r="34" spans="1:28" ht="32.25" customHeight="1">
      <c r="A34" s="1952">
        <v>1</v>
      </c>
      <c r="B34" s="3084" t="str">
        <f>SPR!C18</f>
        <v>Damaged BT</v>
      </c>
      <c r="C34" s="3084"/>
      <c r="D34" s="3084"/>
      <c r="E34" s="3101" t="str">
        <f>SPR!F18</f>
        <v>0/000 to 2/070 km</v>
      </c>
      <c r="F34" s="3102"/>
      <c r="G34" s="3103"/>
      <c r="H34" s="1966">
        <f>SPR!K18</f>
        <v>2700</v>
      </c>
      <c r="I34" s="1966" t="str">
        <f>B34</f>
        <v>Damaged BT</v>
      </c>
      <c r="J34" s="1952" t="s">
        <v>500</v>
      </c>
      <c r="K34" s="1930"/>
      <c r="L34" s="1944"/>
      <c r="M34" s="1967"/>
      <c r="N34" s="1968"/>
      <c r="O34" s="1969"/>
      <c r="P34" s="1967"/>
      <c r="Q34" s="1968"/>
      <c r="R34" s="1968"/>
      <c r="S34" s="1968"/>
      <c r="T34" s="1969"/>
      <c r="U34" s="1967"/>
      <c r="V34" s="1969"/>
      <c r="W34" s="1967"/>
      <c r="X34" s="1968"/>
      <c r="Y34" s="1968"/>
      <c r="Z34" s="1969"/>
      <c r="AA34" s="1965"/>
      <c r="AB34" s="1965"/>
    </row>
    <row r="35" spans="1:28">
      <c r="A35" s="1952">
        <v>2</v>
      </c>
      <c r="B35" s="3084" t="str">
        <f>SPR!C19</f>
        <v>Earthen</v>
      </c>
      <c r="C35" s="3084"/>
      <c r="D35" s="3084"/>
      <c r="E35" s="3101">
        <f>SPR!F19</f>
        <v>0</v>
      </c>
      <c r="F35" s="3102"/>
      <c r="G35" s="3103"/>
      <c r="H35" s="1966">
        <f>SPR!K19</f>
        <v>0</v>
      </c>
      <c r="I35" s="1966" t="str">
        <f>B35</f>
        <v>Earthen</v>
      </c>
      <c r="J35" s="1952" t="s">
        <v>500</v>
      </c>
      <c r="K35" s="1930"/>
      <c r="L35" s="1944">
        <f>45+10+40+55+8+20</f>
        <v>178</v>
      </c>
      <c r="M35" s="1967"/>
      <c r="N35" s="1968"/>
      <c r="O35" s="1969"/>
      <c r="P35" s="1967"/>
      <c r="Q35" s="1968"/>
      <c r="R35" s="1968"/>
      <c r="S35" s="1968"/>
      <c r="T35" s="1969"/>
      <c r="U35" s="1967"/>
      <c r="V35" s="1969"/>
      <c r="W35" s="1967"/>
      <c r="X35" s="1968"/>
      <c r="Y35" s="1968"/>
      <c r="Z35" s="1969"/>
      <c r="AA35" s="1965"/>
      <c r="AB35" s="1965"/>
    </row>
    <row r="36" spans="1:28">
      <c r="A36" s="1962"/>
      <c r="B36" s="3104"/>
      <c r="C36" s="3104"/>
      <c r="D36" s="3104"/>
      <c r="E36" s="3105"/>
      <c r="F36" s="3105"/>
      <c r="G36" s="3105"/>
      <c r="H36" s="1970">
        <f>SUBTOTAL(9,H34:H35)</f>
        <v>2700</v>
      </c>
      <c r="I36" s="1962"/>
      <c r="J36" s="1962"/>
      <c r="K36" s="1930"/>
      <c r="L36" s="1971"/>
      <c r="M36" s="3106" t="s">
        <v>60</v>
      </c>
      <c r="N36" s="3106"/>
      <c r="O36" s="3106"/>
      <c r="P36" s="3107" t="s">
        <v>502</v>
      </c>
      <c r="Q36" s="3107"/>
      <c r="R36" s="3107"/>
      <c r="S36" s="3107"/>
      <c r="T36" s="3107"/>
      <c r="U36" s="3107" t="e">
        <f>SUM(#REF!)</f>
        <v>#REF!</v>
      </c>
      <c r="V36" s="3107"/>
      <c r="W36" s="3108"/>
      <c r="X36" s="3109"/>
      <c r="Y36" s="3109"/>
      <c r="Z36" s="3110"/>
      <c r="AA36" s="1965"/>
      <c r="AB36" s="1965"/>
    </row>
    <row r="37" spans="1:28" s="649" customFormat="1" ht="13.2" hidden="1">
      <c r="A37" s="3111"/>
      <c r="B37" s="3111"/>
      <c r="C37" s="3111"/>
      <c r="D37" s="3111"/>
      <c r="E37" s="3111"/>
      <c r="F37" s="3111"/>
      <c r="G37" s="3111"/>
      <c r="H37" s="3111"/>
      <c r="I37" s="3111"/>
      <c r="J37" s="3111"/>
      <c r="K37" s="1550"/>
      <c r="L37" s="1551"/>
      <c r="M37" s="1552"/>
      <c r="N37" s="1552"/>
      <c r="O37" s="1552"/>
      <c r="P37" s="1553"/>
      <c r="Q37" s="1553"/>
      <c r="R37" s="1553"/>
      <c r="S37" s="1553"/>
      <c r="T37" s="1553"/>
      <c r="U37" s="1553"/>
      <c r="V37" s="1553"/>
      <c r="W37" s="1564"/>
      <c r="X37" s="1564"/>
      <c r="Y37" s="1564"/>
      <c r="Z37" s="1564"/>
      <c r="AA37" s="1568"/>
      <c r="AB37" s="1568"/>
    </row>
    <row r="38" spans="1:28">
      <c r="A38" s="1972">
        <v>11</v>
      </c>
      <c r="B38" s="1973" t="s">
        <v>503</v>
      </c>
      <c r="C38" s="1974"/>
      <c r="D38" s="1974"/>
      <c r="E38" s="1975" t="s">
        <v>504</v>
      </c>
      <c r="F38" s="1976">
        <v>1592344</v>
      </c>
      <c r="G38" s="3112" t="s">
        <v>505</v>
      </c>
      <c r="H38" s="3113"/>
      <c r="I38" s="3113"/>
      <c r="J38" s="3114"/>
      <c r="K38" s="1930"/>
      <c r="L38" s="1977"/>
      <c r="M38" s="1978"/>
      <c r="N38" s="1978"/>
      <c r="O38" s="1978"/>
      <c r="P38" s="1979"/>
      <c r="Q38" s="1979"/>
      <c r="R38" s="1979"/>
      <c r="S38" s="1979"/>
      <c r="T38" s="1979"/>
      <c r="U38" s="1979"/>
      <c r="V38" s="1979"/>
      <c r="W38" s="1980"/>
      <c r="X38" s="1980"/>
      <c r="Y38" s="1980"/>
      <c r="Z38" s="1980"/>
      <c r="AA38" s="1965"/>
      <c r="AB38" s="1965"/>
    </row>
    <row r="39" spans="1:28" s="649" customFormat="1" ht="13.2" hidden="1">
      <c r="A39" s="1528"/>
      <c r="B39" s="1529"/>
      <c r="C39" s="1529"/>
      <c r="D39" s="1529"/>
      <c r="E39" s="1529"/>
      <c r="F39" s="1529"/>
      <c r="G39" s="1529"/>
      <c r="H39" s="1529"/>
      <c r="I39" s="1529"/>
      <c r="J39" s="1554"/>
      <c r="K39" s="1550"/>
      <c r="L39" s="1551"/>
      <c r="M39" s="1552"/>
      <c r="N39" s="1552"/>
      <c r="O39" s="1552"/>
      <c r="P39" s="1553"/>
      <c r="Q39" s="1553"/>
      <c r="R39" s="1553"/>
      <c r="S39" s="1553"/>
      <c r="T39" s="1553"/>
      <c r="U39" s="1553"/>
      <c r="V39" s="1553"/>
      <c r="W39" s="1564"/>
      <c r="X39" s="1564"/>
      <c r="Y39" s="1564"/>
      <c r="Z39" s="1564"/>
      <c r="AA39" s="1568"/>
      <c r="AB39" s="1568"/>
    </row>
    <row r="40" spans="1:28" s="649" customFormat="1" ht="13.2" hidden="1">
      <c r="A40" s="1530"/>
      <c r="B40" s="1531"/>
      <c r="C40" s="1531"/>
      <c r="D40" s="1531"/>
      <c r="E40" s="1531"/>
      <c r="F40" s="1531"/>
      <c r="G40" s="1531"/>
      <c r="H40" s="1531"/>
      <c r="I40" s="1531"/>
      <c r="J40" s="1555"/>
      <c r="K40" s="1550"/>
      <c r="L40" s="1551"/>
      <c r="M40" s="1552"/>
      <c r="N40" s="1552"/>
      <c r="O40" s="1552"/>
      <c r="P40" s="1553"/>
      <c r="Q40" s="1553"/>
      <c r="R40" s="1553"/>
      <c r="S40" s="1553"/>
      <c r="T40" s="1553"/>
      <c r="U40" s="1553"/>
      <c r="V40" s="1553"/>
      <c r="W40" s="1564"/>
      <c r="X40" s="1564"/>
      <c r="Y40" s="1564"/>
      <c r="Z40" s="1564"/>
      <c r="AA40" s="1568"/>
      <c r="AB40" s="1568"/>
    </row>
    <row r="41" spans="1:28" s="649" customFormat="1" ht="13.2" hidden="1">
      <c r="A41" s="1530"/>
      <c r="B41" s="1531"/>
      <c r="C41" s="1531"/>
      <c r="D41" s="1531"/>
      <c r="E41" s="1531"/>
      <c r="F41" s="1531"/>
      <c r="G41" s="1531"/>
      <c r="H41" s="1531"/>
      <c r="I41" s="1531"/>
      <c r="J41" s="1555"/>
      <c r="K41" s="1550"/>
      <c r="L41" s="1551"/>
      <c r="M41" s="1552"/>
      <c r="N41" s="1552"/>
      <c r="O41" s="1552"/>
      <c r="P41" s="1553"/>
      <c r="Q41" s="1553"/>
      <c r="R41" s="1553"/>
      <c r="S41" s="1553"/>
      <c r="T41" s="1553"/>
      <c r="U41" s="1553"/>
      <c r="V41" s="1553"/>
      <c r="W41" s="1564"/>
      <c r="X41" s="1564"/>
      <c r="Y41" s="1564"/>
      <c r="Z41" s="1564"/>
      <c r="AA41" s="1568"/>
      <c r="AB41" s="1568"/>
    </row>
    <row r="42" spans="1:28" s="649" customFormat="1" ht="13.2" hidden="1">
      <c r="A42" s="1530"/>
      <c r="B42" s="1531"/>
      <c r="C42" s="1531"/>
      <c r="D42" s="1531"/>
      <c r="E42" s="1531"/>
      <c r="F42" s="1531"/>
      <c r="G42" s="1531"/>
      <c r="H42" s="1531"/>
      <c r="I42" s="1531"/>
      <c r="J42" s="1555"/>
      <c r="K42" s="1550"/>
      <c r="L42" s="1551"/>
      <c r="M42" s="1552"/>
      <c r="N42" s="1552"/>
      <c r="O42" s="1552"/>
      <c r="P42" s="1553"/>
      <c r="Q42" s="1553"/>
      <c r="R42" s="1553"/>
      <c r="S42" s="1553"/>
      <c r="T42" s="1553"/>
      <c r="U42" s="1553"/>
      <c r="V42" s="1553"/>
      <c r="W42" s="1564"/>
      <c r="X42" s="1564"/>
      <c r="Y42" s="1564"/>
      <c r="Z42" s="1564"/>
      <c r="AA42" s="1568"/>
      <c r="AB42" s="1568"/>
    </row>
    <row r="43" spans="1:28" s="649" customFormat="1" ht="13.2" hidden="1">
      <c r="A43" s="1530"/>
      <c r="B43" s="1531"/>
      <c r="C43" s="1531"/>
      <c r="D43" s="1531"/>
      <c r="E43" s="1531"/>
      <c r="F43" s="1531"/>
      <c r="G43" s="1531"/>
      <c r="H43" s="1531"/>
      <c r="I43" s="1531"/>
      <c r="J43" s="1555"/>
      <c r="K43" s="1550"/>
      <c r="L43" s="1551"/>
      <c r="M43" s="1552"/>
      <c r="N43" s="1552"/>
      <c r="O43" s="1552"/>
      <c r="P43" s="1553"/>
      <c r="Q43" s="1553"/>
      <c r="R43" s="1553"/>
      <c r="S43" s="1553"/>
      <c r="T43" s="1553"/>
      <c r="U43" s="1553"/>
      <c r="V43" s="1553"/>
      <c r="W43" s="1564"/>
      <c r="X43" s="1564"/>
      <c r="Y43" s="1564"/>
      <c r="Z43" s="1564"/>
      <c r="AA43" s="1568"/>
      <c r="AB43" s="1568"/>
    </row>
    <row r="44" spans="1:28" s="649" customFormat="1" ht="13.2" hidden="1">
      <c r="A44" s="1530"/>
      <c r="B44" s="1531"/>
      <c r="C44" s="1531"/>
      <c r="D44" s="1531"/>
      <c r="E44" s="1531"/>
      <c r="F44" s="1531"/>
      <c r="G44" s="1531"/>
      <c r="H44" s="1531"/>
      <c r="I44" s="1531"/>
      <c r="J44" s="1555"/>
      <c r="K44" s="1550"/>
      <c r="L44" s="1551"/>
      <c r="M44" s="1552"/>
      <c r="N44" s="1552"/>
      <c r="O44" s="1552"/>
      <c r="P44" s="1553"/>
      <c r="Q44" s="1553"/>
      <c r="R44" s="1553"/>
      <c r="S44" s="1553"/>
      <c r="T44" s="1553"/>
      <c r="U44" s="1553"/>
      <c r="V44" s="1553"/>
      <c r="W44" s="1564"/>
      <c r="X44" s="1564"/>
      <c r="Y44" s="1564"/>
      <c r="Z44" s="1564"/>
      <c r="AA44" s="1568"/>
      <c r="AB44" s="1568"/>
    </row>
    <row r="45" spans="1:28" s="649" customFormat="1" ht="13.2" hidden="1">
      <c r="A45" s="1530"/>
      <c r="B45" s="1531"/>
      <c r="C45" s="1531"/>
      <c r="D45" s="1531"/>
      <c r="E45" s="1531"/>
      <c r="F45" s="1531"/>
      <c r="G45" s="1531"/>
      <c r="H45" s="1531"/>
      <c r="I45" s="1531"/>
      <c r="J45" s="1555"/>
      <c r="K45" s="1550"/>
      <c r="L45" s="1551"/>
      <c r="M45" s="1552"/>
      <c r="N45" s="1552"/>
      <c r="O45" s="1552"/>
      <c r="P45" s="1553"/>
      <c r="Q45" s="1553"/>
      <c r="R45" s="1553"/>
      <c r="S45" s="1553"/>
      <c r="T45" s="1553"/>
      <c r="U45" s="1553"/>
      <c r="V45" s="1553"/>
      <c r="W45" s="1564"/>
      <c r="X45" s="1564"/>
      <c r="Y45" s="1564"/>
      <c r="Z45" s="1564"/>
      <c r="AA45" s="1568"/>
      <c r="AB45" s="1568"/>
    </row>
    <row r="46" spans="1:28" s="649" customFormat="1" ht="13.2" hidden="1">
      <c r="A46" s="1530"/>
      <c r="B46" s="1531"/>
      <c r="C46" s="1531"/>
      <c r="D46" s="1531"/>
      <c r="E46" s="1531"/>
      <c r="F46" s="1531"/>
      <c r="G46" s="1531"/>
      <c r="H46" s="1531"/>
      <c r="I46" s="1531"/>
      <c r="J46" s="1555"/>
      <c r="K46" s="1550"/>
      <c r="L46" s="1551"/>
      <c r="M46" s="1552"/>
      <c r="N46" s="1552"/>
      <c r="O46" s="1552"/>
      <c r="P46" s="1553"/>
      <c r="Q46" s="1553"/>
      <c r="R46" s="1553"/>
      <c r="S46" s="1553"/>
      <c r="T46" s="1553"/>
      <c r="U46" s="1553"/>
      <c r="V46" s="1553"/>
      <c r="W46" s="1564"/>
      <c r="X46" s="1564"/>
      <c r="Y46" s="1564"/>
      <c r="Z46" s="1564"/>
      <c r="AA46" s="1568"/>
      <c r="AB46" s="1568"/>
    </row>
    <row r="47" spans="1:28" s="649" customFormat="1" ht="13.2" hidden="1">
      <c r="A47" s="1530"/>
      <c r="B47" s="1531"/>
      <c r="C47" s="1531"/>
      <c r="D47" s="1531"/>
      <c r="E47" s="1531"/>
      <c r="F47" s="1531"/>
      <c r="G47" s="1531"/>
      <c r="H47" s="1531"/>
      <c r="I47" s="1531"/>
      <c r="J47" s="1555"/>
      <c r="K47" s="1550"/>
      <c r="L47" s="1551"/>
      <c r="M47" s="1552"/>
      <c r="N47" s="1552"/>
      <c r="O47" s="1552"/>
      <c r="P47" s="1553"/>
      <c r="Q47" s="1553"/>
      <c r="R47" s="1553"/>
      <c r="S47" s="1553"/>
      <c r="T47" s="1553"/>
      <c r="U47" s="1553"/>
      <c r="V47" s="1553"/>
      <c r="W47" s="1564"/>
      <c r="X47" s="1564"/>
      <c r="Y47" s="1564"/>
      <c r="Z47" s="1564"/>
      <c r="AA47" s="1568"/>
      <c r="AB47" s="1568"/>
    </row>
    <row r="48" spans="1:28" s="649" customFormat="1" ht="13.2" hidden="1">
      <c r="A48" s="1532"/>
      <c r="B48" s="1533"/>
      <c r="C48" s="1533"/>
      <c r="D48" s="1533"/>
      <c r="E48" s="1533"/>
      <c r="F48" s="1533"/>
      <c r="G48" s="1533"/>
      <c r="H48" s="1533"/>
      <c r="I48" s="1533"/>
      <c r="J48" s="1556"/>
      <c r="K48" s="1550"/>
      <c r="L48" s="1551"/>
      <c r="M48" s="1552"/>
      <c r="N48" s="1552"/>
      <c r="O48" s="1552"/>
      <c r="P48" s="1553"/>
      <c r="Q48" s="1553"/>
      <c r="R48" s="1553"/>
      <c r="S48" s="1553"/>
      <c r="T48" s="1553"/>
      <c r="U48" s="1553"/>
      <c r="V48" s="1553"/>
      <c r="W48" s="1564"/>
      <c r="X48" s="1564"/>
      <c r="Y48" s="1564"/>
      <c r="Z48" s="1564"/>
      <c r="AA48" s="1568"/>
      <c r="AB48" s="1568"/>
    </row>
    <row r="49" spans="1:30" s="1523" customFormat="1" ht="15.6" hidden="1">
      <c r="A49" s="1534"/>
      <c r="B49" s="3115" t="s">
        <v>506</v>
      </c>
      <c r="C49" s="3115"/>
      <c r="D49" s="3115"/>
      <c r="E49" s="3115"/>
      <c r="F49" s="3115" t="s">
        <v>507</v>
      </c>
      <c r="G49" s="3115"/>
      <c r="H49" s="3115"/>
      <c r="I49" s="3115"/>
      <c r="J49" s="3115"/>
      <c r="K49" s="1557"/>
      <c r="L49" s="1557"/>
      <c r="M49" s="1557"/>
      <c r="N49" s="1557"/>
      <c r="O49" s="1557"/>
      <c r="P49" s="1557"/>
      <c r="Q49" s="1557"/>
      <c r="R49" s="1557"/>
      <c r="S49" s="1557"/>
      <c r="T49" s="1565"/>
    </row>
    <row r="50" spans="1:30" s="1523" customFormat="1" ht="15.6" hidden="1">
      <c r="A50" s="1534"/>
      <c r="B50" s="3116" t="s">
        <v>508</v>
      </c>
      <c r="C50" s="3116"/>
      <c r="D50" s="1536" t="s">
        <v>509</v>
      </c>
      <c r="E50" s="1535" t="s">
        <v>510</v>
      </c>
      <c r="F50" s="1536"/>
      <c r="G50" s="1535"/>
      <c r="H50" s="3117" t="s">
        <v>511</v>
      </c>
      <c r="I50" s="3118"/>
      <c r="J50" s="1558" t="s">
        <v>452</v>
      </c>
      <c r="K50" s="1559"/>
      <c r="L50" s="1558"/>
      <c r="M50" s="1539"/>
      <c r="N50" s="1558"/>
      <c r="O50" s="3119"/>
      <c r="P50" s="3119"/>
      <c r="Q50" s="3119"/>
      <c r="R50" s="3119"/>
      <c r="S50" s="3119"/>
      <c r="T50" s="1566"/>
    </row>
    <row r="51" spans="1:30" s="1523" customFormat="1" ht="15.6" hidden="1">
      <c r="A51" s="1534"/>
      <c r="B51" s="3115" t="s">
        <v>512</v>
      </c>
      <c r="C51" s="3115"/>
      <c r="D51" s="3115"/>
      <c r="E51" s="3115"/>
      <c r="F51" s="3115" t="s">
        <v>513</v>
      </c>
      <c r="G51" s="3115"/>
      <c r="H51" s="1537"/>
      <c r="I51" s="1537"/>
      <c r="J51" s="1537"/>
      <c r="K51" s="1560"/>
      <c r="L51" s="1560"/>
      <c r="M51" s="1560"/>
      <c r="N51" s="1561"/>
      <c r="O51" s="3120"/>
      <c r="P51" s="3120"/>
      <c r="Q51" s="3120"/>
      <c r="R51" s="3120"/>
      <c r="S51" s="3120"/>
      <c r="T51" s="3131"/>
    </row>
    <row r="52" spans="1:30" s="1523" customFormat="1" ht="31.2" hidden="1">
      <c r="A52" s="1534"/>
      <c r="B52" s="1538" t="s">
        <v>499</v>
      </c>
      <c r="C52" s="3116" t="s">
        <v>514</v>
      </c>
      <c r="D52" s="3116"/>
      <c r="E52" s="1536" t="s">
        <v>515</v>
      </c>
      <c r="F52" s="1539" t="s">
        <v>516</v>
      </c>
      <c r="G52" s="1536" t="s">
        <v>517</v>
      </c>
      <c r="H52" s="1536" t="s">
        <v>514</v>
      </c>
      <c r="I52" s="1536" t="s">
        <v>518</v>
      </c>
      <c r="J52" s="1536" t="s">
        <v>519</v>
      </c>
      <c r="K52" s="1558"/>
      <c r="L52" s="1558"/>
      <c r="M52" s="1539"/>
      <c r="N52" s="1558"/>
      <c r="O52" s="1539"/>
      <c r="P52" s="1559"/>
      <c r="Q52" s="1558"/>
      <c r="R52" s="3116"/>
      <c r="S52" s="3116"/>
      <c r="T52" s="3131"/>
    </row>
    <row r="53" spans="1:30" s="1523" customFormat="1" ht="15.6" hidden="1">
      <c r="A53" s="1534"/>
      <c r="B53" s="1538" t="s">
        <v>499</v>
      </c>
      <c r="C53" s="3116" t="s">
        <v>520</v>
      </c>
      <c r="D53" s="3116"/>
      <c r="E53" s="1536" t="s">
        <v>521</v>
      </c>
      <c r="F53" s="1539" t="s">
        <v>520</v>
      </c>
      <c r="G53" s="1536" t="s">
        <v>522</v>
      </c>
      <c r="H53" s="1539" t="s">
        <v>520</v>
      </c>
      <c r="I53" s="1536" t="s">
        <v>523</v>
      </c>
      <c r="J53" s="1536"/>
      <c r="K53" s="1558"/>
      <c r="L53" s="1558"/>
      <c r="M53" s="1539"/>
      <c r="N53" s="1558"/>
      <c r="O53" s="1539"/>
      <c r="P53" s="1559"/>
      <c r="Q53" s="1558"/>
      <c r="R53" s="3116"/>
      <c r="S53" s="3116"/>
      <c r="T53" s="3131"/>
    </row>
    <row r="54" spans="1:30" s="1523" customFormat="1" ht="31.2" hidden="1">
      <c r="A54" s="1534"/>
      <c r="B54" s="1538" t="s">
        <v>499</v>
      </c>
      <c r="C54" s="3116" t="s">
        <v>524</v>
      </c>
      <c r="D54" s="3116"/>
      <c r="E54" s="1536" t="s">
        <v>525</v>
      </c>
      <c r="F54" s="1539" t="s">
        <v>524</v>
      </c>
      <c r="G54" s="1536" t="s">
        <v>526</v>
      </c>
      <c r="H54" s="1539" t="s">
        <v>524</v>
      </c>
      <c r="I54" s="1536" t="s">
        <v>527</v>
      </c>
      <c r="J54" s="1536"/>
      <c r="K54" s="1558"/>
      <c r="L54" s="1558"/>
      <c r="M54" s="1539"/>
      <c r="N54" s="1558"/>
      <c r="O54" s="1539"/>
      <c r="P54" s="1559"/>
      <c r="Q54" s="1558"/>
      <c r="R54" s="3116"/>
      <c r="S54" s="3116"/>
      <c r="T54" s="3131"/>
    </row>
    <row r="55" spans="1:30" s="1523" customFormat="1" ht="31.2" hidden="1">
      <c r="A55" s="1534"/>
      <c r="B55" s="1538" t="s">
        <v>528</v>
      </c>
      <c r="C55" s="3116" t="s">
        <v>529</v>
      </c>
      <c r="D55" s="3116"/>
      <c r="E55" s="1536" t="s">
        <v>530</v>
      </c>
      <c r="F55" s="1539" t="s">
        <v>529</v>
      </c>
      <c r="G55" s="1536" t="s">
        <v>523</v>
      </c>
      <c r="H55" s="1539" t="s">
        <v>529</v>
      </c>
      <c r="I55" s="1536" t="s">
        <v>530</v>
      </c>
      <c r="J55" s="1536"/>
      <c r="K55" s="1558"/>
      <c r="L55" s="1558"/>
      <c r="M55" s="1539"/>
      <c r="N55" s="1558"/>
      <c r="O55" s="1539"/>
      <c r="P55" s="1559"/>
      <c r="Q55" s="1558"/>
      <c r="R55" s="3116"/>
      <c r="S55" s="3116"/>
      <c r="T55" s="3131"/>
    </row>
    <row r="56" spans="1:30" s="1523" customFormat="1" ht="15.6" hidden="1">
      <c r="A56" s="1534"/>
      <c r="B56" s="1538" t="s">
        <v>528</v>
      </c>
      <c r="C56" s="3116" t="s">
        <v>531</v>
      </c>
      <c r="D56" s="3116"/>
      <c r="E56" s="1536" t="s">
        <v>523</v>
      </c>
      <c r="F56" s="1539" t="s">
        <v>531</v>
      </c>
      <c r="G56" s="1536" t="s">
        <v>523</v>
      </c>
      <c r="H56" s="1539" t="s">
        <v>531</v>
      </c>
      <c r="I56" s="1536" t="s">
        <v>523</v>
      </c>
      <c r="J56" s="1536"/>
      <c r="K56" s="1558">
        <f>225+100+50+150</f>
        <v>525</v>
      </c>
      <c r="L56" s="1558"/>
      <c r="M56" s="1539"/>
      <c r="N56" s="1558"/>
      <c r="O56" s="1539"/>
      <c r="P56" s="1559"/>
      <c r="Q56" s="1558"/>
      <c r="R56" s="3116"/>
      <c r="S56" s="3116"/>
      <c r="T56" s="3131"/>
    </row>
    <row r="57" spans="1:30" s="1523" customFormat="1" ht="26.4" hidden="1">
      <c r="A57" s="1534"/>
      <c r="B57" s="3115" t="s">
        <v>532</v>
      </c>
      <c r="C57" s="3115"/>
      <c r="D57" s="3115"/>
      <c r="E57" s="1537" t="s">
        <v>533</v>
      </c>
      <c r="F57" s="1540"/>
      <c r="G57" s="1537" t="s">
        <v>533</v>
      </c>
      <c r="H57" s="1541" t="s">
        <v>534</v>
      </c>
      <c r="I57" s="1537" t="s">
        <v>535</v>
      </c>
      <c r="J57" s="1537"/>
      <c r="K57" s="1561"/>
      <c r="L57" s="1561"/>
      <c r="M57" s="1539"/>
      <c r="N57" s="1558"/>
      <c r="O57" s="1562"/>
      <c r="P57" s="1563"/>
      <c r="Q57" s="1567"/>
      <c r="R57" s="3115"/>
      <c r="S57" s="3115"/>
      <c r="T57" s="3131"/>
    </row>
    <row r="58" spans="1:30" ht="26.25" customHeight="1">
      <c r="A58" s="1981">
        <v>12</v>
      </c>
      <c r="B58" s="3121" t="s">
        <v>536</v>
      </c>
      <c r="C58" s="3122"/>
      <c r="D58" s="3122"/>
      <c r="E58" s="3122"/>
      <c r="F58" s="3122"/>
      <c r="G58" s="3122"/>
      <c r="H58" s="3122"/>
      <c r="I58" s="3122"/>
      <c r="J58" s="3123"/>
      <c r="K58" s="1982" t="s">
        <v>537</v>
      </c>
      <c r="L58" s="1983" t="s">
        <v>538</v>
      </c>
      <c r="M58" s="1983"/>
      <c r="N58" s="1983"/>
      <c r="O58" s="1984" t="s">
        <v>539</v>
      </c>
      <c r="P58" s="1985" t="s">
        <v>540</v>
      </c>
      <c r="Q58" s="1986" t="s">
        <v>541</v>
      </c>
      <c r="R58" s="1986"/>
      <c r="S58" s="1986"/>
      <c r="T58" s="1986"/>
      <c r="U58" s="1986"/>
      <c r="V58" s="1986"/>
      <c r="W58" s="1986"/>
      <c r="X58" s="1986"/>
      <c r="Y58" s="1986"/>
      <c r="Z58" s="1986"/>
      <c r="AA58" s="1986"/>
      <c r="AB58" s="1985" t="s">
        <v>542</v>
      </c>
      <c r="AC58" s="1986" t="s">
        <v>543</v>
      </c>
      <c r="AD58" s="1986"/>
    </row>
    <row r="59" spans="1:30" ht="43.5" customHeight="1">
      <c r="A59" s="3105"/>
      <c r="B59" s="3132" t="s">
        <v>544</v>
      </c>
      <c r="C59" s="3132"/>
      <c r="D59" s="3132" t="s">
        <v>495</v>
      </c>
      <c r="E59" s="3132" t="s">
        <v>545</v>
      </c>
      <c r="F59" s="1987" t="s">
        <v>546</v>
      </c>
      <c r="G59" s="3124" t="s">
        <v>547</v>
      </c>
      <c r="H59" s="3125"/>
      <c r="I59" s="3125"/>
      <c r="J59" s="3126"/>
      <c r="K59" s="1982"/>
      <c r="L59" s="1983"/>
      <c r="M59" s="1983"/>
      <c r="N59" s="1983"/>
      <c r="O59" s="1984"/>
      <c r="P59" s="1985"/>
      <c r="Q59" s="1986" t="s">
        <v>409</v>
      </c>
      <c r="R59" s="1986"/>
      <c r="S59" s="1986" t="s">
        <v>548</v>
      </c>
      <c r="T59" s="1986"/>
      <c r="U59" s="1986" t="s">
        <v>549</v>
      </c>
      <c r="V59" s="1986"/>
      <c r="W59" s="1986" t="s">
        <v>520</v>
      </c>
      <c r="X59" s="1986"/>
      <c r="Y59" s="1986" t="s">
        <v>532</v>
      </c>
      <c r="Z59" s="1986"/>
      <c r="AA59" s="1986"/>
      <c r="AB59" s="1985"/>
      <c r="AC59" s="1986"/>
      <c r="AD59" s="1986"/>
    </row>
    <row r="60" spans="1:30" ht="24" customHeight="1">
      <c r="A60" s="3105"/>
      <c r="B60" s="3132"/>
      <c r="C60" s="3132"/>
      <c r="D60" s="3132"/>
      <c r="E60" s="3132"/>
      <c r="F60" s="1966" t="s">
        <v>409</v>
      </c>
      <c r="G60" s="1966" t="s">
        <v>550</v>
      </c>
      <c r="H60" s="1966" t="s">
        <v>520</v>
      </c>
      <c r="I60" s="3101" t="s">
        <v>551</v>
      </c>
      <c r="J60" s="3103"/>
      <c r="K60" s="1982"/>
      <c r="L60" s="1983"/>
      <c r="M60" s="1983"/>
      <c r="N60" s="1983"/>
      <c r="O60" s="1984"/>
      <c r="P60" s="1985"/>
      <c r="Q60" s="1985" t="s">
        <v>528</v>
      </c>
      <c r="R60" s="1985" t="s">
        <v>499</v>
      </c>
      <c r="S60" s="1985" t="s">
        <v>528</v>
      </c>
      <c r="T60" s="1985" t="s">
        <v>499</v>
      </c>
      <c r="U60" s="1985" t="s">
        <v>528</v>
      </c>
      <c r="V60" s="1985" t="s">
        <v>499</v>
      </c>
      <c r="W60" s="1985" t="s">
        <v>528</v>
      </c>
      <c r="X60" s="1985" t="s">
        <v>499</v>
      </c>
      <c r="Y60" s="1985" t="s">
        <v>528</v>
      </c>
      <c r="Z60" s="1985" t="s">
        <v>499</v>
      </c>
      <c r="AA60" s="1985" t="s">
        <v>60</v>
      </c>
      <c r="AB60" s="1985"/>
      <c r="AC60" s="1985" t="s">
        <v>528</v>
      </c>
      <c r="AD60" s="1985" t="s">
        <v>499</v>
      </c>
    </row>
    <row r="61" spans="1:30" s="1990" customFormat="1">
      <c r="A61" s="1988">
        <v>13</v>
      </c>
      <c r="B61" s="3127" t="s">
        <v>552</v>
      </c>
      <c r="C61" s="3127"/>
      <c r="D61" s="3127"/>
      <c r="E61" s="3127"/>
      <c r="F61" s="3127"/>
      <c r="G61" s="3127"/>
      <c r="H61" s="3127"/>
      <c r="I61" s="3127"/>
      <c r="J61" s="3128"/>
      <c r="K61" s="1989"/>
      <c r="L61" s="1960"/>
      <c r="M61" s="3129"/>
      <c r="N61" s="3129"/>
      <c r="O61" s="3129"/>
      <c r="P61" s="3130"/>
      <c r="Q61" s="3130"/>
      <c r="R61" s="3130"/>
      <c r="S61" s="3130"/>
      <c r="T61" s="3130"/>
      <c r="U61" s="3130"/>
      <c r="V61" s="3130"/>
      <c r="W61" s="3133"/>
      <c r="X61" s="3133"/>
      <c r="Y61" s="3133"/>
      <c r="Z61" s="3133"/>
    </row>
    <row r="62" spans="1:30" ht="29.25" customHeight="1">
      <c r="A62" s="3137" t="s">
        <v>553</v>
      </c>
      <c r="B62" s="3134" t="s">
        <v>554</v>
      </c>
      <c r="C62" s="3135"/>
      <c r="D62" s="3135"/>
      <c r="E62" s="3136"/>
      <c r="F62" s="3137" t="s">
        <v>555</v>
      </c>
      <c r="G62" s="3137"/>
      <c r="H62" s="3137"/>
      <c r="I62" s="3134" t="s">
        <v>452</v>
      </c>
      <c r="J62" s="3136"/>
    </row>
    <row r="63" spans="1:30" ht="29.25" customHeight="1">
      <c r="A63" s="3137"/>
      <c r="B63" s="3138"/>
      <c r="C63" s="3139"/>
      <c r="D63" s="3139"/>
      <c r="E63" s="3140"/>
      <c r="F63" s="1991" t="s">
        <v>3</v>
      </c>
      <c r="G63" s="1992" t="s">
        <v>5</v>
      </c>
      <c r="H63" s="1991" t="s">
        <v>556</v>
      </c>
      <c r="I63" s="3134"/>
      <c r="J63" s="3136"/>
      <c r="K63" s="1993">
        <v>1</v>
      </c>
      <c r="L63" s="1993">
        <v>0</v>
      </c>
      <c r="M63" s="1994">
        <v>5.6</v>
      </c>
    </row>
    <row r="64" spans="1:30">
      <c r="A64" s="1995">
        <f>K64</f>
        <v>1</v>
      </c>
      <c r="B64" s="3141" t="s">
        <v>557</v>
      </c>
      <c r="C64" s="3142"/>
      <c r="D64" s="3142"/>
      <c r="E64" s="3143"/>
      <c r="F64" s="1996">
        <f>'Schedule-A'!B12</f>
        <v>4920</v>
      </c>
      <c r="G64" s="1996">
        <f>'Schedule-A'!G12</f>
        <v>3.93</v>
      </c>
      <c r="H64" s="1997">
        <f>ROUND(F64*G64,0)</f>
        <v>19336</v>
      </c>
      <c r="I64" s="3134"/>
      <c r="J64" s="3136" t="str">
        <f>IF(H64&lt;E64,E64-H64,"")</f>
        <v/>
      </c>
      <c r="K64" s="1998">
        <f t="shared" ref="K64:K76" si="0">IF(L64=L63,0,L64)</f>
        <v>1</v>
      </c>
      <c r="L64" s="1998">
        <f>IF(M64&gt;0,(L63+1),L63)</f>
        <v>1</v>
      </c>
      <c r="M64" s="1994">
        <f>F64</f>
        <v>4920</v>
      </c>
    </row>
    <row r="65" spans="1:13" s="649" customFormat="1" ht="14.4" hidden="1">
      <c r="A65" s="1569">
        <f t="shared" ref="A65:A81" si="1">K65</f>
        <v>0</v>
      </c>
      <c r="B65" s="3144" t="s">
        <v>558</v>
      </c>
      <c r="C65" s="3145"/>
      <c r="D65" s="3145"/>
      <c r="E65" s="3146"/>
      <c r="F65" s="1570">
        <f>'Schedule-A'!B14</f>
        <v>0</v>
      </c>
      <c r="G65" s="1570">
        <f>'Schedule-A'!G14</f>
        <v>127.41</v>
      </c>
      <c r="H65" s="1571">
        <f t="shared" ref="H65:H77" si="2">ROUND(F65*G65,0)</f>
        <v>0</v>
      </c>
      <c r="I65" s="3147"/>
      <c r="J65" s="3148"/>
      <c r="K65" s="1461">
        <f t="shared" si="0"/>
        <v>0</v>
      </c>
      <c r="L65" s="1461">
        <f t="shared" ref="L65:L76" si="3">IF(M65&gt;0,(L64+1),L64)</f>
        <v>1</v>
      </c>
      <c r="M65" s="1582">
        <f t="shared" ref="M65:M76" si="4">F65</f>
        <v>0</v>
      </c>
    </row>
    <row r="66" spans="1:13">
      <c r="A66" s="1995">
        <f t="shared" si="1"/>
        <v>0</v>
      </c>
      <c r="B66" s="3141" t="s">
        <v>559</v>
      </c>
      <c r="C66" s="3142"/>
      <c r="D66" s="3142"/>
      <c r="E66" s="3143"/>
      <c r="F66" s="1996">
        <f>'Schedule-A'!B15</f>
        <v>0</v>
      </c>
      <c r="G66" s="1996">
        <f>'Schedule-A'!G15</f>
        <v>0</v>
      </c>
      <c r="H66" s="1997">
        <f t="shared" si="2"/>
        <v>0</v>
      </c>
      <c r="I66" s="3134"/>
      <c r="J66" s="3136" t="str">
        <f t="shared" ref="J66:J67" si="5">IF(H66&lt;E66,E66-H66,"")</f>
        <v/>
      </c>
      <c r="K66" s="1998">
        <f t="shared" si="0"/>
        <v>0</v>
      </c>
      <c r="L66" s="1998">
        <f t="shared" si="3"/>
        <v>1</v>
      </c>
      <c r="M66" s="1994">
        <f t="shared" si="4"/>
        <v>0</v>
      </c>
    </row>
    <row r="67" spans="1:13">
      <c r="A67" s="1995">
        <f t="shared" si="1"/>
        <v>2</v>
      </c>
      <c r="B67" s="3141" t="s">
        <v>560</v>
      </c>
      <c r="C67" s="3142"/>
      <c r="D67" s="3142"/>
      <c r="E67" s="3143"/>
      <c r="F67" s="1996">
        <f>'Schedule-A'!B17</f>
        <v>1164.3800000000001</v>
      </c>
      <c r="G67" s="1996">
        <f>'Schedule-A'!G17</f>
        <v>288.3</v>
      </c>
      <c r="H67" s="1997">
        <f t="shared" si="2"/>
        <v>335691</v>
      </c>
      <c r="I67" s="3134"/>
      <c r="J67" s="3136" t="str">
        <f t="shared" si="5"/>
        <v/>
      </c>
      <c r="K67" s="1998">
        <f t="shared" si="0"/>
        <v>2</v>
      </c>
      <c r="L67" s="1998">
        <f t="shared" si="3"/>
        <v>2</v>
      </c>
      <c r="M67" s="1994">
        <f t="shared" si="4"/>
        <v>1164.3800000000001</v>
      </c>
    </row>
    <row r="68" spans="1:13" s="649" customFormat="1" ht="14.4" hidden="1">
      <c r="A68" s="1569">
        <f t="shared" si="1"/>
        <v>0</v>
      </c>
      <c r="B68" s="3144" t="s">
        <v>561</v>
      </c>
      <c r="C68" s="3145"/>
      <c r="D68" s="3145"/>
      <c r="E68" s="3146"/>
      <c r="F68" s="1570">
        <f>'Schedule-A'!B13</f>
        <v>0</v>
      </c>
      <c r="G68" s="1570">
        <f>'Schedule-A'!G16</f>
        <v>0</v>
      </c>
      <c r="H68" s="1571">
        <f t="shared" si="2"/>
        <v>0</v>
      </c>
      <c r="I68" s="3147"/>
      <c r="J68" s="3148"/>
      <c r="K68" s="1461">
        <f t="shared" si="0"/>
        <v>0</v>
      </c>
      <c r="L68" s="1461">
        <f t="shared" si="3"/>
        <v>2</v>
      </c>
      <c r="M68" s="1582">
        <f t="shared" si="4"/>
        <v>0</v>
      </c>
    </row>
    <row r="69" spans="1:13">
      <c r="A69" s="1995">
        <f t="shared" si="1"/>
        <v>0</v>
      </c>
      <c r="B69" s="3141" t="s">
        <v>562</v>
      </c>
      <c r="C69" s="3142"/>
      <c r="D69" s="3142"/>
      <c r="E69" s="3143"/>
      <c r="F69" s="1996">
        <f>'Schedule-A'!B18</f>
        <v>0</v>
      </c>
      <c r="G69" s="1996">
        <f>'Schedule-A'!G18</f>
        <v>0</v>
      </c>
      <c r="H69" s="1997">
        <f t="shared" si="2"/>
        <v>0</v>
      </c>
      <c r="I69" s="3134"/>
      <c r="J69" s="3136" t="str">
        <f>IF(H69&lt;E69,E69-H69,"")</f>
        <v/>
      </c>
      <c r="K69" s="1998">
        <f t="shared" si="0"/>
        <v>0</v>
      </c>
      <c r="L69" s="1998">
        <f t="shared" si="3"/>
        <v>2</v>
      </c>
      <c r="M69" s="1994">
        <f t="shared" si="4"/>
        <v>0</v>
      </c>
    </row>
    <row r="70" spans="1:13" s="649" customFormat="1" ht="14.4" hidden="1">
      <c r="A70" s="1569">
        <f t="shared" si="1"/>
        <v>0</v>
      </c>
      <c r="B70" s="3144" t="s">
        <v>563</v>
      </c>
      <c r="C70" s="3145"/>
      <c r="D70" s="3145"/>
      <c r="E70" s="3146"/>
      <c r="F70" s="1570">
        <f>'Schedule-A'!B19</f>
        <v>0</v>
      </c>
      <c r="G70" s="1570">
        <f>'Schedule-A'!G19</f>
        <v>0</v>
      </c>
      <c r="H70" s="1571">
        <f t="shared" si="2"/>
        <v>0</v>
      </c>
      <c r="I70" s="3147"/>
      <c r="J70" s="3148"/>
      <c r="K70" s="1461">
        <f t="shared" si="0"/>
        <v>0</v>
      </c>
      <c r="L70" s="1461">
        <f t="shared" si="3"/>
        <v>2</v>
      </c>
      <c r="M70" s="1582">
        <f t="shared" si="4"/>
        <v>0</v>
      </c>
    </row>
    <row r="71" spans="1:13" s="649" customFormat="1" ht="14.4" hidden="1">
      <c r="A71" s="1569">
        <f t="shared" si="1"/>
        <v>0</v>
      </c>
      <c r="B71" s="3144" t="s">
        <v>564</v>
      </c>
      <c r="C71" s="3145"/>
      <c r="D71" s="3145"/>
      <c r="E71" s="3146"/>
      <c r="F71" s="1570">
        <f>'Schedule-A'!B20</f>
        <v>0</v>
      </c>
      <c r="G71" s="1570">
        <f>'Schedule-A'!G20</f>
        <v>0</v>
      </c>
      <c r="H71" s="1571">
        <f t="shared" si="2"/>
        <v>0</v>
      </c>
      <c r="I71" s="3147"/>
      <c r="J71" s="3148"/>
      <c r="K71" s="1461">
        <f t="shared" si="0"/>
        <v>0</v>
      </c>
      <c r="L71" s="1461">
        <f t="shared" si="3"/>
        <v>2</v>
      </c>
      <c r="M71" s="1582">
        <f t="shared" si="4"/>
        <v>0</v>
      </c>
    </row>
    <row r="72" spans="1:13">
      <c r="A72" s="1995">
        <f t="shared" si="1"/>
        <v>3</v>
      </c>
      <c r="B72" s="3141" t="s">
        <v>565</v>
      </c>
      <c r="C72" s="3142"/>
      <c r="D72" s="3142"/>
      <c r="E72" s="3143"/>
      <c r="F72" s="1996">
        <f>'Schedule-A'!B21</f>
        <v>615</v>
      </c>
      <c r="G72" s="1996">
        <f>'Schedule-A'!G21</f>
        <v>3101.04</v>
      </c>
      <c r="H72" s="1997">
        <f t="shared" si="2"/>
        <v>1907140</v>
      </c>
      <c r="I72" s="3134"/>
      <c r="J72" s="3136" t="str">
        <f t="shared" ref="J72:J74" si="6">IF(H72&lt;E72,E72-H72,"")</f>
        <v/>
      </c>
      <c r="K72" s="1998">
        <f t="shared" si="0"/>
        <v>3</v>
      </c>
      <c r="L72" s="1998">
        <f t="shared" si="3"/>
        <v>3</v>
      </c>
      <c r="M72" s="1994">
        <f t="shared" si="4"/>
        <v>615</v>
      </c>
    </row>
    <row r="73" spans="1:13">
      <c r="A73" s="1995">
        <f t="shared" si="1"/>
        <v>4</v>
      </c>
      <c r="B73" s="3141" t="s">
        <v>566</v>
      </c>
      <c r="C73" s="3142"/>
      <c r="D73" s="3142"/>
      <c r="E73" s="3143"/>
      <c r="F73" s="1996">
        <f>'Schedule-A'!B22</f>
        <v>6150</v>
      </c>
      <c r="G73" s="1996">
        <f>'Schedule-A'!G22</f>
        <v>57.03</v>
      </c>
      <c r="H73" s="1997">
        <f t="shared" si="2"/>
        <v>350735</v>
      </c>
      <c r="I73" s="3134"/>
      <c r="J73" s="3136" t="str">
        <f t="shared" si="6"/>
        <v/>
      </c>
      <c r="K73" s="1998">
        <f t="shared" si="0"/>
        <v>4</v>
      </c>
      <c r="L73" s="1998">
        <f t="shared" si="3"/>
        <v>4</v>
      </c>
      <c r="M73" s="1994">
        <f t="shared" si="4"/>
        <v>6150</v>
      </c>
    </row>
    <row r="74" spans="1:13">
      <c r="A74" s="1995">
        <f t="shared" si="1"/>
        <v>5</v>
      </c>
      <c r="B74" s="3141" t="s">
        <v>567</v>
      </c>
      <c r="C74" s="3142"/>
      <c r="D74" s="3142"/>
      <c r="E74" s="3143"/>
      <c r="F74" s="1996">
        <f>'Schedule-A'!B23</f>
        <v>7762.5</v>
      </c>
      <c r="G74" s="1996">
        <f>'Schedule-A'!G23</f>
        <v>16.649999999999999</v>
      </c>
      <c r="H74" s="1997">
        <f t="shared" si="2"/>
        <v>129246</v>
      </c>
      <c r="I74" s="3134"/>
      <c r="J74" s="3136" t="str">
        <f t="shared" si="6"/>
        <v/>
      </c>
      <c r="K74" s="1998">
        <f t="shared" si="0"/>
        <v>5</v>
      </c>
      <c r="L74" s="1998">
        <f t="shared" si="3"/>
        <v>5</v>
      </c>
      <c r="M74" s="1994">
        <f t="shared" si="4"/>
        <v>7762.5</v>
      </c>
    </row>
    <row r="75" spans="1:13" s="649" customFormat="1" ht="14.4" hidden="1">
      <c r="A75" s="1569">
        <f t="shared" si="1"/>
        <v>0</v>
      </c>
      <c r="B75" s="3144" t="s">
        <v>568</v>
      </c>
      <c r="C75" s="3145"/>
      <c r="D75" s="3145"/>
      <c r="E75" s="3146"/>
      <c r="F75" s="1570">
        <f>'Schedule-A'!B24</f>
        <v>0</v>
      </c>
      <c r="G75" s="1570">
        <f>'Schedule-A'!G24</f>
        <v>156.63999999999999</v>
      </c>
      <c r="H75" s="1571">
        <f t="shared" si="2"/>
        <v>0</v>
      </c>
      <c r="I75" s="3147"/>
      <c r="J75" s="3148"/>
      <c r="K75" s="1461">
        <f t="shared" si="0"/>
        <v>0</v>
      </c>
      <c r="L75" s="1461">
        <f t="shared" si="3"/>
        <v>5</v>
      </c>
      <c r="M75" s="1582">
        <f t="shared" si="4"/>
        <v>0</v>
      </c>
    </row>
    <row r="76" spans="1:13" s="649" customFormat="1" ht="14.4" hidden="1">
      <c r="A76" s="1569">
        <f t="shared" si="1"/>
        <v>0</v>
      </c>
      <c r="B76" s="3144" t="s">
        <v>569</v>
      </c>
      <c r="C76" s="3145"/>
      <c r="D76" s="3145"/>
      <c r="E76" s="3146"/>
      <c r="F76" s="1570">
        <f>'Schedule-A'!B25</f>
        <v>0</v>
      </c>
      <c r="G76" s="1570">
        <f>'Schedule-A'!G25</f>
        <v>62.3</v>
      </c>
      <c r="H76" s="1571">
        <f t="shared" si="2"/>
        <v>0</v>
      </c>
      <c r="I76" s="3147"/>
      <c r="J76" s="3148"/>
      <c r="K76" s="1461">
        <f t="shared" si="0"/>
        <v>0</v>
      </c>
      <c r="L76" s="1461">
        <f t="shared" si="3"/>
        <v>5</v>
      </c>
      <c r="M76" s="1582">
        <f t="shared" si="4"/>
        <v>0</v>
      </c>
    </row>
    <row r="77" spans="1:13" s="2004" customFormat="1">
      <c r="A77" s="1999">
        <f t="shared" si="1"/>
        <v>0</v>
      </c>
      <c r="B77" s="3141" t="s">
        <v>570</v>
      </c>
      <c r="C77" s="3142"/>
      <c r="D77" s="3142"/>
      <c r="E77" s="3143"/>
      <c r="F77" s="2000">
        <f>'Schedule-A'!B26</f>
        <v>0</v>
      </c>
      <c r="G77" s="2000">
        <f>'Schedule-A'!G26</f>
        <v>10406.879999999999</v>
      </c>
      <c r="H77" s="2001">
        <f t="shared" si="2"/>
        <v>0</v>
      </c>
      <c r="I77" s="3134"/>
      <c r="J77" s="3136"/>
      <c r="K77" s="2002">
        <f t="shared" ref="K77:K81" si="7">IF(L77=L76,0,L77)</f>
        <v>0</v>
      </c>
      <c r="L77" s="2002">
        <f t="shared" ref="L77:L81" si="8">IF(M77&gt;0,(L76+1),L76)</f>
        <v>5</v>
      </c>
      <c r="M77" s="2003">
        <f t="shared" ref="M77:M82" si="9">F77</f>
        <v>0</v>
      </c>
    </row>
    <row r="78" spans="1:13" s="2004" customFormat="1">
      <c r="A78" s="1999">
        <f t="shared" si="1"/>
        <v>0</v>
      </c>
      <c r="B78" s="3141" t="s">
        <v>571</v>
      </c>
      <c r="C78" s="3142"/>
      <c r="D78" s="3142"/>
      <c r="E78" s="3143"/>
      <c r="F78" s="2000">
        <f>'Schedule-A'!B27</f>
        <v>0</v>
      </c>
      <c r="G78" s="2000">
        <f>'Schedule-A'!G27</f>
        <v>12.69</v>
      </c>
      <c r="H78" s="2001">
        <f t="shared" ref="H78:H82" si="10">ROUND(F78*G78,0)</f>
        <v>0</v>
      </c>
      <c r="I78" s="3134"/>
      <c r="J78" s="3136"/>
      <c r="K78" s="2002">
        <f t="shared" si="7"/>
        <v>0</v>
      </c>
      <c r="L78" s="2002">
        <f t="shared" si="8"/>
        <v>5</v>
      </c>
      <c r="M78" s="2003">
        <f t="shared" si="9"/>
        <v>0</v>
      </c>
    </row>
    <row r="79" spans="1:13" s="649" customFormat="1" ht="14.4" hidden="1">
      <c r="A79" s="1569">
        <f t="shared" si="1"/>
        <v>0</v>
      </c>
      <c r="B79" s="3144" t="s">
        <v>572</v>
      </c>
      <c r="C79" s="3145"/>
      <c r="D79" s="3145"/>
      <c r="E79" s="3146"/>
      <c r="F79" s="1570">
        <f>'Schedule-A'!B28</f>
        <v>0</v>
      </c>
      <c r="G79" s="1570">
        <f>'Schedule-A'!G28</f>
        <v>10958.84</v>
      </c>
      <c r="H79" s="1571">
        <f t="shared" si="10"/>
        <v>0</v>
      </c>
      <c r="I79" s="3147"/>
      <c r="J79" s="3148"/>
      <c r="K79" s="1461">
        <f t="shared" si="7"/>
        <v>0</v>
      </c>
      <c r="L79" s="1461">
        <f t="shared" si="8"/>
        <v>5</v>
      </c>
      <c r="M79" s="1582">
        <f t="shared" si="9"/>
        <v>0</v>
      </c>
    </row>
    <row r="80" spans="1:13">
      <c r="A80" s="1995">
        <f t="shared" si="1"/>
        <v>6</v>
      </c>
      <c r="B80" s="3141" t="s">
        <v>573</v>
      </c>
      <c r="C80" s="3142">
        <v>99</v>
      </c>
      <c r="D80" s="3142">
        <v>9895.44</v>
      </c>
      <c r="E80" s="3143">
        <f>ROUND(C80*D80,0)</f>
        <v>979649</v>
      </c>
      <c r="F80" s="1996">
        <f>'Schedule-A'!B29</f>
        <v>388.13</v>
      </c>
      <c r="G80" s="1996">
        <f>'Schedule-A'!G29</f>
        <v>11734.57</v>
      </c>
      <c r="H80" s="1997">
        <f t="shared" si="10"/>
        <v>4554539</v>
      </c>
      <c r="I80" s="3134"/>
      <c r="J80" s="3136"/>
      <c r="K80" s="1998">
        <f t="shared" si="7"/>
        <v>6</v>
      </c>
      <c r="L80" s="1998">
        <f t="shared" si="8"/>
        <v>6</v>
      </c>
      <c r="M80" s="1994">
        <f t="shared" si="9"/>
        <v>388.13</v>
      </c>
    </row>
    <row r="81" spans="1:15" ht="15" customHeight="1">
      <c r="A81" s="2005">
        <f t="shared" si="1"/>
        <v>0</v>
      </c>
      <c r="B81" s="3141" t="s">
        <v>574</v>
      </c>
      <c r="C81" s="3142">
        <v>277.5</v>
      </c>
      <c r="D81" s="3142">
        <v>6839.26</v>
      </c>
      <c r="E81" s="3143">
        <f>ROUND(C81*D81,0)</f>
        <v>1897895</v>
      </c>
      <c r="F81" s="1996">
        <f>'Schedule-A'!B30</f>
        <v>0</v>
      </c>
      <c r="G81" s="1996">
        <f>'Schedule-A'!G30</f>
        <v>0</v>
      </c>
      <c r="H81" s="1997">
        <f t="shared" si="10"/>
        <v>0</v>
      </c>
      <c r="I81" s="3134"/>
      <c r="J81" s="3136"/>
      <c r="K81" s="1998">
        <f t="shared" si="7"/>
        <v>0</v>
      </c>
      <c r="L81" s="1998">
        <f t="shared" si="8"/>
        <v>6</v>
      </c>
      <c r="M81" s="1994">
        <f t="shared" si="9"/>
        <v>0</v>
      </c>
    </row>
    <row r="82" spans="1:15" ht="13.5" customHeight="1">
      <c r="A82" s="1995">
        <v>12</v>
      </c>
      <c r="B82" s="3141" t="s">
        <v>575</v>
      </c>
      <c r="C82" s="3142"/>
      <c r="D82" s="3142"/>
      <c r="E82" s="3143"/>
      <c r="F82" s="2006">
        <f>'Schedule-A'!B31</f>
        <v>6150</v>
      </c>
      <c r="G82" s="2006">
        <f>'Schedule-A'!G31</f>
        <v>10.220000000000001</v>
      </c>
      <c r="H82" s="1997">
        <f t="shared" si="10"/>
        <v>62853</v>
      </c>
      <c r="I82" s="3134"/>
      <c r="J82" s="3136"/>
      <c r="K82" s="1998" t="e">
        <f>IF(L82=#REF!,0,L82)</f>
        <v>#REF!</v>
      </c>
      <c r="L82" s="1998" t="e">
        <f>IF(M82&gt;0,(#REF!+1),#REF!)</f>
        <v>#REF!</v>
      </c>
      <c r="M82" s="1994">
        <f t="shared" si="9"/>
        <v>6150</v>
      </c>
    </row>
    <row r="83" spans="1:15">
      <c r="A83" s="2005"/>
      <c r="B83" s="3141" t="s">
        <v>576</v>
      </c>
      <c r="C83" s="3142"/>
      <c r="D83" s="3142"/>
      <c r="E83" s="3143">
        <f>SUBTOTAL(9,E64:E81)</f>
        <v>2877544</v>
      </c>
      <c r="F83" s="1997"/>
      <c r="G83" s="1997"/>
      <c r="H83" s="2007">
        <f>SUBTOTAL(9,H64:H82)</f>
        <v>7359540</v>
      </c>
      <c r="I83" s="3134"/>
      <c r="J83" s="3136"/>
      <c r="K83" s="1998" t="e">
        <f>IF(L83=L82,0,L83)</f>
        <v>#REF!</v>
      </c>
      <c r="L83" s="1998" t="e">
        <f>IF(M83&gt;0,(L82+1),L82)</f>
        <v>#REF!</v>
      </c>
    </row>
    <row r="84" spans="1:15">
      <c r="A84" s="1952"/>
      <c r="B84" s="3141" t="s">
        <v>577</v>
      </c>
      <c r="C84" s="3142"/>
      <c r="D84" s="3142"/>
      <c r="E84" s="3143"/>
      <c r="F84" s="1997"/>
      <c r="G84" s="1997"/>
      <c r="H84" s="1997"/>
      <c r="I84" s="3134"/>
      <c r="J84" s="3136"/>
    </row>
    <row r="85" spans="1:15" ht="15" customHeight="1">
      <c r="A85" s="2005"/>
      <c r="B85" s="3149" t="s">
        <v>578</v>
      </c>
      <c r="C85" s="3150"/>
      <c r="D85" s="3150"/>
      <c r="E85" s="3151" t="s">
        <v>579</v>
      </c>
      <c r="F85" s="2008" t="s">
        <v>580</v>
      </c>
      <c r="G85" s="2008" t="s">
        <v>5</v>
      </c>
      <c r="H85" s="2008" t="s">
        <v>556</v>
      </c>
      <c r="I85" s="3134"/>
      <c r="J85" s="3136"/>
    </row>
    <row r="86" spans="1:15" ht="32.25" customHeight="1">
      <c r="A86" s="1995" t="s">
        <v>581</v>
      </c>
      <c r="B86" s="3141" t="str">
        <f>M86</f>
        <v xml:space="preserve">Construction of HP Culvert 1V of 1000mm Dia.NP4 Pipes at Km </v>
      </c>
      <c r="C86" s="3142"/>
      <c r="D86" s="3142"/>
      <c r="E86" s="3143">
        <f>N86</f>
        <v>0</v>
      </c>
      <c r="F86" s="2009">
        <f>'CD Abs'!C5</f>
        <v>0</v>
      </c>
      <c r="G86" s="2009">
        <f>'CD Abs'!D5</f>
        <v>347561</v>
      </c>
      <c r="H86" s="2010">
        <f>F86*G86</f>
        <v>0</v>
      </c>
      <c r="I86" s="3134"/>
      <c r="J86" s="3136"/>
      <c r="L86" s="1995" t="s">
        <v>582</v>
      </c>
      <c r="M86" s="2011" t="str">
        <f>'Schedule-A'!D33</f>
        <v xml:space="preserve">Construction of HP Culvert 1V of 1000mm Dia.NP4 Pipes at Km </v>
      </c>
      <c r="N86" s="2011">
        <f>'Schedule-A'!E33</f>
        <v>0</v>
      </c>
      <c r="O86" s="2012">
        <f>'Schedule-A'!I40</f>
        <v>0</v>
      </c>
    </row>
    <row r="87" spans="1:15" s="1990" customFormat="1" ht="39.75" customHeight="1">
      <c r="A87" s="2005" t="s">
        <v>583</v>
      </c>
      <c r="B87" s="3141" t="str">
        <f>'CD Abs'!B6</f>
        <v>Construction of HP Culvert 2V of 1000mm Dia.NP4 Pipes at Km</v>
      </c>
      <c r="C87" s="3142"/>
      <c r="D87" s="3142"/>
      <c r="E87" s="3143"/>
      <c r="F87" s="2009">
        <f>'CD Abs'!C6</f>
        <v>0</v>
      </c>
      <c r="G87" s="2009">
        <f>'CD Abs'!D6</f>
        <v>519897</v>
      </c>
      <c r="H87" s="2010">
        <f>F87*G87</f>
        <v>0</v>
      </c>
      <c r="I87" s="3134"/>
      <c r="J87" s="3136"/>
      <c r="K87" s="2013"/>
      <c r="L87" s="2005" t="s">
        <v>584</v>
      </c>
      <c r="M87" s="2014" t="str">
        <f>'Schedule-A'!D41</f>
        <v>Construction of HP Culvert 2V of 1000mm Dia.NP4 Pipes at Km</v>
      </c>
      <c r="N87" s="2014">
        <f>'Schedule-A'!E41</f>
        <v>0</v>
      </c>
      <c r="O87" s="2015">
        <f>'Schedule-A'!I48</f>
        <v>0</v>
      </c>
    </row>
    <row r="88" spans="1:15" s="1990" customFormat="1" ht="30.75" customHeight="1">
      <c r="A88" s="2005" t="s">
        <v>585</v>
      </c>
      <c r="B88" s="3141" t="str">
        <f>'CD Abs'!B9</f>
        <v>Construction of 1vent 6.00 x 1.50m span slab culvert at 0/340 KM (1 No)</v>
      </c>
      <c r="C88" s="3142"/>
      <c r="D88" s="3142"/>
      <c r="E88" s="3143"/>
      <c r="F88" s="2009">
        <v>1</v>
      </c>
      <c r="G88" s="2009">
        <f>'CD Abs'!D9</f>
        <v>2541649</v>
      </c>
      <c r="H88" s="2010">
        <f>F88*G88</f>
        <v>2541649</v>
      </c>
      <c r="I88" s="3134"/>
      <c r="J88" s="3136"/>
      <c r="K88" s="2013"/>
      <c r="L88" s="2005" t="s">
        <v>584</v>
      </c>
      <c r="M88" s="2014" t="str">
        <f>'Schedule-A'!D49</f>
        <v xml:space="preserve">Construction of HP Culvert 3V of 1000mm Dia. NP4 Pipes </v>
      </c>
      <c r="N88" s="2014">
        <f>'Schedule-A'!E49</f>
        <v>0</v>
      </c>
      <c r="O88" s="2015">
        <f>'Schedule-A'!I56</f>
        <v>0</v>
      </c>
    </row>
    <row r="89" spans="1:15">
      <c r="A89" s="2005"/>
      <c r="B89" s="3149" t="s">
        <v>586</v>
      </c>
      <c r="C89" s="3150"/>
      <c r="D89" s="3150"/>
      <c r="E89" s="3151">
        <f>SUM(E87:E88)</f>
        <v>0</v>
      </c>
      <c r="F89" s="2016"/>
      <c r="G89" s="2016"/>
      <c r="H89" s="1997">
        <f>SUM(H86:H88)</f>
        <v>2541649</v>
      </c>
      <c r="I89" s="3134"/>
      <c r="J89" s="3136"/>
    </row>
    <row r="90" spans="1:15" ht="18.75" customHeight="1">
      <c r="A90" s="2005"/>
      <c r="B90" s="3141" t="s">
        <v>587</v>
      </c>
      <c r="C90" s="3142"/>
      <c r="D90" s="3142"/>
      <c r="E90" s="3143"/>
      <c r="F90" s="2017"/>
      <c r="G90" s="2017"/>
      <c r="H90" s="1997">
        <f>GA!E9</f>
        <v>58374</v>
      </c>
      <c r="I90" s="3134"/>
      <c r="J90" s="3136"/>
    </row>
    <row r="91" spans="1:15" ht="18.75" customHeight="1">
      <c r="A91" s="2005"/>
      <c r="B91" s="3141" t="s">
        <v>588</v>
      </c>
      <c r="C91" s="3142"/>
      <c r="D91" s="3142"/>
      <c r="E91" s="3143"/>
      <c r="F91" s="2017"/>
      <c r="G91" s="2017"/>
      <c r="H91" s="1997">
        <f>GA!E10</f>
        <v>319652</v>
      </c>
      <c r="I91" s="3134"/>
      <c r="J91" s="3136"/>
    </row>
    <row r="92" spans="1:15" ht="15" customHeight="1">
      <c r="A92" s="2005"/>
      <c r="B92" s="3152" t="s">
        <v>589</v>
      </c>
      <c r="C92" s="3153"/>
      <c r="D92" s="3153"/>
      <c r="E92" s="3154"/>
      <c r="F92" s="2018" t="s">
        <v>590</v>
      </c>
      <c r="G92" s="2018"/>
      <c r="H92" s="2007">
        <f>SUM(H91+H90+H89+H83)</f>
        <v>10279215</v>
      </c>
      <c r="I92" s="3134"/>
      <c r="J92" s="3136"/>
    </row>
    <row r="93" spans="1:15" ht="18.75" customHeight="1">
      <c r="A93" s="2005">
        <f>+A90+1</f>
        <v>1</v>
      </c>
      <c r="B93" s="3155" t="s">
        <v>660</v>
      </c>
      <c r="C93" s="3156"/>
      <c r="D93" s="3156"/>
      <c r="E93" s="3157"/>
      <c r="F93" s="2018"/>
      <c r="G93" s="2018"/>
      <c r="H93" s="1997">
        <f>GA!E12</f>
        <v>38688</v>
      </c>
      <c r="I93" s="3134"/>
      <c r="J93" s="3136"/>
    </row>
    <row r="94" spans="1:15" ht="18.75" customHeight="1">
      <c r="A94" s="2005">
        <f t="shared" ref="A94:A100" si="11">A93+1</f>
        <v>2</v>
      </c>
      <c r="B94" s="3155" t="s">
        <v>661</v>
      </c>
      <c r="C94" s="3156"/>
      <c r="D94" s="3156"/>
      <c r="E94" s="3157"/>
      <c r="F94" s="2018"/>
      <c r="G94" s="2018"/>
      <c r="H94" s="1997">
        <f>GA!E13</f>
        <v>7738</v>
      </c>
      <c r="I94" s="3134"/>
      <c r="J94" s="3136"/>
    </row>
    <row r="95" spans="1:15" ht="18.75" customHeight="1">
      <c r="A95" s="2005">
        <f t="shared" si="11"/>
        <v>3</v>
      </c>
      <c r="B95" s="3155" t="s">
        <v>2754</v>
      </c>
      <c r="C95" s="3156"/>
      <c r="D95" s="3156"/>
      <c r="E95" s="3157"/>
      <c r="F95" s="2018"/>
      <c r="G95" s="2018"/>
      <c r="H95" s="1997">
        <f>GA!E14</f>
        <v>170348</v>
      </c>
      <c r="I95" s="3134"/>
      <c r="J95" s="3136"/>
    </row>
    <row r="96" spans="1:15" ht="30.75" customHeight="1">
      <c r="A96" s="2005">
        <f t="shared" si="11"/>
        <v>4</v>
      </c>
      <c r="B96" s="3155" t="s">
        <v>663</v>
      </c>
      <c r="C96" s="3156"/>
      <c r="D96" s="3156"/>
      <c r="E96" s="3157"/>
      <c r="F96" s="2018"/>
      <c r="G96" s="2018"/>
      <c r="H96" s="1997">
        <f>GA!E15</f>
        <v>51104</v>
      </c>
      <c r="I96" s="3134"/>
      <c r="J96" s="3136"/>
    </row>
    <row r="97" spans="1:19" ht="28.95" customHeight="1">
      <c r="A97" s="2005">
        <f t="shared" si="11"/>
        <v>5</v>
      </c>
      <c r="B97" s="3155" t="s">
        <v>664</v>
      </c>
      <c r="C97" s="3156"/>
      <c r="D97" s="3156"/>
      <c r="E97" s="3157"/>
      <c r="F97" s="2018"/>
      <c r="G97" s="2018"/>
      <c r="H97" s="1997">
        <f>GA!E16</f>
        <v>3407</v>
      </c>
      <c r="I97" s="3134"/>
      <c r="J97" s="3136"/>
      <c r="O97" s="1876">
        <v>548734</v>
      </c>
      <c r="P97" s="1876">
        <v>568729</v>
      </c>
      <c r="S97" s="1876">
        <f>O97-P97</f>
        <v>-19995</v>
      </c>
    </row>
    <row r="98" spans="1:19" ht="28.95" customHeight="1">
      <c r="A98" s="2005">
        <f t="shared" si="11"/>
        <v>6</v>
      </c>
      <c r="B98" s="3155" t="str">
        <f>GA!B17</f>
        <v>Add 0.8 times permit fee on Seign Charges</v>
      </c>
      <c r="C98" s="3156"/>
      <c r="D98" s="3156"/>
      <c r="E98" s="3157"/>
      <c r="F98" s="2018"/>
      <c r="G98" s="2018"/>
      <c r="H98" s="1997">
        <f>GA!E17</f>
        <v>136278</v>
      </c>
      <c r="I98" s="2019"/>
      <c r="J98" s="2020"/>
    </row>
    <row r="99" spans="1:19" ht="22.95" customHeight="1">
      <c r="A99" s="2005">
        <f t="shared" si="11"/>
        <v>7</v>
      </c>
      <c r="B99" s="3155" t="s">
        <v>591</v>
      </c>
      <c r="C99" s="3156"/>
      <c r="D99" s="3156"/>
      <c r="E99" s="3157"/>
      <c r="F99" s="2018"/>
      <c r="G99" s="2018"/>
      <c r="H99" s="1997">
        <f>GA!E19</f>
        <v>1466123</v>
      </c>
      <c r="I99" s="3134"/>
      <c r="J99" s="3136"/>
      <c r="O99" s="1876">
        <v>199305</v>
      </c>
      <c r="P99" s="1876">
        <v>202046</v>
      </c>
      <c r="S99" s="1876">
        <f t="shared" ref="S99:S101" si="12">O99-P99</f>
        <v>-2741</v>
      </c>
    </row>
    <row r="100" spans="1:19" ht="42.75" customHeight="1">
      <c r="A100" s="2005">
        <f t="shared" si="11"/>
        <v>8</v>
      </c>
      <c r="B100" s="3155" t="s">
        <v>592</v>
      </c>
      <c r="C100" s="3156"/>
      <c r="D100" s="3156"/>
      <c r="E100" s="3157"/>
      <c r="F100" s="2017"/>
      <c r="G100" s="2017"/>
      <c r="H100" s="1997">
        <f>GA!E20</f>
        <v>3748</v>
      </c>
      <c r="I100" s="3134"/>
      <c r="J100" s="3136"/>
      <c r="K100" s="2021">
        <f>L4</f>
        <v>96.15</v>
      </c>
      <c r="O100" s="1876">
        <v>4231119</v>
      </c>
      <c r="P100" s="1876">
        <v>4185149</v>
      </c>
      <c r="S100" s="1876">
        <f t="shared" si="12"/>
        <v>45970</v>
      </c>
    </row>
    <row r="101" spans="1:19" ht="18" customHeight="1">
      <c r="A101" s="2005"/>
      <c r="B101" s="3158" t="s">
        <v>593</v>
      </c>
      <c r="C101" s="3159"/>
      <c r="D101" s="3160"/>
      <c r="E101" s="2022"/>
      <c r="G101" s="2018"/>
      <c r="H101" s="2023">
        <f>SUBTOTAL(9,H92:H100)</f>
        <v>12156649</v>
      </c>
      <c r="I101" s="2023"/>
      <c r="J101" s="2023"/>
      <c r="K101" s="2024">
        <f>K100*100000-SUM(H92:I94)</f>
        <v>-710641</v>
      </c>
      <c r="O101" s="1876">
        <f>O97+O99+O100</f>
        <v>4979158</v>
      </c>
      <c r="P101" s="1876">
        <f>P97+P99+P100</f>
        <v>4955924</v>
      </c>
      <c r="S101" s="1876">
        <f t="shared" si="12"/>
        <v>23234</v>
      </c>
    </row>
    <row r="102" spans="1:19" s="1522" customFormat="1" ht="18" hidden="1" customHeight="1">
      <c r="A102" s="1572"/>
      <c r="B102" s="1573"/>
      <c r="C102" s="1573"/>
      <c r="D102" s="1573"/>
      <c r="E102" s="1574"/>
      <c r="F102" s="1575"/>
      <c r="G102" s="1575"/>
      <c r="H102" s="1574"/>
      <c r="I102" s="1583"/>
      <c r="J102" s="1584"/>
      <c r="K102" s="1585"/>
    </row>
    <row r="103" spans="1:19" s="1522" customFormat="1" ht="18" hidden="1" customHeight="1">
      <c r="A103" s="1576"/>
      <c r="B103" s="3161" t="s">
        <v>594</v>
      </c>
      <c r="C103" s="3161"/>
      <c r="D103" s="3161"/>
      <c r="E103" s="1577">
        <f>E101</f>
        <v>0</v>
      </c>
      <c r="F103" s="1578"/>
      <c r="G103" s="1579" t="s">
        <v>595</v>
      </c>
      <c r="H103" s="1577">
        <f>I101</f>
        <v>0</v>
      </c>
      <c r="I103" s="1586"/>
      <c r="J103" s="1586"/>
      <c r="K103" s="1585"/>
    </row>
    <row r="104" spans="1:19" s="1522" customFormat="1" ht="18" hidden="1" customHeight="1">
      <c r="A104" s="1576"/>
      <c r="B104" s="3161" t="s">
        <v>596</v>
      </c>
      <c r="C104" s="3161"/>
      <c r="D104" s="3161"/>
      <c r="E104" s="1577">
        <f>H101</f>
        <v>12156649</v>
      </c>
      <c r="F104" s="1578"/>
      <c r="G104" s="1579" t="s">
        <v>597</v>
      </c>
      <c r="H104" s="1577">
        <f>J101</f>
        <v>0</v>
      </c>
      <c r="I104" s="1586"/>
      <c r="J104" s="1586"/>
      <c r="K104" s="1585"/>
    </row>
    <row r="105" spans="1:19" s="1522" customFormat="1" ht="18" hidden="1" customHeight="1">
      <c r="A105" s="1576"/>
      <c r="B105" s="3161" t="s">
        <v>598</v>
      </c>
      <c r="C105" s="3161"/>
      <c r="D105" s="3161"/>
      <c r="E105" s="1580">
        <f>E103-E104</f>
        <v>-12156649</v>
      </c>
      <c r="F105" s="1578"/>
      <c r="G105" s="1579" t="s">
        <v>481</v>
      </c>
      <c r="H105" s="1580">
        <f>H103-H104</f>
        <v>0</v>
      </c>
      <c r="I105" s="1586"/>
      <c r="J105" s="1586"/>
      <c r="K105" s="1585"/>
    </row>
    <row r="106" spans="1:19" s="1522" customFormat="1" ht="45.75" hidden="1" customHeight="1">
      <c r="A106" s="1581"/>
      <c r="B106" s="3162" t="s">
        <v>599</v>
      </c>
      <c r="C106" s="3162"/>
      <c r="D106" s="3162"/>
      <c r="E106" s="3162"/>
      <c r="F106" s="3162"/>
      <c r="G106" s="3162"/>
      <c r="H106" s="3162"/>
      <c r="I106" s="3162"/>
      <c r="J106" s="3163"/>
      <c r="K106" s="1585"/>
    </row>
    <row r="107" spans="1:19" ht="17.399999999999999" customHeight="1">
      <c r="A107" s="2025"/>
      <c r="B107" s="3164" t="s">
        <v>600</v>
      </c>
      <c r="C107" s="3164"/>
      <c r="D107" s="3164"/>
      <c r="E107" s="3164"/>
      <c r="F107" s="3164"/>
      <c r="G107" s="3164"/>
      <c r="H107" s="3164"/>
      <c r="I107" s="3164"/>
      <c r="J107" s="2026"/>
    </row>
    <row r="108" spans="1:19" ht="16.95" customHeight="1">
      <c r="A108" s="2027"/>
      <c r="B108" s="3165" t="s">
        <v>601</v>
      </c>
      <c r="C108" s="3165"/>
      <c r="D108" s="3165"/>
      <c r="E108" s="3165"/>
      <c r="F108" s="3165"/>
      <c r="G108" s="3165"/>
      <c r="H108" s="3166" t="s">
        <v>602</v>
      </c>
      <c r="I108" s="3166"/>
      <c r="J108" s="2028"/>
    </row>
    <row r="109" spans="1:19" s="1990" customFormat="1" ht="26.25" customHeight="1">
      <c r="A109" s="2029">
        <v>14</v>
      </c>
      <c r="B109" s="2030" t="s">
        <v>603</v>
      </c>
      <c r="C109" s="2030"/>
      <c r="D109" s="2030"/>
      <c r="E109" s="2030"/>
      <c r="F109" s="2030"/>
      <c r="G109" s="2030"/>
      <c r="H109" s="2030"/>
      <c r="I109" s="2030"/>
      <c r="J109" s="2031"/>
      <c r="K109" s="2013"/>
    </row>
    <row r="110" spans="1:19" ht="36.75" customHeight="1">
      <c r="A110" s="2032" t="s">
        <v>604</v>
      </c>
      <c r="B110" s="3167" t="s">
        <v>605</v>
      </c>
      <c r="C110" s="3167"/>
      <c r="D110" s="3167"/>
      <c r="E110" s="3167" t="s">
        <v>606</v>
      </c>
      <c r="F110" s="3167"/>
      <c r="G110" s="1915" t="s">
        <v>607</v>
      </c>
      <c r="H110" s="1921" t="s">
        <v>608</v>
      </c>
      <c r="I110" s="3168" t="s">
        <v>609</v>
      </c>
      <c r="J110" s="3168"/>
      <c r="L110" s="2033" t="s">
        <v>409</v>
      </c>
      <c r="M110" s="2034" t="str">
        <f>'Input Data'!D15</f>
        <v>Local</v>
      </c>
      <c r="N110" s="2035">
        <f>'Input Data'!E15</f>
        <v>8</v>
      </c>
      <c r="P110" s="2036"/>
      <c r="Q110" s="2037"/>
      <c r="R110" s="2038"/>
    </row>
    <row r="111" spans="1:19" ht="15" customHeight="1">
      <c r="A111" s="2039">
        <v>1</v>
      </c>
      <c r="B111" s="3067" t="s">
        <v>610</v>
      </c>
      <c r="C111" s="3067"/>
      <c r="D111" s="3067"/>
      <c r="E111" s="3169">
        <f>'Input Data'!I24</f>
        <v>5000</v>
      </c>
      <c r="F111" s="3170"/>
      <c r="G111" s="2039" t="s">
        <v>66</v>
      </c>
      <c r="H111" s="2040"/>
      <c r="I111" s="3171" t="str">
        <f>'Input Data'!H24</f>
        <v>Cement, NOV' 2024</v>
      </c>
      <c r="J111" s="3172"/>
      <c r="L111" s="2033" t="s">
        <v>611</v>
      </c>
      <c r="M111" s="2034" t="str">
        <f>'Input Data'!D19</f>
        <v>Local</v>
      </c>
      <c r="N111" s="2035">
        <f>'Input Data'!E19</f>
        <v>5</v>
      </c>
      <c r="P111" s="2041"/>
      <c r="Q111" s="2037"/>
      <c r="R111" s="2038"/>
    </row>
    <row r="112" spans="1:19" ht="35.25" customHeight="1">
      <c r="A112" s="2039">
        <v>2</v>
      </c>
      <c r="B112" s="3173" t="s">
        <v>612</v>
      </c>
      <c r="C112" s="3174"/>
      <c r="D112" s="3175"/>
      <c r="E112" s="3169">
        <f>'Input Data'!I25</f>
        <v>49000</v>
      </c>
      <c r="F112" s="3170"/>
      <c r="G112" s="2039" t="s">
        <v>66</v>
      </c>
      <c r="H112" s="2040"/>
      <c r="I112" s="3171" t="str">
        <f>'Input Data'!H25</f>
        <v>Steel HYSD-Fe-500 Bars, NOV' 2024</v>
      </c>
      <c r="J112" s="3172"/>
      <c r="L112" s="2033" t="s">
        <v>613</v>
      </c>
      <c r="M112" s="2034" t="str">
        <f>'Input Data'!D13</f>
        <v>Warkur(Maganur)</v>
      </c>
      <c r="N112" s="2035">
        <f>'Input Data'!E13</f>
        <v>85</v>
      </c>
      <c r="P112" s="2041"/>
      <c r="Q112" s="2037"/>
      <c r="R112" s="2038"/>
    </row>
    <row r="113" spans="1:18" ht="15.75" customHeight="1">
      <c r="A113" s="2039">
        <v>3</v>
      </c>
      <c r="B113" s="3176" t="str">
        <f>"BT (60/70 grade) -("&amp;M117&amp;")"</f>
        <v>BT (60/70 grade) -(Chennai)</v>
      </c>
      <c r="C113" s="3176"/>
      <c r="D113" s="3176"/>
      <c r="E113" s="3169">
        <f>'Input Data'!J14</f>
        <v>45682</v>
      </c>
      <c r="F113" s="3170"/>
      <c r="G113" s="2039" t="s">
        <v>66</v>
      </c>
      <c r="H113" s="2042">
        <f>N117</f>
        <v>650</v>
      </c>
      <c r="I113" s="3177">
        <f>'Input Data'!H14</f>
        <v>45642</v>
      </c>
      <c r="J113" s="3178"/>
      <c r="L113" s="2033" t="s">
        <v>406</v>
      </c>
      <c r="M113" s="2034" t="str">
        <f>'Input Data'!D14</f>
        <v>Local</v>
      </c>
      <c r="N113" s="2035">
        <f>'Input Data'!E14</f>
        <v>5</v>
      </c>
      <c r="P113" s="2041"/>
      <c r="Q113" s="2037"/>
      <c r="R113" s="2038"/>
    </row>
    <row r="114" spans="1:18" ht="15.75" customHeight="1">
      <c r="A114" s="2039">
        <v>4</v>
      </c>
      <c r="B114" s="3067" t="s">
        <v>614</v>
      </c>
      <c r="C114" s="3067"/>
      <c r="D114" s="3067"/>
      <c r="E114" s="3169">
        <f>'Input Data'!J15</f>
        <v>75983</v>
      </c>
      <c r="F114" s="3170"/>
      <c r="G114" s="2039" t="s">
        <v>66</v>
      </c>
      <c r="H114" s="2042">
        <f>H113</f>
        <v>650</v>
      </c>
      <c r="I114" s="3179" t="s">
        <v>615</v>
      </c>
      <c r="J114" s="3172"/>
      <c r="L114" s="2033"/>
      <c r="M114" s="2034"/>
      <c r="N114" s="2035"/>
      <c r="P114" s="2041"/>
      <c r="Q114" s="2037"/>
      <c r="R114" s="2038"/>
    </row>
    <row r="115" spans="1:18" ht="15.75" customHeight="1">
      <c r="A115" s="2039">
        <v>5</v>
      </c>
      <c r="B115" s="3067" t="s">
        <v>616</v>
      </c>
      <c r="C115" s="3067"/>
      <c r="D115" s="3067"/>
      <c r="E115" s="3169">
        <f>'Input Data'!J16</f>
        <v>43017</v>
      </c>
      <c r="F115" s="3170"/>
      <c r="G115" s="2039" t="s">
        <v>66</v>
      </c>
      <c r="H115" s="2042">
        <f>H114</f>
        <v>650</v>
      </c>
      <c r="I115" s="3179" t="s">
        <v>615</v>
      </c>
      <c r="J115" s="3172"/>
      <c r="L115" s="2033" t="s">
        <v>617</v>
      </c>
      <c r="M115" s="2034" t="str">
        <f>'Input Data'!D21</f>
        <v>MBNR(Palkonda)</v>
      </c>
      <c r="N115" s="2035">
        <f>'Input Data'!E21</f>
        <v>59</v>
      </c>
      <c r="P115" s="2041"/>
      <c r="Q115" s="2037"/>
      <c r="R115" s="2038"/>
    </row>
    <row r="116" spans="1:18" ht="15.75" customHeight="1">
      <c r="A116" s="2039">
        <v>6</v>
      </c>
      <c r="B116" s="3067" t="s">
        <v>618</v>
      </c>
      <c r="C116" s="3067"/>
      <c r="D116" s="3067"/>
      <c r="E116" s="3180" t="s">
        <v>619</v>
      </c>
      <c r="F116" s="3170"/>
      <c r="G116" s="2039" t="s">
        <v>73</v>
      </c>
      <c r="H116" s="2042">
        <f>N115</f>
        <v>59</v>
      </c>
      <c r="I116" s="3181" t="str">
        <f>M115</f>
        <v>MBNR(Palkonda)</v>
      </c>
      <c r="J116" s="3182"/>
      <c r="L116" s="2033" t="s">
        <v>620</v>
      </c>
      <c r="M116" s="2034" t="str">
        <f>M115</f>
        <v>MBNR(Palkonda)</v>
      </c>
      <c r="N116" s="2035">
        <f>N115</f>
        <v>59</v>
      </c>
      <c r="P116" s="2043"/>
      <c r="Q116" s="2037"/>
      <c r="R116" s="2038"/>
    </row>
    <row r="117" spans="1:18" ht="15.75" customHeight="1">
      <c r="A117" s="2039">
        <v>7</v>
      </c>
      <c r="B117" s="3067" t="s">
        <v>621</v>
      </c>
      <c r="C117" s="3067"/>
      <c r="D117" s="3067"/>
      <c r="E117" s="3180" t="s">
        <v>619</v>
      </c>
      <c r="F117" s="3170"/>
      <c r="G117" s="2039" t="s">
        <v>73</v>
      </c>
      <c r="H117" s="2042">
        <f>N116</f>
        <v>59</v>
      </c>
      <c r="I117" s="3181" t="str">
        <f>M116</f>
        <v>MBNR(Palkonda)</v>
      </c>
      <c r="J117" s="3182"/>
      <c r="L117" s="2033" t="s">
        <v>622</v>
      </c>
      <c r="M117" s="2034" t="s">
        <v>623</v>
      </c>
      <c r="N117" s="2035">
        <f>'Input Data'!E20</f>
        <v>650</v>
      </c>
      <c r="P117" s="2043"/>
      <c r="Q117" s="2037"/>
      <c r="R117" s="2038"/>
    </row>
    <row r="118" spans="1:18" ht="15.75" customHeight="1">
      <c r="A118" s="2039">
        <v>8</v>
      </c>
      <c r="B118" s="3067" t="s">
        <v>613</v>
      </c>
      <c r="C118" s="3067"/>
      <c r="D118" s="3067"/>
      <c r="E118" s="3180" t="s">
        <v>619</v>
      </c>
      <c r="F118" s="3170"/>
      <c r="G118" s="2039" t="s">
        <v>73</v>
      </c>
      <c r="H118" s="2042">
        <f>N112</f>
        <v>85</v>
      </c>
      <c r="I118" s="3181" t="str">
        <f>M112</f>
        <v>Warkur(Maganur)</v>
      </c>
      <c r="J118" s="3182"/>
      <c r="L118" s="2033"/>
      <c r="M118" s="2034"/>
      <c r="N118" s="2035"/>
      <c r="P118" s="2044"/>
      <c r="Q118" s="2037"/>
      <c r="R118" s="2038"/>
    </row>
    <row r="119" spans="1:18" ht="15.75" customHeight="1">
      <c r="A119" s="2039">
        <v>9</v>
      </c>
      <c r="B119" s="3067" t="str">
        <f>L119</f>
        <v>Manufactured Sand (Rock Sand)</v>
      </c>
      <c r="C119" s="3067"/>
      <c r="D119" s="3067"/>
      <c r="E119" s="3180" t="s">
        <v>619</v>
      </c>
      <c r="F119" s="3170"/>
      <c r="G119" s="2039" t="s">
        <v>73</v>
      </c>
      <c r="H119" s="2042">
        <f>N119</f>
        <v>59</v>
      </c>
      <c r="I119" s="3181" t="str">
        <f>M119</f>
        <v>MBNR(Palkonda)</v>
      </c>
      <c r="J119" s="3182"/>
      <c r="L119" s="2033" t="str">
        <f>'Input Data'!C12</f>
        <v>Manufactured Sand (Rock Sand)</v>
      </c>
      <c r="M119" s="2034" t="str">
        <f>'Input Data'!D12</f>
        <v>MBNR(Palkonda)</v>
      </c>
      <c r="N119" s="2035">
        <f>'Input Data'!E12</f>
        <v>59</v>
      </c>
      <c r="P119" s="2044"/>
      <c r="Q119" s="2037"/>
      <c r="R119" s="2038"/>
    </row>
    <row r="120" spans="1:18" ht="15.75" customHeight="1">
      <c r="A120" s="2039">
        <v>10</v>
      </c>
      <c r="B120" s="3067" t="s">
        <v>624</v>
      </c>
      <c r="C120" s="3067"/>
      <c r="D120" s="3067"/>
      <c r="E120" s="3180" t="s">
        <v>619</v>
      </c>
      <c r="F120" s="3170"/>
      <c r="G120" s="2039" t="s">
        <v>73</v>
      </c>
      <c r="H120" s="2042">
        <f>N113</f>
        <v>5</v>
      </c>
      <c r="I120" s="3181" t="str">
        <f>M113</f>
        <v>Local</v>
      </c>
      <c r="J120" s="3182"/>
      <c r="L120" s="2033" t="s">
        <v>625</v>
      </c>
      <c r="M120" s="2034" t="str">
        <f>'Input Data'!D16</f>
        <v>Kothakota</v>
      </c>
      <c r="N120" s="2035">
        <f>'Input Data'!E16</f>
        <v>92</v>
      </c>
      <c r="P120" s="2041"/>
      <c r="Q120" s="2037"/>
      <c r="R120" s="2038"/>
    </row>
    <row r="121" spans="1:18" ht="15.75" customHeight="1">
      <c r="A121" s="2039">
        <v>11</v>
      </c>
      <c r="B121" s="3067" t="s">
        <v>626</v>
      </c>
      <c r="C121" s="3067"/>
      <c r="D121" s="3067"/>
      <c r="E121" s="3180" t="s">
        <v>619</v>
      </c>
      <c r="F121" s="3170"/>
      <c r="G121" s="2039" t="s">
        <v>73</v>
      </c>
      <c r="H121" s="2042">
        <f>N110</f>
        <v>8</v>
      </c>
      <c r="I121" s="3181" t="str">
        <f>M110</f>
        <v>Local</v>
      </c>
      <c r="J121" s="3182"/>
      <c r="L121" s="2045" t="s">
        <v>627</v>
      </c>
      <c r="M121" s="2034">
        <f t="shared" ref="M121:M123" si="13">Q121</f>
        <v>0</v>
      </c>
      <c r="N121" s="2046">
        <f>'Input Data'!D23</f>
        <v>0</v>
      </c>
      <c r="P121" s="2047"/>
      <c r="Q121" s="2048"/>
      <c r="R121" s="2048"/>
    </row>
    <row r="122" spans="1:18" ht="15.75" customHeight="1">
      <c r="A122" s="2039">
        <v>12</v>
      </c>
      <c r="B122" s="3067" t="s">
        <v>611</v>
      </c>
      <c r="C122" s="3067"/>
      <c r="D122" s="3067"/>
      <c r="E122" s="3180" t="s">
        <v>619</v>
      </c>
      <c r="F122" s="3170"/>
      <c r="G122" s="2039" t="s">
        <v>73</v>
      </c>
      <c r="H122" s="2042">
        <f>N111</f>
        <v>5</v>
      </c>
      <c r="I122" s="3181" t="str">
        <f>M111</f>
        <v>Local</v>
      </c>
      <c r="J122" s="3182"/>
      <c r="L122" s="2033" t="s">
        <v>428</v>
      </c>
      <c r="M122" s="2034">
        <f t="shared" si="13"/>
        <v>0</v>
      </c>
      <c r="N122" s="2035" t="s">
        <v>429</v>
      </c>
      <c r="P122" s="2049"/>
      <c r="Q122" s="2048"/>
      <c r="R122" s="2048"/>
    </row>
    <row r="123" spans="1:18" ht="15.75" customHeight="1">
      <c r="A123" s="2039">
        <v>13</v>
      </c>
      <c r="B123" s="3067" t="s">
        <v>625</v>
      </c>
      <c r="C123" s="3067"/>
      <c r="D123" s="3067"/>
      <c r="E123" s="3180" t="s">
        <v>619</v>
      </c>
      <c r="F123" s="3170"/>
      <c r="G123" s="2039" t="s">
        <v>628</v>
      </c>
      <c r="H123" s="2042">
        <f>N120</f>
        <v>92</v>
      </c>
      <c r="I123" s="3181" t="str">
        <f>M120</f>
        <v>Kothakota</v>
      </c>
      <c r="J123" s="3182"/>
      <c r="L123" s="2045" t="s">
        <v>629</v>
      </c>
      <c r="M123" s="2034">
        <f t="shared" si="13"/>
        <v>0</v>
      </c>
      <c r="N123" s="2035">
        <v>2</v>
      </c>
      <c r="P123" s="2047"/>
      <c r="Q123" s="2048"/>
      <c r="R123" s="2048"/>
    </row>
    <row r="124" spans="1:18" ht="15.75" customHeight="1">
      <c r="A124" s="2039">
        <v>14</v>
      </c>
      <c r="B124" s="3067" t="s">
        <v>630</v>
      </c>
      <c r="C124" s="3067"/>
      <c r="D124" s="3067"/>
      <c r="E124" s="3170"/>
      <c r="F124" s="3170"/>
      <c r="G124" s="2039"/>
      <c r="H124" s="2042"/>
      <c r="I124" s="3183">
        <f>N121/100</f>
        <v>0</v>
      </c>
      <c r="J124" s="3183"/>
      <c r="L124" s="2050"/>
      <c r="M124" s="2051"/>
      <c r="N124" s="2051"/>
    </row>
    <row r="125" spans="1:18" ht="15.75" customHeight="1">
      <c r="A125" s="2039">
        <v>15</v>
      </c>
      <c r="B125" s="3067" t="s">
        <v>631</v>
      </c>
      <c r="C125" s="3067"/>
      <c r="D125" s="3067"/>
      <c r="E125" s="3170"/>
      <c r="F125" s="3170"/>
      <c r="G125" s="2039"/>
      <c r="H125" s="2042"/>
      <c r="I125" s="3170" t="str">
        <f>N122</f>
        <v>N</v>
      </c>
      <c r="J125" s="3170"/>
      <c r="L125" s="2050"/>
      <c r="M125" s="2051"/>
      <c r="N125" s="2051"/>
    </row>
    <row r="126" spans="1:18" ht="18.75" customHeight="1">
      <c r="A126" s="2025"/>
      <c r="B126" s="3184"/>
      <c r="C126" s="3184"/>
      <c r="D126" s="3184"/>
      <c r="E126" s="3184"/>
      <c r="F126" s="3184"/>
      <c r="G126" s="3184"/>
      <c r="H126" s="3184"/>
      <c r="I126" s="3184"/>
      <c r="J126" s="3185"/>
    </row>
    <row r="127" spans="1:18">
      <c r="B127" s="3186" t="str">
        <f>"             The Following points are observed during scrutiny of the estiamte submitted by the SE PR."&amp;L1</f>
        <v xml:space="preserve">             The Following points are observed during scrutiny of the estiamte submitted by the SE PR.Vikarabad</v>
      </c>
      <c r="C127" s="3186"/>
      <c r="D127" s="3186"/>
      <c r="E127" s="3186"/>
      <c r="F127" s="3186"/>
      <c r="G127" s="3186"/>
      <c r="H127" s="3186"/>
      <c r="I127" s="3186"/>
      <c r="J127" s="3186"/>
      <c r="L127" s="2052" t="s">
        <v>632</v>
      </c>
      <c r="M127" s="2052"/>
    </row>
    <row r="128" spans="1:18" ht="43.5" customHeight="1">
      <c r="A128" s="2053">
        <v>1</v>
      </c>
      <c r="B128" s="3187" t="s">
        <v>633</v>
      </c>
      <c r="C128" s="3187"/>
      <c r="D128" s="3187"/>
      <c r="E128" s="3187"/>
      <c r="F128" s="3187"/>
      <c r="G128" s="3187"/>
      <c r="H128" s="3187"/>
      <c r="I128" s="3187"/>
      <c r="J128" s="3187"/>
      <c r="L128" s="2054">
        <f>N7</f>
        <v>2.0699999999999998</v>
      </c>
      <c r="M128" s="2052" t="s">
        <v>634</v>
      </c>
    </row>
    <row r="129" spans="1:11" ht="36" customHeight="1">
      <c r="A129" s="2053">
        <v>2</v>
      </c>
      <c r="B129" s="3187" t="s">
        <v>635</v>
      </c>
      <c r="C129" s="3187"/>
      <c r="D129" s="3187"/>
      <c r="E129" s="3187"/>
      <c r="F129" s="3187"/>
      <c r="G129" s="3187"/>
      <c r="H129" s="3187"/>
      <c r="I129" s="3187"/>
      <c r="J129" s="3187"/>
    </row>
    <row r="130" spans="1:11" ht="38.25" customHeight="1">
      <c r="A130" s="2053">
        <v>3</v>
      </c>
      <c r="B130" s="3187" t="s">
        <v>636</v>
      </c>
      <c r="C130" s="3187"/>
      <c r="D130" s="3187"/>
      <c r="E130" s="3187"/>
      <c r="F130" s="3187"/>
      <c r="G130" s="3187"/>
      <c r="H130" s="3187"/>
      <c r="I130" s="3187"/>
      <c r="J130" s="3187"/>
      <c r="K130" s="1876"/>
    </row>
    <row r="131" spans="1:11" ht="31.5" customHeight="1">
      <c r="A131" s="2053">
        <v>4</v>
      </c>
      <c r="B131" s="3187" t="s">
        <v>637</v>
      </c>
      <c r="C131" s="3187"/>
      <c r="D131" s="3187"/>
      <c r="E131" s="3187"/>
      <c r="F131" s="3187"/>
      <c r="G131" s="3187"/>
      <c r="H131" s="3187"/>
      <c r="I131" s="3187"/>
      <c r="J131" s="3187"/>
      <c r="K131" s="1876"/>
    </row>
    <row r="132" spans="1:11" ht="34.5" customHeight="1">
      <c r="A132" s="2053">
        <v>5</v>
      </c>
      <c r="B132" s="3188" t="s">
        <v>638</v>
      </c>
      <c r="C132" s="3188"/>
      <c r="D132" s="3188"/>
      <c r="E132" s="3188"/>
      <c r="F132" s="3188"/>
      <c r="G132" s="3188"/>
      <c r="H132" s="3188"/>
      <c r="I132" s="3188"/>
      <c r="J132" s="3188"/>
      <c r="K132" s="1876"/>
    </row>
    <row r="133" spans="1:11" ht="62.25" customHeight="1">
      <c r="A133" s="2053">
        <v>6</v>
      </c>
      <c r="B133" s="3188" t="s">
        <v>639</v>
      </c>
      <c r="C133" s="3188"/>
      <c r="D133" s="3188"/>
      <c r="E133" s="3188"/>
      <c r="F133" s="3188"/>
      <c r="G133" s="3188"/>
      <c r="H133" s="3188"/>
      <c r="I133" s="3188"/>
      <c r="J133" s="3188"/>
      <c r="K133" s="1876"/>
    </row>
    <row r="134" spans="1:11" s="2056" customFormat="1" ht="39.75" customHeight="1">
      <c r="A134" s="2055">
        <v>7</v>
      </c>
      <c r="B134" s="3188" t="s">
        <v>640</v>
      </c>
      <c r="C134" s="3188"/>
      <c r="D134" s="3188"/>
      <c r="E134" s="3188"/>
      <c r="F134" s="3188"/>
      <c r="G134" s="3188"/>
      <c r="H134" s="3188"/>
      <c r="I134" s="3188"/>
      <c r="J134" s="3188"/>
    </row>
    <row r="135" spans="1:11" ht="35.25" customHeight="1">
      <c r="A135" s="2053">
        <v>8</v>
      </c>
      <c r="B135" s="3188" t="s">
        <v>641</v>
      </c>
      <c r="C135" s="3188"/>
      <c r="D135" s="3188"/>
      <c r="E135" s="3188"/>
      <c r="F135" s="3188"/>
      <c r="G135" s="3188"/>
      <c r="H135" s="3188"/>
      <c r="I135" s="3188"/>
      <c r="J135" s="3188"/>
      <c r="K135" s="1876"/>
    </row>
    <row r="136" spans="1:11" ht="35.25" customHeight="1">
      <c r="A136" s="2053">
        <v>9</v>
      </c>
      <c r="B136" s="3188" t="s">
        <v>642</v>
      </c>
      <c r="C136" s="3188"/>
      <c r="D136" s="3188"/>
      <c r="E136" s="3188"/>
      <c r="F136" s="3188"/>
      <c r="G136" s="3188"/>
      <c r="H136" s="3188"/>
      <c r="I136" s="3188"/>
      <c r="J136" s="3188"/>
      <c r="K136" s="1876"/>
    </row>
    <row r="137" spans="1:11" ht="39" customHeight="1">
      <c r="A137" s="2053">
        <v>10</v>
      </c>
      <c r="B137" s="3188" t="s">
        <v>643</v>
      </c>
      <c r="C137" s="3188"/>
      <c r="D137" s="3188"/>
      <c r="E137" s="3188"/>
      <c r="F137" s="3188"/>
      <c r="G137" s="3188"/>
      <c r="H137" s="3188"/>
      <c r="I137" s="3188"/>
      <c r="J137" s="3188"/>
      <c r="K137" s="1876"/>
    </row>
    <row r="138" spans="1:11" ht="57.9" customHeight="1">
      <c r="A138" s="2053">
        <v>11</v>
      </c>
      <c r="B138" s="3188" t="s">
        <v>644</v>
      </c>
      <c r="C138" s="3188"/>
      <c r="D138" s="3188"/>
      <c r="E138" s="3188"/>
      <c r="F138" s="3188"/>
      <c r="G138" s="3188"/>
      <c r="H138" s="3188"/>
      <c r="I138" s="3188"/>
      <c r="J138" s="3188"/>
      <c r="K138" s="1876"/>
    </row>
    <row r="139" spans="1:11" ht="81.900000000000006" customHeight="1">
      <c r="A139" s="2053">
        <v>12</v>
      </c>
      <c r="B139" s="3187" t="s">
        <v>645</v>
      </c>
      <c r="C139" s="3187"/>
      <c r="D139" s="3187"/>
      <c r="E139" s="3187"/>
      <c r="F139" s="3187"/>
      <c r="G139" s="3187"/>
      <c r="H139" s="3187"/>
      <c r="I139" s="3187"/>
      <c r="J139" s="3187"/>
      <c r="K139" s="1876"/>
    </row>
    <row r="140" spans="1:11" ht="56.1" customHeight="1">
      <c r="A140" s="2053">
        <v>13</v>
      </c>
      <c r="B140" s="3189" t="s">
        <v>646</v>
      </c>
      <c r="C140" s="3189"/>
      <c r="D140" s="3189"/>
      <c r="E140" s="3189"/>
      <c r="F140" s="3189"/>
      <c r="G140" s="3189"/>
      <c r="H140" s="3189"/>
      <c r="I140" s="3189"/>
      <c r="J140" s="3189"/>
      <c r="K140" s="1876"/>
    </row>
    <row r="141" spans="1:11" ht="81.75" customHeight="1">
      <c r="A141" s="2053">
        <v>14</v>
      </c>
      <c r="B141" s="3189" t="s">
        <v>647</v>
      </c>
      <c r="C141" s="3189"/>
      <c r="D141" s="3189"/>
      <c r="E141" s="3189"/>
      <c r="F141" s="3189"/>
      <c r="G141" s="3189"/>
      <c r="H141" s="3189"/>
      <c r="I141" s="3189"/>
      <c r="J141" s="3189"/>
      <c r="K141" s="1876"/>
    </row>
    <row r="142" spans="1:11" ht="23.25" customHeight="1">
      <c r="A142" s="1931">
        <v>15</v>
      </c>
      <c r="B142" s="3190" t="str">
        <f>"The cost of estimate submitted for Rs."&amp;L164&amp;".00 Lakhs as against OAS amount of "&amp;L4&amp;".00 Lakhs "</f>
        <v xml:space="preserve">The cost of estimate submitted for Rs.96.15.00 Lakhs as against OAS amount of 96.15.00 Lakhs </v>
      </c>
      <c r="C142" s="3186"/>
      <c r="D142" s="3186"/>
      <c r="E142" s="3186"/>
      <c r="F142" s="3186"/>
      <c r="G142" s="3186"/>
      <c r="H142" s="3186"/>
      <c r="I142" s="3186"/>
      <c r="J142" s="3186"/>
      <c r="K142" s="1876"/>
    </row>
    <row r="143" spans="1:11" ht="30.75" customHeight="1">
      <c r="B143" s="3191" t="s">
        <v>648</v>
      </c>
      <c r="C143" s="3191"/>
      <c r="D143" s="3191"/>
      <c r="E143" s="3191"/>
      <c r="F143" s="3191"/>
      <c r="G143" s="3191"/>
      <c r="H143" s="3191"/>
      <c r="I143" s="3191"/>
      <c r="J143" s="3191"/>
    </row>
    <row r="144" spans="1:11" ht="25.5" customHeight="1">
      <c r="B144" s="3192" t="s">
        <v>649</v>
      </c>
      <c r="C144" s="3192"/>
      <c r="D144" s="3192"/>
      <c r="E144" s="3192"/>
      <c r="F144" s="3192"/>
      <c r="G144" s="3192"/>
      <c r="H144" s="3192"/>
      <c r="I144" s="3192"/>
      <c r="J144" s="3192"/>
    </row>
    <row r="145" spans="2:10" ht="34.950000000000003" customHeight="1">
      <c r="B145" s="2057" t="s">
        <v>650</v>
      </c>
      <c r="C145" s="2058"/>
      <c r="D145" s="2058"/>
      <c r="E145" s="2058"/>
      <c r="F145" s="2058"/>
      <c r="G145" s="2058"/>
      <c r="H145" s="2058"/>
      <c r="I145" s="2058"/>
      <c r="J145" s="2058"/>
    </row>
    <row r="146" spans="2:10" ht="51" customHeight="1">
      <c r="B146" s="3186" t="s">
        <v>651</v>
      </c>
      <c r="C146" s="3186"/>
      <c r="D146" s="3186"/>
      <c r="E146" s="3186"/>
      <c r="F146" s="3186"/>
      <c r="G146" s="3186"/>
      <c r="H146" s="3186"/>
      <c r="I146" s="3186"/>
      <c r="J146" s="3186"/>
    </row>
    <row r="147" spans="2:10" ht="30" customHeight="1">
      <c r="B147" s="2058" t="s">
        <v>652</v>
      </c>
      <c r="C147" s="3193" t="str">
        <f>'Input Data'!E1</f>
        <v xml:space="preserve">BT Renewal from Balabadraipally to Danamma Thanda of Gundumal Mandal in Narayanpet District </v>
      </c>
      <c r="D147" s="3193"/>
      <c r="E147" s="3193"/>
      <c r="F147" s="3193"/>
      <c r="G147" s="3193"/>
      <c r="H147" s="3193"/>
      <c r="I147" s="3193"/>
      <c r="J147" s="2058"/>
    </row>
    <row r="148" spans="2:10" ht="28.5" customHeight="1">
      <c r="B148" s="2058"/>
      <c r="E148" s="3194" t="s">
        <v>653</v>
      </c>
      <c r="F148" s="3194"/>
      <c r="G148" s="2059">
        <f>L4</f>
        <v>96.15</v>
      </c>
      <c r="H148" s="2060" t="s">
        <v>329</v>
      </c>
      <c r="I148" s="2058"/>
      <c r="J148" s="2058"/>
    </row>
    <row r="149" spans="2:10" ht="33" customHeight="1">
      <c r="B149" s="2061" t="s">
        <v>654</v>
      </c>
      <c r="C149" s="3195" t="s">
        <v>655</v>
      </c>
      <c r="D149" s="3195"/>
      <c r="E149" s="3195"/>
      <c r="F149" s="3195" t="s">
        <v>7</v>
      </c>
      <c r="G149" s="3195"/>
      <c r="H149" s="2062"/>
      <c r="I149" s="2058"/>
      <c r="J149" s="2058"/>
    </row>
    <row r="150" spans="2:10" ht="18" customHeight="1">
      <c r="B150" s="2063">
        <v>1</v>
      </c>
      <c r="C150" s="3196" t="s">
        <v>656</v>
      </c>
      <c r="D150" s="3196"/>
      <c r="E150" s="3196"/>
      <c r="F150" s="3197">
        <f>GA!E7</f>
        <v>7359540</v>
      </c>
      <c r="G150" s="3197"/>
      <c r="H150" s="2064"/>
      <c r="I150" s="2058"/>
      <c r="J150" s="2058"/>
    </row>
    <row r="151" spans="2:10" ht="18" customHeight="1">
      <c r="B151" s="2063">
        <f>B150+1</f>
        <v>2</v>
      </c>
      <c r="C151" s="3196" t="s">
        <v>657</v>
      </c>
      <c r="D151" s="3196"/>
      <c r="E151" s="3196"/>
      <c r="F151" s="3197">
        <f>GA!E8</f>
        <v>0</v>
      </c>
      <c r="G151" s="3197"/>
      <c r="H151" s="2064"/>
      <c r="I151" s="2058"/>
      <c r="J151" s="2058"/>
    </row>
    <row r="152" spans="2:10" ht="18" customHeight="1">
      <c r="B152" s="2063">
        <f>B151+1</f>
        <v>3</v>
      </c>
      <c r="C152" s="3196" t="s">
        <v>587</v>
      </c>
      <c r="D152" s="3196"/>
      <c r="E152" s="3196"/>
      <c r="F152" s="3197">
        <f>GA!E9</f>
        <v>58374</v>
      </c>
      <c r="G152" s="3197"/>
      <c r="H152" s="2064"/>
      <c r="I152" s="2058"/>
      <c r="J152" s="2058"/>
    </row>
    <row r="153" spans="2:10" ht="18" customHeight="1">
      <c r="B153" s="2063">
        <f>B152+1</f>
        <v>4</v>
      </c>
      <c r="C153" s="3196" t="s">
        <v>658</v>
      </c>
      <c r="D153" s="3196"/>
      <c r="E153" s="3196"/>
      <c r="F153" s="3197">
        <f>GA!E10</f>
        <v>319652</v>
      </c>
      <c r="G153" s="3197"/>
      <c r="H153" s="2064"/>
      <c r="I153" s="2058"/>
      <c r="J153" s="2058"/>
    </row>
    <row r="154" spans="2:10" ht="18" customHeight="1">
      <c r="B154" s="2063"/>
      <c r="C154" s="3198" t="s">
        <v>659</v>
      </c>
      <c r="D154" s="3199"/>
      <c r="E154" s="3200"/>
      <c r="F154" s="3201">
        <f>SUBTOTAL(9,F150:F153)</f>
        <v>7737566</v>
      </c>
      <c r="G154" s="3201"/>
      <c r="H154" s="2064"/>
      <c r="I154" s="2058"/>
      <c r="J154" s="2058"/>
    </row>
    <row r="155" spans="2:10" ht="27" customHeight="1">
      <c r="B155" s="2063">
        <v>5</v>
      </c>
      <c r="C155" s="3196" t="s">
        <v>660</v>
      </c>
      <c r="D155" s="3196"/>
      <c r="E155" s="3196"/>
      <c r="F155" s="3197">
        <f>GA!E12</f>
        <v>38688</v>
      </c>
      <c r="G155" s="3197"/>
      <c r="H155" s="2064"/>
      <c r="I155" s="2058"/>
      <c r="J155" s="2058"/>
    </row>
    <row r="156" spans="2:10" ht="18" customHeight="1">
      <c r="B156" s="2063">
        <f>B155+1</f>
        <v>6</v>
      </c>
      <c r="C156" s="3196" t="s">
        <v>661</v>
      </c>
      <c r="D156" s="3196"/>
      <c r="E156" s="3196"/>
      <c r="F156" s="3197">
        <f>GA!E13</f>
        <v>7738</v>
      </c>
      <c r="G156" s="3197"/>
      <c r="H156" s="2064"/>
      <c r="I156" s="2058"/>
      <c r="J156" s="2058"/>
    </row>
    <row r="157" spans="2:10" ht="18" customHeight="1">
      <c r="B157" s="2063">
        <f>B156+1</f>
        <v>7</v>
      </c>
      <c r="C157" s="3196" t="s">
        <v>662</v>
      </c>
      <c r="D157" s="3196"/>
      <c r="E157" s="3196"/>
      <c r="F157" s="3197">
        <f>GA!E14</f>
        <v>170348</v>
      </c>
      <c r="G157" s="3197"/>
      <c r="H157" s="2064"/>
      <c r="I157" s="2058"/>
      <c r="J157" s="2058"/>
    </row>
    <row r="158" spans="2:10" ht="30" customHeight="1">
      <c r="B158" s="2063">
        <f>B157+1</f>
        <v>8</v>
      </c>
      <c r="C158" s="3196" t="s">
        <v>663</v>
      </c>
      <c r="D158" s="3196"/>
      <c r="E158" s="3196"/>
      <c r="F158" s="3197">
        <f>GA!E15</f>
        <v>51104</v>
      </c>
      <c r="G158" s="3197"/>
      <c r="H158" s="2064"/>
      <c r="I158" s="2058"/>
      <c r="J158" s="2058"/>
    </row>
    <row r="159" spans="2:10" ht="36" customHeight="1">
      <c r="B159" s="2063">
        <f>B158+1</f>
        <v>9</v>
      </c>
      <c r="C159" s="3196" t="s">
        <v>664</v>
      </c>
      <c r="D159" s="3196"/>
      <c r="E159" s="3196"/>
      <c r="F159" s="3197">
        <f>GA!E16</f>
        <v>3407</v>
      </c>
      <c r="G159" s="3197"/>
      <c r="H159" s="2064"/>
      <c r="I159" s="2058"/>
      <c r="J159" s="2058"/>
    </row>
    <row r="160" spans="2:10" ht="15">
      <c r="B160" s="2063">
        <f>B159+1</f>
        <v>10</v>
      </c>
      <c r="C160" s="3214" t="s">
        <v>665</v>
      </c>
      <c r="D160" s="3215"/>
      <c r="E160" s="3216"/>
      <c r="F160" s="3217">
        <f>GA!E17</f>
        <v>136278</v>
      </c>
      <c r="G160" s="3217"/>
      <c r="H160" s="2064"/>
      <c r="I160" s="2058"/>
      <c r="J160" s="2058"/>
    </row>
    <row r="161" spans="1:14" ht="18" customHeight="1">
      <c r="B161" s="2063"/>
      <c r="C161" s="3198" t="s">
        <v>659</v>
      </c>
      <c r="D161" s="3199"/>
      <c r="E161" s="3200"/>
      <c r="F161" s="3201">
        <f>GA!E18</f>
        <v>8145129</v>
      </c>
      <c r="G161" s="3201"/>
      <c r="H161" s="2064"/>
      <c r="I161" s="2058"/>
      <c r="J161" s="2058"/>
    </row>
    <row r="162" spans="1:14" ht="21.75" customHeight="1">
      <c r="B162" s="2063">
        <v>11</v>
      </c>
      <c r="C162" s="3196" t="s">
        <v>666</v>
      </c>
      <c r="D162" s="3196"/>
      <c r="E162" s="3196"/>
      <c r="F162" s="3197">
        <f>GA!E19</f>
        <v>1466123</v>
      </c>
      <c r="G162" s="3197"/>
      <c r="H162" s="2064"/>
      <c r="I162" s="2058"/>
      <c r="J162" s="2058"/>
    </row>
    <row r="163" spans="1:14" ht="34.5" customHeight="1">
      <c r="B163" s="2063">
        <v>12</v>
      </c>
      <c r="C163" s="3196" t="s">
        <v>667</v>
      </c>
      <c r="D163" s="3196"/>
      <c r="E163" s="3196"/>
      <c r="F163" s="3197">
        <f>GA!E20</f>
        <v>3748</v>
      </c>
      <c r="G163" s="3197"/>
      <c r="H163" s="2064"/>
      <c r="I163" s="2058"/>
      <c r="J163" s="2058"/>
    </row>
    <row r="164" spans="1:14" ht="30.75" customHeight="1">
      <c r="B164" s="2063"/>
      <c r="C164" s="3198" t="s">
        <v>668</v>
      </c>
      <c r="D164" s="3199"/>
      <c r="E164" s="3200"/>
      <c r="F164" s="3201">
        <f>GA!E21</f>
        <v>9615000</v>
      </c>
      <c r="G164" s="3201"/>
      <c r="H164" s="2065"/>
      <c r="I164" s="2058"/>
      <c r="J164" s="2058"/>
      <c r="K164" s="1874" t="s">
        <v>669</v>
      </c>
      <c r="L164" s="2064">
        <f>F164/100000</f>
        <v>96.15</v>
      </c>
    </row>
    <row r="165" spans="1:14" ht="35.25" customHeight="1">
      <c r="B165" s="3209" t="s">
        <v>670</v>
      </c>
      <c r="C165" s="3209"/>
      <c r="D165" s="3209"/>
      <c r="E165" s="3209"/>
      <c r="F165" s="3209"/>
      <c r="G165" s="3209"/>
      <c r="H165" s="3209"/>
      <c r="I165" s="3209"/>
      <c r="J165" s="3209"/>
    </row>
    <row r="166" spans="1:14" ht="62.25" customHeight="1">
      <c r="A166" s="1897" t="s">
        <v>604</v>
      </c>
      <c r="B166" s="3170" t="s">
        <v>462</v>
      </c>
      <c r="C166" s="3170"/>
      <c r="D166" s="3170"/>
      <c r="E166" s="2066" t="s">
        <v>671</v>
      </c>
      <c r="F166" s="1899" t="s">
        <v>672</v>
      </c>
      <c r="G166" s="2067" t="s">
        <v>673</v>
      </c>
      <c r="H166" s="2068" t="s">
        <v>674</v>
      </c>
      <c r="I166" s="3210" t="s">
        <v>675</v>
      </c>
      <c r="J166" s="3210"/>
      <c r="L166" s="1876">
        <v>1</v>
      </c>
      <c r="M166" s="1876">
        <v>2</v>
      </c>
      <c r="N166" s="1876">
        <f>L166+M166</f>
        <v>3</v>
      </c>
    </row>
    <row r="167" spans="1:14" ht="75.599999999999994" customHeight="1">
      <c r="A167" s="2039">
        <v>1</v>
      </c>
      <c r="B167" s="3173" t="str">
        <f>L3</f>
        <v xml:space="preserve">BT Renewal from Balabadraipally to Danamma Thanda of Gundumal Mandal in Narayanpet District </v>
      </c>
      <c r="C167" s="3174"/>
      <c r="D167" s="3175"/>
      <c r="E167" s="2069">
        <f>L4</f>
        <v>96.15</v>
      </c>
      <c r="F167" s="2070">
        <f>L9</f>
        <v>96.15</v>
      </c>
      <c r="G167" s="2071">
        <f>L10</f>
        <v>7737566</v>
      </c>
      <c r="H167" s="2071">
        <f>'Schedule-A (Part-B)'!E11</f>
        <v>1834998</v>
      </c>
      <c r="I167" s="3211">
        <f>'Schedule-A'!H192</f>
        <v>7737566</v>
      </c>
      <c r="J167" s="3211"/>
    </row>
    <row r="168" spans="1:14" ht="51.6" customHeight="1">
      <c r="B168" s="3186" t="s">
        <v>676</v>
      </c>
      <c r="C168" s="3186"/>
      <c r="D168" s="3186"/>
      <c r="E168" s="3186"/>
      <c r="F168" s="3186"/>
      <c r="G168" s="3186"/>
      <c r="H168" s="3186"/>
      <c r="I168" s="3186"/>
      <c r="J168" s="3186"/>
    </row>
    <row r="169" spans="1:14" s="649" customFormat="1" ht="49.5" hidden="1" customHeight="1">
      <c r="A169" s="1587"/>
      <c r="B169" s="1588"/>
      <c r="C169" s="1588"/>
      <c r="D169" s="1588"/>
      <c r="E169" s="1588"/>
      <c r="F169" s="1588"/>
      <c r="G169" s="1588"/>
      <c r="H169" s="1588"/>
      <c r="I169" s="1588"/>
      <c r="J169" s="1588"/>
      <c r="K169" s="758"/>
    </row>
    <row r="170" spans="1:14">
      <c r="A170" s="2072"/>
      <c r="B170" s="3212" t="s">
        <v>677</v>
      </c>
      <c r="C170" s="3212"/>
      <c r="D170" s="3212"/>
      <c r="E170" s="3212"/>
      <c r="F170" s="3212"/>
      <c r="G170" s="3212"/>
      <c r="H170" s="3212"/>
      <c r="I170" s="3212"/>
      <c r="J170" s="3212"/>
      <c r="K170" s="2073"/>
    </row>
    <row r="171" spans="1:14">
      <c r="B171" s="3213" t="s">
        <v>678</v>
      </c>
      <c r="C171" s="3213"/>
      <c r="D171" s="3213"/>
      <c r="E171" s="3213"/>
      <c r="F171" s="3213"/>
      <c r="G171" s="3213"/>
      <c r="H171" s="3213"/>
      <c r="I171" s="3213"/>
      <c r="J171" s="3213"/>
      <c r="K171" s="2074"/>
    </row>
    <row r="172" spans="1:14">
      <c r="B172" s="3213" t="str">
        <f>"Memo No."&amp;$L$2&amp;","&amp;$P$2</f>
        <v>Memo No.AE-DEE-Gundumal-Vkb-SDF-2024-25,  Dt:     -12-2024</v>
      </c>
      <c r="C172" s="3213"/>
      <c r="D172" s="3213"/>
      <c r="E172" s="3213"/>
      <c r="F172" s="3213"/>
      <c r="G172" s="3213"/>
      <c r="H172" s="3213"/>
      <c r="I172" s="3213"/>
      <c r="J172" s="3213"/>
      <c r="K172" s="2074"/>
    </row>
    <row r="173" spans="1:14" ht="42" customHeight="1">
      <c r="B173" s="2075" t="s">
        <v>679</v>
      </c>
      <c r="C173" s="3206" t="str">
        <f>'Input Data'!J6&amp;" -"&amp;$L$7&amp;" Dist-"&amp;$L$3&amp;" Estt.Cost Rs."&amp;$L$4&amp;".00 Lakhs Technically Sanctioned Estimate copy communicated for taking further necessary action- Reg."</f>
        <v>SDF-2024-25 -Narayanpet Dist-BT Renewal from Balabadraipally to Danamma Thanda of Gundumal Mandal in Narayanpet District  Estt.Cost Rs.96.15.00 Lakhs Technically Sanctioned Estimate copy communicated for taking further necessary action- Reg.</v>
      </c>
      <c r="D173" s="3206"/>
      <c r="E173" s="3206"/>
      <c r="F173" s="3206"/>
      <c r="G173" s="3206"/>
      <c r="H173" s="3206"/>
      <c r="I173" s="3206"/>
      <c r="J173" s="3206"/>
      <c r="K173" s="2074"/>
    </row>
    <row r="174" spans="1:14" ht="16.5" customHeight="1">
      <c r="B174" s="2075" t="s">
        <v>680</v>
      </c>
      <c r="C174" s="3206" t="str">
        <f>$C$4</f>
        <v>1)..</v>
      </c>
      <c r="D174" s="3206"/>
      <c r="E174" s="3206"/>
      <c r="F174" s="3206"/>
      <c r="G174" s="3206"/>
      <c r="H174" s="3206"/>
      <c r="I174" s="3206"/>
      <c r="J174" s="3206"/>
      <c r="K174" s="2074"/>
    </row>
    <row r="175" spans="1:14" ht="21" customHeight="1">
      <c r="B175" s="2074"/>
      <c r="C175" s="3207" t="str">
        <f>$C$5</f>
        <v>2). SE,PR,Vikarabad vide Lr.No.T4/CRR/Wanaparthy/22 Dt: 06.09.2022</v>
      </c>
      <c r="D175" s="3207"/>
      <c r="E175" s="3207"/>
      <c r="F175" s="3207"/>
      <c r="G175" s="3207"/>
      <c r="H175" s="3207"/>
      <c r="I175" s="3207"/>
      <c r="J175" s="3207"/>
      <c r="K175" s="2074"/>
    </row>
    <row r="176" spans="1:14" s="649" customFormat="1" ht="22.5" hidden="1" customHeight="1">
      <c r="A176" s="1587"/>
      <c r="B176" s="1589"/>
      <c r="C176" s="3208" t="e">
        <f>#REF!</f>
        <v>#REF!</v>
      </c>
      <c r="D176" s="3208"/>
      <c r="E176" s="3208"/>
      <c r="F176" s="3208"/>
      <c r="G176" s="3208"/>
      <c r="H176" s="3208"/>
      <c r="I176" s="3208"/>
      <c r="J176" s="3208"/>
      <c r="K176" s="1590"/>
    </row>
    <row r="177" spans="1:12">
      <c r="B177" s="2074"/>
      <c r="C177" s="2074"/>
      <c r="D177" s="2074"/>
      <c r="E177" s="2074"/>
      <c r="F177" s="2076" t="s">
        <v>681</v>
      </c>
      <c r="G177" s="2074"/>
      <c r="H177" s="2074"/>
      <c r="I177" s="2074"/>
      <c r="J177" s="2074"/>
      <c r="K177" s="2074"/>
    </row>
    <row r="178" spans="1:12" ht="96" customHeight="1">
      <c r="B178" s="3207" t="str">
        <f>CONCATENATE("                                 The estimate submitted by the Superintending Engineer, P.R,"&amp;L1&amp;" through ref 2nd cited for the work: "&amp;'Input Data'!E1&amp;" is technically Sanctioned for Rs."&amp;L164&amp;".00 Lakhs with SSR  2024-25 against the adm. Sanction cost of Rs."&amp;'Note File'!L4&amp;".00 Lakhs  vide ref.1st cited, and the copy of the Technically Sanctioned estimate along with Schedule copies  are here with communicated for taking necessary action duly following the points mentioned below:")</f>
        <v xml:space="preserve">                                 The estimate submitted by the Superintending Engineer, P.R,Vikarabad through ref 2nd cited for the work: BT Renewal from Balabadraipally to Danamma Thanda of Gundumal Mandal in Narayanpet District  is technically Sanctioned for Rs.96.15.00 Lakhs with SSR  2024-25 against the adm. Sanction cost of Rs.96.15.00 Lakhs  vide ref.1st cited, and the copy of the Technically Sanctioned estimate along with Schedule copies  are here with communicated for taking necessary action duly following the points mentioned below:</v>
      </c>
      <c r="C178" s="3207"/>
      <c r="D178" s="3207"/>
      <c r="E178" s="3207"/>
      <c r="F178" s="3207"/>
      <c r="G178" s="3207"/>
      <c r="H178" s="3207"/>
      <c r="I178" s="3207"/>
      <c r="J178" s="3207"/>
      <c r="K178" s="2074"/>
      <c r="L178" s="2077" t="e">
        <f>L9+#REF!</f>
        <v>#REF!</v>
      </c>
    </row>
    <row r="179" spans="1:12" ht="39" customHeight="1">
      <c r="A179" s="2078" t="s">
        <v>682</v>
      </c>
      <c r="B179" s="3202" t="s">
        <v>683</v>
      </c>
      <c r="C179" s="3202"/>
      <c r="D179" s="3202"/>
      <c r="E179" s="3202"/>
      <c r="F179" s="3202"/>
      <c r="G179" s="3202"/>
      <c r="H179" s="3202"/>
      <c r="I179" s="3202"/>
      <c r="J179" s="3202"/>
      <c r="K179" s="2074"/>
    </row>
    <row r="180" spans="1:12" ht="34.950000000000003" customHeight="1">
      <c r="A180" s="2078" t="s">
        <v>684</v>
      </c>
      <c r="B180" s="3202" t="s">
        <v>685</v>
      </c>
      <c r="C180" s="3202"/>
      <c r="D180" s="3202"/>
      <c r="E180" s="3202"/>
      <c r="F180" s="3202"/>
      <c r="G180" s="3202"/>
      <c r="H180" s="3202"/>
      <c r="I180" s="3202"/>
      <c r="J180" s="3202"/>
      <c r="K180" s="2074"/>
    </row>
    <row r="181" spans="1:12" ht="36" customHeight="1">
      <c r="A181" s="2078" t="s">
        <v>686</v>
      </c>
      <c r="B181" s="3202" t="s">
        <v>687</v>
      </c>
      <c r="C181" s="3202"/>
      <c r="D181" s="3202"/>
      <c r="E181" s="3202"/>
      <c r="F181" s="3202"/>
      <c r="G181" s="3202"/>
      <c r="H181" s="3202"/>
      <c r="I181" s="3202"/>
      <c r="J181" s="3202"/>
      <c r="K181" s="2074"/>
    </row>
    <row r="182" spans="1:12" ht="35.25" customHeight="1">
      <c r="A182" s="2078" t="s">
        <v>688</v>
      </c>
      <c r="B182" s="3202" t="s">
        <v>689</v>
      </c>
      <c r="C182" s="3202"/>
      <c r="D182" s="3202"/>
      <c r="E182" s="3202"/>
      <c r="F182" s="3202"/>
      <c r="G182" s="3202"/>
      <c r="H182" s="3202"/>
      <c r="I182" s="3202"/>
      <c r="J182" s="3202"/>
      <c r="K182" s="2074"/>
    </row>
    <row r="183" spans="1:12" ht="51.75" customHeight="1">
      <c r="A183" s="2078" t="s">
        <v>690</v>
      </c>
      <c r="B183" s="3202" t="s">
        <v>691</v>
      </c>
      <c r="C183" s="3202"/>
      <c r="D183" s="3202"/>
      <c r="E183" s="3202"/>
      <c r="F183" s="3202"/>
      <c r="G183" s="3202"/>
      <c r="H183" s="3202"/>
      <c r="I183" s="3202"/>
      <c r="J183" s="3202"/>
      <c r="K183" s="2074"/>
    </row>
    <row r="184" spans="1:12" ht="66" customHeight="1">
      <c r="A184" s="2078" t="s">
        <v>692</v>
      </c>
      <c r="B184" s="3202" t="s">
        <v>693</v>
      </c>
      <c r="C184" s="3202"/>
      <c r="D184" s="3202"/>
      <c r="E184" s="3202"/>
      <c r="F184" s="3202"/>
      <c r="G184" s="3202"/>
      <c r="H184" s="3202"/>
      <c r="I184" s="3202"/>
      <c r="J184" s="3202"/>
      <c r="K184" s="2074"/>
    </row>
    <row r="185" spans="1:12" ht="83.1" customHeight="1">
      <c r="A185" s="2078" t="s">
        <v>694</v>
      </c>
      <c r="B185" s="3202" t="s">
        <v>695</v>
      </c>
      <c r="C185" s="3202"/>
      <c r="D185" s="3202"/>
      <c r="E185" s="3202"/>
      <c r="F185" s="3202"/>
      <c r="G185" s="3202"/>
      <c r="H185" s="3202"/>
      <c r="I185" s="3202"/>
      <c r="J185" s="3202"/>
      <c r="K185" s="2074"/>
    </row>
    <row r="186" spans="1:12" ht="78" customHeight="1">
      <c r="A186" s="2078" t="s">
        <v>696</v>
      </c>
      <c r="B186" s="3202" t="s">
        <v>697</v>
      </c>
      <c r="C186" s="3202"/>
      <c r="D186" s="3202"/>
      <c r="E186" s="3202"/>
      <c r="F186" s="3202"/>
      <c r="G186" s="3202"/>
      <c r="H186" s="3202"/>
      <c r="I186" s="3202"/>
      <c r="J186" s="3202"/>
      <c r="K186" s="2074"/>
    </row>
    <row r="187" spans="1:12" ht="63" customHeight="1">
      <c r="A187" s="2078" t="s">
        <v>698</v>
      </c>
      <c r="B187" s="3202" t="str">
        <f>"The crust design is provided for Flexible pavement as per IRC SP 72:2015 and for Rigid pavements as per  IRC SP 62:2014 based on the trafic calculations and CBR value submitted the SE PR "&amp;L1&amp;". The necessary corrections in the crust design shall be made in case of any eronous data pertaining to either existing crust, CBR value, traffic data if any before execution of the work."</f>
        <v>The crust design is provided for Flexible pavement as per IRC SP 72:2015 and for Rigid pavements as per  IRC SP 62:2014 based on the trafic calculations and CBR value submitted the SE PR Vikarabad. The necessary corrections in the crust design shall be made in case of any eronous data pertaining to either existing crust, CBR value, traffic data if any before execution of the work.</v>
      </c>
      <c r="C187" s="3202"/>
      <c r="D187" s="3202"/>
      <c r="E187" s="3202"/>
      <c r="F187" s="3202"/>
      <c r="G187" s="3202"/>
      <c r="H187" s="3202"/>
      <c r="I187" s="3202"/>
      <c r="J187" s="3202"/>
      <c r="K187" s="2074"/>
    </row>
    <row r="188" spans="1:12" ht="54.9" customHeight="1">
      <c r="A188" s="2078" t="s">
        <v>699</v>
      </c>
      <c r="B188" s="3202" t="s">
        <v>700</v>
      </c>
      <c r="C188" s="3202"/>
      <c r="D188" s="3202"/>
      <c r="E188" s="3202"/>
      <c r="F188" s="3202"/>
      <c r="G188" s="3202"/>
      <c r="H188" s="3202"/>
      <c r="I188" s="3202"/>
      <c r="J188" s="3202"/>
      <c r="K188" s="2074"/>
    </row>
    <row r="189" spans="1:12">
      <c r="A189" s="2078"/>
      <c r="B189" s="2079"/>
      <c r="C189" s="2079"/>
      <c r="D189" s="2079"/>
      <c r="E189" s="2079"/>
      <c r="F189" s="2079"/>
      <c r="G189" s="2079"/>
      <c r="I189" s="2080" t="s">
        <v>701</v>
      </c>
      <c r="J189" s="2079"/>
      <c r="K189" s="2074"/>
    </row>
    <row r="190" spans="1:12">
      <c r="B190" s="2074"/>
      <c r="C190" s="2074"/>
      <c r="D190" s="2074"/>
      <c r="E190" s="2074"/>
      <c r="F190" s="2074"/>
      <c r="G190" s="2074"/>
      <c r="I190" s="2081" t="s">
        <v>702</v>
      </c>
      <c r="J190" s="2074"/>
      <c r="K190" s="2074"/>
    </row>
    <row r="191" spans="1:12">
      <c r="B191" s="2074"/>
      <c r="C191" s="2074"/>
      <c r="D191" s="2074"/>
      <c r="E191" s="2074"/>
      <c r="F191" s="2074"/>
      <c r="G191" s="2074"/>
      <c r="I191" s="2081" t="s">
        <v>703</v>
      </c>
      <c r="J191" s="2074"/>
      <c r="K191" s="2074"/>
    </row>
    <row r="192" spans="1:12">
      <c r="B192" s="2074" t="s">
        <v>704</v>
      </c>
      <c r="C192" s="2074"/>
      <c r="D192" s="2074"/>
      <c r="E192" s="2074"/>
      <c r="F192" s="2074"/>
      <c r="G192" s="2074"/>
      <c r="H192" s="2081"/>
      <c r="J192" s="2074"/>
      <c r="K192" s="2074"/>
    </row>
    <row r="193" spans="1:11" s="2084" customFormat="1">
      <c r="A193" s="2082"/>
      <c r="B193" s="2083" t="str">
        <f>"The Superintending Engineer (PR), "&amp;$L$1</f>
        <v>The Superintending Engineer (PR), Vikarabad</v>
      </c>
      <c r="C193" s="2083"/>
      <c r="D193" s="2083"/>
      <c r="E193" s="2083"/>
      <c r="F193" s="2083"/>
      <c r="G193" s="2083"/>
      <c r="I193" s="2083"/>
      <c r="J193" s="2083"/>
      <c r="K193" s="2085"/>
    </row>
    <row r="194" spans="1:11" s="2089" customFormat="1">
      <c r="A194" s="2086"/>
      <c r="B194" s="2074"/>
      <c r="C194" s="2074"/>
      <c r="D194" s="2074"/>
      <c r="E194" s="2087"/>
      <c r="F194" s="2088" t="s">
        <v>705</v>
      </c>
      <c r="G194" s="2087"/>
      <c r="H194" s="2087"/>
      <c r="K194" s="2074"/>
    </row>
    <row r="195" spans="1:11" s="2089" customFormat="1">
      <c r="A195" s="2086"/>
      <c r="B195" s="2074"/>
      <c r="C195" s="2074"/>
      <c r="D195" s="2074"/>
      <c r="E195" s="2087"/>
      <c r="F195" s="2088"/>
      <c r="G195" s="2087"/>
      <c r="H195" s="2087"/>
      <c r="K195" s="2074"/>
    </row>
    <row r="196" spans="1:11" s="2089" customFormat="1">
      <c r="A196" s="2086"/>
      <c r="B196" s="2074"/>
      <c r="C196" s="2074"/>
      <c r="D196" s="2074"/>
      <c r="E196" s="2087"/>
      <c r="F196" s="2088" t="s">
        <v>706</v>
      </c>
      <c r="G196" s="2087"/>
      <c r="H196" s="2087"/>
      <c r="K196" s="2074"/>
    </row>
    <row r="197" spans="1:11" s="2089" customFormat="1">
      <c r="A197" s="2086"/>
      <c r="F197" s="2086"/>
      <c r="G197" s="2086"/>
      <c r="H197" s="2090"/>
      <c r="K197" s="2091"/>
    </row>
  </sheetData>
  <protectedRanges>
    <protectedRange password="CC6F" sqref="P116:P117" name="Range1"/>
  </protectedRanges>
  <autoFilter ref="A63:AD100">
    <filterColumn colId="5">
      <filters blank="1">
        <filter val="277.50"/>
        <filter val="3"/>
        <filter val="3125.00"/>
        <filter val="3300.00"/>
        <filter val="3750.00"/>
        <filter val="599.06"/>
        <filter val="618.00"/>
        <filter val="764.00"/>
        <filter val="99.00"/>
        <filter val="No"/>
      </filters>
    </filterColumn>
  </autoFilter>
  <mergeCells count="317">
    <mergeCell ref="B183:J183"/>
    <mergeCell ref="B184:J184"/>
    <mergeCell ref="B185:J185"/>
    <mergeCell ref="B186:J186"/>
    <mergeCell ref="B187:J187"/>
    <mergeCell ref="B172:J172"/>
    <mergeCell ref="C160:E160"/>
    <mergeCell ref="F160:G160"/>
    <mergeCell ref="C161:E161"/>
    <mergeCell ref="F161:G161"/>
    <mergeCell ref="C162:E162"/>
    <mergeCell ref="F162:G162"/>
    <mergeCell ref="C163:E163"/>
    <mergeCell ref="F163:G163"/>
    <mergeCell ref="C164:E164"/>
    <mergeCell ref="F164:G164"/>
    <mergeCell ref="B188:J188"/>
    <mergeCell ref="A4:A5"/>
    <mergeCell ref="A59:A60"/>
    <mergeCell ref="A62:A63"/>
    <mergeCell ref="B4:B5"/>
    <mergeCell ref="D59:D60"/>
    <mergeCell ref="E59:E60"/>
    <mergeCell ref="C173:J173"/>
    <mergeCell ref="C174:J174"/>
    <mergeCell ref="C175:J175"/>
    <mergeCell ref="C176:J176"/>
    <mergeCell ref="B178:J178"/>
    <mergeCell ref="B179:J179"/>
    <mergeCell ref="B180:J180"/>
    <mergeCell ref="B181:J181"/>
    <mergeCell ref="B182:J182"/>
    <mergeCell ref="B165:J165"/>
    <mergeCell ref="B166:D166"/>
    <mergeCell ref="I166:J166"/>
    <mergeCell ref="B167:D167"/>
    <mergeCell ref="I167:J167"/>
    <mergeCell ref="B168:J168"/>
    <mergeCell ref="B170:J170"/>
    <mergeCell ref="B171:J171"/>
    <mergeCell ref="C159:E159"/>
    <mergeCell ref="F159:G159"/>
    <mergeCell ref="C150:E150"/>
    <mergeCell ref="F150:G150"/>
    <mergeCell ref="C151:E151"/>
    <mergeCell ref="F151:G151"/>
    <mergeCell ref="C152:E152"/>
    <mergeCell ref="F152:G152"/>
    <mergeCell ref="C153:E153"/>
    <mergeCell ref="F153:G153"/>
    <mergeCell ref="C154:E154"/>
    <mergeCell ref="F154:G154"/>
    <mergeCell ref="C155:E155"/>
    <mergeCell ref="F155:G155"/>
    <mergeCell ref="C156:E156"/>
    <mergeCell ref="F156:G156"/>
    <mergeCell ref="B144:J144"/>
    <mergeCell ref="B146:J146"/>
    <mergeCell ref="C147:I147"/>
    <mergeCell ref="E148:F148"/>
    <mergeCell ref="C149:E149"/>
    <mergeCell ref="F149:G149"/>
    <mergeCell ref="C157:E157"/>
    <mergeCell ref="F157:G157"/>
    <mergeCell ref="C158:E158"/>
    <mergeCell ref="F158:G158"/>
    <mergeCell ref="B135:J135"/>
    <mergeCell ref="B136:J136"/>
    <mergeCell ref="B137:J137"/>
    <mergeCell ref="B138:J138"/>
    <mergeCell ref="B139:J139"/>
    <mergeCell ref="B140:J140"/>
    <mergeCell ref="B141:J141"/>
    <mergeCell ref="B142:J142"/>
    <mergeCell ref="B143:J143"/>
    <mergeCell ref="B126:J126"/>
    <mergeCell ref="B127:J127"/>
    <mergeCell ref="B128:J128"/>
    <mergeCell ref="B129:J129"/>
    <mergeCell ref="B130:J130"/>
    <mergeCell ref="B131:J131"/>
    <mergeCell ref="B132:J132"/>
    <mergeCell ref="B133:J133"/>
    <mergeCell ref="B134:J134"/>
    <mergeCell ref="B123:D123"/>
    <mergeCell ref="E123:F123"/>
    <mergeCell ref="I123:J123"/>
    <mergeCell ref="B124:D124"/>
    <mergeCell ref="E124:F124"/>
    <mergeCell ref="I124:J124"/>
    <mergeCell ref="B125:D125"/>
    <mergeCell ref="E125:F125"/>
    <mergeCell ref="I125:J125"/>
    <mergeCell ref="B120:D120"/>
    <mergeCell ref="E120:F120"/>
    <mergeCell ref="I120:J120"/>
    <mergeCell ref="B121:D121"/>
    <mergeCell ref="E121:F121"/>
    <mergeCell ref="I121:J121"/>
    <mergeCell ref="B122:D122"/>
    <mergeCell ref="E122:F122"/>
    <mergeCell ref="I122:J122"/>
    <mergeCell ref="B117:D117"/>
    <mergeCell ref="E117:F117"/>
    <mergeCell ref="I117:J117"/>
    <mergeCell ref="B118:D118"/>
    <mergeCell ref="E118:F118"/>
    <mergeCell ref="I118:J118"/>
    <mergeCell ref="B119:D119"/>
    <mergeCell ref="E119:F119"/>
    <mergeCell ref="I119:J119"/>
    <mergeCell ref="B114:D114"/>
    <mergeCell ref="E114:F114"/>
    <mergeCell ref="I114:J114"/>
    <mergeCell ref="B115:D115"/>
    <mergeCell ref="E115:F115"/>
    <mergeCell ref="I115:J115"/>
    <mergeCell ref="B116:D116"/>
    <mergeCell ref="E116:F116"/>
    <mergeCell ref="I116:J116"/>
    <mergeCell ref="B111:D111"/>
    <mergeCell ref="E111:F111"/>
    <mergeCell ref="I111:J111"/>
    <mergeCell ref="B112:D112"/>
    <mergeCell ref="E112:F112"/>
    <mergeCell ref="I112:J112"/>
    <mergeCell ref="B113:D113"/>
    <mergeCell ref="E113:F113"/>
    <mergeCell ref="I113:J113"/>
    <mergeCell ref="B101:D101"/>
    <mergeCell ref="B103:D103"/>
    <mergeCell ref="B104:D104"/>
    <mergeCell ref="B105:D105"/>
    <mergeCell ref="B106:J106"/>
    <mergeCell ref="B107:I107"/>
    <mergeCell ref="B108:G108"/>
    <mergeCell ref="H108:I108"/>
    <mergeCell ref="B110:D110"/>
    <mergeCell ref="E110:F110"/>
    <mergeCell ref="I110:J110"/>
    <mergeCell ref="B96:E96"/>
    <mergeCell ref="I96:J96"/>
    <mergeCell ref="B97:E97"/>
    <mergeCell ref="I97:J97"/>
    <mergeCell ref="B98:E98"/>
    <mergeCell ref="B99:E99"/>
    <mergeCell ref="I99:J99"/>
    <mergeCell ref="B100:E100"/>
    <mergeCell ref="I100:J100"/>
    <mergeCell ref="B91:E91"/>
    <mergeCell ref="I91:J91"/>
    <mergeCell ref="B92:E92"/>
    <mergeCell ref="I92:J92"/>
    <mergeCell ref="B93:E93"/>
    <mergeCell ref="I93:J93"/>
    <mergeCell ref="B94:E94"/>
    <mergeCell ref="I94:J94"/>
    <mergeCell ref="B95:E95"/>
    <mergeCell ref="I95:J95"/>
    <mergeCell ref="B86:E86"/>
    <mergeCell ref="I86:J86"/>
    <mergeCell ref="B87:E87"/>
    <mergeCell ref="I87:J87"/>
    <mergeCell ref="B88:E88"/>
    <mergeCell ref="I88:J88"/>
    <mergeCell ref="B89:E89"/>
    <mergeCell ref="I89:J89"/>
    <mergeCell ref="B90:E90"/>
    <mergeCell ref="I90:J90"/>
    <mergeCell ref="B81:E81"/>
    <mergeCell ref="I81:J81"/>
    <mergeCell ref="B82:E82"/>
    <mergeCell ref="I82:J82"/>
    <mergeCell ref="B83:E83"/>
    <mergeCell ref="I83:J83"/>
    <mergeCell ref="B84:E84"/>
    <mergeCell ref="I84:J84"/>
    <mergeCell ref="B85:E85"/>
    <mergeCell ref="I85:J85"/>
    <mergeCell ref="B76:E76"/>
    <mergeCell ref="I76:J76"/>
    <mergeCell ref="B77:E77"/>
    <mergeCell ref="I77:J77"/>
    <mergeCell ref="B78:E78"/>
    <mergeCell ref="I78:J78"/>
    <mergeCell ref="B79:E79"/>
    <mergeCell ref="I79:J79"/>
    <mergeCell ref="B80:E80"/>
    <mergeCell ref="I80:J80"/>
    <mergeCell ref="B71:E71"/>
    <mergeCell ref="I71:J71"/>
    <mergeCell ref="B72:E72"/>
    <mergeCell ref="I72:J72"/>
    <mergeCell ref="B73:E73"/>
    <mergeCell ref="I73:J73"/>
    <mergeCell ref="B74:E74"/>
    <mergeCell ref="I74:J74"/>
    <mergeCell ref="B75:E75"/>
    <mergeCell ref="I75:J75"/>
    <mergeCell ref="B66:E66"/>
    <mergeCell ref="I66:J66"/>
    <mergeCell ref="B67:E67"/>
    <mergeCell ref="I67:J67"/>
    <mergeCell ref="B68:E68"/>
    <mergeCell ref="I68:J68"/>
    <mergeCell ref="B69:E69"/>
    <mergeCell ref="I69:J69"/>
    <mergeCell ref="B70:E70"/>
    <mergeCell ref="I70:J70"/>
    <mergeCell ref="W61:Z61"/>
    <mergeCell ref="B62:E62"/>
    <mergeCell ref="F62:H62"/>
    <mergeCell ref="I62:J62"/>
    <mergeCell ref="B63:E63"/>
    <mergeCell ref="I63:J63"/>
    <mergeCell ref="B64:E64"/>
    <mergeCell ref="I64:J64"/>
    <mergeCell ref="B65:E65"/>
    <mergeCell ref="I65:J65"/>
    <mergeCell ref="B57:D57"/>
    <mergeCell ref="R57:S57"/>
    <mergeCell ref="B58:J58"/>
    <mergeCell ref="G59:J59"/>
    <mergeCell ref="I60:J60"/>
    <mergeCell ref="B61:J61"/>
    <mergeCell ref="M61:O61"/>
    <mergeCell ref="P61:T61"/>
    <mergeCell ref="U61:V61"/>
    <mergeCell ref="T51:T57"/>
    <mergeCell ref="B59:C60"/>
    <mergeCell ref="C52:D52"/>
    <mergeCell ref="R52:S52"/>
    <mergeCell ref="C53:D53"/>
    <mergeCell ref="R53:S53"/>
    <mergeCell ref="C54:D54"/>
    <mergeCell ref="R54:S54"/>
    <mergeCell ref="C55:D55"/>
    <mergeCell ref="R55:S55"/>
    <mergeCell ref="C56:D56"/>
    <mergeCell ref="R56:S56"/>
    <mergeCell ref="G38:J38"/>
    <mergeCell ref="B49:E49"/>
    <mergeCell ref="F49:J49"/>
    <mergeCell ref="B50:C50"/>
    <mergeCell ref="H50:I50"/>
    <mergeCell ref="O50:S50"/>
    <mergeCell ref="B51:E51"/>
    <mergeCell ref="F51:G51"/>
    <mergeCell ref="O51:S51"/>
    <mergeCell ref="B35:D35"/>
    <mergeCell ref="E35:G35"/>
    <mergeCell ref="B36:D36"/>
    <mergeCell ref="E36:G36"/>
    <mergeCell ref="M36:O36"/>
    <mergeCell ref="P36:T36"/>
    <mergeCell ref="U36:V36"/>
    <mergeCell ref="W36:Z36"/>
    <mergeCell ref="A37:J37"/>
    <mergeCell ref="A28:J28"/>
    <mergeCell ref="A29:J29"/>
    <mergeCell ref="A30:J30"/>
    <mergeCell ref="A31:J31"/>
    <mergeCell ref="A32:J32"/>
    <mergeCell ref="B33:D33"/>
    <mergeCell ref="E33:G33"/>
    <mergeCell ref="B34:D34"/>
    <mergeCell ref="E34:G34"/>
    <mergeCell ref="A22:B22"/>
    <mergeCell ref="C22:E22"/>
    <mergeCell ref="F22:G22"/>
    <mergeCell ref="A23:H23"/>
    <mergeCell ref="I23:J23"/>
    <mergeCell ref="A24:J24"/>
    <mergeCell ref="A25:J25"/>
    <mergeCell ref="A26:J26"/>
    <mergeCell ref="A27:J27"/>
    <mergeCell ref="B18:J18"/>
    <mergeCell ref="C19:E19"/>
    <mergeCell ref="H19:J19"/>
    <mergeCell ref="M19:O19"/>
    <mergeCell ref="P19:S19"/>
    <mergeCell ref="T19:U19"/>
    <mergeCell ref="V19:Y19"/>
    <mergeCell ref="A21:B21"/>
    <mergeCell ref="C21:E21"/>
    <mergeCell ref="F21:G21"/>
    <mergeCell ref="F19:G20"/>
    <mergeCell ref="A19:B20"/>
    <mergeCell ref="B13:D13"/>
    <mergeCell ref="F13:J13"/>
    <mergeCell ref="B14:D14"/>
    <mergeCell ref="F14:J14"/>
    <mergeCell ref="B15:D15"/>
    <mergeCell ref="F15:J15"/>
    <mergeCell ref="B16:D16"/>
    <mergeCell ref="F16:J16"/>
    <mergeCell ref="B17:D17"/>
    <mergeCell ref="F17:J17"/>
    <mergeCell ref="B8:J8"/>
    <mergeCell ref="B9:J9"/>
    <mergeCell ref="B10:D10"/>
    <mergeCell ref="F10:J10"/>
    <mergeCell ref="O10:R10"/>
    <mergeCell ref="B11:D11"/>
    <mergeCell ref="F11:J11"/>
    <mergeCell ref="B12:D12"/>
    <mergeCell ref="F12:J12"/>
    <mergeCell ref="B1:J1"/>
    <mergeCell ref="B2:J2"/>
    <mergeCell ref="C3:J3"/>
    <mergeCell ref="C4:J4"/>
    <mergeCell ref="C5:J5"/>
    <mergeCell ref="O5:R5"/>
    <mergeCell ref="C6:J6"/>
    <mergeCell ref="B7:D7"/>
    <mergeCell ref="E7:G7"/>
    <mergeCell ref="H7:J7"/>
  </mergeCells>
  <conditionalFormatting sqref="K64:K83">
    <cfRule type="cellIs" dxfId="28" priority="1" stopIfTrue="1" operator="lessThan">
      <formula>1</formula>
    </cfRule>
  </conditionalFormatting>
  <printOptions horizontalCentered="1"/>
  <pageMargins left="0.39370078740157499" right="0.39370078740157499" top="0.511811023622047" bottom="0.511811023622047" header="0.23622047244094499" footer="0.23622047244094499"/>
  <pageSetup paperSize="9" scale="86" orientation="portrait" r:id="rId1"/>
  <headerFooter alignWithMargins="0"/>
  <rowBreaks count="2" manualBreakCount="2">
    <brk id="144" max="9" man="1"/>
    <brk id="168" max="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K52"/>
  <sheetViews>
    <sheetView showGridLines="0" tabSelected="1" view="pageBreakPreview" topLeftCell="A7" workbookViewId="0">
      <selection activeCell="E9" sqref="E9"/>
    </sheetView>
  </sheetViews>
  <sheetFormatPr defaultColWidth="9.109375" defaultRowHeight="17.399999999999999"/>
  <cols>
    <col min="1" max="1" width="10.33203125" style="2092" customWidth="1"/>
    <col min="2" max="2" width="48" style="2092" customWidth="1"/>
    <col min="3" max="3" width="9.5546875" style="2092" customWidth="1"/>
    <col min="4" max="4" width="8.5546875" style="2092" customWidth="1"/>
    <col min="5" max="5" width="18.109375" style="2092" customWidth="1"/>
    <col min="6" max="6" width="8.44140625" style="2092" customWidth="1"/>
    <col min="7" max="7" width="18.44140625" style="2092" customWidth="1"/>
    <col min="8" max="8" width="15" style="2092" customWidth="1"/>
    <col min="9" max="9" width="16.33203125" style="2092" customWidth="1"/>
    <col min="10" max="10" width="9.109375" style="2092"/>
    <col min="11" max="11" width="11.44140625" style="2092" customWidth="1"/>
    <col min="12" max="12" width="9.109375" style="2092"/>
    <col min="13" max="13" width="11.44140625" style="2092" customWidth="1"/>
    <col min="14" max="16384" width="9.109375" style="2092"/>
  </cols>
  <sheetData>
    <row r="1" spans="1:9" ht="21" customHeight="1">
      <c r="A1" s="3218" t="s">
        <v>707</v>
      </c>
      <c r="B1" s="3218"/>
      <c r="C1" s="3218"/>
      <c r="D1" s="3218"/>
      <c r="E1" s="3218"/>
      <c r="G1" s="2093"/>
    </row>
    <row r="2" spans="1:9" ht="36.75" customHeight="1">
      <c r="A2" s="2094" t="s">
        <v>652</v>
      </c>
      <c r="B2" s="3219" t="str">
        <f>'Input Data'!E1</f>
        <v xml:space="preserve">BT Renewal from Balabadraipally to Danamma Thanda of Gundumal Mandal in Narayanpet District </v>
      </c>
      <c r="C2" s="3220"/>
      <c r="D2" s="3220"/>
      <c r="E2" s="3220"/>
      <c r="G2" s="2093"/>
    </row>
    <row r="3" spans="1:9">
      <c r="A3" s="2094"/>
      <c r="B3" s="2095" t="s">
        <v>653</v>
      </c>
      <c r="C3" s="3221">
        <f>'Input Data'!J4</f>
        <v>96.15</v>
      </c>
      <c r="D3" s="3222"/>
      <c r="E3" s="2096" t="s">
        <v>329</v>
      </c>
      <c r="G3" s="2093"/>
    </row>
    <row r="4" spans="1:9" s="2098" customFormat="1" ht="20.25" customHeight="1">
      <c r="A4" s="2097" t="s">
        <v>654</v>
      </c>
      <c r="B4" s="3223" t="s">
        <v>655</v>
      </c>
      <c r="C4" s="3223"/>
      <c r="D4" s="3223"/>
      <c r="E4" s="2097" t="s">
        <v>7</v>
      </c>
      <c r="G4" s="2097"/>
    </row>
    <row r="5" spans="1:9" s="2098" customFormat="1" ht="24" customHeight="1">
      <c r="A5" s="3224" t="s">
        <v>708</v>
      </c>
      <c r="B5" s="3225"/>
      <c r="C5" s="3225"/>
      <c r="D5" s="3226"/>
      <c r="E5" s="2097"/>
      <c r="G5" s="2097"/>
    </row>
    <row r="6" spans="1:9" s="2098" customFormat="1">
      <c r="A6" s="2099"/>
      <c r="B6" s="2100" t="s">
        <v>709</v>
      </c>
      <c r="C6" s="2097"/>
      <c r="D6" s="2097"/>
      <c r="E6" s="2097"/>
      <c r="G6" s="2097"/>
      <c r="H6" s="2101"/>
    </row>
    <row r="7" spans="1:9" ht="23.4" customHeight="1">
      <c r="A7" s="2097">
        <v>1</v>
      </c>
      <c r="B7" s="2093" t="s">
        <v>656</v>
      </c>
      <c r="C7" s="2102">
        <f>'Input Data'!J5</f>
        <v>2.0699999999999998</v>
      </c>
      <c r="D7" s="2097"/>
      <c r="E7" s="2103">
        <f>'Road Estimate'!L64</f>
        <v>7359540</v>
      </c>
      <c r="G7" s="2104"/>
      <c r="H7" s="2105"/>
    </row>
    <row r="8" spans="1:9" ht="23.4" hidden="1" customHeight="1">
      <c r="A8" s="2097">
        <v>2</v>
      </c>
      <c r="B8" s="2093" t="s">
        <v>657</v>
      </c>
      <c r="C8" s="2097" t="s">
        <v>710</v>
      </c>
      <c r="E8" s="2106">
        <f>'CD Abs'!E14</f>
        <v>0</v>
      </c>
      <c r="F8" s="2107"/>
      <c r="G8" s="2108">
        <f>F8-E8</f>
        <v>0</v>
      </c>
      <c r="H8" s="2101"/>
      <c r="I8" s="2092">
        <f>279184*2</f>
        <v>558368</v>
      </c>
    </row>
    <row r="9" spans="1:9" ht="23.4" customHeight="1">
      <c r="A9" s="2097">
        <f>A7+1</f>
        <v>2</v>
      </c>
      <c r="B9" s="2093" t="s">
        <v>587</v>
      </c>
      <c r="C9" s="2097"/>
      <c r="D9" s="2097"/>
      <c r="E9" s="2106">
        <f>'Road-furniture '!G18</f>
        <v>58374</v>
      </c>
      <c r="F9" s="2109"/>
      <c r="G9" s="2093"/>
      <c r="H9" s="2101"/>
      <c r="I9" s="2092">
        <f>613168</f>
        <v>613168</v>
      </c>
    </row>
    <row r="10" spans="1:9" ht="23.4" customHeight="1">
      <c r="A10" s="2097">
        <f>A9+1</f>
        <v>3</v>
      </c>
      <c r="B10" s="2093" t="s">
        <v>711</v>
      </c>
      <c r="C10" s="2097"/>
      <c r="D10" s="2097"/>
      <c r="E10" s="2106">
        <f>'RSI-Estt'!L28</f>
        <v>319652</v>
      </c>
      <c r="F10" s="2109"/>
      <c r="G10" s="2093"/>
      <c r="H10" s="2101"/>
    </row>
    <row r="11" spans="1:9" ht="18" customHeight="1">
      <c r="A11" s="2093"/>
      <c r="B11" s="2110" t="s">
        <v>659</v>
      </c>
      <c r="C11" s="2111"/>
      <c r="D11" s="2111"/>
      <c r="E11" s="2112">
        <f>SUM(E7:E10)</f>
        <v>7737566</v>
      </c>
      <c r="G11" s="2093"/>
      <c r="H11" s="2101"/>
    </row>
    <row r="12" spans="1:9" ht="23.4" customHeight="1">
      <c r="A12" s="2097">
        <f>A10+1</f>
        <v>4</v>
      </c>
      <c r="B12" s="2094" t="s">
        <v>660</v>
      </c>
      <c r="C12" s="2113"/>
      <c r="D12" s="2097"/>
      <c r="E12" s="2106">
        <f>ROUND(E11*0.5%,0)</f>
        <v>38688</v>
      </c>
      <c r="G12" s="2114"/>
    </row>
    <row r="13" spans="1:9" ht="23.4" customHeight="1">
      <c r="A13" s="2097">
        <f>A12+1</f>
        <v>5</v>
      </c>
      <c r="B13" s="2094" t="s">
        <v>661</v>
      </c>
      <c r="C13" s="2113"/>
      <c r="D13" s="2097"/>
      <c r="E13" s="2106">
        <f>ROUND(E11*0.1%,0)</f>
        <v>7738</v>
      </c>
      <c r="G13" s="2114"/>
    </row>
    <row r="14" spans="1:9" ht="23.4" customHeight="1">
      <c r="A14" s="2097">
        <f t="shared" ref="A14:A17" si="0">+A13+1</f>
        <v>6</v>
      </c>
      <c r="B14" s="2094" t="s">
        <v>662</v>
      </c>
      <c r="C14" s="2113"/>
      <c r="D14" s="2097"/>
      <c r="E14" s="2106">
        <f>Seigneorage!G107</f>
        <v>170348</v>
      </c>
      <c r="F14" s="2115"/>
      <c r="G14" s="2114"/>
    </row>
    <row r="15" spans="1:9" ht="24" customHeight="1">
      <c r="A15" s="2097">
        <f t="shared" si="0"/>
        <v>7</v>
      </c>
      <c r="B15" s="2094" t="s">
        <v>663</v>
      </c>
      <c r="C15" s="2113"/>
      <c r="D15" s="2097"/>
      <c r="E15" s="2106">
        <f>ROUND(E14*30%,0)</f>
        <v>51104</v>
      </c>
      <c r="F15" s="2115"/>
      <c r="G15" s="2114"/>
    </row>
    <row r="16" spans="1:9" ht="24" customHeight="1">
      <c r="A16" s="2097">
        <f t="shared" si="0"/>
        <v>8</v>
      </c>
      <c r="B16" s="2094" t="s">
        <v>664</v>
      </c>
      <c r="C16" s="2113"/>
      <c r="D16" s="2097"/>
      <c r="E16" s="2106">
        <f>ROUND(E14*2%,0)</f>
        <v>3407</v>
      </c>
      <c r="F16" s="2115"/>
      <c r="G16" s="2114"/>
    </row>
    <row r="17" spans="1:11" s="2121" customFormat="1">
      <c r="A17" s="2116">
        <f t="shared" si="0"/>
        <v>9</v>
      </c>
      <c r="B17" s="2117" t="s">
        <v>712</v>
      </c>
      <c r="C17" s="2118"/>
      <c r="D17" s="2116"/>
      <c r="E17" s="2106">
        <f>ROUND(E14*80%,0)</f>
        <v>136278</v>
      </c>
      <c r="F17" s="2119"/>
      <c r="G17" s="2120"/>
      <c r="H17" s="2121">
        <f>E14*0.008</f>
        <v>1362.7840000000001</v>
      </c>
    </row>
    <row r="18" spans="1:11" ht="23.4" customHeight="1">
      <c r="A18" s="2097"/>
      <c r="B18" s="2110" t="s">
        <v>659</v>
      </c>
      <c r="C18" s="2111"/>
      <c r="D18" s="2111"/>
      <c r="E18" s="2112">
        <f>SUM(E11:E17)</f>
        <v>8145129</v>
      </c>
      <c r="F18" s="2115"/>
      <c r="G18" s="2114"/>
      <c r="K18" s="2092">
        <f>168.5/2.5</f>
        <v>67.400000000000006</v>
      </c>
    </row>
    <row r="19" spans="1:11" ht="23.4" customHeight="1">
      <c r="A19" s="2097">
        <f>A17+1</f>
        <v>10</v>
      </c>
      <c r="B19" s="2094" t="s">
        <v>666</v>
      </c>
      <c r="C19" s="2113"/>
      <c r="D19" s="2097"/>
      <c r="E19" s="2122">
        <f>ROUND(E18*18%,0)</f>
        <v>1466123</v>
      </c>
      <c r="F19" s="2115"/>
      <c r="G19" s="2114"/>
    </row>
    <row r="20" spans="1:11" ht="39.9" customHeight="1">
      <c r="A20" s="2097">
        <f>A19+1</f>
        <v>11</v>
      </c>
      <c r="B20" s="2094" t="s">
        <v>713</v>
      </c>
      <c r="C20" s="2097"/>
      <c r="D20" s="2097"/>
      <c r="E20" s="2123">
        <f>G20</f>
        <v>3748</v>
      </c>
      <c r="G20" s="2124">
        <f>(C3*100000)-E18-E19</f>
        <v>3748</v>
      </c>
      <c r="H20" s="2125">
        <f>E20-G20</f>
        <v>0</v>
      </c>
      <c r="I20" s="2092">
        <f>E20/E21</f>
        <v>3.8980759230369214E-4</v>
      </c>
    </row>
    <row r="21" spans="1:11" ht="24.75" customHeight="1">
      <c r="A21" s="2097"/>
      <c r="B21" s="2110" t="s">
        <v>714</v>
      </c>
      <c r="C21" s="2111"/>
      <c r="D21" s="2111"/>
      <c r="E21" s="2126">
        <f>SUM(E18:E20)</f>
        <v>9615000</v>
      </c>
      <c r="G21" s="2127">
        <f>+'Input Data'!J4*100000-SUM(E11:E20)</f>
        <v>-8145129</v>
      </c>
    </row>
    <row r="22" spans="1:11" ht="24" hidden="1" customHeight="1">
      <c r="A22" s="3227" t="s">
        <v>715</v>
      </c>
      <c r="B22" s="3227"/>
      <c r="C22" s="2097"/>
      <c r="D22" s="2097"/>
      <c r="E22" s="2126"/>
      <c r="G22" s="2128"/>
    </row>
    <row r="23" spans="1:11" ht="21" hidden="1" customHeight="1">
      <c r="A23" s="2093"/>
      <c r="B23" s="2099" t="s">
        <v>716</v>
      </c>
      <c r="C23" s="2097"/>
      <c r="D23" s="2097"/>
      <c r="E23" s="2126"/>
      <c r="G23" s="2128"/>
    </row>
    <row r="24" spans="1:11" ht="21" hidden="1" customHeight="1">
      <c r="A24" s="2093">
        <v>1</v>
      </c>
      <c r="B24" s="2093" t="s">
        <v>717</v>
      </c>
      <c r="C24" s="2097"/>
      <c r="D24" s="2097"/>
      <c r="E24" s="2103">
        <f>'Mtc-Abs'!D15</f>
        <v>661485</v>
      </c>
      <c r="G24" s="2128"/>
    </row>
    <row r="25" spans="1:11" ht="21" hidden="1" customHeight="1">
      <c r="A25" s="2093">
        <v>2</v>
      </c>
      <c r="B25" s="2093" t="s">
        <v>718</v>
      </c>
      <c r="C25" s="2097"/>
      <c r="D25" s="2097"/>
      <c r="E25" s="2103">
        <f>'Mtc-Abs'!D16</f>
        <v>79378</v>
      </c>
      <c r="G25" s="2128"/>
    </row>
    <row r="26" spans="1:11" ht="21" hidden="1" customHeight="1">
      <c r="A26" s="2093">
        <v>3</v>
      </c>
      <c r="B26" s="2094" t="s">
        <v>719</v>
      </c>
      <c r="C26" s="2097"/>
      <c r="D26" s="2097"/>
      <c r="E26" s="2103">
        <f>'Mtc-Abs'!D17</f>
        <v>9137</v>
      </c>
      <c r="G26" s="2128"/>
    </row>
    <row r="27" spans="1:11" ht="21" hidden="1" customHeight="1">
      <c r="A27" s="2093"/>
      <c r="B27" s="2110" t="s">
        <v>720</v>
      </c>
      <c r="C27" s="2097"/>
      <c r="D27" s="2097"/>
      <c r="E27" s="2126">
        <f>SUM(E24:E26)</f>
        <v>750000</v>
      </c>
      <c r="G27" s="2129"/>
    </row>
    <row r="28" spans="1:11" ht="21" hidden="1" customHeight="1">
      <c r="A28" s="2093"/>
      <c r="B28" s="3228" t="s">
        <v>721</v>
      </c>
      <c r="C28" s="3228"/>
      <c r="D28" s="3228"/>
      <c r="E28" s="2126">
        <f>E21+E27</f>
        <v>10365000</v>
      </c>
      <c r="F28" s="2109"/>
      <c r="G28" s="2101"/>
      <c r="H28" s="2115"/>
      <c r="I28" s="2115"/>
    </row>
    <row r="29" spans="1:11" ht="16.5" customHeight="1">
      <c r="B29" s="2130"/>
      <c r="C29" s="2130"/>
      <c r="D29" s="2130"/>
      <c r="E29" s="2130"/>
      <c r="G29" s="2101"/>
      <c r="H29" s="2115"/>
    </row>
    <row r="30" spans="1:11" ht="36" hidden="1" customHeight="1">
      <c r="A30" s="3229" t="str">
        <f>"               The work is Administratively Sanctioned for Rs."&amp;'Input Data'!J4&amp;".00 lakhs, Vide "&amp;'Input Data'!I3&amp;" under  "&amp;'Input Data'!J6</f>
        <v xml:space="preserve">               The work is Administratively Sanctioned for Rs.96.15.00 lakhs, Vide  under  SDF-2024-25</v>
      </c>
      <c r="B30" s="3229"/>
      <c r="C30" s="3229"/>
      <c r="D30" s="3229"/>
      <c r="E30" s="3229"/>
      <c r="G30" s="2101"/>
      <c r="H30" s="2115"/>
    </row>
    <row r="31" spans="1:11" ht="6" hidden="1" customHeight="1">
      <c r="A31" s="2131"/>
      <c r="B31" s="2132"/>
      <c r="C31" s="2130"/>
      <c r="D31" s="2130"/>
      <c r="E31" s="2130"/>
      <c r="G31" s="2101"/>
      <c r="H31" s="2115"/>
    </row>
    <row r="32" spans="1:11" ht="42.75" hidden="1" customHeight="1">
      <c r="A32" s="3229" t="str">
        <f>"                       The Estimate of work '' "&amp;'Input Data'!E1&amp;" '' is Technically sanctioned for Rs."&amp;'Note File'!L9&amp;" lakhs, and  Technically Approved for Rs."&amp;ROUND(E28/100000,2)&amp;" lakhs Vide  TSR No.          /2021-22 dated        -11-2021."</f>
        <v xml:space="preserve">                       The Estimate of work '' BT Renewal from Balabadraipally to Danamma Thanda of Gundumal Mandal in Narayanpet District  '' is Technically sanctioned for Rs.96.15 lakhs, and  Technically Approved for Rs.103.65 lakhs Vide  TSR No.          /2021-22 dated        -11-2021.</v>
      </c>
      <c r="B32" s="3229"/>
      <c r="C32" s="3229"/>
      <c r="D32" s="3229"/>
      <c r="E32" s="3229"/>
      <c r="G32" s="2101"/>
      <c r="H32" s="2115"/>
    </row>
    <row r="33" spans="1:11" ht="32.1" customHeight="1">
      <c r="A33" s="2133"/>
      <c r="B33" s="2130"/>
      <c r="C33" s="3230"/>
      <c r="D33" s="3230"/>
      <c r="E33" s="2130"/>
      <c r="G33" s="2101"/>
      <c r="H33" s="2115"/>
    </row>
    <row r="34" spans="1:11" ht="20.100000000000001" customHeight="1">
      <c r="B34" s="2134" t="s">
        <v>2783</v>
      </c>
      <c r="C34" s="3231" t="s">
        <v>723</v>
      </c>
      <c r="D34" s="3231"/>
      <c r="E34" s="3231"/>
      <c r="G34" s="2101" t="s">
        <v>724</v>
      </c>
      <c r="H34" s="2115"/>
    </row>
    <row r="35" spans="1:11" ht="20.100000000000001" customHeight="1">
      <c r="B35" s="2134" t="s">
        <v>2786</v>
      </c>
      <c r="C35" s="3231" t="str">
        <f>"PRSD, "&amp;'Input Data'!D6&amp;""</f>
        <v>PRSD, Maddur</v>
      </c>
      <c r="D35" s="3231"/>
      <c r="E35" s="3231"/>
      <c r="G35" s="2101"/>
      <c r="H35" s="2115"/>
    </row>
    <row r="36" spans="1:11" ht="45" customHeight="1">
      <c r="B36" s="2130"/>
      <c r="C36" s="2130"/>
      <c r="D36" s="2130"/>
      <c r="E36" s="2130"/>
      <c r="I36" s="2135"/>
    </row>
    <row r="37" spans="1:11" ht="20.100000000000001" customHeight="1">
      <c r="B37" s="2134" t="s">
        <v>725</v>
      </c>
      <c r="C37" s="3231" t="s">
        <v>455</v>
      </c>
      <c r="D37" s="3231"/>
      <c r="E37" s="3231"/>
      <c r="I37" s="2135"/>
    </row>
    <row r="38" spans="1:11" ht="20.100000000000001" customHeight="1">
      <c r="B38" s="2098" t="str">
        <f>"PR Division, "&amp;'Input Data'!D5&amp;""</f>
        <v>PR Division, Narayanpet</v>
      </c>
      <c r="C38" s="3231" t="str">
        <f>"PR, Circle, "&amp;'Input Data'!D3&amp;""</f>
        <v>PR, Circle, Vikarabad</v>
      </c>
      <c r="D38" s="3231"/>
      <c r="E38" s="3231"/>
      <c r="H38" s="2098"/>
      <c r="I38" s="2136"/>
      <c r="J38" s="2098"/>
      <c r="K38" s="2137"/>
    </row>
    <row r="39" spans="1:11" ht="24.75" customHeight="1">
      <c r="B39" s="2098"/>
      <c r="C39" s="2134"/>
      <c r="D39" s="2134"/>
      <c r="E39" s="2134"/>
      <c r="H39" s="2098"/>
      <c r="I39" s="2136"/>
      <c r="J39" s="2098"/>
      <c r="K39" s="2137"/>
    </row>
    <row r="40" spans="1:11" hidden="1">
      <c r="A40" s="2133"/>
      <c r="B40" s="2130"/>
      <c r="C40" s="2138" t="s">
        <v>726</v>
      </c>
      <c r="D40" s="2130"/>
      <c r="E40" s="2130"/>
      <c r="G40" s="2101"/>
      <c r="H40" s="2115"/>
    </row>
    <row r="41" spans="1:11" ht="18.75" hidden="1" customHeight="1">
      <c r="A41" s="2133"/>
      <c r="B41" s="2130"/>
      <c r="C41" s="2138" t="s">
        <v>727</v>
      </c>
      <c r="D41" s="2130"/>
      <c r="E41" s="2130"/>
      <c r="G41" s="2101"/>
      <c r="H41" s="2115"/>
    </row>
    <row r="42" spans="1:11" ht="36.75" customHeight="1">
      <c r="A42" s="3232"/>
      <c r="B42" s="3232"/>
      <c r="C42" s="3232"/>
      <c r="D42" s="3232"/>
      <c r="E42" s="3232"/>
      <c r="H42" s="2098"/>
      <c r="I42" s="2139"/>
      <c r="J42" s="2098"/>
      <c r="K42" s="2137"/>
    </row>
    <row r="43" spans="1:11">
      <c r="A43" s="2140"/>
      <c r="B43" s="2141"/>
      <c r="C43" s="2133"/>
      <c r="D43" s="2141"/>
      <c r="E43" s="2142"/>
    </row>
    <row r="46" spans="1:11" ht="12.75" customHeight="1">
      <c r="B46" s="2098"/>
      <c r="E46" s="2137"/>
      <c r="H46" s="2137"/>
    </row>
    <row r="47" spans="1:11" ht="12.75" customHeight="1">
      <c r="A47" s="2143"/>
      <c r="B47" s="2098"/>
      <c r="E47" s="2137"/>
      <c r="H47" s="2137"/>
    </row>
    <row r="48" spans="1:11">
      <c r="A48" s="2143"/>
      <c r="E48" s="2137"/>
      <c r="F48" s="2098"/>
      <c r="G48" s="2098"/>
      <c r="H48" s="2137"/>
    </row>
    <row r="49" spans="1:8">
      <c r="A49" s="2143"/>
      <c r="E49" s="2137"/>
      <c r="F49" s="2098"/>
      <c r="G49" s="2098"/>
      <c r="H49" s="2137"/>
    </row>
    <row r="50" spans="1:8">
      <c r="A50" s="2143"/>
      <c r="E50" s="2137"/>
      <c r="F50" s="2098"/>
      <c r="G50" s="2098"/>
      <c r="H50" s="2137"/>
    </row>
    <row r="51" spans="1:8">
      <c r="A51" s="2143"/>
      <c r="B51" s="2098"/>
      <c r="D51" s="2098"/>
      <c r="E51" s="2137"/>
      <c r="F51" s="2098"/>
      <c r="G51" s="2098"/>
      <c r="H51" s="2137"/>
    </row>
    <row r="52" spans="1:8">
      <c r="A52" s="2143"/>
      <c r="B52" s="2098"/>
      <c r="D52" s="2098"/>
      <c r="E52" s="2137"/>
    </row>
  </sheetData>
  <mergeCells count="15">
    <mergeCell ref="C34:E34"/>
    <mergeCell ref="C35:E35"/>
    <mergeCell ref="C37:E37"/>
    <mergeCell ref="C38:E38"/>
    <mergeCell ref="A42:E42"/>
    <mergeCell ref="A22:B22"/>
    <mergeCell ref="B28:D28"/>
    <mergeCell ref="A30:E30"/>
    <mergeCell ref="A32:E32"/>
    <mergeCell ref="C33:D33"/>
    <mergeCell ref="A1:E1"/>
    <mergeCell ref="B2:E2"/>
    <mergeCell ref="C3:D3"/>
    <mergeCell ref="B4:D4"/>
    <mergeCell ref="A5:D5"/>
  </mergeCells>
  <printOptions horizontalCentered="1"/>
  <pageMargins left="0.51180555555555596" right="0.23611111111111099" top="0.66874999999999996" bottom="0.51180555555555596" header="0.74791666666666701" footer="0.51180555555555596"/>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P36"/>
  <sheetViews>
    <sheetView view="pageBreakPreview" topLeftCell="A25" workbookViewId="0">
      <selection activeCell="B36" sqref="B36"/>
    </sheetView>
  </sheetViews>
  <sheetFormatPr defaultColWidth="9" defaultRowHeight="13.8"/>
  <cols>
    <col min="1" max="1" width="7" style="2144" customWidth="1"/>
    <col min="2" max="2" width="12.44140625" style="2144" customWidth="1"/>
    <col min="3" max="3" width="23.109375" style="2144" customWidth="1"/>
    <col min="4" max="4" width="13.6640625" style="2148" customWidth="1"/>
    <col min="5" max="5" width="9" style="2144" customWidth="1"/>
    <col min="6" max="6" width="1.6640625" style="2144" customWidth="1"/>
    <col min="7" max="7" width="8.88671875" style="2144"/>
    <col min="8" max="8" width="16.44140625" style="2144" customWidth="1"/>
    <col min="9" max="10" width="8.88671875" style="2144"/>
    <col min="11" max="11" width="9.6640625" style="2144" bestFit="1" customWidth="1"/>
    <col min="12" max="13" width="9" style="2144" bestFit="1"/>
    <col min="14" max="256" width="8.88671875" style="2144"/>
    <col min="257" max="257" width="7" style="2144" customWidth="1"/>
    <col min="258" max="258" width="12.44140625" style="2144" customWidth="1"/>
    <col min="259" max="259" width="23.109375" style="2144" customWidth="1"/>
    <col min="260" max="260" width="13.6640625" style="2144" customWidth="1"/>
    <col min="261" max="261" width="9" style="2144" customWidth="1"/>
    <col min="262" max="262" width="1.6640625" style="2144" customWidth="1"/>
    <col min="263" max="263" width="8.88671875" style="2144"/>
    <col min="264" max="264" width="16.44140625" style="2144" customWidth="1"/>
    <col min="265" max="512" width="8.88671875" style="2144"/>
    <col min="513" max="513" width="7" style="2144" customWidth="1"/>
    <col min="514" max="514" width="12.44140625" style="2144" customWidth="1"/>
    <col min="515" max="515" width="23.109375" style="2144" customWidth="1"/>
    <col min="516" max="516" width="13.6640625" style="2144" customWidth="1"/>
    <col min="517" max="517" width="9" style="2144" customWidth="1"/>
    <col min="518" max="518" width="1.6640625" style="2144" customWidth="1"/>
    <col min="519" max="519" width="8.88671875" style="2144"/>
    <col min="520" max="520" width="16.44140625" style="2144" customWidth="1"/>
    <col min="521" max="768" width="8.88671875" style="2144"/>
    <col min="769" max="769" width="7" style="2144" customWidth="1"/>
    <col min="770" max="770" width="12.44140625" style="2144" customWidth="1"/>
    <col min="771" max="771" width="23.109375" style="2144" customWidth="1"/>
    <col min="772" max="772" width="13.6640625" style="2144" customWidth="1"/>
    <col min="773" max="773" width="9" style="2144" customWidth="1"/>
    <col min="774" max="774" width="1.6640625" style="2144" customWidth="1"/>
    <col min="775" max="775" width="8.88671875" style="2144"/>
    <col min="776" max="776" width="16.44140625" style="2144" customWidth="1"/>
    <col min="777" max="1024" width="8.88671875" style="2144"/>
    <col min="1025" max="1025" width="7" style="2144" customWidth="1"/>
    <col min="1026" max="1026" width="12.44140625" style="2144" customWidth="1"/>
    <col min="1027" max="1027" width="23.109375" style="2144" customWidth="1"/>
    <col min="1028" max="1028" width="13.6640625" style="2144" customWidth="1"/>
    <col min="1029" max="1029" width="9" style="2144" customWidth="1"/>
    <col min="1030" max="1030" width="1.6640625" style="2144" customWidth="1"/>
    <col min="1031" max="1031" width="8.88671875" style="2144"/>
    <col min="1032" max="1032" width="16.44140625" style="2144" customWidth="1"/>
    <col min="1033" max="1280" width="8.88671875" style="2144"/>
    <col min="1281" max="1281" width="7" style="2144" customWidth="1"/>
    <col min="1282" max="1282" width="12.44140625" style="2144" customWidth="1"/>
    <col min="1283" max="1283" width="23.109375" style="2144" customWidth="1"/>
    <col min="1284" max="1284" width="13.6640625" style="2144" customWidth="1"/>
    <col min="1285" max="1285" width="9" style="2144" customWidth="1"/>
    <col min="1286" max="1286" width="1.6640625" style="2144" customWidth="1"/>
    <col min="1287" max="1287" width="8.88671875" style="2144"/>
    <col min="1288" max="1288" width="16.44140625" style="2144" customWidth="1"/>
    <col min="1289" max="1536" width="8.88671875" style="2144"/>
    <col min="1537" max="1537" width="7" style="2144" customWidth="1"/>
    <col min="1538" max="1538" width="12.44140625" style="2144" customWidth="1"/>
    <col min="1539" max="1539" width="23.109375" style="2144" customWidth="1"/>
    <col min="1540" max="1540" width="13.6640625" style="2144" customWidth="1"/>
    <col min="1541" max="1541" width="9" style="2144" customWidth="1"/>
    <col min="1542" max="1542" width="1.6640625" style="2144" customWidth="1"/>
    <col min="1543" max="1543" width="8.88671875" style="2144"/>
    <col min="1544" max="1544" width="16.44140625" style="2144" customWidth="1"/>
    <col min="1545" max="1792" width="8.88671875" style="2144"/>
    <col min="1793" max="1793" width="7" style="2144" customWidth="1"/>
    <col min="1794" max="1794" width="12.44140625" style="2144" customWidth="1"/>
    <col min="1795" max="1795" width="23.109375" style="2144" customWidth="1"/>
    <col min="1796" max="1796" width="13.6640625" style="2144" customWidth="1"/>
    <col min="1797" max="1797" width="9" style="2144" customWidth="1"/>
    <col min="1798" max="1798" width="1.6640625" style="2144" customWidth="1"/>
    <col min="1799" max="1799" width="8.88671875" style="2144"/>
    <col min="1800" max="1800" width="16.44140625" style="2144" customWidth="1"/>
    <col min="1801" max="2048" width="8.88671875" style="2144"/>
    <col min="2049" max="2049" width="7" style="2144" customWidth="1"/>
    <col min="2050" max="2050" width="12.44140625" style="2144" customWidth="1"/>
    <col min="2051" max="2051" width="23.109375" style="2144" customWidth="1"/>
    <col min="2052" max="2052" width="13.6640625" style="2144" customWidth="1"/>
    <col min="2053" max="2053" width="9" style="2144" customWidth="1"/>
    <col min="2054" max="2054" width="1.6640625" style="2144" customWidth="1"/>
    <col min="2055" max="2055" width="8.88671875" style="2144"/>
    <col min="2056" max="2056" width="16.44140625" style="2144" customWidth="1"/>
    <col min="2057" max="2304" width="8.88671875" style="2144"/>
    <col min="2305" max="2305" width="7" style="2144" customWidth="1"/>
    <col min="2306" max="2306" width="12.44140625" style="2144" customWidth="1"/>
    <col min="2307" max="2307" width="23.109375" style="2144" customWidth="1"/>
    <col min="2308" max="2308" width="13.6640625" style="2144" customWidth="1"/>
    <col min="2309" max="2309" width="9" style="2144" customWidth="1"/>
    <col min="2310" max="2310" width="1.6640625" style="2144" customWidth="1"/>
    <col min="2311" max="2311" width="8.88671875" style="2144"/>
    <col min="2312" max="2312" width="16.44140625" style="2144" customWidth="1"/>
    <col min="2313" max="2560" width="8.88671875" style="2144"/>
    <col min="2561" max="2561" width="7" style="2144" customWidth="1"/>
    <col min="2562" max="2562" width="12.44140625" style="2144" customWidth="1"/>
    <col min="2563" max="2563" width="23.109375" style="2144" customWidth="1"/>
    <col min="2564" max="2564" width="13.6640625" style="2144" customWidth="1"/>
    <col min="2565" max="2565" width="9" style="2144" customWidth="1"/>
    <col min="2566" max="2566" width="1.6640625" style="2144" customWidth="1"/>
    <col min="2567" max="2567" width="8.88671875" style="2144"/>
    <col min="2568" max="2568" width="16.44140625" style="2144" customWidth="1"/>
    <col min="2569" max="2816" width="8.88671875" style="2144"/>
    <col min="2817" max="2817" width="7" style="2144" customWidth="1"/>
    <col min="2818" max="2818" width="12.44140625" style="2144" customWidth="1"/>
    <col min="2819" max="2819" width="23.109375" style="2144" customWidth="1"/>
    <col min="2820" max="2820" width="13.6640625" style="2144" customWidth="1"/>
    <col min="2821" max="2821" width="9" style="2144" customWidth="1"/>
    <col min="2822" max="2822" width="1.6640625" style="2144" customWidth="1"/>
    <col min="2823" max="2823" width="8.88671875" style="2144"/>
    <col min="2824" max="2824" width="16.44140625" style="2144" customWidth="1"/>
    <col min="2825" max="3072" width="8.88671875" style="2144"/>
    <col min="3073" max="3073" width="7" style="2144" customWidth="1"/>
    <col min="3074" max="3074" width="12.44140625" style="2144" customWidth="1"/>
    <col min="3075" max="3075" width="23.109375" style="2144" customWidth="1"/>
    <col min="3076" max="3076" width="13.6640625" style="2144" customWidth="1"/>
    <col min="3077" max="3077" width="9" style="2144" customWidth="1"/>
    <col min="3078" max="3078" width="1.6640625" style="2144" customWidth="1"/>
    <col min="3079" max="3079" width="8.88671875" style="2144"/>
    <col min="3080" max="3080" width="16.44140625" style="2144" customWidth="1"/>
    <col min="3081" max="3328" width="8.88671875" style="2144"/>
    <col min="3329" max="3329" width="7" style="2144" customWidth="1"/>
    <col min="3330" max="3330" width="12.44140625" style="2144" customWidth="1"/>
    <col min="3331" max="3331" width="23.109375" style="2144" customWidth="1"/>
    <col min="3332" max="3332" width="13.6640625" style="2144" customWidth="1"/>
    <col min="3333" max="3333" width="9" style="2144" customWidth="1"/>
    <col min="3334" max="3334" width="1.6640625" style="2144" customWidth="1"/>
    <col min="3335" max="3335" width="8.88671875" style="2144"/>
    <col min="3336" max="3336" width="16.44140625" style="2144" customWidth="1"/>
    <col min="3337" max="3584" width="8.88671875" style="2144"/>
    <col min="3585" max="3585" width="7" style="2144" customWidth="1"/>
    <col min="3586" max="3586" width="12.44140625" style="2144" customWidth="1"/>
    <col min="3587" max="3587" width="23.109375" style="2144" customWidth="1"/>
    <col min="3588" max="3588" width="13.6640625" style="2144" customWidth="1"/>
    <col min="3589" max="3589" width="9" style="2144" customWidth="1"/>
    <col min="3590" max="3590" width="1.6640625" style="2144" customWidth="1"/>
    <col min="3591" max="3591" width="8.88671875" style="2144"/>
    <col min="3592" max="3592" width="16.44140625" style="2144" customWidth="1"/>
    <col min="3593" max="3840" width="8.88671875" style="2144"/>
    <col min="3841" max="3841" width="7" style="2144" customWidth="1"/>
    <col min="3842" max="3842" width="12.44140625" style="2144" customWidth="1"/>
    <col min="3843" max="3843" width="23.109375" style="2144" customWidth="1"/>
    <col min="3844" max="3844" width="13.6640625" style="2144" customWidth="1"/>
    <col min="3845" max="3845" width="9" style="2144" customWidth="1"/>
    <col min="3846" max="3846" width="1.6640625" style="2144" customWidth="1"/>
    <col min="3847" max="3847" width="8.88671875" style="2144"/>
    <col min="3848" max="3848" width="16.44140625" style="2144" customWidth="1"/>
    <col min="3849" max="4096" width="8.88671875" style="2144"/>
    <col min="4097" max="4097" width="7" style="2144" customWidth="1"/>
    <col min="4098" max="4098" width="12.44140625" style="2144" customWidth="1"/>
    <col min="4099" max="4099" width="23.109375" style="2144" customWidth="1"/>
    <col min="4100" max="4100" width="13.6640625" style="2144" customWidth="1"/>
    <col min="4101" max="4101" width="9" style="2144" customWidth="1"/>
    <col min="4102" max="4102" width="1.6640625" style="2144" customWidth="1"/>
    <col min="4103" max="4103" width="8.88671875" style="2144"/>
    <col min="4104" max="4104" width="16.44140625" style="2144" customWidth="1"/>
    <col min="4105" max="4352" width="8.88671875" style="2144"/>
    <col min="4353" max="4353" width="7" style="2144" customWidth="1"/>
    <col min="4354" max="4354" width="12.44140625" style="2144" customWidth="1"/>
    <col min="4355" max="4355" width="23.109375" style="2144" customWidth="1"/>
    <col min="4356" max="4356" width="13.6640625" style="2144" customWidth="1"/>
    <col min="4357" max="4357" width="9" style="2144" customWidth="1"/>
    <col min="4358" max="4358" width="1.6640625" style="2144" customWidth="1"/>
    <col min="4359" max="4359" width="8.88671875" style="2144"/>
    <col min="4360" max="4360" width="16.44140625" style="2144" customWidth="1"/>
    <col min="4361" max="4608" width="8.88671875" style="2144"/>
    <col min="4609" max="4609" width="7" style="2144" customWidth="1"/>
    <col min="4610" max="4610" width="12.44140625" style="2144" customWidth="1"/>
    <col min="4611" max="4611" width="23.109375" style="2144" customWidth="1"/>
    <col min="4612" max="4612" width="13.6640625" style="2144" customWidth="1"/>
    <col min="4613" max="4613" width="9" style="2144" customWidth="1"/>
    <col min="4614" max="4614" width="1.6640625" style="2144" customWidth="1"/>
    <col min="4615" max="4615" width="8.88671875" style="2144"/>
    <col min="4616" max="4616" width="16.44140625" style="2144" customWidth="1"/>
    <col min="4617" max="4864" width="8.88671875" style="2144"/>
    <col min="4865" max="4865" width="7" style="2144" customWidth="1"/>
    <col min="4866" max="4866" width="12.44140625" style="2144" customWidth="1"/>
    <col min="4867" max="4867" width="23.109375" style="2144" customWidth="1"/>
    <col min="4868" max="4868" width="13.6640625" style="2144" customWidth="1"/>
    <col min="4869" max="4869" width="9" style="2144" customWidth="1"/>
    <col min="4870" max="4870" width="1.6640625" style="2144" customWidth="1"/>
    <col min="4871" max="4871" width="8.88671875" style="2144"/>
    <col min="4872" max="4872" width="16.44140625" style="2144" customWidth="1"/>
    <col min="4873" max="5120" width="8.88671875" style="2144"/>
    <col min="5121" max="5121" width="7" style="2144" customWidth="1"/>
    <col min="5122" max="5122" width="12.44140625" style="2144" customWidth="1"/>
    <col min="5123" max="5123" width="23.109375" style="2144" customWidth="1"/>
    <col min="5124" max="5124" width="13.6640625" style="2144" customWidth="1"/>
    <col min="5125" max="5125" width="9" style="2144" customWidth="1"/>
    <col min="5126" max="5126" width="1.6640625" style="2144" customWidth="1"/>
    <col min="5127" max="5127" width="8.88671875" style="2144"/>
    <col min="5128" max="5128" width="16.44140625" style="2144" customWidth="1"/>
    <col min="5129" max="5376" width="8.88671875" style="2144"/>
    <col min="5377" max="5377" width="7" style="2144" customWidth="1"/>
    <col min="5378" max="5378" width="12.44140625" style="2144" customWidth="1"/>
    <col min="5379" max="5379" width="23.109375" style="2144" customWidth="1"/>
    <col min="5380" max="5380" width="13.6640625" style="2144" customWidth="1"/>
    <col min="5381" max="5381" width="9" style="2144" customWidth="1"/>
    <col min="5382" max="5382" width="1.6640625" style="2144" customWidth="1"/>
    <col min="5383" max="5383" width="8.88671875" style="2144"/>
    <col min="5384" max="5384" width="16.44140625" style="2144" customWidth="1"/>
    <col min="5385" max="5632" width="8.88671875" style="2144"/>
    <col min="5633" max="5633" width="7" style="2144" customWidth="1"/>
    <col min="5634" max="5634" width="12.44140625" style="2144" customWidth="1"/>
    <col min="5635" max="5635" width="23.109375" style="2144" customWidth="1"/>
    <col min="5636" max="5636" width="13.6640625" style="2144" customWidth="1"/>
    <col min="5637" max="5637" width="9" style="2144" customWidth="1"/>
    <col min="5638" max="5638" width="1.6640625" style="2144" customWidth="1"/>
    <col min="5639" max="5639" width="8.88671875" style="2144"/>
    <col min="5640" max="5640" width="16.44140625" style="2144" customWidth="1"/>
    <col min="5641" max="5888" width="8.88671875" style="2144"/>
    <col min="5889" max="5889" width="7" style="2144" customWidth="1"/>
    <col min="5890" max="5890" width="12.44140625" style="2144" customWidth="1"/>
    <col min="5891" max="5891" width="23.109375" style="2144" customWidth="1"/>
    <col min="5892" max="5892" width="13.6640625" style="2144" customWidth="1"/>
    <col min="5893" max="5893" width="9" style="2144" customWidth="1"/>
    <col min="5894" max="5894" width="1.6640625" style="2144" customWidth="1"/>
    <col min="5895" max="5895" width="8.88671875" style="2144"/>
    <col min="5896" max="5896" width="16.44140625" style="2144" customWidth="1"/>
    <col min="5897" max="6144" width="8.88671875" style="2144"/>
    <col min="6145" max="6145" width="7" style="2144" customWidth="1"/>
    <col min="6146" max="6146" width="12.44140625" style="2144" customWidth="1"/>
    <col min="6147" max="6147" width="23.109375" style="2144" customWidth="1"/>
    <col min="6148" max="6148" width="13.6640625" style="2144" customWidth="1"/>
    <col min="6149" max="6149" width="9" style="2144" customWidth="1"/>
    <col min="6150" max="6150" width="1.6640625" style="2144" customWidth="1"/>
    <col min="6151" max="6151" width="8.88671875" style="2144"/>
    <col min="6152" max="6152" width="16.44140625" style="2144" customWidth="1"/>
    <col min="6153" max="6400" width="8.88671875" style="2144"/>
    <col min="6401" max="6401" width="7" style="2144" customWidth="1"/>
    <col min="6402" max="6402" width="12.44140625" style="2144" customWidth="1"/>
    <col min="6403" max="6403" width="23.109375" style="2144" customWidth="1"/>
    <col min="6404" max="6404" width="13.6640625" style="2144" customWidth="1"/>
    <col min="6405" max="6405" width="9" style="2144" customWidth="1"/>
    <col min="6406" max="6406" width="1.6640625" style="2144" customWidth="1"/>
    <col min="6407" max="6407" width="8.88671875" style="2144"/>
    <col min="6408" max="6408" width="16.44140625" style="2144" customWidth="1"/>
    <col min="6409" max="6656" width="8.88671875" style="2144"/>
    <col min="6657" max="6657" width="7" style="2144" customWidth="1"/>
    <col min="6658" max="6658" width="12.44140625" style="2144" customWidth="1"/>
    <col min="6659" max="6659" width="23.109375" style="2144" customWidth="1"/>
    <col min="6660" max="6660" width="13.6640625" style="2144" customWidth="1"/>
    <col min="6661" max="6661" width="9" style="2144" customWidth="1"/>
    <col min="6662" max="6662" width="1.6640625" style="2144" customWidth="1"/>
    <col min="6663" max="6663" width="8.88671875" style="2144"/>
    <col min="6664" max="6664" width="16.44140625" style="2144" customWidth="1"/>
    <col min="6665" max="6912" width="8.88671875" style="2144"/>
    <col min="6913" max="6913" width="7" style="2144" customWidth="1"/>
    <col min="6914" max="6914" width="12.44140625" style="2144" customWidth="1"/>
    <col min="6915" max="6915" width="23.109375" style="2144" customWidth="1"/>
    <col min="6916" max="6916" width="13.6640625" style="2144" customWidth="1"/>
    <col min="6917" max="6917" width="9" style="2144" customWidth="1"/>
    <col min="6918" max="6918" width="1.6640625" style="2144" customWidth="1"/>
    <col min="6919" max="6919" width="8.88671875" style="2144"/>
    <col min="6920" max="6920" width="16.44140625" style="2144" customWidth="1"/>
    <col min="6921" max="7168" width="8.88671875" style="2144"/>
    <col min="7169" max="7169" width="7" style="2144" customWidth="1"/>
    <col min="7170" max="7170" width="12.44140625" style="2144" customWidth="1"/>
    <col min="7171" max="7171" width="23.109375" style="2144" customWidth="1"/>
    <col min="7172" max="7172" width="13.6640625" style="2144" customWidth="1"/>
    <col min="7173" max="7173" width="9" style="2144" customWidth="1"/>
    <col min="7174" max="7174" width="1.6640625" style="2144" customWidth="1"/>
    <col min="7175" max="7175" width="8.88671875" style="2144"/>
    <col min="7176" max="7176" width="16.44140625" style="2144" customWidth="1"/>
    <col min="7177" max="7424" width="8.88671875" style="2144"/>
    <col min="7425" max="7425" width="7" style="2144" customWidth="1"/>
    <col min="7426" max="7426" width="12.44140625" style="2144" customWidth="1"/>
    <col min="7427" max="7427" width="23.109375" style="2144" customWidth="1"/>
    <col min="7428" max="7428" width="13.6640625" style="2144" customWidth="1"/>
    <col min="7429" max="7429" width="9" style="2144" customWidth="1"/>
    <col min="7430" max="7430" width="1.6640625" style="2144" customWidth="1"/>
    <col min="7431" max="7431" width="8.88671875" style="2144"/>
    <col min="7432" max="7432" width="16.44140625" style="2144" customWidth="1"/>
    <col min="7433" max="7680" width="8.88671875" style="2144"/>
    <col min="7681" max="7681" width="7" style="2144" customWidth="1"/>
    <col min="7682" max="7682" width="12.44140625" style="2144" customWidth="1"/>
    <col min="7683" max="7683" width="23.109375" style="2144" customWidth="1"/>
    <col min="7684" max="7684" width="13.6640625" style="2144" customWidth="1"/>
    <col min="7685" max="7685" width="9" style="2144" customWidth="1"/>
    <col min="7686" max="7686" width="1.6640625" style="2144" customWidth="1"/>
    <col min="7687" max="7687" width="8.88671875" style="2144"/>
    <col min="7688" max="7688" width="16.44140625" style="2144" customWidth="1"/>
    <col min="7689" max="7936" width="8.88671875" style="2144"/>
    <col min="7937" max="7937" width="7" style="2144" customWidth="1"/>
    <col min="7938" max="7938" width="12.44140625" style="2144" customWidth="1"/>
    <col min="7939" max="7939" width="23.109375" style="2144" customWidth="1"/>
    <col min="7940" max="7940" width="13.6640625" style="2144" customWidth="1"/>
    <col min="7941" max="7941" width="9" style="2144" customWidth="1"/>
    <col min="7942" max="7942" width="1.6640625" style="2144" customWidth="1"/>
    <col min="7943" max="7943" width="8.88671875" style="2144"/>
    <col min="7944" max="7944" width="16.44140625" style="2144" customWidth="1"/>
    <col min="7945" max="8192" width="8.88671875" style="2144"/>
    <col min="8193" max="8193" width="7" style="2144" customWidth="1"/>
    <col min="8194" max="8194" width="12.44140625" style="2144" customWidth="1"/>
    <col min="8195" max="8195" width="23.109375" style="2144" customWidth="1"/>
    <col min="8196" max="8196" width="13.6640625" style="2144" customWidth="1"/>
    <col min="8197" max="8197" width="9" style="2144" customWidth="1"/>
    <col min="8198" max="8198" width="1.6640625" style="2144" customWidth="1"/>
    <col min="8199" max="8199" width="8.88671875" style="2144"/>
    <col min="8200" max="8200" width="16.44140625" style="2144" customWidth="1"/>
    <col min="8201" max="8448" width="8.88671875" style="2144"/>
    <col min="8449" max="8449" width="7" style="2144" customWidth="1"/>
    <col min="8450" max="8450" width="12.44140625" style="2144" customWidth="1"/>
    <col min="8451" max="8451" width="23.109375" style="2144" customWidth="1"/>
    <col min="8452" max="8452" width="13.6640625" style="2144" customWidth="1"/>
    <col min="8453" max="8453" width="9" style="2144" customWidth="1"/>
    <col min="8454" max="8454" width="1.6640625" style="2144" customWidth="1"/>
    <col min="8455" max="8455" width="8.88671875" style="2144"/>
    <col min="8456" max="8456" width="16.44140625" style="2144" customWidth="1"/>
    <col min="8457" max="8704" width="8.88671875" style="2144"/>
    <col min="8705" max="8705" width="7" style="2144" customWidth="1"/>
    <col min="8706" max="8706" width="12.44140625" style="2144" customWidth="1"/>
    <col min="8707" max="8707" width="23.109375" style="2144" customWidth="1"/>
    <col min="8708" max="8708" width="13.6640625" style="2144" customWidth="1"/>
    <col min="8709" max="8709" width="9" style="2144" customWidth="1"/>
    <col min="8710" max="8710" width="1.6640625" style="2144" customWidth="1"/>
    <col min="8711" max="8711" width="8.88671875" style="2144"/>
    <col min="8712" max="8712" width="16.44140625" style="2144" customWidth="1"/>
    <col min="8713" max="8960" width="8.88671875" style="2144"/>
    <col min="8961" max="8961" width="7" style="2144" customWidth="1"/>
    <col min="8962" max="8962" width="12.44140625" style="2144" customWidth="1"/>
    <col min="8963" max="8963" width="23.109375" style="2144" customWidth="1"/>
    <col min="8964" max="8964" width="13.6640625" style="2144" customWidth="1"/>
    <col min="8965" max="8965" width="9" style="2144" customWidth="1"/>
    <col min="8966" max="8966" width="1.6640625" style="2144" customWidth="1"/>
    <col min="8967" max="8967" width="8.88671875" style="2144"/>
    <col min="8968" max="8968" width="16.44140625" style="2144" customWidth="1"/>
    <col min="8969" max="9216" width="8.88671875" style="2144"/>
    <col min="9217" max="9217" width="7" style="2144" customWidth="1"/>
    <col min="9218" max="9218" width="12.44140625" style="2144" customWidth="1"/>
    <col min="9219" max="9219" width="23.109375" style="2144" customWidth="1"/>
    <col min="9220" max="9220" width="13.6640625" style="2144" customWidth="1"/>
    <col min="9221" max="9221" width="9" style="2144" customWidth="1"/>
    <col min="9222" max="9222" width="1.6640625" style="2144" customWidth="1"/>
    <col min="9223" max="9223" width="8.88671875" style="2144"/>
    <col min="9224" max="9224" width="16.44140625" style="2144" customWidth="1"/>
    <col min="9225" max="9472" width="8.88671875" style="2144"/>
    <col min="9473" max="9473" width="7" style="2144" customWidth="1"/>
    <col min="9474" max="9474" width="12.44140625" style="2144" customWidth="1"/>
    <col min="9475" max="9475" width="23.109375" style="2144" customWidth="1"/>
    <col min="9476" max="9476" width="13.6640625" style="2144" customWidth="1"/>
    <col min="9477" max="9477" width="9" style="2144" customWidth="1"/>
    <col min="9478" max="9478" width="1.6640625" style="2144" customWidth="1"/>
    <col min="9479" max="9479" width="8.88671875" style="2144"/>
    <col min="9480" max="9480" width="16.44140625" style="2144" customWidth="1"/>
    <col min="9481" max="9728" width="8.88671875" style="2144"/>
    <col min="9729" max="9729" width="7" style="2144" customWidth="1"/>
    <col min="9730" max="9730" width="12.44140625" style="2144" customWidth="1"/>
    <col min="9731" max="9731" width="23.109375" style="2144" customWidth="1"/>
    <col min="9732" max="9732" width="13.6640625" style="2144" customWidth="1"/>
    <col min="9733" max="9733" width="9" style="2144" customWidth="1"/>
    <col min="9734" max="9734" width="1.6640625" style="2144" customWidth="1"/>
    <col min="9735" max="9735" width="8.88671875" style="2144"/>
    <col min="9736" max="9736" width="16.44140625" style="2144" customWidth="1"/>
    <col min="9737" max="9984" width="8.88671875" style="2144"/>
    <col min="9985" max="9985" width="7" style="2144" customWidth="1"/>
    <col min="9986" max="9986" width="12.44140625" style="2144" customWidth="1"/>
    <col min="9987" max="9987" width="23.109375" style="2144" customWidth="1"/>
    <col min="9988" max="9988" width="13.6640625" style="2144" customWidth="1"/>
    <col min="9989" max="9989" width="9" style="2144" customWidth="1"/>
    <col min="9990" max="9990" width="1.6640625" style="2144" customWidth="1"/>
    <col min="9991" max="9991" width="8.88671875" style="2144"/>
    <col min="9992" max="9992" width="16.44140625" style="2144" customWidth="1"/>
    <col min="9993" max="10240" width="8.88671875" style="2144"/>
    <col min="10241" max="10241" width="7" style="2144" customWidth="1"/>
    <col min="10242" max="10242" width="12.44140625" style="2144" customWidth="1"/>
    <col min="10243" max="10243" width="23.109375" style="2144" customWidth="1"/>
    <col min="10244" max="10244" width="13.6640625" style="2144" customWidth="1"/>
    <col min="10245" max="10245" width="9" style="2144" customWidth="1"/>
    <col min="10246" max="10246" width="1.6640625" style="2144" customWidth="1"/>
    <col min="10247" max="10247" width="8.88671875" style="2144"/>
    <col min="10248" max="10248" width="16.44140625" style="2144" customWidth="1"/>
    <col min="10249" max="10496" width="8.88671875" style="2144"/>
    <col min="10497" max="10497" width="7" style="2144" customWidth="1"/>
    <col min="10498" max="10498" width="12.44140625" style="2144" customWidth="1"/>
    <col min="10499" max="10499" width="23.109375" style="2144" customWidth="1"/>
    <col min="10500" max="10500" width="13.6640625" style="2144" customWidth="1"/>
    <col min="10501" max="10501" width="9" style="2144" customWidth="1"/>
    <col min="10502" max="10502" width="1.6640625" style="2144" customWidth="1"/>
    <col min="10503" max="10503" width="8.88671875" style="2144"/>
    <col min="10504" max="10504" width="16.44140625" style="2144" customWidth="1"/>
    <col min="10505" max="10752" width="8.88671875" style="2144"/>
    <col min="10753" max="10753" width="7" style="2144" customWidth="1"/>
    <col min="10754" max="10754" width="12.44140625" style="2144" customWidth="1"/>
    <col min="10755" max="10755" width="23.109375" style="2144" customWidth="1"/>
    <col min="10756" max="10756" width="13.6640625" style="2144" customWidth="1"/>
    <col min="10757" max="10757" width="9" style="2144" customWidth="1"/>
    <col min="10758" max="10758" width="1.6640625" style="2144" customWidth="1"/>
    <col min="10759" max="10759" width="8.88671875" style="2144"/>
    <col min="10760" max="10760" width="16.44140625" style="2144" customWidth="1"/>
    <col min="10761" max="11008" width="8.88671875" style="2144"/>
    <col min="11009" max="11009" width="7" style="2144" customWidth="1"/>
    <col min="11010" max="11010" width="12.44140625" style="2144" customWidth="1"/>
    <col min="11011" max="11011" width="23.109375" style="2144" customWidth="1"/>
    <col min="11012" max="11012" width="13.6640625" style="2144" customWidth="1"/>
    <col min="11013" max="11013" width="9" style="2144" customWidth="1"/>
    <col min="11014" max="11014" width="1.6640625" style="2144" customWidth="1"/>
    <col min="11015" max="11015" width="8.88671875" style="2144"/>
    <col min="11016" max="11016" width="16.44140625" style="2144" customWidth="1"/>
    <col min="11017" max="11264" width="8.88671875" style="2144"/>
    <col min="11265" max="11265" width="7" style="2144" customWidth="1"/>
    <col min="11266" max="11266" width="12.44140625" style="2144" customWidth="1"/>
    <col min="11267" max="11267" width="23.109375" style="2144" customWidth="1"/>
    <col min="11268" max="11268" width="13.6640625" style="2144" customWidth="1"/>
    <col min="11269" max="11269" width="9" style="2144" customWidth="1"/>
    <col min="11270" max="11270" width="1.6640625" style="2144" customWidth="1"/>
    <col min="11271" max="11271" width="8.88671875" style="2144"/>
    <col min="11272" max="11272" width="16.44140625" style="2144" customWidth="1"/>
    <col min="11273" max="11520" width="8.88671875" style="2144"/>
    <col min="11521" max="11521" width="7" style="2144" customWidth="1"/>
    <col min="11522" max="11522" width="12.44140625" style="2144" customWidth="1"/>
    <col min="11523" max="11523" width="23.109375" style="2144" customWidth="1"/>
    <col min="11524" max="11524" width="13.6640625" style="2144" customWidth="1"/>
    <col min="11525" max="11525" width="9" style="2144" customWidth="1"/>
    <col min="11526" max="11526" width="1.6640625" style="2144" customWidth="1"/>
    <col min="11527" max="11527" width="8.88671875" style="2144"/>
    <col min="11528" max="11528" width="16.44140625" style="2144" customWidth="1"/>
    <col min="11529" max="11776" width="8.88671875" style="2144"/>
    <col min="11777" max="11777" width="7" style="2144" customWidth="1"/>
    <col min="11778" max="11778" width="12.44140625" style="2144" customWidth="1"/>
    <col min="11779" max="11779" width="23.109375" style="2144" customWidth="1"/>
    <col min="11780" max="11780" width="13.6640625" style="2144" customWidth="1"/>
    <col min="11781" max="11781" width="9" style="2144" customWidth="1"/>
    <col min="11782" max="11782" width="1.6640625" style="2144" customWidth="1"/>
    <col min="11783" max="11783" width="8.88671875" style="2144"/>
    <col min="11784" max="11784" width="16.44140625" style="2144" customWidth="1"/>
    <col min="11785" max="12032" width="8.88671875" style="2144"/>
    <col min="12033" max="12033" width="7" style="2144" customWidth="1"/>
    <col min="12034" max="12034" width="12.44140625" style="2144" customWidth="1"/>
    <col min="12035" max="12035" width="23.109375" style="2144" customWidth="1"/>
    <col min="12036" max="12036" width="13.6640625" style="2144" customWidth="1"/>
    <col min="12037" max="12037" width="9" style="2144" customWidth="1"/>
    <col min="12038" max="12038" width="1.6640625" style="2144" customWidth="1"/>
    <col min="12039" max="12039" width="8.88671875" style="2144"/>
    <col min="12040" max="12040" width="16.44140625" style="2144" customWidth="1"/>
    <col min="12041" max="12288" width="8.88671875" style="2144"/>
    <col min="12289" max="12289" width="7" style="2144" customWidth="1"/>
    <col min="12290" max="12290" width="12.44140625" style="2144" customWidth="1"/>
    <col min="12291" max="12291" width="23.109375" style="2144" customWidth="1"/>
    <col min="12292" max="12292" width="13.6640625" style="2144" customWidth="1"/>
    <col min="12293" max="12293" width="9" style="2144" customWidth="1"/>
    <col min="12294" max="12294" width="1.6640625" style="2144" customWidth="1"/>
    <col min="12295" max="12295" width="8.88671875" style="2144"/>
    <col min="12296" max="12296" width="16.44140625" style="2144" customWidth="1"/>
    <col min="12297" max="12544" width="8.88671875" style="2144"/>
    <col min="12545" max="12545" width="7" style="2144" customWidth="1"/>
    <col min="12546" max="12546" width="12.44140625" style="2144" customWidth="1"/>
    <col min="12547" max="12547" width="23.109375" style="2144" customWidth="1"/>
    <col min="12548" max="12548" width="13.6640625" style="2144" customWidth="1"/>
    <col min="12549" max="12549" width="9" style="2144" customWidth="1"/>
    <col min="12550" max="12550" width="1.6640625" style="2144" customWidth="1"/>
    <col min="12551" max="12551" width="8.88671875" style="2144"/>
    <col min="12552" max="12552" width="16.44140625" style="2144" customWidth="1"/>
    <col min="12553" max="12800" width="8.88671875" style="2144"/>
    <col min="12801" max="12801" width="7" style="2144" customWidth="1"/>
    <col min="12802" max="12802" width="12.44140625" style="2144" customWidth="1"/>
    <col min="12803" max="12803" width="23.109375" style="2144" customWidth="1"/>
    <col min="12804" max="12804" width="13.6640625" style="2144" customWidth="1"/>
    <col min="12805" max="12805" width="9" style="2144" customWidth="1"/>
    <col min="12806" max="12806" width="1.6640625" style="2144" customWidth="1"/>
    <col min="12807" max="12807" width="8.88671875" style="2144"/>
    <col min="12808" max="12808" width="16.44140625" style="2144" customWidth="1"/>
    <col min="12809" max="13056" width="8.88671875" style="2144"/>
    <col min="13057" max="13057" width="7" style="2144" customWidth="1"/>
    <col min="13058" max="13058" width="12.44140625" style="2144" customWidth="1"/>
    <col min="13059" max="13059" width="23.109375" style="2144" customWidth="1"/>
    <col min="13060" max="13060" width="13.6640625" style="2144" customWidth="1"/>
    <col min="13061" max="13061" width="9" style="2144" customWidth="1"/>
    <col min="13062" max="13062" width="1.6640625" style="2144" customWidth="1"/>
    <col min="13063" max="13063" width="8.88671875" style="2144"/>
    <col min="13064" max="13064" width="16.44140625" style="2144" customWidth="1"/>
    <col min="13065" max="13312" width="8.88671875" style="2144"/>
    <col min="13313" max="13313" width="7" style="2144" customWidth="1"/>
    <col min="13314" max="13314" width="12.44140625" style="2144" customWidth="1"/>
    <col min="13315" max="13315" width="23.109375" style="2144" customWidth="1"/>
    <col min="13316" max="13316" width="13.6640625" style="2144" customWidth="1"/>
    <col min="13317" max="13317" width="9" style="2144" customWidth="1"/>
    <col min="13318" max="13318" width="1.6640625" style="2144" customWidth="1"/>
    <col min="13319" max="13319" width="8.88671875" style="2144"/>
    <col min="13320" max="13320" width="16.44140625" style="2144" customWidth="1"/>
    <col min="13321" max="13568" width="8.88671875" style="2144"/>
    <col min="13569" max="13569" width="7" style="2144" customWidth="1"/>
    <col min="13570" max="13570" width="12.44140625" style="2144" customWidth="1"/>
    <col min="13571" max="13571" width="23.109375" style="2144" customWidth="1"/>
    <col min="13572" max="13572" width="13.6640625" style="2144" customWidth="1"/>
    <col min="13573" max="13573" width="9" style="2144" customWidth="1"/>
    <col min="13574" max="13574" width="1.6640625" style="2144" customWidth="1"/>
    <col min="13575" max="13575" width="8.88671875" style="2144"/>
    <col min="13576" max="13576" width="16.44140625" style="2144" customWidth="1"/>
    <col min="13577" max="13824" width="8.88671875" style="2144"/>
    <col min="13825" max="13825" width="7" style="2144" customWidth="1"/>
    <col min="13826" max="13826" width="12.44140625" style="2144" customWidth="1"/>
    <col min="13827" max="13827" width="23.109375" style="2144" customWidth="1"/>
    <col min="13828" max="13828" width="13.6640625" style="2144" customWidth="1"/>
    <col min="13829" max="13829" width="9" style="2144" customWidth="1"/>
    <col min="13830" max="13830" width="1.6640625" style="2144" customWidth="1"/>
    <col min="13831" max="13831" width="8.88671875" style="2144"/>
    <col min="13832" max="13832" width="16.44140625" style="2144" customWidth="1"/>
    <col min="13833" max="14080" width="8.88671875" style="2144"/>
    <col min="14081" max="14081" width="7" style="2144" customWidth="1"/>
    <col min="14082" max="14082" width="12.44140625" style="2144" customWidth="1"/>
    <col min="14083" max="14083" width="23.109375" style="2144" customWidth="1"/>
    <col min="14084" max="14084" width="13.6640625" style="2144" customWidth="1"/>
    <col min="14085" max="14085" width="9" style="2144" customWidth="1"/>
    <col min="14086" max="14086" width="1.6640625" style="2144" customWidth="1"/>
    <col min="14087" max="14087" width="8.88671875" style="2144"/>
    <col min="14088" max="14088" width="16.44140625" style="2144" customWidth="1"/>
    <col min="14089" max="14336" width="8.88671875" style="2144"/>
    <col min="14337" max="14337" width="7" style="2144" customWidth="1"/>
    <col min="14338" max="14338" width="12.44140625" style="2144" customWidth="1"/>
    <col min="14339" max="14339" width="23.109375" style="2144" customWidth="1"/>
    <col min="14340" max="14340" width="13.6640625" style="2144" customWidth="1"/>
    <col min="14341" max="14341" width="9" style="2144" customWidth="1"/>
    <col min="14342" max="14342" width="1.6640625" style="2144" customWidth="1"/>
    <col min="14343" max="14343" width="8.88671875" style="2144"/>
    <col min="14344" max="14344" width="16.44140625" style="2144" customWidth="1"/>
    <col min="14345" max="14592" width="8.88671875" style="2144"/>
    <col min="14593" max="14593" width="7" style="2144" customWidth="1"/>
    <col min="14594" max="14594" width="12.44140625" style="2144" customWidth="1"/>
    <col min="14595" max="14595" width="23.109375" style="2144" customWidth="1"/>
    <col min="14596" max="14596" width="13.6640625" style="2144" customWidth="1"/>
    <col min="14597" max="14597" width="9" style="2144" customWidth="1"/>
    <col min="14598" max="14598" width="1.6640625" style="2144" customWidth="1"/>
    <col min="14599" max="14599" width="8.88671875" style="2144"/>
    <col min="14600" max="14600" width="16.44140625" style="2144" customWidth="1"/>
    <col min="14601" max="14848" width="8.88671875" style="2144"/>
    <col min="14849" max="14849" width="7" style="2144" customWidth="1"/>
    <col min="14850" max="14850" width="12.44140625" style="2144" customWidth="1"/>
    <col min="14851" max="14851" width="23.109375" style="2144" customWidth="1"/>
    <col min="14852" max="14852" width="13.6640625" style="2144" customWidth="1"/>
    <col min="14853" max="14853" width="9" style="2144" customWidth="1"/>
    <col min="14854" max="14854" width="1.6640625" style="2144" customWidth="1"/>
    <col min="14855" max="14855" width="8.88671875" style="2144"/>
    <col min="14856" max="14856" width="16.44140625" style="2144" customWidth="1"/>
    <col min="14857" max="15104" width="8.88671875" style="2144"/>
    <col min="15105" max="15105" width="7" style="2144" customWidth="1"/>
    <col min="15106" max="15106" width="12.44140625" style="2144" customWidth="1"/>
    <col min="15107" max="15107" width="23.109375" style="2144" customWidth="1"/>
    <col min="15108" max="15108" width="13.6640625" style="2144" customWidth="1"/>
    <col min="15109" max="15109" width="9" style="2144" customWidth="1"/>
    <col min="15110" max="15110" width="1.6640625" style="2144" customWidth="1"/>
    <col min="15111" max="15111" width="8.88671875" style="2144"/>
    <col min="15112" max="15112" width="16.44140625" style="2144" customWidth="1"/>
    <col min="15113" max="15360" width="8.88671875" style="2144"/>
    <col min="15361" max="15361" width="7" style="2144" customWidth="1"/>
    <col min="15362" max="15362" width="12.44140625" style="2144" customWidth="1"/>
    <col min="15363" max="15363" width="23.109375" style="2144" customWidth="1"/>
    <col min="15364" max="15364" width="13.6640625" style="2144" customWidth="1"/>
    <col min="15365" max="15365" width="9" style="2144" customWidth="1"/>
    <col min="15366" max="15366" width="1.6640625" style="2144" customWidth="1"/>
    <col min="15367" max="15367" width="8.88671875" style="2144"/>
    <col min="15368" max="15368" width="16.44140625" style="2144" customWidth="1"/>
    <col min="15369" max="15616" width="8.88671875" style="2144"/>
    <col min="15617" max="15617" width="7" style="2144" customWidth="1"/>
    <col min="15618" max="15618" width="12.44140625" style="2144" customWidth="1"/>
    <col min="15619" max="15619" width="23.109375" style="2144" customWidth="1"/>
    <col min="15620" max="15620" width="13.6640625" style="2144" customWidth="1"/>
    <col min="15621" max="15621" width="9" style="2144" customWidth="1"/>
    <col min="15622" max="15622" width="1.6640625" style="2144" customWidth="1"/>
    <col min="15623" max="15623" width="8.88671875" style="2144"/>
    <col min="15624" max="15624" width="16.44140625" style="2144" customWidth="1"/>
    <col min="15625" max="15872" width="8.88671875" style="2144"/>
    <col min="15873" max="15873" width="7" style="2144" customWidth="1"/>
    <col min="15874" max="15874" width="12.44140625" style="2144" customWidth="1"/>
    <col min="15875" max="15875" width="23.109375" style="2144" customWidth="1"/>
    <col min="15876" max="15876" width="13.6640625" style="2144" customWidth="1"/>
    <col min="15877" max="15877" width="9" style="2144" customWidth="1"/>
    <col min="15878" max="15878" width="1.6640625" style="2144" customWidth="1"/>
    <col min="15879" max="15879" width="8.88671875" style="2144"/>
    <col min="15880" max="15880" width="16.44140625" style="2144" customWidth="1"/>
    <col min="15881" max="16128" width="8.88671875" style="2144"/>
    <col min="16129" max="16129" width="7" style="2144" customWidth="1"/>
    <col min="16130" max="16130" width="12.44140625" style="2144" customWidth="1"/>
    <col min="16131" max="16131" width="23.109375" style="2144" customWidth="1"/>
    <col min="16132" max="16132" width="13.6640625" style="2144" customWidth="1"/>
    <col min="16133" max="16133" width="9" style="2144" customWidth="1"/>
    <col min="16134" max="16134" width="1.6640625" style="2144" customWidth="1"/>
    <col min="16135" max="16135" width="8.88671875" style="2144"/>
    <col min="16136" max="16136" width="16.44140625" style="2144" customWidth="1"/>
    <col min="16137" max="16384" width="8.88671875" style="2144"/>
  </cols>
  <sheetData>
    <row r="1" spans="1:12" ht="22.95" customHeight="1">
      <c r="B1" s="2145" t="s">
        <v>728</v>
      </c>
      <c r="C1" s="2145" t="s">
        <v>729</v>
      </c>
      <c r="D1" s="2146" t="s">
        <v>730</v>
      </c>
      <c r="E1" s="2146"/>
      <c r="F1" s="3262" t="str">
        <f>'Input Data'!E1</f>
        <v xml:space="preserve">BT Renewal from Balabadraipally to Danamma Thanda of Gundumal Mandal in Narayanpet District </v>
      </c>
      <c r="G1" s="3262"/>
      <c r="H1" s="3262"/>
      <c r="I1" s="3262"/>
      <c r="J1" s="3262"/>
      <c r="K1" s="3262"/>
      <c r="L1" s="3262"/>
    </row>
    <row r="2" spans="1:12" ht="22.95" customHeight="1">
      <c r="B2" s="2145" t="s">
        <v>731</v>
      </c>
      <c r="C2" s="2147" t="str">
        <f>'Input Data'!D4</f>
        <v>Narayanpet</v>
      </c>
      <c r="F2" s="3262"/>
      <c r="G2" s="3262"/>
      <c r="H2" s="3262"/>
      <c r="I2" s="3262"/>
      <c r="J2" s="3262"/>
      <c r="K2" s="3262"/>
      <c r="L2" s="3262"/>
    </row>
    <row r="3" spans="1:12" ht="22.95" customHeight="1">
      <c r="B3" s="2149" t="s">
        <v>732</v>
      </c>
      <c r="C3" s="3233" t="str">
        <f>'Input Data'!D7</f>
        <v>Gundumal</v>
      </c>
      <c r="D3" s="3234"/>
    </row>
    <row r="4" spans="1:12">
      <c r="A4" s="2150"/>
      <c r="D4" s="2151"/>
      <c r="E4" s="2152"/>
      <c r="F4" s="2152"/>
      <c r="G4" s="2153"/>
      <c r="H4" s="2154"/>
      <c r="I4" s="2154"/>
      <c r="J4" s="2154"/>
      <c r="K4" s="2154"/>
      <c r="L4" s="2155"/>
    </row>
    <row r="5" spans="1:12">
      <c r="A5" s="2156"/>
      <c r="B5" s="2157" t="s">
        <v>733</v>
      </c>
      <c r="G5" s="2158"/>
      <c r="H5" s="2159" t="s">
        <v>734</v>
      </c>
      <c r="I5" s="2160"/>
      <c r="J5" s="2160"/>
      <c r="K5" s="2160"/>
      <c r="L5" s="2161"/>
    </row>
    <row r="6" spans="1:12">
      <c r="A6" s="2156"/>
      <c r="G6" s="2158"/>
      <c r="H6" s="2160"/>
      <c r="I6" s="2160"/>
      <c r="J6" s="2160"/>
      <c r="K6" s="2162" t="s">
        <v>735</v>
      </c>
      <c r="L6" s="2163" t="s">
        <v>736</v>
      </c>
    </row>
    <row r="7" spans="1:12">
      <c r="A7" s="2156"/>
      <c r="D7" s="3240" t="s">
        <v>737</v>
      </c>
      <c r="E7" s="3242" t="s">
        <v>738</v>
      </c>
      <c r="F7" s="2164"/>
      <c r="G7" s="2158"/>
      <c r="H7" s="2160"/>
      <c r="I7" s="2160"/>
      <c r="J7" s="2160"/>
      <c r="K7" s="2160"/>
      <c r="L7" s="2161"/>
    </row>
    <row r="8" spans="1:12">
      <c r="A8" s="2156"/>
      <c r="D8" s="3241"/>
      <c r="E8" s="3242"/>
      <c r="F8" s="2164"/>
      <c r="G8" s="2158"/>
      <c r="H8" s="3235" t="s">
        <v>739</v>
      </c>
      <c r="I8" s="3235"/>
      <c r="J8" s="3235"/>
      <c r="K8" s="2165">
        <f>'TRAFF-Count-ESAL-Cal'!G12</f>
        <v>512</v>
      </c>
      <c r="L8" s="2166">
        <f>'TRAFF-Count-ESAL-Cal'!G16</f>
        <v>638</v>
      </c>
    </row>
    <row r="9" spans="1:12" ht="15" customHeight="1">
      <c r="A9" s="2156"/>
      <c r="B9" s="3236" t="s">
        <v>740</v>
      </c>
      <c r="C9" s="3237"/>
      <c r="D9" s="2167">
        <f>'TRAFF-Count-ESAL-Cal'!B11</f>
        <v>139</v>
      </c>
      <c r="E9" s="2168"/>
      <c r="F9" s="2169"/>
      <c r="G9" s="2158"/>
      <c r="H9" s="2160"/>
      <c r="I9" s="2160"/>
      <c r="J9" s="2160"/>
      <c r="K9" s="2160"/>
      <c r="L9" s="2161"/>
    </row>
    <row r="10" spans="1:12" ht="14.25" customHeight="1">
      <c r="A10" s="2156"/>
      <c r="B10" s="3238" t="s">
        <v>741</v>
      </c>
      <c r="C10" s="3239"/>
      <c r="D10" s="2170">
        <v>0</v>
      </c>
      <c r="E10" s="2171"/>
      <c r="F10" s="2148"/>
      <c r="G10" s="2158"/>
      <c r="H10" s="3235" t="s">
        <v>742</v>
      </c>
      <c r="I10" s="3235"/>
      <c r="J10" s="3235"/>
      <c r="K10" s="2165">
        <f>SUM('TRAFF-Count-ESAL-Cal'!D11:I11)</f>
        <v>176</v>
      </c>
      <c r="L10" s="2166">
        <f>SUM('TRAFF-Count-ESAL-Cal'!G20:G25)</f>
        <v>247</v>
      </c>
    </row>
    <row r="11" spans="1:12">
      <c r="A11" s="2156"/>
      <c r="B11" s="3240" t="s">
        <v>743</v>
      </c>
      <c r="C11" s="2172" t="s">
        <v>744</v>
      </c>
      <c r="D11" s="2173">
        <f>'TRAFF-Count-ESAL-Cal'!G11</f>
        <v>75</v>
      </c>
      <c r="E11" s="2174">
        <v>2.58</v>
      </c>
      <c r="F11" s="2175"/>
      <c r="G11" s="2158"/>
      <c r="H11" s="2160"/>
      <c r="I11" s="2160"/>
      <c r="J11" s="2160"/>
      <c r="K11" s="2160"/>
      <c r="L11" s="2161"/>
    </row>
    <row r="12" spans="1:12" ht="15" customHeight="1">
      <c r="A12" s="2156"/>
      <c r="B12" s="3240"/>
      <c r="C12" s="2172" t="s">
        <v>745</v>
      </c>
      <c r="D12" s="2170">
        <f>'TRAFF-Count-ESAL-Cal'!H11</f>
        <v>17</v>
      </c>
      <c r="E12" s="2176">
        <v>0.31</v>
      </c>
      <c r="F12" s="2177"/>
      <c r="G12" s="2158"/>
      <c r="H12" s="3243" t="s">
        <v>746</v>
      </c>
      <c r="I12" s="3244"/>
      <c r="J12" s="3244"/>
      <c r="K12" s="2178">
        <f>'TRAFF-Count-ESAL-Cal'!G18</f>
        <v>717</v>
      </c>
      <c r="L12" s="2161"/>
    </row>
    <row r="13" spans="1:12">
      <c r="A13" s="2156"/>
      <c r="B13" s="3240"/>
      <c r="C13" s="2172" t="s">
        <v>747</v>
      </c>
      <c r="D13" s="2170">
        <f>'TRAFF-Count-ESAL-Cal'!I11</f>
        <v>0</v>
      </c>
      <c r="E13" s="2179">
        <v>2.86</v>
      </c>
      <c r="F13" s="2177"/>
      <c r="G13" s="2158"/>
      <c r="H13" s="2180"/>
      <c r="I13" s="2180"/>
      <c r="J13" s="2180"/>
      <c r="K13" s="2181"/>
      <c r="L13" s="2161"/>
    </row>
    <row r="14" spans="1:12">
      <c r="A14" s="2156"/>
      <c r="B14" s="3240" t="s">
        <v>748</v>
      </c>
      <c r="C14" s="2172" t="s">
        <v>744</v>
      </c>
      <c r="D14" s="2173">
        <f>'TRAFF-Count-ESAL-Cal'!D11</f>
        <v>47</v>
      </c>
      <c r="E14" s="2182">
        <v>0.31</v>
      </c>
      <c r="F14" s="2177"/>
      <c r="G14" s="2158"/>
      <c r="H14" s="3235" t="s">
        <v>749</v>
      </c>
      <c r="I14" s="3235"/>
      <c r="J14" s="3243"/>
      <c r="K14" s="2183">
        <f>'TRAFF-Count-ESAL-Cal'!G30</f>
        <v>1501032</v>
      </c>
      <c r="L14" s="2161"/>
    </row>
    <row r="15" spans="1:12" ht="15" customHeight="1">
      <c r="A15" s="2156"/>
      <c r="B15" s="3240"/>
      <c r="C15" s="2172" t="s">
        <v>745</v>
      </c>
      <c r="D15" s="2170">
        <f>'TRAFF-Count-ESAL-Cal'!E11</f>
        <v>10</v>
      </c>
      <c r="E15" s="2184">
        <v>0.02</v>
      </c>
      <c r="F15" s="2185"/>
      <c r="G15" s="2158"/>
      <c r="H15" s="2160"/>
      <c r="I15" s="2160"/>
      <c r="J15" s="2160"/>
      <c r="K15" s="2160"/>
      <c r="L15" s="2161"/>
    </row>
    <row r="16" spans="1:12" ht="27.9" customHeight="1">
      <c r="A16" s="2156"/>
      <c r="B16" s="3240"/>
      <c r="C16" s="2172" t="s">
        <v>747</v>
      </c>
      <c r="D16" s="2170">
        <f>'TRAFF-Count-ESAL-Cal'!F11</f>
        <v>27</v>
      </c>
      <c r="E16" s="2184">
        <v>0.34</v>
      </c>
      <c r="F16" s="2185"/>
      <c r="G16" s="2158"/>
      <c r="H16" s="3245" t="s">
        <v>750</v>
      </c>
      <c r="I16" s="3246"/>
      <c r="J16" s="2186" t="s">
        <v>751</v>
      </c>
      <c r="K16" s="2187">
        <v>9</v>
      </c>
      <c r="L16" s="2161"/>
    </row>
    <row r="17" spans="1:15">
      <c r="A17" s="2156"/>
      <c r="B17" s="3238" t="s">
        <v>752</v>
      </c>
      <c r="C17" s="3239"/>
      <c r="D17" s="2170">
        <f>'TRAFF-Count-ESAL-Cal'!C11</f>
        <v>168</v>
      </c>
      <c r="E17" s="3265"/>
      <c r="F17" s="2175"/>
      <c r="G17" s="2158"/>
      <c r="H17" s="2160"/>
      <c r="I17" s="2160"/>
      <c r="J17" s="2160"/>
      <c r="K17" s="2160"/>
      <c r="L17" s="2161"/>
    </row>
    <row r="18" spans="1:15">
      <c r="A18" s="2156"/>
      <c r="B18" s="3236" t="s">
        <v>753</v>
      </c>
      <c r="C18" s="3247"/>
      <c r="D18" s="2170">
        <f>'TRAFF-Count-ESAL-Cal'!J11</f>
        <v>29</v>
      </c>
      <c r="E18" s="3266"/>
      <c r="F18" s="2175"/>
      <c r="G18" s="2158"/>
      <c r="H18" s="2160"/>
      <c r="I18" s="2160"/>
      <c r="J18" s="2160"/>
      <c r="K18" s="2188"/>
      <c r="L18" s="2161"/>
    </row>
    <row r="19" spans="1:15">
      <c r="A19" s="2156"/>
      <c r="B19" s="3240" t="s">
        <v>754</v>
      </c>
      <c r="C19" s="2172" t="s">
        <v>755</v>
      </c>
      <c r="D19" s="2170">
        <f>'TRAFF-Count-ESAL-Cal'!K11</f>
        <v>0</v>
      </c>
      <c r="E19" s="3266"/>
      <c r="F19" s="2175"/>
      <c r="G19" s="2158"/>
      <c r="H19" s="2160"/>
      <c r="I19" s="2160"/>
      <c r="J19" s="2160"/>
      <c r="K19" s="2189"/>
      <c r="L19" s="2161"/>
    </row>
    <row r="20" spans="1:15">
      <c r="A20" s="2156"/>
      <c r="B20" s="3240"/>
      <c r="C20" s="2172" t="s">
        <v>756</v>
      </c>
      <c r="D20" s="2190">
        <f>'TRAFF-Count-ESAL-Cal'!L11</f>
        <v>0</v>
      </c>
      <c r="E20" s="3267"/>
      <c r="F20" s="2175"/>
      <c r="G20" s="2158"/>
      <c r="H20" s="2191"/>
      <c r="I20" s="2191"/>
      <c r="J20" s="2191"/>
      <c r="K20" s="2192" t="s">
        <v>757</v>
      </c>
      <c r="L20" s="2161"/>
    </row>
    <row r="21" spans="1:15" ht="15">
      <c r="A21" s="2156"/>
      <c r="B21" s="2193"/>
      <c r="C21" s="2193"/>
      <c r="D21" s="2193"/>
      <c r="E21" s="2169"/>
      <c r="F21" s="2175"/>
      <c r="G21" s="2158"/>
      <c r="H21" s="3278" t="s">
        <v>514</v>
      </c>
      <c r="I21" s="3279"/>
      <c r="J21" s="3280"/>
      <c r="K21" s="2194">
        <v>30</v>
      </c>
      <c r="L21" s="2161"/>
      <c r="M21" s="2195" t="s">
        <v>758</v>
      </c>
      <c r="N21" s="2195"/>
      <c r="O21" s="2195"/>
    </row>
    <row r="22" spans="1:15">
      <c r="A22" s="2156"/>
      <c r="B22" s="2196"/>
      <c r="C22" s="2197"/>
      <c r="D22" s="2198"/>
      <c r="E22" s="2169"/>
      <c r="F22" s="2175"/>
      <c r="G22" s="2158"/>
      <c r="H22" s="3248" t="s">
        <v>759</v>
      </c>
      <c r="I22" s="3249"/>
      <c r="J22" s="3250"/>
      <c r="K22" s="2199">
        <v>50</v>
      </c>
      <c r="L22" s="2161"/>
      <c r="M22" s="2195" t="s">
        <v>758</v>
      </c>
      <c r="N22" s="2195"/>
      <c r="O22" s="2195"/>
    </row>
    <row r="23" spans="1:15" ht="17.25" customHeight="1">
      <c r="A23" s="2156"/>
      <c r="B23" s="3251" t="s">
        <v>760</v>
      </c>
      <c r="C23" s="3252"/>
      <c r="D23" s="3253"/>
      <c r="E23" s="2184">
        <v>2</v>
      </c>
      <c r="F23" s="2175"/>
      <c r="G23" s="2158"/>
      <c r="H23" s="3254" t="s">
        <v>761</v>
      </c>
      <c r="I23" s="3255"/>
      <c r="J23" s="3256"/>
      <c r="K23" s="2200">
        <v>225</v>
      </c>
      <c r="L23" s="2161"/>
      <c r="M23" s="2195" t="s">
        <v>758</v>
      </c>
      <c r="N23" s="2195"/>
      <c r="O23" s="2195"/>
    </row>
    <row r="24" spans="1:15" ht="15" customHeight="1">
      <c r="A24" s="2156"/>
      <c r="B24" s="3257" t="s">
        <v>762</v>
      </c>
      <c r="C24" s="3257"/>
      <c r="D24" s="3258"/>
      <c r="E24" s="2201" t="s">
        <v>244</v>
      </c>
      <c r="F24" s="2175"/>
      <c r="G24" s="2158"/>
      <c r="H24" s="3259" t="s">
        <v>763</v>
      </c>
      <c r="I24" s="3260"/>
      <c r="J24" s="3261"/>
      <c r="K24" s="2202">
        <v>125</v>
      </c>
      <c r="L24" s="2161"/>
      <c r="M24" s="2195" t="s">
        <v>758</v>
      </c>
      <c r="N24" s="2195"/>
      <c r="O24" s="2195"/>
    </row>
    <row r="25" spans="1:15">
      <c r="A25" s="2156"/>
      <c r="B25" s="3268" t="s">
        <v>764</v>
      </c>
      <c r="C25" s="3269"/>
      <c r="D25" s="3269"/>
      <c r="E25" s="2184">
        <v>2</v>
      </c>
      <c r="F25" s="2175"/>
      <c r="G25" s="2158"/>
      <c r="H25" s="3270" t="s">
        <v>765</v>
      </c>
      <c r="I25" s="3271"/>
      <c r="J25" s="3272"/>
      <c r="K25" s="2192">
        <f>'ESAL-calculation '!H45</f>
        <v>0</v>
      </c>
      <c r="L25" s="2161" t="s">
        <v>766</v>
      </c>
      <c r="M25" s="2195" t="s">
        <v>758</v>
      </c>
      <c r="N25" s="2195"/>
      <c r="O25" s="2195"/>
    </row>
    <row r="26" spans="1:15">
      <c r="A26" s="2156"/>
      <c r="B26" s="3273" t="s">
        <v>767</v>
      </c>
      <c r="C26" s="3273"/>
      <c r="D26" s="3274"/>
      <c r="E26" s="2203">
        <v>75</v>
      </c>
      <c r="F26" s="2175"/>
      <c r="G26" s="2158"/>
      <c r="H26" s="2180"/>
      <c r="I26" s="2180"/>
      <c r="J26" s="2180"/>
      <c r="K26" s="2204"/>
      <c r="L26" s="2161"/>
      <c r="M26" s="2195"/>
      <c r="N26" s="2195"/>
      <c r="O26" s="2195"/>
    </row>
    <row r="27" spans="1:15">
      <c r="A27" s="2156"/>
      <c r="B27" s="3268" t="s">
        <v>768</v>
      </c>
      <c r="C27" s="3269"/>
      <c r="D27" s="3269"/>
      <c r="E27" s="2203">
        <v>1</v>
      </c>
      <c r="F27" s="2175"/>
      <c r="G27" s="2158"/>
      <c r="H27" s="2180"/>
      <c r="I27" s="2180"/>
      <c r="J27" s="2180"/>
      <c r="K27" s="2204"/>
      <c r="L27" s="2161"/>
      <c r="M27" s="2195"/>
      <c r="N27" s="2195"/>
      <c r="O27" s="2195"/>
    </row>
    <row r="28" spans="1:15">
      <c r="A28" s="2156"/>
      <c r="E28" s="2169"/>
      <c r="G28" s="2158"/>
      <c r="H28" s="2160"/>
      <c r="I28" s="2160"/>
      <c r="J28" s="2160"/>
      <c r="K28" s="2160"/>
      <c r="L28" s="2161"/>
      <c r="M28" s="2195"/>
      <c r="N28" s="2195"/>
      <c r="O28" s="2195"/>
    </row>
    <row r="29" spans="1:15">
      <c r="A29" s="2156"/>
      <c r="B29" s="3275" t="s">
        <v>769</v>
      </c>
      <c r="C29" s="3275"/>
      <c r="D29" s="3268"/>
      <c r="E29" s="2184">
        <v>10</v>
      </c>
      <c r="G29" s="2158"/>
      <c r="H29" s="3276" t="s">
        <v>770</v>
      </c>
      <c r="I29" s="3276"/>
      <c r="J29" s="3277"/>
      <c r="K29" s="2205">
        <f>K24+K23+K22+K21</f>
        <v>430</v>
      </c>
      <c r="L29" s="2161"/>
      <c r="M29" s="2195">
        <f>K24+K23</f>
        <v>350</v>
      </c>
      <c r="N29" s="2195" t="s">
        <v>771</v>
      </c>
      <c r="O29" s="2195"/>
    </row>
    <row r="30" spans="1:15">
      <c r="A30" s="2206"/>
      <c r="B30" s="2207"/>
      <c r="C30" s="2207"/>
      <c r="D30" s="2208"/>
      <c r="E30" s="2207"/>
      <c r="F30" s="2207"/>
      <c r="G30" s="2209"/>
      <c r="H30" s="2210"/>
      <c r="I30" s="2210"/>
      <c r="J30" s="2210"/>
      <c r="K30" s="2210"/>
      <c r="L30" s="2211"/>
    </row>
    <row r="32" spans="1:15">
      <c r="M32" s="2195" t="s">
        <v>772</v>
      </c>
      <c r="N32" s="2195"/>
      <c r="O32" s="2195"/>
    </row>
    <row r="34" spans="1:16" s="2213" customFormat="1" ht="21" customHeight="1">
      <c r="A34" s="3263"/>
      <c r="B34" s="3263"/>
      <c r="C34" s="3263"/>
      <c r="D34" s="3264"/>
      <c r="E34" s="3264"/>
      <c r="F34" s="3264"/>
      <c r="G34" s="3263"/>
      <c r="H34" s="3263"/>
      <c r="I34" s="3263"/>
      <c r="J34" s="3263"/>
      <c r="K34" s="3263"/>
      <c r="L34" s="3263"/>
      <c r="M34" s="3263"/>
      <c r="N34" s="2212"/>
      <c r="O34" s="2212"/>
      <c r="P34" s="2212"/>
    </row>
    <row r="35" spans="1:16" s="2213" customFormat="1" ht="13.2">
      <c r="A35" s="2214"/>
      <c r="B35" s="2215" t="s">
        <v>2784</v>
      </c>
      <c r="C35" s="2216"/>
      <c r="D35" s="2215" t="s">
        <v>773</v>
      </c>
      <c r="E35" s="2215"/>
      <c r="F35" s="2217"/>
      <c r="G35" s="2218"/>
      <c r="H35" s="2215" t="s">
        <v>725</v>
      </c>
      <c r="I35" s="2219"/>
      <c r="J35" s="2220"/>
      <c r="K35" s="2215" t="s">
        <v>455</v>
      </c>
      <c r="L35" s="2214"/>
      <c r="M35" s="2221"/>
      <c r="N35" s="2212"/>
      <c r="O35" s="2212"/>
      <c r="P35" s="2212"/>
    </row>
    <row r="36" spans="1:16" s="2231" customFormat="1" ht="13.2">
      <c r="A36" s="2222"/>
      <c r="B36" s="2223" t="str">
        <f>'TRAFF-Count-ESAL-Cal'!B34</f>
        <v>PRSD Maddur</v>
      </c>
      <c r="C36" s="2224"/>
      <c r="D36" s="2225" t="str">
        <f>'TRAFF-Count-ESAL-Cal'!E34</f>
        <v>PRSD, Maddur</v>
      </c>
      <c r="E36" s="2225"/>
      <c r="F36" s="2226"/>
      <c r="G36" s="2227"/>
      <c r="H36" s="2223" t="str">
        <f>'TRAFF-Count-ESAL-Cal'!H34</f>
        <v>PR Division, Narayanpet</v>
      </c>
      <c r="I36" s="2228"/>
      <c r="J36" s="2229"/>
      <c r="K36" s="2230" t="str">
        <f>'TRAFF-Count-ESAL-Cal'!K34</f>
        <v>PR, Circle, Vikarabad</v>
      </c>
      <c r="L36" s="2222"/>
      <c r="M36" s="2222"/>
    </row>
  </sheetData>
  <mergeCells count="33">
    <mergeCell ref="F1:L2"/>
    <mergeCell ref="A34:C34"/>
    <mergeCell ref="D34:F34"/>
    <mergeCell ref="G34:I34"/>
    <mergeCell ref="J34:M34"/>
    <mergeCell ref="B11:B13"/>
    <mergeCell ref="B14:B16"/>
    <mergeCell ref="B19:B20"/>
    <mergeCell ref="E17:E20"/>
    <mergeCell ref="B25:D25"/>
    <mergeCell ref="H25:J25"/>
    <mergeCell ref="B26:D26"/>
    <mergeCell ref="B27:D27"/>
    <mergeCell ref="B29:D29"/>
    <mergeCell ref="H29:J29"/>
    <mergeCell ref="H21:J21"/>
    <mergeCell ref="H22:J22"/>
    <mergeCell ref="B23:D23"/>
    <mergeCell ref="H23:J23"/>
    <mergeCell ref="B24:D24"/>
    <mergeCell ref="H24:J24"/>
    <mergeCell ref="H12:J12"/>
    <mergeCell ref="H14:J14"/>
    <mergeCell ref="H16:I16"/>
    <mergeCell ref="B17:C17"/>
    <mergeCell ref="B18:C18"/>
    <mergeCell ref="C3:D3"/>
    <mergeCell ref="H8:J8"/>
    <mergeCell ref="B9:C9"/>
    <mergeCell ref="B10:C10"/>
    <mergeCell ref="H10:J10"/>
    <mergeCell ref="D7:D8"/>
    <mergeCell ref="E7:E8"/>
  </mergeCells>
  <pageMargins left="0.87" right="0.7" top="0.75" bottom="0.75" header="0.3" footer="0.3"/>
  <pageSetup paperSize="9" scale="8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T42"/>
  <sheetViews>
    <sheetView view="pageBreakPreview" topLeftCell="A13" workbookViewId="0">
      <selection activeCell="B7" sqref="B7:L9"/>
    </sheetView>
  </sheetViews>
  <sheetFormatPr defaultColWidth="9" defaultRowHeight="13.2"/>
  <cols>
    <col min="1" max="1" width="22.5546875" style="2232" customWidth="1"/>
    <col min="2" max="2" width="12.33203125" style="2232" customWidth="1"/>
    <col min="3" max="3" width="10.5546875" style="2232" customWidth="1"/>
    <col min="4" max="4" width="7.5546875" style="2232" customWidth="1"/>
    <col min="5" max="5" width="11.109375" style="2232" customWidth="1"/>
    <col min="6" max="6" width="10.5546875" style="2232" customWidth="1"/>
    <col min="7" max="7" width="10.109375" style="2232" customWidth="1"/>
    <col min="8" max="8" width="11.44140625" style="2232" customWidth="1"/>
    <col min="9" max="9" width="14.44140625" style="2256" customWidth="1"/>
    <col min="10" max="10" width="8.88671875" style="2232" customWidth="1"/>
    <col min="11" max="12" width="9.33203125" style="2232" customWidth="1"/>
    <col min="13" max="13" width="9" style="2232" customWidth="1"/>
    <col min="14" max="15" width="9.109375" style="2232"/>
    <col min="16" max="16" width="8.88671875" style="2232" customWidth="1"/>
    <col min="17" max="256" width="9.109375" style="2232"/>
    <col min="257" max="257" width="22.5546875" style="2232" customWidth="1"/>
    <col min="258" max="258" width="12.33203125" style="2232" customWidth="1"/>
    <col min="259" max="259" width="10.5546875" style="2232" customWidth="1"/>
    <col min="260" max="260" width="7.5546875" style="2232" customWidth="1"/>
    <col min="261" max="261" width="11.109375" style="2232" customWidth="1"/>
    <col min="262" max="262" width="10.5546875" style="2232" customWidth="1"/>
    <col min="263" max="263" width="10.109375" style="2232" customWidth="1"/>
    <col min="264" max="264" width="11.44140625" style="2232" customWidth="1"/>
    <col min="265" max="265" width="14.44140625" style="2232" customWidth="1"/>
    <col min="266" max="266" width="8.88671875" style="2232" customWidth="1"/>
    <col min="267" max="268" width="9.33203125" style="2232" customWidth="1"/>
    <col min="269" max="269" width="9" style="2232" customWidth="1"/>
    <col min="270" max="512" width="9.109375" style="2232"/>
    <col min="513" max="513" width="22.5546875" style="2232" customWidth="1"/>
    <col min="514" max="514" width="12.33203125" style="2232" customWidth="1"/>
    <col min="515" max="515" width="10.5546875" style="2232" customWidth="1"/>
    <col min="516" max="516" width="7.5546875" style="2232" customWidth="1"/>
    <col min="517" max="517" width="11.109375" style="2232" customWidth="1"/>
    <col min="518" max="518" width="10.5546875" style="2232" customWidth="1"/>
    <col min="519" max="519" width="10.109375" style="2232" customWidth="1"/>
    <col min="520" max="520" width="11.44140625" style="2232" customWidth="1"/>
    <col min="521" max="521" width="14.44140625" style="2232" customWidth="1"/>
    <col min="522" max="522" width="8.88671875" style="2232" customWidth="1"/>
    <col min="523" max="524" width="9.33203125" style="2232" customWidth="1"/>
    <col min="525" max="525" width="9" style="2232" customWidth="1"/>
    <col min="526" max="768" width="9.109375" style="2232"/>
    <col min="769" max="769" width="22.5546875" style="2232" customWidth="1"/>
    <col min="770" max="770" width="12.33203125" style="2232" customWidth="1"/>
    <col min="771" max="771" width="10.5546875" style="2232" customWidth="1"/>
    <col min="772" max="772" width="7.5546875" style="2232" customWidth="1"/>
    <col min="773" max="773" width="11.109375" style="2232" customWidth="1"/>
    <col min="774" max="774" width="10.5546875" style="2232" customWidth="1"/>
    <col min="775" max="775" width="10.109375" style="2232" customWidth="1"/>
    <col min="776" max="776" width="11.44140625" style="2232" customWidth="1"/>
    <col min="777" max="777" width="14.44140625" style="2232" customWidth="1"/>
    <col min="778" max="778" width="8.88671875" style="2232" customWidth="1"/>
    <col min="779" max="780" width="9.33203125" style="2232" customWidth="1"/>
    <col min="781" max="781" width="9" style="2232" customWidth="1"/>
    <col min="782" max="1024" width="9.109375" style="2232"/>
    <col min="1025" max="1025" width="22.5546875" style="2232" customWidth="1"/>
    <col min="1026" max="1026" width="12.33203125" style="2232" customWidth="1"/>
    <col min="1027" max="1027" width="10.5546875" style="2232" customWidth="1"/>
    <col min="1028" max="1028" width="7.5546875" style="2232" customWidth="1"/>
    <col min="1029" max="1029" width="11.109375" style="2232" customWidth="1"/>
    <col min="1030" max="1030" width="10.5546875" style="2232" customWidth="1"/>
    <col min="1031" max="1031" width="10.109375" style="2232" customWidth="1"/>
    <col min="1032" max="1032" width="11.44140625" style="2232" customWidth="1"/>
    <col min="1033" max="1033" width="14.44140625" style="2232" customWidth="1"/>
    <col min="1034" max="1034" width="8.88671875" style="2232" customWidth="1"/>
    <col min="1035" max="1036" width="9.33203125" style="2232" customWidth="1"/>
    <col min="1037" max="1037" width="9" style="2232" customWidth="1"/>
    <col min="1038" max="1280" width="9.109375" style="2232"/>
    <col min="1281" max="1281" width="22.5546875" style="2232" customWidth="1"/>
    <col min="1282" max="1282" width="12.33203125" style="2232" customWidth="1"/>
    <col min="1283" max="1283" width="10.5546875" style="2232" customWidth="1"/>
    <col min="1284" max="1284" width="7.5546875" style="2232" customWidth="1"/>
    <col min="1285" max="1285" width="11.109375" style="2232" customWidth="1"/>
    <col min="1286" max="1286" width="10.5546875" style="2232" customWidth="1"/>
    <col min="1287" max="1287" width="10.109375" style="2232" customWidth="1"/>
    <col min="1288" max="1288" width="11.44140625" style="2232" customWidth="1"/>
    <col min="1289" max="1289" width="14.44140625" style="2232" customWidth="1"/>
    <col min="1290" max="1290" width="8.88671875" style="2232" customWidth="1"/>
    <col min="1291" max="1292" width="9.33203125" style="2232" customWidth="1"/>
    <col min="1293" max="1293" width="9" style="2232" customWidth="1"/>
    <col min="1294" max="1536" width="9.109375" style="2232"/>
    <col min="1537" max="1537" width="22.5546875" style="2232" customWidth="1"/>
    <col min="1538" max="1538" width="12.33203125" style="2232" customWidth="1"/>
    <col min="1539" max="1539" width="10.5546875" style="2232" customWidth="1"/>
    <col min="1540" max="1540" width="7.5546875" style="2232" customWidth="1"/>
    <col min="1541" max="1541" width="11.109375" style="2232" customWidth="1"/>
    <col min="1542" max="1542" width="10.5546875" style="2232" customWidth="1"/>
    <col min="1543" max="1543" width="10.109375" style="2232" customWidth="1"/>
    <col min="1544" max="1544" width="11.44140625" style="2232" customWidth="1"/>
    <col min="1545" max="1545" width="14.44140625" style="2232" customWidth="1"/>
    <col min="1546" max="1546" width="8.88671875" style="2232" customWidth="1"/>
    <col min="1547" max="1548" width="9.33203125" style="2232" customWidth="1"/>
    <col min="1549" max="1549" width="9" style="2232" customWidth="1"/>
    <col min="1550" max="1792" width="9.109375" style="2232"/>
    <col min="1793" max="1793" width="22.5546875" style="2232" customWidth="1"/>
    <col min="1794" max="1794" width="12.33203125" style="2232" customWidth="1"/>
    <col min="1795" max="1795" width="10.5546875" style="2232" customWidth="1"/>
    <col min="1796" max="1796" width="7.5546875" style="2232" customWidth="1"/>
    <col min="1797" max="1797" width="11.109375" style="2232" customWidth="1"/>
    <col min="1798" max="1798" width="10.5546875" style="2232" customWidth="1"/>
    <col min="1799" max="1799" width="10.109375" style="2232" customWidth="1"/>
    <col min="1800" max="1800" width="11.44140625" style="2232" customWidth="1"/>
    <col min="1801" max="1801" width="14.44140625" style="2232" customWidth="1"/>
    <col min="1802" max="1802" width="8.88671875" style="2232" customWidth="1"/>
    <col min="1803" max="1804" width="9.33203125" style="2232" customWidth="1"/>
    <col min="1805" max="1805" width="9" style="2232" customWidth="1"/>
    <col min="1806" max="2048" width="9.109375" style="2232"/>
    <col min="2049" max="2049" width="22.5546875" style="2232" customWidth="1"/>
    <col min="2050" max="2050" width="12.33203125" style="2232" customWidth="1"/>
    <col min="2051" max="2051" width="10.5546875" style="2232" customWidth="1"/>
    <col min="2052" max="2052" width="7.5546875" style="2232" customWidth="1"/>
    <col min="2053" max="2053" width="11.109375" style="2232" customWidth="1"/>
    <col min="2054" max="2054" width="10.5546875" style="2232" customWidth="1"/>
    <col min="2055" max="2055" width="10.109375" style="2232" customWidth="1"/>
    <col min="2056" max="2056" width="11.44140625" style="2232" customWidth="1"/>
    <col min="2057" max="2057" width="14.44140625" style="2232" customWidth="1"/>
    <col min="2058" max="2058" width="8.88671875" style="2232" customWidth="1"/>
    <col min="2059" max="2060" width="9.33203125" style="2232" customWidth="1"/>
    <col min="2061" max="2061" width="9" style="2232" customWidth="1"/>
    <col min="2062" max="2304" width="9.109375" style="2232"/>
    <col min="2305" max="2305" width="22.5546875" style="2232" customWidth="1"/>
    <col min="2306" max="2306" width="12.33203125" style="2232" customWidth="1"/>
    <col min="2307" max="2307" width="10.5546875" style="2232" customWidth="1"/>
    <col min="2308" max="2308" width="7.5546875" style="2232" customWidth="1"/>
    <col min="2309" max="2309" width="11.109375" style="2232" customWidth="1"/>
    <col min="2310" max="2310" width="10.5546875" style="2232" customWidth="1"/>
    <col min="2311" max="2311" width="10.109375" style="2232" customWidth="1"/>
    <col min="2312" max="2312" width="11.44140625" style="2232" customWidth="1"/>
    <col min="2313" max="2313" width="14.44140625" style="2232" customWidth="1"/>
    <col min="2314" max="2314" width="8.88671875" style="2232" customWidth="1"/>
    <col min="2315" max="2316" width="9.33203125" style="2232" customWidth="1"/>
    <col min="2317" max="2317" width="9" style="2232" customWidth="1"/>
    <col min="2318" max="2560" width="9.109375" style="2232"/>
    <col min="2561" max="2561" width="22.5546875" style="2232" customWidth="1"/>
    <col min="2562" max="2562" width="12.33203125" style="2232" customWidth="1"/>
    <col min="2563" max="2563" width="10.5546875" style="2232" customWidth="1"/>
    <col min="2564" max="2564" width="7.5546875" style="2232" customWidth="1"/>
    <col min="2565" max="2565" width="11.109375" style="2232" customWidth="1"/>
    <col min="2566" max="2566" width="10.5546875" style="2232" customWidth="1"/>
    <col min="2567" max="2567" width="10.109375" style="2232" customWidth="1"/>
    <col min="2568" max="2568" width="11.44140625" style="2232" customWidth="1"/>
    <col min="2569" max="2569" width="14.44140625" style="2232" customWidth="1"/>
    <col min="2570" max="2570" width="8.88671875" style="2232" customWidth="1"/>
    <col min="2571" max="2572" width="9.33203125" style="2232" customWidth="1"/>
    <col min="2573" max="2573" width="9" style="2232" customWidth="1"/>
    <col min="2574" max="2816" width="9.109375" style="2232"/>
    <col min="2817" max="2817" width="22.5546875" style="2232" customWidth="1"/>
    <col min="2818" max="2818" width="12.33203125" style="2232" customWidth="1"/>
    <col min="2819" max="2819" width="10.5546875" style="2232" customWidth="1"/>
    <col min="2820" max="2820" width="7.5546875" style="2232" customWidth="1"/>
    <col min="2821" max="2821" width="11.109375" style="2232" customWidth="1"/>
    <col min="2822" max="2822" width="10.5546875" style="2232" customWidth="1"/>
    <col min="2823" max="2823" width="10.109375" style="2232" customWidth="1"/>
    <col min="2824" max="2824" width="11.44140625" style="2232" customWidth="1"/>
    <col min="2825" max="2825" width="14.44140625" style="2232" customWidth="1"/>
    <col min="2826" max="2826" width="8.88671875" style="2232" customWidth="1"/>
    <col min="2827" max="2828" width="9.33203125" style="2232" customWidth="1"/>
    <col min="2829" max="2829" width="9" style="2232" customWidth="1"/>
    <col min="2830" max="3072" width="9.109375" style="2232"/>
    <col min="3073" max="3073" width="22.5546875" style="2232" customWidth="1"/>
    <col min="3074" max="3074" width="12.33203125" style="2232" customWidth="1"/>
    <col min="3075" max="3075" width="10.5546875" style="2232" customWidth="1"/>
    <col min="3076" max="3076" width="7.5546875" style="2232" customWidth="1"/>
    <col min="3077" max="3077" width="11.109375" style="2232" customWidth="1"/>
    <col min="3078" max="3078" width="10.5546875" style="2232" customWidth="1"/>
    <col min="3079" max="3079" width="10.109375" style="2232" customWidth="1"/>
    <col min="3080" max="3080" width="11.44140625" style="2232" customWidth="1"/>
    <col min="3081" max="3081" width="14.44140625" style="2232" customWidth="1"/>
    <col min="3082" max="3082" width="8.88671875" style="2232" customWidth="1"/>
    <col min="3083" max="3084" width="9.33203125" style="2232" customWidth="1"/>
    <col min="3085" max="3085" width="9" style="2232" customWidth="1"/>
    <col min="3086" max="3328" width="9.109375" style="2232"/>
    <col min="3329" max="3329" width="22.5546875" style="2232" customWidth="1"/>
    <col min="3330" max="3330" width="12.33203125" style="2232" customWidth="1"/>
    <col min="3331" max="3331" width="10.5546875" style="2232" customWidth="1"/>
    <col min="3332" max="3332" width="7.5546875" style="2232" customWidth="1"/>
    <col min="3333" max="3333" width="11.109375" style="2232" customWidth="1"/>
    <col min="3334" max="3334" width="10.5546875" style="2232" customWidth="1"/>
    <col min="3335" max="3335" width="10.109375" style="2232" customWidth="1"/>
    <col min="3336" max="3336" width="11.44140625" style="2232" customWidth="1"/>
    <col min="3337" max="3337" width="14.44140625" style="2232" customWidth="1"/>
    <col min="3338" max="3338" width="8.88671875" style="2232" customWidth="1"/>
    <col min="3339" max="3340" width="9.33203125" style="2232" customWidth="1"/>
    <col min="3341" max="3341" width="9" style="2232" customWidth="1"/>
    <col min="3342" max="3584" width="9.109375" style="2232"/>
    <col min="3585" max="3585" width="22.5546875" style="2232" customWidth="1"/>
    <col min="3586" max="3586" width="12.33203125" style="2232" customWidth="1"/>
    <col min="3587" max="3587" width="10.5546875" style="2232" customWidth="1"/>
    <col min="3588" max="3588" width="7.5546875" style="2232" customWidth="1"/>
    <col min="3589" max="3589" width="11.109375" style="2232" customWidth="1"/>
    <col min="3590" max="3590" width="10.5546875" style="2232" customWidth="1"/>
    <col min="3591" max="3591" width="10.109375" style="2232" customWidth="1"/>
    <col min="3592" max="3592" width="11.44140625" style="2232" customWidth="1"/>
    <col min="3593" max="3593" width="14.44140625" style="2232" customWidth="1"/>
    <col min="3594" max="3594" width="8.88671875" style="2232" customWidth="1"/>
    <col min="3595" max="3596" width="9.33203125" style="2232" customWidth="1"/>
    <col min="3597" max="3597" width="9" style="2232" customWidth="1"/>
    <col min="3598" max="3840" width="9.109375" style="2232"/>
    <col min="3841" max="3841" width="22.5546875" style="2232" customWidth="1"/>
    <col min="3842" max="3842" width="12.33203125" style="2232" customWidth="1"/>
    <col min="3843" max="3843" width="10.5546875" style="2232" customWidth="1"/>
    <col min="3844" max="3844" width="7.5546875" style="2232" customWidth="1"/>
    <col min="3845" max="3845" width="11.109375" style="2232" customWidth="1"/>
    <col min="3846" max="3846" width="10.5546875" style="2232" customWidth="1"/>
    <col min="3847" max="3847" width="10.109375" style="2232" customWidth="1"/>
    <col min="3848" max="3848" width="11.44140625" style="2232" customWidth="1"/>
    <col min="3849" max="3849" width="14.44140625" style="2232" customWidth="1"/>
    <col min="3850" max="3850" width="8.88671875" style="2232" customWidth="1"/>
    <col min="3851" max="3852" width="9.33203125" style="2232" customWidth="1"/>
    <col min="3853" max="3853" width="9" style="2232" customWidth="1"/>
    <col min="3854" max="4096" width="9.109375" style="2232"/>
    <col min="4097" max="4097" width="22.5546875" style="2232" customWidth="1"/>
    <col min="4098" max="4098" width="12.33203125" style="2232" customWidth="1"/>
    <col min="4099" max="4099" width="10.5546875" style="2232" customWidth="1"/>
    <col min="4100" max="4100" width="7.5546875" style="2232" customWidth="1"/>
    <col min="4101" max="4101" width="11.109375" style="2232" customWidth="1"/>
    <col min="4102" max="4102" width="10.5546875" style="2232" customWidth="1"/>
    <col min="4103" max="4103" width="10.109375" style="2232" customWidth="1"/>
    <col min="4104" max="4104" width="11.44140625" style="2232" customWidth="1"/>
    <col min="4105" max="4105" width="14.44140625" style="2232" customWidth="1"/>
    <col min="4106" max="4106" width="8.88671875" style="2232" customWidth="1"/>
    <col min="4107" max="4108" width="9.33203125" style="2232" customWidth="1"/>
    <col min="4109" max="4109" width="9" style="2232" customWidth="1"/>
    <col min="4110" max="4352" width="9.109375" style="2232"/>
    <col min="4353" max="4353" width="22.5546875" style="2232" customWidth="1"/>
    <col min="4354" max="4354" width="12.33203125" style="2232" customWidth="1"/>
    <col min="4355" max="4355" width="10.5546875" style="2232" customWidth="1"/>
    <col min="4356" max="4356" width="7.5546875" style="2232" customWidth="1"/>
    <col min="4357" max="4357" width="11.109375" style="2232" customWidth="1"/>
    <col min="4358" max="4358" width="10.5546875" style="2232" customWidth="1"/>
    <col min="4359" max="4359" width="10.109375" style="2232" customWidth="1"/>
    <col min="4360" max="4360" width="11.44140625" style="2232" customWidth="1"/>
    <col min="4361" max="4361" width="14.44140625" style="2232" customWidth="1"/>
    <col min="4362" max="4362" width="8.88671875" style="2232" customWidth="1"/>
    <col min="4363" max="4364" width="9.33203125" style="2232" customWidth="1"/>
    <col min="4365" max="4365" width="9" style="2232" customWidth="1"/>
    <col min="4366" max="4608" width="9.109375" style="2232"/>
    <col min="4609" max="4609" width="22.5546875" style="2232" customWidth="1"/>
    <col min="4610" max="4610" width="12.33203125" style="2232" customWidth="1"/>
    <col min="4611" max="4611" width="10.5546875" style="2232" customWidth="1"/>
    <col min="4612" max="4612" width="7.5546875" style="2232" customWidth="1"/>
    <col min="4613" max="4613" width="11.109375" style="2232" customWidth="1"/>
    <col min="4614" max="4614" width="10.5546875" style="2232" customWidth="1"/>
    <col min="4615" max="4615" width="10.109375" style="2232" customWidth="1"/>
    <col min="4616" max="4616" width="11.44140625" style="2232" customWidth="1"/>
    <col min="4617" max="4617" width="14.44140625" style="2232" customWidth="1"/>
    <col min="4618" max="4618" width="8.88671875" style="2232" customWidth="1"/>
    <col min="4619" max="4620" width="9.33203125" style="2232" customWidth="1"/>
    <col min="4621" max="4621" width="9" style="2232" customWidth="1"/>
    <col min="4622" max="4864" width="9.109375" style="2232"/>
    <col min="4865" max="4865" width="22.5546875" style="2232" customWidth="1"/>
    <col min="4866" max="4866" width="12.33203125" style="2232" customWidth="1"/>
    <col min="4867" max="4867" width="10.5546875" style="2232" customWidth="1"/>
    <col min="4868" max="4868" width="7.5546875" style="2232" customWidth="1"/>
    <col min="4869" max="4869" width="11.109375" style="2232" customWidth="1"/>
    <col min="4870" max="4870" width="10.5546875" style="2232" customWidth="1"/>
    <col min="4871" max="4871" width="10.109375" style="2232" customWidth="1"/>
    <col min="4872" max="4872" width="11.44140625" style="2232" customWidth="1"/>
    <col min="4873" max="4873" width="14.44140625" style="2232" customWidth="1"/>
    <col min="4874" max="4874" width="8.88671875" style="2232" customWidth="1"/>
    <col min="4875" max="4876" width="9.33203125" style="2232" customWidth="1"/>
    <col min="4877" max="4877" width="9" style="2232" customWidth="1"/>
    <col min="4878" max="5120" width="9.109375" style="2232"/>
    <col min="5121" max="5121" width="22.5546875" style="2232" customWidth="1"/>
    <col min="5122" max="5122" width="12.33203125" style="2232" customWidth="1"/>
    <col min="5123" max="5123" width="10.5546875" style="2232" customWidth="1"/>
    <col min="5124" max="5124" width="7.5546875" style="2232" customWidth="1"/>
    <col min="5125" max="5125" width="11.109375" style="2232" customWidth="1"/>
    <col min="5126" max="5126" width="10.5546875" style="2232" customWidth="1"/>
    <col min="5127" max="5127" width="10.109375" style="2232" customWidth="1"/>
    <col min="5128" max="5128" width="11.44140625" style="2232" customWidth="1"/>
    <col min="5129" max="5129" width="14.44140625" style="2232" customWidth="1"/>
    <col min="5130" max="5130" width="8.88671875" style="2232" customWidth="1"/>
    <col min="5131" max="5132" width="9.33203125" style="2232" customWidth="1"/>
    <col min="5133" max="5133" width="9" style="2232" customWidth="1"/>
    <col min="5134" max="5376" width="9.109375" style="2232"/>
    <col min="5377" max="5377" width="22.5546875" style="2232" customWidth="1"/>
    <col min="5378" max="5378" width="12.33203125" style="2232" customWidth="1"/>
    <col min="5379" max="5379" width="10.5546875" style="2232" customWidth="1"/>
    <col min="5380" max="5380" width="7.5546875" style="2232" customWidth="1"/>
    <col min="5381" max="5381" width="11.109375" style="2232" customWidth="1"/>
    <col min="5382" max="5382" width="10.5546875" style="2232" customWidth="1"/>
    <col min="5383" max="5383" width="10.109375" style="2232" customWidth="1"/>
    <col min="5384" max="5384" width="11.44140625" style="2232" customWidth="1"/>
    <col min="5385" max="5385" width="14.44140625" style="2232" customWidth="1"/>
    <col min="5386" max="5386" width="8.88671875" style="2232" customWidth="1"/>
    <col min="5387" max="5388" width="9.33203125" style="2232" customWidth="1"/>
    <col min="5389" max="5389" width="9" style="2232" customWidth="1"/>
    <col min="5390" max="5632" width="9.109375" style="2232"/>
    <col min="5633" max="5633" width="22.5546875" style="2232" customWidth="1"/>
    <col min="5634" max="5634" width="12.33203125" style="2232" customWidth="1"/>
    <col min="5635" max="5635" width="10.5546875" style="2232" customWidth="1"/>
    <col min="5636" max="5636" width="7.5546875" style="2232" customWidth="1"/>
    <col min="5637" max="5637" width="11.109375" style="2232" customWidth="1"/>
    <col min="5638" max="5638" width="10.5546875" style="2232" customWidth="1"/>
    <col min="5639" max="5639" width="10.109375" style="2232" customWidth="1"/>
    <col min="5640" max="5640" width="11.44140625" style="2232" customWidth="1"/>
    <col min="5641" max="5641" width="14.44140625" style="2232" customWidth="1"/>
    <col min="5642" max="5642" width="8.88671875" style="2232" customWidth="1"/>
    <col min="5643" max="5644" width="9.33203125" style="2232" customWidth="1"/>
    <col min="5645" max="5645" width="9" style="2232" customWidth="1"/>
    <col min="5646" max="5888" width="9.109375" style="2232"/>
    <col min="5889" max="5889" width="22.5546875" style="2232" customWidth="1"/>
    <col min="5890" max="5890" width="12.33203125" style="2232" customWidth="1"/>
    <col min="5891" max="5891" width="10.5546875" style="2232" customWidth="1"/>
    <col min="5892" max="5892" width="7.5546875" style="2232" customWidth="1"/>
    <col min="5893" max="5893" width="11.109375" style="2232" customWidth="1"/>
    <col min="5894" max="5894" width="10.5546875" style="2232" customWidth="1"/>
    <col min="5895" max="5895" width="10.109375" style="2232" customWidth="1"/>
    <col min="5896" max="5896" width="11.44140625" style="2232" customWidth="1"/>
    <col min="5897" max="5897" width="14.44140625" style="2232" customWidth="1"/>
    <col min="5898" max="5898" width="8.88671875" style="2232" customWidth="1"/>
    <col min="5899" max="5900" width="9.33203125" style="2232" customWidth="1"/>
    <col min="5901" max="5901" width="9" style="2232" customWidth="1"/>
    <col min="5902" max="6144" width="9.109375" style="2232"/>
    <col min="6145" max="6145" width="22.5546875" style="2232" customWidth="1"/>
    <col min="6146" max="6146" width="12.33203125" style="2232" customWidth="1"/>
    <col min="6147" max="6147" width="10.5546875" style="2232" customWidth="1"/>
    <col min="6148" max="6148" width="7.5546875" style="2232" customWidth="1"/>
    <col min="6149" max="6149" width="11.109375" style="2232" customWidth="1"/>
    <col min="6150" max="6150" width="10.5546875" style="2232" customWidth="1"/>
    <col min="6151" max="6151" width="10.109375" style="2232" customWidth="1"/>
    <col min="6152" max="6152" width="11.44140625" style="2232" customWidth="1"/>
    <col min="6153" max="6153" width="14.44140625" style="2232" customWidth="1"/>
    <col min="6154" max="6154" width="8.88671875" style="2232" customWidth="1"/>
    <col min="6155" max="6156" width="9.33203125" style="2232" customWidth="1"/>
    <col min="6157" max="6157" width="9" style="2232" customWidth="1"/>
    <col min="6158" max="6400" width="9.109375" style="2232"/>
    <col min="6401" max="6401" width="22.5546875" style="2232" customWidth="1"/>
    <col min="6402" max="6402" width="12.33203125" style="2232" customWidth="1"/>
    <col min="6403" max="6403" width="10.5546875" style="2232" customWidth="1"/>
    <col min="6404" max="6404" width="7.5546875" style="2232" customWidth="1"/>
    <col min="6405" max="6405" width="11.109375" style="2232" customWidth="1"/>
    <col min="6406" max="6406" width="10.5546875" style="2232" customWidth="1"/>
    <col min="6407" max="6407" width="10.109375" style="2232" customWidth="1"/>
    <col min="6408" max="6408" width="11.44140625" style="2232" customWidth="1"/>
    <col min="6409" max="6409" width="14.44140625" style="2232" customWidth="1"/>
    <col min="6410" max="6410" width="8.88671875" style="2232" customWidth="1"/>
    <col min="6411" max="6412" width="9.33203125" style="2232" customWidth="1"/>
    <col min="6413" max="6413" width="9" style="2232" customWidth="1"/>
    <col min="6414" max="6656" width="9.109375" style="2232"/>
    <col min="6657" max="6657" width="22.5546875" style="2232" customWidth="1"/>
    <col min="6658" max="6658" width="12.33203125" style="2232" customWidth="1"/>
    <col min="6659" max="6659" width="10.5546875" style="2232" customWidth="1"/>
    <col min="6660" max="6660" width="7.5546875" style="2232" customWidth="1"/>
    <col min="6661" max="6661" width="11.109375" style="2232" customWidth="1"/>
    <col min="6662" max="6662" width="10.5546875" style="2232" customWidth="1"/>
    <col min="6663" max="6663" width="10.109375" style="2232" customWidth="1"/>
    <col min="6664" max="6664" width="11.44140625" style="2232" customWidth="1"/>
    <col min="6665" max="6665" width="14.44140625" style="2232" customWidth="1"/>
    <col min="6666" max="6666" width="8.88671875" style="2232" customWidth="1"/>
    <col min="6667" max="6668" width="9.33203125" style="2232" customWidth="1"/>
    <col min="6669" max="6669" width="9" style="2232" customWidth="1"/>
    <col min="6670" max="6912" width="9.109375" style="2232"/>
    <col min="6913" max="6913" width="22.5546875" style="2232" customWidth="1"/>
    <col min="6914" max="6914" width="12.33203125" style="2232" customWidth="1"/>
    <col min="6915" max="6915" width="10.5546875" style="2232" customWidth="1"/>
    <col min="6916" max="6916" width="7.5546875" style="2232" customWidth="1"/>
    <col min="6917" max="6917" width="11.109375" style="2232" customWidth="1"/>
    <col min="6918" max="6918" width="10.5546875" style="2232" customWidth="1"/>
    <col min="6919" max="6919" width="10.109375" style="2232" customWidth="1"/>
    <col min="6920" max="6920" width="11.44140625" style="2232" customWidth="1"/>
    <col min="6921" max="6921" width="14.44140625" style="2232" customWidth="1"/>
    <col min="6922" max="6922" width="8.88671875" style="2232" customWidth="1"/>
    <col min="6923" max="6924" width="9.33203125" style="2232" customWidth="1"/>
    <col min="6925" max="6925" width="9" style="2232" customWidth="1"/>
    <col min="6926" max="7168" width="9.109375" style="2232"/>
    <col min="7169" max="7169" width="22.5546875" style="2232" customWidth="1"/>
    <col min="7170" max="7170" width="12.33203125" style="2232" customWidth="1"/>
    <col min="7171" max="7171" width="10.5546875" style="2232" customWidth="1"/>
    <col min="7172" max="7172" width="7.5546875" style="2232" customWidth="1"/>
    <col min="7173" max="7173" width="11.109375" style="2232" customWidth="1"/>
    <col min="7174" max="7174" width="10.5546875" style="2232" customWidth="1"/>
    <col min="7175" max="7175" width="10.109375" style="2232" customWidth="1"/>
    <col min="7176" max="7176" width="11.44140625" style="2232" customWidth="1"/>
    <col min="7177" max="7177" width="14.44140625" style="2232" customWidth="1"/>
    <col min="7178" max="7178" width="8.88671875" style="2232" customWidth="1"/>
    <col min="7179" max="7180" width="9.33203125" style="2232" customWidth="1"/>
    <col min="7181" max="7181" width="9" style="2232" customWidth="1"/>
    <col min="7182" max="7424" width="9.109375" style="2232"/>
    <col min="7425" max="7425" width="22.5546875" style="2232" customWidth="1"/>
    <col min="7426" max="7426" width="12.33203125" style="2232" customWidth="1"/>
    <col min="7427" max="7427" width="10.5546875" style="2232" customWidth="1"/>
    <col min="7428" max="7428" width="7.5546875" style="2232" customWidth="1"/>
    <col min="7429" max="7429" width="11.109375" style="2232" customWidth="1"/>
    <col min="7430" max="7430" width="10.5546875" style="2232" customWidth="1"/>
    <col min="7431" max="7431" width="10.109375" style="2232" customWidth="1"/>
    <col min="7432" max="7432" width="11.44140625" style="2232" customWidth="1"/>
    <col min="7433" max="7433" width="14.44140625" style="2232" customWidth="1"/>
    <col min="7434" max="7434" width="8.88671875" style="2232" customWidth="1"/>
    <col min="7435" max="7436" width="9.33203125" style="2232" customWidth="1"/>
    <col min="7437" max="7437" width="9" style="2232" customWidth="1"/>
    <col min="7438" max="7680" width="9.109375" style="2232"/>
    <col min="7681" max="7681" width="22.5546875" style="2232" customWidth="1"/>
    <col min="7682" max="7682" width="12.33203125" style="2232" customWidth="1"/>
    <col min="7683" max="7683" width="10.5546875" style="2232" customWidth="1"/>
    <col min="7684" max="7684" width="7.5546875" style="2232" customWidth="1"/>
    <col min="7685" max="7685" width="11.109375" style="2232" customWidth="1"/>
    <col min="7686" max="7686" width="10.5546875" style="2232" customWidth="1"/>
    <col min="7687" max="7687" width="10.109375" style="2232" customWidth="1"/>
    <col min="7688" max="7688" width="11.44140625" style="2232" customWidth="1"/>
    <col min="7689" max="7689" width="14.44140625" style="2232" customWidth="1"/>
    <col min="7690" max="7690" width="8.88671875" style="2232" customWidth="1"/>
    <col min="7691" max="7692" width="9.33203125" style="2232" customWidth="1"/>
    <col min="7693" max="7693" width="9" style="2232" customWidth="1"/>
    <col min="7694" max="7936" width="9.109375" style="2232"/>
    <col min="7937" max="7937" width="22.5546875" style="2232" customWidth="1"/>
    <col min="7938" max="7938" width="12.33203125" style="2232" customWidth="1"/>
    <col min="7939" max="7939" width="10.5546875" style="2232" customWidth="1"/>
    <col min="7940" max="7940" width="7.5546875" style="2232" customWidth="1"/>
    <col min="7941" max="7941" width="11.109375" style="2232" customWidth="1"/>
    <col min="7942" max="7942" width="10.5546875" style="2232" customWidth="1"/>
    <col min="7943" max="7943" width="10.109375" style="2232" customWidth="1"/>
    <col min="7944" max="7944" width="11.44140625" style="2232" customWidth="1"/>
    <col min="7945" max="7945" width="14.44140625" style="2232" customWidth="1"/>
    <col min="7946" max="7946" width="8.88671875" style="2232" customWidth="1"/>
    <col min="7947" max="7948" width="9.33203125" style="2232" customWidth="1"/>
    <col min="7949" max="7949" width="9" style="2232" customWidth="1"/>
    <col min="7950" max="8192" width="9.109375" style="2232"/>
    <col min="8193" max="8193" width="22.5546875" style="2232" customWidth="1"/>
    <col min="8194" max="8194" width="12.33203125" style="2232" customWidth="1"/>
    <col min="8195" max="8195" width="10.5546875" style="2232" customWidth="1"/>
    <col min="8196" max="8196" width="7.5546875" style="2232" customWidth="1"/>
    <col min="8197" max="8197" width="11.109375" style="2232" customWidth="1"/>
    <col min="8198" max="8198" width="10.5546875" style="2232" customWidth="1"/>
    <col min="8199" max="8199" width="10.109375" style="2232" customWidth="1"/>
    <col min="8200" max="8200" width="11.44140625" style="2232" customWidth="1"/>
    <col min="8201" max="8201" width="14.44140625" style="2232" customWidth="1"/>
    <col min="8202" max="8202" width="8.88671875" style="2232" customWidth="1"/>
    <col min="8203" max="8204" width="9.33203125" style="2232" customWidth="1"/>
    <col min="8205" max="8205" width="9" style="2232" customWidth="1"/>
    <col min="8206" max="8448" width="9.109375" style="2232"/>
    <col min="8449" max="8449" width="22.5546875" style="2232" customWidth="1"/>
    <col min="8450" max="8450" width="12.33203125" style="2232" customWidth="1"/>
    <col min="8451" max="8451" width="10.5546875" style="2232" customWidth="1"/>
    <col min="8452" max="8452" width="7.5546875" style="2232" customWidth="1"/>
    <col min="8453" max="8453" width="11.109375" style="2232" customWidth="1"/>
    <col min="8454" max="8454" width="10.5546875" style="2232" customWidth="1"/>
    <col min="8455" max="8455" width="10.109375" style="2232" customWidth="1"/>
    <col min="8456" max="8456" width="11.44140625" style="2232" customWidth="1"/>
    <col min="8457" max="8457" width="14.44140625" style="2232" customWidth="1"/>
    <col min="8458" max="8458" width="8.88671875" style="2232" customWidth="1"/>
    <col min="8459" max="8460" width="9.33203125" style="2232" customWidth="1"/>
    <col min="8461" max="8461" width="9" style="2232" customWidth="1"/>
    <col min="8462" max="8704" width="9.109375" style="2232"/>
    <col min="8705" max="8705" width="22.5546875" style="2232" customWidth="1"/>
    <col min="8706" max="8706" width="12.33203125" style="2232" customWidth="1"/>
    <col min="8707" max="8707" width="10.5546875" style="2232" customWidth="1"/>
    <col min="8708" max="8708" width="7.5546875" style="2232" customWidth="1"/>
    <col min="8709" max="8709" width="11.109375" style="2232" customWidth="1"/>
    <col min="8710" max="8710" width="10.5546875" style="2232" customWidth="1"/>
    <col min="8711" max="8711" width="10.109375" style="2232" customWidth="1"/>
    <col min="8712" max="8712" width="11.44140625" style="2232" customWidth="1"/>
    <col min="8713" max="8713" width="14.44140625" style="2232" customWidth="1"/>
    <col min="8714" max="8714" width="8.88671875" style="2232" customWidth="1"/>
    <col min="8715" max="8716" width="9.33203125" style="2232" customWidth="1"/>
    <col min="8717" max="8717" width="9" style="2232" customWidth="1"/>
    <col min="8718" max="8960" width="9.109375" style="2232"/>
    <col min="8961" max="8961" width="22.5546875" style="2232" customWidth="1"/>
    <col min="8962" max="8962" width="12.33203125" style="2232" customWidth="1"/>
    <col min="8963" max="8963" width="10.5546875" style="2232" customWidth="1"/>
    <col min="8964" max="8964" width="7.5546875" style="2232" customWidth="1"/>
    <col min="8965" max="8965" width="11.109375" style="2232" customWidth="1"/>
    <col min="8966" max="8966" width="10.5546875" style="2232" customWidth="1"/>
    <col min="8967" max="8967" width="10.109375" style="2232" customWidth="1"/>
    <col min="8968" max="8968" width="11.44140625" style="2232" customWidth="1"/>
    <col min="8969" max="8969" width="14.44140625" style="2232" customWidth="1"/>
    <col min="8970" max="8970" width="8.88671875" style="2232" customWidth="1"/>
    <col min="8971" max="8972" width="9.33203125" style="2232" customWidth="1"/>
    <col min="8973" max="8973" width="9" style="2232" customWidth="1"/>
    <col min="8974" max="9216" width="9.109375" style="2232"/>
    <col min="9217" max="9217" width="22.5546875" style="2232" customWidth="1"/>
    <col min="9218" max="9218" width="12.33203125" style="2232" customWidth="1"/>
    <col min="9219" max="9219" width="10.5546875" style="2232" customWidth="1"/>
    <col min="9220" max="9220" width="7.5546875" style="2232" customWidth="1"/>
    <col min="9221" max="9221" width="11.109375" style="2232" customWidth="1"/>
    <col min="9222" max="9222" width="10.5546875" style="2232" customWidth="1"/>
    <col min="9223" max="9223" width="10.109375" style="2232" customWidth="1"/>
    <col min="9224" max="9224" width="11.44140625" style="2232" customWidth="1"/>
    <col min="9225" max="9225" width="14.44140625" style="2232" customWidth="1"/>
    <col min="9226" max="9226" width="8.88671875" style="2232" customWidth="1"/>
    <col min="9227" max="9228" width="9.33203125" style="2232" customWidth="1"/>
    <col min="9229" max="9229" width="9" style="2232" customWidth="1"/>
    <col min="9230" max="9472" width="9.109375" style="2232"/>
    <col min="9473" max="9473" width="22.5546875" style="2232" customWidth="1"/>
    <col min="9474" max="9474" width="12.33203125" style="2232" customWidth="1"/>
    <col min="9475" max="9475" width="10.5546875" style="2232" customWidth="1"/>
    <col min="9476" max="9476" width="7.5546875" style="2232" customWidth="1"/>
    <col min="9477" max="9477" width="11.109375" style="2232" customWidth="1"/>
    <col min="9478" max="9478" width="10.5546875" style="2232" customWidth="1"/>
    <col min="9479" max="9479" width="10.109375" style="2232" customWidth="1"/>
    <col min="9480" max="9480" width="11.44140625" style="2232" customWidth="1"/>
    <col min="9481" max="9481" width="14.44140625" style="2232" customWidth="1"/>
    <col min="9482" max="9482" width="8.88671875" style="2232" customWidth="1"/>
    <col min="9483" max="9484" width="9.33203125" style="2232" customWidth="1"/>
    <col min="9485" max="9485" width="9" style="2232" customWidth="1"/>
    <col min="9486" max="9728" width="9.109375" style="2232"/>
    <col min="9729" max="9729" width="22.5546875" style="2232" customWidth="1"/>
    <col min="9730" max="9730" width="12.33203125" style="2232" customWidth="1"/>
    <col min="9731" max="9731" width="10.5546875" style="2232" customWidth="1"/>
    <col min="9732" max="9732" width="7.5546875" style="2232" customWidth="1"/>
    <col min="9733" max="9733" width="11.109375" style="2232" customWidth="1"/>
    <col min="9734" max="9734" width="10.5546875" style="2232" customWidth="1"/>
    <col min="9735" max="9735" width="10.109375" style="2232" customWidth="1"/>
    <col min="9736" max="9736" width="11.44140625" style="2232" customWidth="1"/>
    <col min="9737" max="9737" width="14.44140625" style="2232" customWidth="1"/>
    <col min="9738" max="9738" width="8.88671875" style="2232" customWidth="1"/>
    <col min="9739" max="9740" width="9.33203125" style="2232" customWidth="1"/>
    <col min="9741" max="9741" width="9" style="2232" customWidth="1"/>
    <col min="9742" max="9984" width="9.109375" style="2232"/>
    <col min="9985" max="9985" width="22.5546875" style="2232" customWidth="1"/>
    <col min="9986" max="9986" width="12.33203125" style="2232" customWidth="1"/>
    <col min="9987" max="9987" width="10.5546875" style="2232" customWidth="1"/>
    <col min="9988" max="9988" width="7.5546875" style="2232" customWidth="1"/>
    <col min="9989" max="9989" width="11.109375" style="2232" customWidth="1"/>
    <col min="9990" max="9990" width="10.5546875" style="2232" customWidth="1"/>
    <col min="9991" max="9991" width="10.109375" style="2232" customWidth="1"/>
    <col min="9992" max="9992" width="11.44140625" style="2232" customWidth="1"/>
    <col min="9993" max="9993" width="14.44140625" style="2232" customWidth="1"/>
    <col min="9994" max="9994" width="8.88671875" style="2232" customWidth="1"/>
    <col min="9995" max="9996" width="9.33203125" style="2232" customWidth="1"/>
    <col min="9997" max="9997" width="9" style="2232" customWidth="1"/>
    <col min="9998" max="10240" width="9.109375" style="2232"/>
    <col min="10241" max="10241" width="22.5546875" style="2232" customWidth="1"/>
    <col min="10242" max="10242" width="12.33203125" style="2232" customWidth="1"/>
    <col min="10243" max="10243" width="10.5546875" style="2232" customWidth="1"/>
    <col min="10244" max="10244" width="7.5546875" style="2232" customWidth="1"/>
    <col min="10245" max="10245" width="11.109375" style="2232" customWidth="1"/>
    <col min="10246" max="10246" width="10.5546875" style="2232" customWidth="1"/>
    <col min="10247" max="10247" width="10.109375" style="2232" customWidth="1"/>
    <col min="10248" max="10248" width="11.44140625" style="2232" customWidth="1"/>
    <col min="10249" max="10249" width="14.44140625" style="2232" customWidth="1"/>
    <col min="10250" max="10250" width="8.88671875" style="2232" customWidth="1"/>
    <col min="10251" max="10252" width="9.33203125" style="2232" customWidth="1"/>
    <col min="10253" max="10253" width="9" style="2232" customWidth="1"/>
    <col min="10254" max="10496" width="9.109375" style="2232"/>
    <col min="10497" max="10497" width="22.5546875" style="2232" customWidth="1"/>
    <col min="10498" max="10498" width="12.33203125" style="2232" customWidth="1"/>
    <col min="10499" max="10499" width="10.5546875" style="2232" customWidth="1"/>
    <col min="10500" max="10500" width="7.5546875" style="2232" customWidth="1"/>
    <col min="10501" max="10501" width="11.109375" style="2232" customWidth="1"/>
    <col min="10502" max="10502" width="10.5546875" style="2232" customWidth="1"/>
    <col min="10503" max="10503" width="10.109375" style="2232" customWidth="1"/>
    <col min="10504" max="10504" width="11.44140625" style="2232" customWidth="1"/>
    <col min="10505" max="10505" width="14.44140625" style="2232" customWidth="1"/>
    <col min="10506" max="10506" width="8.88671875" style="2232" customWidth="1"/>
    <col min="10507" max="10508" width="9.33203125" style="2232" customWidth="1"/>
    <col min="10509" max="10509" width="9" style="2232" customWidth="1"/>
    <col min="10510" max="10752" width="9.109375" style="2232"/>
    <col min="10753" max="10753" width="22.5546875" style="2232" customWidth="1"/>
    <col min="10754" max="10754" width="12.33203125" style="2232" customWidth="1"/>
    <col min="10755" max="10755" width="10.5546875" style="2232" customWidth="1"/>
    <col min="10756" max="10756" width="7.5546875" style="2232" customWidth="1"/>
    <col min="10757" max="10757" width="11.109375" style="2232" customWidth="1"/>
    <col min="10758" max="10758" width="10.5546875" style="2232" customWidth="1"/>
    <col min="10759" max="10759" width="10.109375" style="2232" customWidth="1"/>
    <col min="10760" max="10760" width="11.44140625" style="2232" customWidth="1"/>
    <col min="10761" max="10761" width="14.44140625" style="2232" customWidth="1"/>
    <col min="10762" max="10762" width="8.88671875" style="2232" customWidth="1"/>
    <col min="10763" max="10764" width="9.33203125" style="2232" customWidth="1"/>
    <col min="10765" max="10765" width="9" style="2232" customWidth="1"/>
    <col min="10766" max="11008" width="9.109375" style="2232"/>
    <col min="11009" max="11009" width="22.5546875" style="2232" customWidth="1"/>
    <col min="11010" max="11010" width="12.33203125" style="2232" customWidth="1"/>
    <col min="11011" max="11011" width="10.5546875" style="2232" customWidth="1"/>
    <col min="11012" max="11012" width="7.5546875" style="2232" customWidth="1"/>
    <col min="11013" max="11013" width="11.109375" style="2232" customWidth="1"/>
    <col min="11014" max="11014" width="10.5546875" style="2232" customWidth="1"/>
    <col min="11015" max="11015" width="10.109375" style="2232" customWidth="1"/>
    <col min="11016" max="11016" width="11.44140625" style="2232" customWidth="1"/>
    <col min="11017" max="11017" width="14.44140625" style="2232" customWidth="1"/>
    <col min="11018" max="11018" width="8.88671875" style="2232" customWidth="1"/>
    <col min="11019" max="11020" width="9.33203125" style="2232" customWidth="1"/>
    <col min="11021" max="11021" width="9" style="2232" customWidth="1"/>
    <col min="11022" max="11264" width="9.109375" style="2232"/>
    <col min="11265" max="11265" width="22.5546875" style="2232" customWidth="1"/>
    <col min="11266" max="11266" width="12.33203125" style="2232" customWidth="1"/>
    <col min="11267" max="11267" width="10.5546875" style="2232" customWidth="1"/>
    <col min="11268" max="11268" width="7.5546875" style="2232" customWidth="1"/>
    <col min="11269" max="11269" width="11.109375" style="2232" customWidth="1"/>
    <col min="11270" max="11270" width="10.5546875" style="2232" customWidth="1"/>
    <col min="11271" max="11271" width="10.109375" style="2232" customWidth="1"/>
    <col min="11272" max="11272" width="11.44140625" style="2232" customWidth="1"/>
    <col min="11273" max="11273" width="14.44140625" style="2232" customWidth="1"/>
    <col min="11274" max="11274" width="8.88671875" style="2232" customWidth="1"/>
    <col min="11275" max="11276" width="9.33203125" style="2232" customWidth="1"/>
    <col min="11277" max="11277" width="9" style="2232" customWidth="1"/>
    <col min="11278" max="11520" width="9.109375" style="2232"/>
    <col min="11521" max="11521" width="22.5546875" style="2232" customWidth="1"/>
    <col min="11522" max="11522" width="12.33203125" style="2232" customWidth="1"/>
    <col min="11523" max="11523" width="10.5546875" style="2232" customWidth="1"/>
    <col min="11524" max="11524" width="7.5546875" style="2232" customWidth="1"/>
    <col min="11525" max="11525" width="11.109375" style="2232" customWidth="1"/>
    <col min="11526" max="11526" width="10.5546875" style="2232" customWidth="1"/>
    <col min="11527" max="11527" width="10.109375" style="2232" customWidth="1"/>
    <col min="11528" max="11528" width="11.44140625" style="2232" customWidth="1"/>
    <col min="11529" max="11529" width="14.44140625" style="2232" customWidth="1"/>
    <col min="11530" max="11530" width="8.88671875" style="2232" customWidth="1"/>
    <col min="11531" max="11532" width="9.33203125" style="2232" customWidth="1"/>
    <col min="11533" max="11533" width="9" style="2232" customWidth="1"/>
    <col min="11534" max="11776" width="9.109375" style="2232"/>
    <col min="11777" max="11777" width="22.5546875" style="2232" customWidth="1"/>
    <col min="11778" max="11778" width="12.33203125" style="2232" customWidth="1"/>
    <col min="11779" max="11779" width="10.5546875" style="2232" customWidth="1"/>
    <col min="11780" max="11780" width="7.5546875" style="2232" customWidth="1"/>
    <col min="11781" max="11781" width="11.109375" style="2232" customWidth="1"/>
    <col min="11782" max="11782" width="10.5546875" style="2232" customWidth="1"/>
    <col min="11783" max="11783" width="10.109375" style="2232" customWidth="1"/>
    <col min="11784" max="11784" width="11.44140625" style="2232" customWidth="1"/>
    <col min="11785" max="11785" width="14.44140625" style="2232" customWidth="1"/>
    <col min="11786" max="11786" width="8.88671875" style="2232" customWidth="1"/>
    <col min="11787" max="11788" width="9.33203125" style="2232" customWidth="1"/>
    <col min="11789" max="11789" width="9" style="2232" customWidth="1"/>
    <col min="11790" max="12032" width="9.109375" style="2232"/>
    <col min="12033" max="12033" width="22.5546875" style="2232" customWidth="1"/>
    <col min="12034" max="12034" width="12.33203125" style="2232" customWidth="1"/>
    <col min="12035" max="12035" width="10.5546875" style="2232" customWidth="1"/>
    <col min="12036" max="12036" width="7.5546875" style="2232" customWidth="1"/>
    <col min="12037" max="12037" width="11.109375" style="2232" customWidth="1"/>
    <col min="12038" max="12038" width="10.5546875" style="2232" customWidth="1"/>
    <col min="12039" max="12039" width="10.109375" style="2232" customWidth="1"/>
    <col min="12040" max="12040" width="11.44140625" style="2232" customWidth="1"/>
    <col min="12041" max="12041" width="14.44140625" style="2232" customWidth="1"/>
    <col min="12042" max="12042" width="8.88671875" style="2232" customWidth="1"/>
    <col min="12043" max="12044" width="9.33203125" style="2232" customWidth="1"/>
    <col min="12045" max="12045" width="9" style="2232" customWidth="1"/>
    <col min="12046" max="12288" width="9.109375" style="2232"/>
    <col min="12289" max="12289" width="22.5546875" style="2232" customWidth="1"/>
    <col min="12290" max="12290" width="12.33203125" style="2232" customWidth="1"/>
    <col min="12291" max="12291" width="10.5546875" style="2232" customWidth="1"/>
    <col min="12292" max="12292" width="7.5546875" style="2232" customWidth="1"/>
    <col min="12293" max="12293" width="11.109375" style="2232" customWidth="1"/>
    <col min="12294" max="12294" width="10.5546875" style="2232" customWidth="1"/>
    <col min="12295" max="12295" width="10.109375" style="2232" customWidth="1"/>
    <col min="12296" max="12296" width="11.44140625" style="2232" customWidth="1"/>
    <col min="12297" max="12297" width="14.44140625" style="2232" customWidth="1"/>
    <col min="12298" max="12298" width="8.88671875" style="2232" customWidth="1"/>
    <col min="12299" max="12300" width="9.33203125" style="2232" customWidth="1"/>
    <col min="12301" max="12301" width="9" style="2232" customWidth="1"/>
    <col min="12302" max="12544" width="9.109375" style="2232"/>
    <col min="12545" max="12545" width="22.5546875" style="2232" customWidth="1"/>
    <col min="12546" max="12546" width="12.33203125" style="2232" customWidth="1"/>
    <col min="12547" max="12547" width="10.5546875" style="2232" customWidth="1"/>
    <col min="12548" max="12548" width="7.5546875" style="2232" customWidth="1"/>
    <col min="12549" max="12549" width="11.109375" style="2232" customWidth="1"/>
    <col min="12550" max="12550" width="10.5546875" style="2232" customWidth="1"/>
    <col min="12551" max="12551" width="10.109375" style="2232" customWidth="1"/>
    <col min="12552" max="12552" width="11.44140625" style="2232" customWidth="1"/>
    <col min="12553" max="12553" width="14.44140625" style="2232" customWidth="1"/>
    <col min="12554" max="12554" width="8.88671875" style="2232" customWidth="1"/>
    <col min="12555" max="12556" width="9.33203125" style="2232" customWidth="1"/>
    <col min="12557" max="12557" width="9" style="2232" customWidth="1"/>
    <col min="12558" max="12800" width="9.109375" style="2232"/>
    <col min="12801" max="12801" width="22.5546875" style="2232" customWidth="1"/>
    <col min="12802" max="12802" width="12.33203125" style="2232" customWidth="1"/>
    <col min="12803" max="12803" width="10.5546875" style="2232" customWidth="1"/>
    <col min="12804" max="12804" width="7.5546875" style="2232" customWidth="1"/>
    <col min="12805" max="12805" width="11.109375" style="2232" customWidth="1"/>
    <col min="12806" max="12806" width="10.5546875" style="2232" customWidth="1"/>
    <col min="12807" max="12807" width="10.109375" style="2232" customWidth="1"/>
    <col min="12808" max="12808" width="11.44140625" style="2232" customWidth="1"/>
    <col min="12809" max="12809" width="14.44140625" style="2232" customWidth="1"/>
    <col min="12810" max="12810" width="8.88671875" style="2232" customWidth="1"/>
    <col min="12811" max="12812" width="9.33203125" style="2232" customWidth="1"/>
    <col min="12813" max="12813" width="9" style="2232" customWidth="1"/>
    <col min="12814" max="13056" width="9.109375" style="2232"/>
    <col min="13057" max="13057" width="22.5546875" style="2232" customWidth="1"/>
    <col min="13058" max="13058" width="12.33203125" style="2232" customWidth="1"/>
    <col min="13059" max="13059" width="10.5546875" style="2232" customWidth="1"/>
    <col min="13060" max="13060" width="7.5546875" style="2232" customWidth="1"/>
    <col min="13061" max="13061" width="11.109375" style="2232" customWidth="1"/>
    <col min="13062" max="13062" width="10.5546875" style="2232" customWidth="1"/>
    <col min="13063" max="13063" width="10.109375" style="2232" customWidth="1"/>
    <col min="13064" max="13064" width="11.44140625" style="2232" customWidth="1"/>
    <col min="13065" max="13065" width="14.44140625" style="2232" customWidth="1"/>
    <col min="13066" max="13066" width="8.88671875" style="2232" customWidth="1"/>
    <col min="13067" max="13068" width="9.33203125" style="2232" customWidth="1"/>
    <col min="13069" max="13069" width="9" style="2232" customWidth="1"/>
    <col min="13070" max="13312" width="9.109375" style="2232"/>
    <col min="13313" max="13313" width="22.5546875" style="2232" customWidth="1"/>
    <col min="13314" max="13314" width="12.33203125" style="2232" customWidth="1"/>
    <col min="13315" max="13315" width="10.5546875" style="2232" customWidth="1"/>
    <col min="13316" max="13316" width="7.5546875" style="2232" customWidth="1"/>
    <col min="13317" max="13317" width="11.109375" style="2232" customWidth="1"/>
    <col min="13318" max="13318" width="10.5546875" style="2232" customWidth="1"/>
    <col min="13319" max="13319" width="10.109375" style="2232" customWidth="1"/>
    <col min="13320" max="13320" width="11.44140625" style="2232" customWidth="1"/>
    <col min="13321" max="13321" width="14.44140625" style="2232" customWidth="1"/>
    <col min="13322" max="13322" width="8.88671875" style="2232" customWidth="1"/>
    <col min="13323" max="13324" width="9.33203125" style="2232" customWidth="1"/>
    <col min="13325" max="13325" width="9" style="2232" customWidth="1"/>
    <col min="13326" max="13568" width="9.109375" style="2232"/>
    <col min="13569" max="13569" width="22.5546875" style="2232" customWidth="1"/>
    <col min="13570" max="13570" width="12.33203125" style="2232" customWidth="1"/>
    <col min="13571" max="13571" width="10.5546875" style="2232" customWidth="1"/>
    <col min="13572" max="13572" width="7.5546875" style="2232" customWidth="1"/>
    <col min="13573" max="13573" width="11.109375" style="2232" customWidth="1"/>
    <col min="13574" max="13574" width="10.5546875" style="2232" customWidth="1"/>
    <col min="13575" max="13575" width="10.109375" style="2232" customWidth="1"/>
    <col min="13576" max="13576" width="11.44140625" style="2232" customWidth="1"/>
    <col min="13577" max="13577" width="14.44140625" style="2232" customWidth="1"/>
    <col min="13578" max="13578" width="8.88671875" style="2232" customWidth="1"/>
    <col min="13579" max="13580" width="9.33203125" style="2232" customWidth="1"/>
    <col min="13581" max="13581" width="9" style="2232" customWidth="1"/>
    <col min="13582" max="13824" width="9.109375" style="2232"/>
    <col min="13825" max="13825" width="22.5546875" style="2232" customWidth="1"/>
    <col min="13826" max="13826" width="12.33203125" style="2232" customWidth="1"/>
    <col min="13827" max="13827" width="10.5546875" style="2232" customWidth="1"/>
    <col min="13828" max="13828" width="7.5546875" style="2232" customWidth="1"/>
    <col min="13829" max="13829" width="11.109375" style="2232" customWidth="1"/>
    <col min="13830" max="13830" width="10.5546875" style="2232" customWidth="1"/>
    <col min="13831" max="13831" width="10.109375" style="2232" customWidth="1"/>
    <col min="13832" max="13832" width="11.44140625" style="2232" customWidth="1"/>
    <col min="13833" max="13833" width="14.44140625" style="2232" customWidth="1"/>
    <col min="13834" max="13834" width="8.88671875" style="2232" customWidth="1"/>
    <col min="13835" max="13836" width="9.33203125" style="2232" customWidth="1"/>
    <col min="13837" max="13837" width="9" style="2232" customWidth="1"/>
    <col min="13838" max="14080" width="9.109375" style="2232"/>
    <col min="14081" max="14081" width="22.5546875" style="2232" customWidth="1"/>
    <col min="14082" max="14082" width="12.33203125" style="2232" customWidth="1"/>
    <col min="14083" max="14083" width="10.5546875" style="2232" customWidth="1"/>
    <col min="14084" max="14084" width="7.5546875" style="2232" customWidth="1"/>
    <col min="14085" max="14085" width="11.109375" style="2232" customWidth="1"/>
    <col min="14086" max="14086" width="10.5546875" style="2232" customWidth="1"/>
    <col min="14087" max="14087" width="10.109375" style="2232" customWidth="1"/>
    <col min="14088" max="14088" width="11.44140625" style="2232" customWidth="1"/>
    <col min="14089" max="14089" width="14.44140625" style="2232" customWidth="1"/>
    <col min="14090" max="14090" width="8.88671875" style="2232" customWidth="1"/>
    <col min="14091" max="14092" width="9.33203125" style="2232" customWidth="1"/>
    <col min="14093" max="14093" width="9" style="2232" customWidth="1"/>
    <col min="14094" max="14336" width="9.109375" style="2232"/>
    <col min="14337" max="14337" width="22.5546875" style="2232" customWidth="1"/>
    <col min="14338" max="14338" width="12.33203125" style="2232" customWidth="1"/>
    <col min="14339" max="14339" width="10.5546875" style="2232" customWidth="1"/>
    <col min="14340" max="14340" width="7.5546875" style="2232" customWidth="1"/>
    <col min="14341" max="14341" width="11.109375" style="2232" customWidth="1"/>
    <col min="14342" max="14342" width="10.5546875" style="2232" customWidth="1"/>
    <col min="14343" max="14343" width="10.109375" style="2232" customWidth="1"/>
    <col min="14344" max="14344" width="11.44140625" style="2232" customWidth="1"/>
    <col min="14345" max="14345" width="14.44140625" style="2232" customWidth="1"/>
    <col min="14346" max="14346" width="8.88671875" style="2232" customWidth="1"/>
    <col min="14347" max="14348" width="9.33203125" style="2232" customWidth="1"/>
    <col min="14349" max="14349" width="9" style="2232" customWidth="1"/>
    <col min="14350" max="14592" width="9.109375" style="2232"/>
    <col min="14593" max="14593" width="22.5546875" style="2232" customWidth="1"/>
    <col min="14594" max="14594" width="12.33203125" style="2232" customWidth="1"/>
    <col min="14595" max="14595" width="10.5546875" style="2232" customWidth="1"/>
    <col min="14596" max="14596" width="7.5546875" style="2232" customWidth="1"/>
    <col min="14597" max="14597" width="11.109375" style="2232" customWidth="1"/>
    <col min="14598" max="14598" width="10.5546875" style="2232" customWidth="1"/>
    <col min="14599" max="14599" width="10.109375" style="2232" customWidth="1"/>
    <col min="14600" max="14600" width="11.44140625" style="2232" customWidth="1"/>
    <col min="14601" max="14601" width="14.44140625" style="2232" customWidth="1"/>
    <col min="14602" max="14602" width="8.88671875" style="2232" customWidth="1"/>
    <col min="14603" max="14604" width="9.33203125" style="2232" customWidth="1"/>
    <col min="14605" max="14605" width="9" style="2232" customWidth="1"/>
    <col min="14606" max="14848" width="9.109375" style="2232"/>
    <col min="14849" max="14849" width="22.5546875" style="2232" customWidth="1"/>
    <col min="14850" max="14850" width="12.33203125" style="2232" customWidth="1"/>
    <col min="14851" max="14851" width="10.5546875" style="2232" customWidth="1"/>
    <col min="14852" max="14852" width="7.5546875" style="2232" customWidth="1"/>
    <col min="14853" max="14853" width="11.109375" style="2232" customWidth="1"/>
    <col min="14854" max="14854" width="10.5546875" style="2232" customWidth="1"/>
    <col min="14855" max="14855" width="10.109375" style="2232" customWidth="1"/>
    <col min="14856" max="14856" width="11.44140625" style="2232" customWidth="1"/>
    <col min="14857" max="14857" width="14.44140625" style="2232" customWidth="1"/>
    <col min="14858" max="14858" width="8.88671875" style="2232" customWidth="1"/>
    <col min="14859" max="14860" width="9.33203125" style="2232" customWidth="1"/>
    <col min="14861" max="14861" width="9" style="2232" customWidth="1"/>
    <col min="14862" max="15104" width="9.109375" style="2232"/>
    <col min="15105" max="15105" width="22.5546875" style="2232" customWidth="1"/>
    <col min="15106" max="15106" width="12.33203125" style="2232" customWidth="1"/>
    <col min="15107" max="15107" width="10.5546875" style="2232" customWidth="1"/>
    <col min="15108" max="15108" width="7.5546875" style="2232" customWidth="1"/>
    <col min="15109" max="15109" width="11.109375" style="2232" customWidth="1"/>
    <col min="15110" max="15110" width="10.5546875" style="2232" customWidth="1"/>
    <col min="15111" max="15111" width="10.109375" style="2232" customWidth="1"/>
    <col min="15112" max="15112" width="11.44140625" style="2232" customWidth="1"/>
    <col min="15113" max="15113" width="14.44140625" style="2232" customWidth="1"/>
    <col min="15114" max="15114" width="8.88671875" style="2232" customWidth="1"/>
    <col min="15115" max="15116" width="9.33203125" style="2232" customWidth="1"/>
    <col min="15117" max="15117" width="9" style="2232" customWidth="1"/>
    <col min="15118" max="15360" width="9.109375" style="2232"/>
    <col min="15361" max="15361" width="22.5546875" style="2232" customWidth="1"/>
    <col min="15362" max="15362" width="12.33203125" style="2232" customWidth="1"/>
    <col min="15363" max="15363" width="10.5546875" style="2232" customWidth="1"/>
    <col min="15364" max="15364" width="7.5546875" style="2232" customWidth="1"/>
    <col min="15365" max="15365" width="11.109375" style="2232" customWidth="1"/>
    <col min="15366" max="15366" width="10.5546875" style="2232" customWidth="1"/>
    <col min="15367" max="15367" width="10.109375" style="2232" customWidth="1"/>
    <col min="15368" max="15368" width="11.44140625" style="2232" customWidth="1"/>
    <col min="15369" max="15369" width="14.44140625" style="2232" customWidth="1"/>
    <col min="15370" max="15370" width="8.88671875" style="2232" customWidth="1"/>
    <col min="15371" max="15372" width="9.33203125" style="2232" customWidth="1"/>
    <col min="15373" max="15373" width="9" style="2232" customWidth="1"/>
    <col min="15374" max="15616" width="9.109375" style="2232"/>
    <col min="15617" max="15617" width="22.5546875" style="2232" customWidth="1"/>
    <col min="15618" max="15618" width="12.33203125" style="2232" customWidth="1"/>
    <col min="15619" max="15619" width="10.5546875" style="2232" customWidth="1"/>
    <col min="15620" max="15620" width="7.5546875" style="2232" customWidth="1"/>
    <col min="15621" max="15621" width="11.109375" style="2232" customWidth="1"/>
    <col min="15622" max="15622" width="10.5546875" style="2232" customWidth="1"/>
    <col min="15623" max="15623" width="10.109375" style="2232" customWidth="1"/>
    <col min="15624" max="15624" width="11.44140625" style="2232" customWidth="1"/>
    <col min="15625" max="15625" width="14.44140625" style="2232" customWidth="1"/>
    <col min="15626" max="15626" width="8.88671875" style="2232" customWidth="1"/>
    <col min="15627" max="15628" width="9.33203125" style="2232" customWidth="1"/>
    <col min="15629" max="15629" width="9" style="2232" customWidth="1"/>
    <col min="15630" max="15872" width="9.109375" style="2232"/>
    <col min="15873" max="15873" width="22.5546875" style="2232" customWidth="1"/>
    <col min="15874" max="15874" width="12.33203125" style="2232" customWidth="1"/>
    <col min="15875" max="15875" width="10.5546875" style="2232" customWidth="1"/>
    <col min="15876" max="15876" width="7.5546875" style="2232" customWidth="1"/>
    <col min="15877" max="15877" width="11.109375" style="2232" customWidth="1"/>
    <col min="15878" max="15878" width="10.5546875" style="2232" customWidth="1"/>
    <col min="15879" max="15879" width="10.109375" style="2232" customWidth="1"/>
    <col min="15880" max="15880" width="11.44140625" style="2232" customWidth="1"/>
    <col min="15881" max="15881" width="14.44140625" style="2232" customWidth="1"/>
    <col min="15882" max="15882" width="8.88671875" style="2232" customWidth="1"/>
    <col min="15883" max="15884" width="9.33203125" style="2232" customWidth="1"/>
    <col min="15885" max="15885" width="9" style="2232" customWidth="1"/>
    <col min="15886" max="16128" width="9.109375" style="2232"/>
    <col min="16129" max="16129" width="22.5546875" style="2232" customWidth="1"/>
    <col min="16130" max="16130" width="12.33203125" style="2232" customWidth="1"/>
    <col min="16131" max="16131" width="10.5546875" style="2232" customWidth="1"/>
    <col min="16132" max="16132" width="7.5546875" style="2232" customWidth="1"/>
    <col min="16133" max="16133" width="11.109375" style="2232" customWidth="1"/>
    <col min="16134" max="16134" width="10.5546875" style="2232" customWidth="1"/>
    <col min="16135" max="16135" width="10.109375" style="2232" customWidth="1"/>
    <col min="16136" max="16136" width="11.44140625" style="2232" customWidth="1"/>
    <col min="16137" max="16137" width="14.44140625" style="2232" customWidth="1"/>
    <col min="16138" max="16138" width="8.88671875" style="2232" customWidth="1"/>
    <col min="16139" max="16140" width="9.33203125" style="2232" customWidth="1"/>
    <col min="16141" max="16141" width="9" style="2232" customWidth="1"/>
    <col min="16142" max="16384" width="9.109375" style="2232"/>
  </cols>
  <sheetData>
    <row r="1" spans="1:20" ht="15">
      <c r="A1" s="3281" t="s">
        <v>774</v>
      </c>
      <c r="B1" s="3281"/>
      <c r="C1" s="3281"/>
      <c r="D1" s="3281"/>
      <c r="E1" s="3281"/>
      <c r="F1" s="3281"/>
      <c r="G1" s="3281"/>
      <c r="H1" s="3281"/>
      <c r="I1" s="3281"/>
      <c r="J1" s="3281"/>
      <c r="K1" s="3281"/>
      <c r="L1" s="3281"/>
      <c r="M1" s="3281"/>
    </row>
    <row r="2" spans="1:20" ht="15">
      <c r="A2" s="3281" t="s">
        <v>775</v>
      </c>
      <c r="B2" s="3281"/>
      <c r="C2" s="3281"/>
      <c r="D2" s="3281"/>
      <c r="E2" s="3281"/>
      <c r="F2" s="3281"/>
      <c r="G2" s="3281"/>
      <c r="H2" s="3281"/>
      <c r="I2" s="3281"/>
      <c r="J2" s="3281"/>
      <c r="K2" s="3281"/>
      <c r="L2" s="3281"/>
      <c r="M2" s="3281"/>
    </row>
    <row r="3" spans="1:20" ht="20.25" customHeight="1">
      <c r="A3" s="3282" t="str">
        <f>'Input Data'!E1</f>
        <v xml:space="preserve">BT Renewal from Balabadraipally to Danamma Thanda of Gundumal Mandal in Narayanpet District </v>
      </c>
      <c r="B3" s="3282"/>
      <c r="C3" s="3282"/>
      <c r="D3" s="3282"/>
      <c r="E3" s="3282"/>
      <c r="F3" s="3282"/>
      <c r="G3" s="3282"/>
      <c r="H3" s="3282"/>
      <c r="I3" s="3282"/>
      <c r="J3" s="3282"/>
      <c r="K3" s="3282"/>
      <c r="L3" s="3282"/>
      <c r="M3" s="3282"/>
    </row>
    <row r="4" spans="1:20">
      <c r="A4" s="3291" t="s">
        <v>57</v>
      </c>
      <c r="B4" s="3283" t="s">
        <v>776</v>
      </c>
      <c r="C4" s="3283"/>
      <c r="D4" s="3283"/>
      <c r="E4" s="3283"/>
      <c r="F4" s="3283"/>
      <c r="G4" s="3283"/>
      <c r="H4" s="3283"/>
      <c r="I4" s="3283"/>
      <c r="J4" s="3283"/>
      <c r="K4" s="3283"/>
      <c r="L4" s="3283"/>
      <c r="M4" s="3292" t="s">
        <v>60</v>
      </c>
    </row>
    <row r="5" spans="1:20" s="2234" customFormat="1" ht="33.75" customHeight="1">
      <c r="A5" s="3291"/>
      <c r="B5" s="2233" t="s">
        <v>777</v>
      </c>
      <c r="C5" s="2233" t="s">
        <v>778</v>
      </c>
      <c r="D5" s="3284" t="s">
        <v>779</v>
      </c>
      <c r="E5" s="3285"/>
      <c r="F5" s="3286"/>
      <c r="G5" s="3287" t="s">
        <v>780</v>
      </c>
      <c r="H5" s="3287"/>
      <c r="I5" s="3287"/>
      <c r="J5" s="2233" t="s">
        <v>781</v>
      </c>
      <c r="K5" s="2233" t="s">
        <v>782</v>
      </c>
      <c r="L5" s="2233" t="s">
        <v>783</v>
      </c>
      <c r="M5" s="3293"/>
      <c r="Q5" s="2235"/>
      <c r="R5" s="2235"/>
      <c r="S5" s="2235"/>
      <c r="T5" s="2235"/>
    </row>
    <row r="6" spans="1:20" s="2234" customFormat="1">
      <c r="A6" s="2236"/>
      <c r="B6" s="2237"/>
      <c r="C6" s="2237"/>
      <c r="D6" s="2238" t="s">
        <v>784</v>
      </c>
      <c r="E6" s="2238" t="s">
        <v>745</v>
      </c>
      <c r="F6" s="2238" t="s">
        <v>785</v>
      </c>
      <c r="G6" s="2238" t="s">
        <v>784</v>
      </c>
      <c r="H6" s="2238" t="s">
        <v>745</v>
      </c>
      <c r="I6" s="2238" t="s">
        <v>785</v>
      </c>
      <c r="J6" s="2237"/>
      <c r="K6" s="2237"/>
      <c r="L6" s="2237"/>
      <c r="M6" s="2237"/>
      <c r="Q6" s="2235"/>
      <c r="R6" s="2235"/>
      <c r="S6" s="2235"/>
      <c r="T6" s="2235"/>
    </row>
    <row r="7" spans="1:20" ht="33.75" customHeight="1">
      <c r="A7" s="2239" t="s">
        <v>786</v>
      </c>
      <c r="B7" s="3973">
        <v>135</v>
      </c>
      <c r="C7" s="3973">
        <v>165</v>
      </c>
      <c r="D7" s="3973">
        <v>42</v>
      </c>
      <c r="E7" s="3973">
        <v>10</v>
      </c>
      <c r="F7" s="3973">
        <v>25</v>
      </c>
      <c r="G7" s="3973">
        <v>75</v>
      </c>
      <c r="H7" s="3973">
        <v>15</v>
      </c>
      <c r="I7" s="3973">
        <v>0</v>
      </c>
      <c r="J7" s="3973">
        <v>24</v>
      </c>
      <c r="K7" s="3973">
        <v>0</v>
      </c>
      <c r="L7" s="3973">
        <v>0</v>
      </c>
      <c r="M7" s="2240">
        <f>SUM(B7:L7)</f>
        <v>491</v>
      </c>
      <c r="O7" s="2241">
        <f>G30</f>
        <v>1501032</v>
      </c>
      <c r="Q7" s="2235"/>
      <c r="R7" s="2235"/>
      <c r="S7" s="2235"/>
      <c r="T7" s="2235"/>
    </row>
    <row r="8" spans="1:20" ht="30" customHeight="1">
      <c r="A8" s="2239" t="s">
        <v>787</v>
      </c>
      <c r="B8" s="3973">
        <v>142</v>
      </c>
      <c r="C8" s="3973">
        <v>169</v>
      </c>
      <c r="D8" s="3973">
        <v>49</v>
      </c>
      <c r="E8" s="3973">
        <v>10</v>
      </c>
      <c r="F8" s="3973">
        <v>29</v>
      </c>
      <c r="G8" s="3973">
        <v>74</v>
      </c>
      <c r="H8" s="3973">
        <v>18</v>
      </c>
      <c r="I8" s="3973">
        <v>0</v>
      </c>
      <c r="J8" s="3973">
        <v>29</v>
      </c>
      <c r="K8" s="3973">
        <v>0</v>
      </c>
      <c r="L8" s="3973">
        <v>0</v>
      </c>
      <c r="M8" s="2240">
        <f>SUM(B8:L8)</f>
        <v>520</v>
      </c>
    </row>
    <row r="9" spans="1:20" ht="33" customHeight="1">
      <c r="A9" s="2239" t="s">
        <v>788</v>
      </c>
      <c r="B9" s="3973">
        <v>139</v>
      </c>
      <c r="C9" s="3973">
        <v>171</v>
      </c>
      <c r="D9" s="3973">
        <v>51</v>
      </c>
      <c r="E9" s="3973">
        <v>11</v>
      </c>
      <c r="F9" s="3973">
        <v>28</v>
      </c>
      <c r="G9" s="3973">
        <v>76</v>
      </c>
      <c r="H9" s="3973">
        <v>18</v>
      </c>
      <c r="I9" s="3973">
        <v>0</v>
      </c>
      <c r="J9" s="3973">
        <v>35</v>
      </c>
      <c r="K9" s="3973">
        <v>0</v>
      </c>
      <c r="L9" s="3973">
        <v>0</v>
      </c>
      <c r="M9" s="2240">
        <f>SUM(B9:L9)</f>
        <v>529</v>
      </c>
    </row>
    <row r="10" spans="1:20" ht="14.25" customHeight="1">
      <c r="A10" s="2242" t="s">
        <v>60</v>
      </c>
      <c r="B10" s="2243">
        <f>B9+B8+B7</f>
        <v>416</v>
      </c>
      <c r="C10" s="2243">
        <f t="shared" ref="C10:L10" si="0">C9+C8+C7</f>
        <v>505</v>
      </c>
      <c r="D10" s="2243">
        <f t="shared" si="0"/>
        <v>142</v>
      </c>
      <c r="E10" s="2243">
        <f t="shared" si="0"/>
        <v>31</v>
      </c>
      <c r="F10" s="2243">
        <f t="shared" si="0"/>
        <v>82</v>
      </c>
      <c r="G10" s="2243">
        <f t="shared" si="0"/>
        <v>225</v>
      </c>
      <c r="H10" s="2243">
        <f t="shared" si="0"/>
        <v>51</v>
      </c>
      <c r="I10" s="2243">
        <f t="shared" si="0"/>
        <v>0</v>
      </c>
      <c r="J10" s="2243">
        <f t="shared" si="0"/>
        <v>88</v>
      </c>
      <c r="K10" s="2243">
        <f t="shared" si="0"/>
        <v>0</v>
      </c>
      <c r="L10" s="2243">
        <f t="shared" si="0"/>
        <v>0</v>
      </c>
      <c r="M10" s="2240">
        <f>SUM(B10:L10)</f>
        <v>1540</v>
      </c>
      <c r="N10" s="2244" t="s">
        <v>493</v>
      </c>
    </row>
    <row r="11" spans="1:20" s="2249" customFormat="1" ht="27" customHeight="1">
      <c r="A11" s="2245" t="s">
        <v>789</v>
      </c>
      <c r="B11" s="2246">
        <f t="shared" ref="B11:J11" si="1">ROUND(B10/3,0)</f>
        <v>139</v>
      </c>
      <c r="C11" s="2246">
        <f t="shared" si="1"/>
        <v>168</v>
      </c>
      <c r="D11" s="2246">
        <f t="shared" si="1"/>
        <v>47</v>
      </c>
      <c r="E11" s="2246">
        <f t="shared" si="1"/>
        <v>10</v>
      </c>
      <c r="F11" s="2246">
        <f t="shared" si="1"/>
        <v>27</v>
      </c>
      <c r="G11" s="2246">
        <f t="shared" si="1"/>
        <v>75</v>
      </c>
      <c r="H11" s="2246">
        <f t="shared" si="1"/>
        <v>17</v>
      </c>
      <c r="I11" s="2246">
        <f t="shared" si="1"/>
        <v>0</v>
      </c>
      <c r="J11" s="2246">
        <f t="shared" si="1"/>
        <v>29</v>
      </c>
      <c r="K11" s="2246">
        <f>K10/3</f>
        <v>0</v>
      </c>
      <c r="L11" s="2246">
        <f>ROUND(L10/3,0)</f>
        <v>0</v>
      </c>
      <c r="M11" s="2246">
        <f>SUM(B11:L11)</f>
        <v>512</v>
      </c>
      <c r="N11" s="2247">
        <f>D11+E11+F11+G11+H11+I11</f>
        <v>176</v>
      </c>
      <c r="O11" s="2248"/>
    </row>
    <row r="12" spans="1:20">
      <c r="A12" s="2250" t="s">
        <v>790</v>
      </c>
      <c r="E12" s="2251" t="s">
        <v>791</v>
      </c>
      <c r="F12" s="2250"/>
      <c r="G12" s="2252">
        <f>M11</f>
        <v>512</v>
      </c>
      <c r="H12" s="2253" t="s">
        <v>710</v>
      </c>
      <c r="I12" s="2254">
        <v>0</v>
      </c>
      <c r="J12" s="2250" t="s">
        <v>792</v>
      </c>
    </row>
    <row r="13" spans="1:20">
      <c r="A13" s="2250" t="s">
        <v>793</v>
      </c>
      <c r="E13" s="2251" t="s">
        <v>794</v>
      </c>
      <c r="F13" s="2250"/>
      <c r="G13" s="2255">
        <f>IF(I12=0,G12,ROUNDUP(G12/2,0))</f>
        <v>512</v>
      </c>
      <c r="H13" s="2253" t="s">
        <v>710</v>
      </c>
      <c r="J13" s="2250" t="s">
        <v>795</v>
      </c>
    </row>
    <row r="14" spans="1:20">
      <c r="A14" s="2250" t="s">
        <v>796</v>
      </c>
      <c r="E14" s="2251"/>
      <c r="F14" s="2250"/>
      <c r="G14" s="2257">
        <f>IF(I12=1,G12,ROUNDUP(G12*2,0))</f>
        <v>1024</v>
      </c>
      <c r="H14" s="2253" t="s">
        <v>710</v>
      </c>
    </row>
    <row r="15" spans="1:20">
      <c r="A15" s="2232" t="s">
        <v>797</v>
      </c>
      <c r="E15" s="2251" t="s">
        <v>798</v>
      </c>
      <c r="G15" s="2251">
        <v>2</v>
      </c>
      <c r="H15" s="2258"/>
      <c r="I15" s="2259"/>
      <c r="J15" s="2260">
        <v>75</v>
      </c>
      <c r="K15" s="2232" t="s">
        <v>799</v>
      </c>
    </row>
    <row r="16" spans="1:20">
      <c r="A16" s="2232" t="s">
        <v>800</v>
      </c>
      <c r="B16" s="2261"/>
      <c r="E16" s="2251" t="s">
        <v>801</v>
      </c>
      <c r="F16" s="2250"/>
      <c r="G16" s="2252">
        <f>ROUND(G13+(1.2*G13*J15)/365,0)</f>
        <v>638</v>
      </c>
      <c r="H16" s="2253" t="s">
        <v>710</v>
      </c>
      <c r="I16" s="2232" t="s">
        <v>2770</v>
      </c>
      <c r="L16" s="2262"/>
      <c r="M16" s="2262"/>
      <c r="N16" s="2262"/>
      <c r="O16" s="2262"/>
      <c r="P16" s="2262"/>
    </row>
    <row r="17" spans="1:18">
      <c r="A17" s="2263"/>
      <c r="B17" s="2261"/>
      <c r="D17" s="2253" t="s">
        <v>802</v>
      </c>
      <c r="E17" s="2256"/>
      <c r="F17" s="2258"/>
      <c r="G17" s="2252"/>
      <c r="H17" s="2252"/>
      <c r="K17" s="2250" t="s">
        <v>803</v>
      </c>
      <c r="L17" s="2262"/>
      <c r="M17" s="2262"/>
      <c r="N17" s="2262"/>
      <c r="O17" s="2256"/>
      <c r="P17" s="2262"/>
    </row>
    <row r="18" spans="1:18" ht="16.8">
      <c r="A18" s="2232" t="s">
        <v>804</v>
      </c>
      <c r="B18" s="2261"/>
      <c r="E18" s="2251" t="s">
        <v>805</v>
      </c>
      <c r="F18" s="2253"/>
      <c r="G18" s="2252">
        <f>ROUND(G16*1.06^2,0)</f>
        <v>717</v>
      </c>
      <c r="H18" s="2253" t="s">
        <v>710</v>
      </c>
      <c r="J18" s="2264" t="s">
        <v>2771</v>
      </c>
      <c r="L18" s="2262"/>
      <c r="M18" s="2262"/>
      <c r="N18" s="2262"/>
      <c r="O18" s="2262"/>
      <c r="P18" s="2262"/>
    </row>
    <row r="19" spans="1:18">
      <c r="A19" s="2232" t="s">
        <v>806</v>
      </c>
      <c r="E19" s="2256"/>
      <c r="H19" s="2258"/>
      <c r="L19" s="2262"/>
      <c r="M19" s="2262"/>
      <c r="N19" s="2262"/>
      <c r="O19" s="2262"/>
      <c r="P19" s="2262"/>
    </row>
    <row r="20" spans="1:18">
      <c r="A20" s="2232" t="s">
        <v>807</v>
      </c>
      <c r="E20" s="2251" t="s">
        <v>808</v>
      </c>
      <c r="F20" s="2250"/>
      <c r="G20" s="2251">
        <f>ROUND(((D11)/M11)*G18,0)</f>
        <v>66</v>
      </c>
      <c r="H20" s="2253" t="s">
        <v>710</v>
      </c>
      <c r="J20" s="2232" t="s">
        <v>809</v>
      </c>
      <c r="L20" s="2262"/>
      <c r="M20" s="2262"/>
      <c r="N20" s="2262"/>
      <c r="O20" s="2262"/>
      <c r="P20" s="2262"/>
    </row>
    <row r="21" spans="1:18">
      <c r="A21" s="2265" t="s">
        <v>810</v>
      </c>
      <c r="B21" s="2265" t="s">
        <v>494</v>
      </c>
      <c r="E21" s="2251" t="s">
        <v>808</v>
      </c>
      <c r="F21" s="2250"/>
      <c r="G21" s="2251">
        <f>ROUND(((E11)/M11)*G18,0)</f>
        <v>14</v>
      </c>
      <c r="H21" s="2253" t="s">
        <v>710</v>
      </c>
      <c r="J21" s="2232" t="s">
        <v>811</v>
      </c>
      <c r="L21" s="2262"/>
      <c r="M21" s="2262"/>
      <c r="N21" s="2262"/>
      <c r="O21" s="2262"/>
      <c r="P21" s="2262"/>
    </row>
    <row r="22" spans="1:18">
      <c r="A22" s="2232">
        <v>10</v>
      </c>
      <c r="B22" s="2265" t="str">
        <f>'ESAL-result'!J16</f>
        <v>T</v>
      </c>
      <c r="C22" s="2258">
        <f>'ESAL-result'!K16</f>
        <v>9</v>
      </c>
      <c r="E22" s="2251" t="s">
        <v>808</v>
      </c>
      <c r="F22" s="2250"/>
      <c r="G22" s="2251">
        <f>ROUND(((F11)/M11)*G18,0)</f>
        <v>38</v>
      </c>
      <c r="H22" s="2253" t="s">
        <v>710</v>
      </c>
      <c r="J22" s="2232" t="s">
        <v>812</v>
      </c>
      <c r="L22" s="2262"/>
      <c r="M22" s="2262"/>
      <c r="N22" s="2262"/>
      <c r="O22" s="2262"/>
      <c r="P22" s="2262"/>
    </row>
    <row r="23" spans="1:18">
      <c r="B23" s="2256"/>
      <c r="E23" s="2251" t="s">
        <v>813</v>
      </c>
      <c r="F23" s="2250"/>
      <c r="G23" s="2252">
        <f>ROUND(((G11)/M11)*G18,0)</f>
        <v>105</v>
      </c>
      <c r="H23" s="2253" t="s">
        <v>710</v>
      </c>
      <c r="J23" s="2232" t="s">
        <v>814</v>
      </c>
      <c r="L23" s="2262"/>
      <c r="M23" s="2262"/>
      <c r="N23" s="2262"/>
      <c r="O23" s="2262"/>
      <c r="P23" s="2262"/>
    </row>
    <row r="24" spans="1:18">
      <c r="E24" s="2251" t="s">
        <v>813</v>
      </c>
      <c r="F24" s="2250"/>
      <c r="G24" s="2251">
        <f>ROUND(((H11)/M11)*G18,0)</f>
        <v>24</v>
      </c>
      <c r="H24" s="2253" t="s">
        <v>710</v>
      </c>
      <c r="J24" s="2232" t="s">
        <v>815</v>
      </c>
      <c r="L24" s="2262"/>
      <c r="M24" s="2262"/>
      <c r="N24" s="2262"/>
      <c r="O24" s="2262"/>
      <c r="P24" s="2262"/>
    </row>
    <row r="25" spans="1:18">
      <c r="E25" s="2251" t="s">
        <v>813</v>
      </c>
      <c r="F25" s="2250"/>
      <c r="G25" s="2251">
        <f>ROUND(((I11)/M11)*G18,0)</f>
        <v>0</v>
      </c>
      <c r="H25" s="2253" t="s">
        <v>710</v>
      </c>
      <c r="J25" s="2232" t="s">
        <v>816</v>
      </c>
      <c r="L25" s="2262"/>
      <c r="M25" s="2262"/>
      <c r="N25" s="2262"/>
      <c r="O25" s="2262"/>
      <c r="P25" s="2262"/>
    </row>
    <row r="26" spans="1:18" ht="15.75" customHeight="1">
      <c r="A26" s="2250" t="s">
        <v>817</v>
      </c>
      <c r="D26" s="2250"/>
      <c r="E26" s="2251"/>
      <c r="F26" s="2250"/>
      <c r="G26" s="2251"/>
      <c r="H26" s="2251"/>
      <c r="I26" s="2251"/>
      <c r="J26" s="2266" t="s">
        <v>818</v>
      </c>
      <c r="K26" s="2262"/>
      <c r="L26" s="2262"/>
      <c r="N26" s="2262"/>
      <c r="O26" s="2262"/>
      <c r="P26" s="2262"/>
    </row>
    <row r="27" spans="1:18" ht="15.75" customHeight="1">
      <c r="A27" s="3294" t="s">
        <v>819</v>
      </c>
      <c r="B27" s="3294"/>
      <c r="C27" s="3294"/>
      <c r="D27" s="2258"/>
      <c r="E27" s="2253" t="s">
        <v>820</v>
      </c>
      <c r="F27" s="2250"/>
      <c r="G27" s="2251"/>
      <c r="H27" s="2251"/>
      <c r="I27" s="2251"/>
      <c r="J27" s="2267" t="s">
        <v>821</v>
      </c>
      <c r="K27" s="2267" t="s">
        <v>744</v>
      </c>
      <c r="L27" s="2267" t="s">
        <v>745</v>
      </c>
      <c r="M27" s="2267" t="s">
        <v>822</v>
      </c>
      <c r="N27" s="2262"/>
      <c r="O27" s="2262"/>
      <c r="P27" s="2262"/>
    </row>
    <row r="28" spans="1:18" ht="15.75" customHeight="1">
      <c r="E28" s="2251" t="s">
        <v>823</v>
      </c>
      <c r="F28" s="2268" t="str">
        <f>"("&amp;K28&amp;"x"&amp;G23&amp;") + ("&amp;L28&amp;"x"&amp;G24&amp;") + ("&amp;M28&amp;"x"&amp;G25&amp;") + ("&amp;K29&amp;"x"&amp;G20&amp;") + ("&amp;L29&amp;"x"&amp;G21&amp;") + ("&amp;M29&amp;"x"&amp;G22&amp;")"</f>
        <v>(2.58x105) + (0.31x24) + (2.86x0) + (0.31x66) + (0.02x14) + (0.34x38)</v>
      </c>
      <c r="I28" s="2251"/>
      <c r="J28" s="2267" t="s">
        <v>824</v>
      </c>
      <c r="K28" s="2267">
        <v>2.58</v>
      </c>
      <c r="L28" s="2267">
        <v>0.31</v>
      </c>
      <c r="M28" s="2267">
        <v>2.86</v>
      </c>
      <c r="N28" s="2256"/>
      <c r="O28" s="2256"/>
      <c r="P28" s="2262"/>
    </row>
    <row r="29" spans="1:18" ht="15.75" customHeight="1">
      <c r="E29" s="2251" t="s">
        <v>823</v>
      </c>
      <c r="F29" s="2250"/>
      <c r="G29" s="2261">
        <f>ROUND(G20*K29+G21*L29+G22*M29+G23*K28+G24*L28+G25*M28,2)</f>
        <v>312</v>
      </c>
      <c r="H29" s="2250" t="s">
        <v>825</v>
      </c>
      <c r="J29" s="2269" t="s">
        <v>826</v>
      </c>
      <c r="K29" s="2269">
        <v>0.31</v>
      </c>
      <c r="L29" s="2269">
        <v>0.02</v>
      </c>
      <c r="M29" s="2269">
        <v>0.34</v>
      </c>
      <c r="N29" s="2256"/>
      <c r="O29" s="2256"/>
      <c r="P29" s="2262"/>
    </row>
    <row r="30" spans="1:18" ht="17.399999999999999">
      <c r="A30" s="3295" t="s">
        <v>827</v>
      </c>
      <c r="B30" s="3295"/>
      <c r="C30" s="3295"/>
      <c r="E30" s="2251" t="s">
        <v>828</v>
      </c>
      <c r="F30" s="2250"/>
      <c r="G30" s="3296">
        <f>G29*4811*1</f>
        <v>1501032</v>
      </c>
      <c r="H30" s="3297"/>
      <c r="I30" s="2270" t="s">
        <v>829</v>
      </c>
      <c r="L30" s="2256"/>
      <c r="M30" s="2262"/>
      <c r="N30" s="2262"/>
      <c r="O30" s="2262"/>
      <c r="P30" s="2262"/>
      <c r="Q30" s="2232">
        <f>1.075^15</f>
        <v>2.9588773528094912</v>
      </c>
      <c r="R30" s="2232">
        <f>Q30-1</f>
        <v>1.9588773528094912</v>
      </c>
    </row>
    <row r="31" spans="1:18">
      <c r="D31" s="2250"/>
      <c r="E31" s="2250"/>
      <c r="F31" s="2250"/>
      <c r="H31" s="2271" t="s">
        <v>830</v>
      </c>
      <c r="L31" s="2256"/>
      <c r="M31" s="2262"/>
      <c r="N31" s="2262"/>
      <c r="O31" s="2262"/>
      <c r="P31" s="2262"/>
      <c r="R31" s="2232">
        <f>365*R30</f>
        <v>714.99023377546428</v>
      </c>
    </row>
    <row r="32" spans="1:18" ht="45.6" customHeight="1">
      <c r="A32" s="3298"/>
      <c r="B32" s="3299"/>
      <c r="C32" s="3300"/>
      <c r="D32" s="3301"/>
      <c r="E32" s="3302"/>
      <c r="F32" s="3303"/>
      <c r="G32" s="3298"/>
      <c r="H32" s="3299"/>
      <c r="I32" s="3299"/>
      <c r="J32" s="3288"/>
      <c r="K32" s="3289"/>
      <c r="L32" s="3289"/>
      <c r="M32" s="3290"/>
      <c r="N32" s="2262"/>
      <c r="O32" s="2262"/>
      <c r="P32" s="2262"/>
    </row>
    <row r="33" spans="1:18">
      <c r="A33" s="2272"/>
      <c r="B33" s="2273" t="s">
        <v>2813</v>
      </c>
      <c r="C33" s="2274"/>
      <c r="D33" s="2275"/>
      <c r="E33" s="2276" t="s">
        <v>773</v>
      </c>
      <c r="F33" s="2277"/>
      <c r="G33" s="2278"/>
      <c r="H33" s="2273" t="s">
        <v>831</v>
      </c>
      <c r="I33" s="2279"/>
      <c r="J33" s="2280" t="s">
        <v>455</v>
      </c>
      <c r="K33" s="2281"/>
      <c r="L33" s="2281"/>
      <c r="M33" s="2282"/>
      <c r="N33" s="2262"/>
      <c r="O33" s="2262"/>
      <c r="P33" s="2262"/>
    </row>
    <row r="34" spans="1:18" s="2294" customFormat="1">
      <c r="A34" s="2283"/>
      <c r="B34" s="2284" t="str">
        <f>'Slab-Culverts Data'!C678</f>
        <v>PRSD Maddur</v>
      </c>
      <c r="C34" s="2285"/>
      <c r="D34" s="2286"/>
      <c r="E34" s="2287" t="str">
        <f>'Slab-Culverts Data'!G678</f>
        <v>PRSD, Maddur</v>
      </c>
      <c r="F34" s="2288"/>
      <c r="G34" s="2286"/>
      <c r="H34" s="2284" t="str">
        <f>'Slab-Culverts Data'!C682</f>
        <v>PR Division, Narayanpet</v>
      </c>
      <c r="I34" s="2289"/>
      <c r="J34" s="2290"/>
      <c r="K34" s="2291" t="str">
        <f>'Slab-Culverts Data'!G682</f>
        <v>PR, Circle, Vikarabad</v>
      </c>
      <c r="L34" s="2292"/>
      <c r="M34" s="2293"/>
      <c r="N34" s="2232"/>
    </row>
    <row r="35" spans="1:18">
      <c r="B35" s="2256"/>
      <c r="K35" s="2256"/>
      <c r="R35" s="2232">
        <f>R31/0.075</f>
        <v>9533.203117006191</v>
      </c>
    </row>
    <row r="36" spans="1:18">
      <c r="B36" s="2256"/>
      <c r="K36" s="2256"/>
      <c r="R36" s="2232">
        <f>R35*382*0.75*2.5</f>
        <v>6828156.7325556846</v>
      </c>
    </row>
    <row r="37" spans="1:18">
      <c r="B37" s="2256"/>
      <c r="J37" s="2256"/>
      <c r="K37" s="2256"/>
      <c r="R37" s="2232" t="s">
        <v>832</v>
      </c>
    </row>
    <row r="38" spans="1:18">
      <c r="B38" s="2256"/>
      <c r="K38" s="2256"/>
      <c r="L38" s="2256"/>
    </row>
    <row r="39" spans="1:18">
      <c r="B39" s="2256"/>
      <c r="K39" s="2256"/>
    </row>
    <row r="40" spans="1:18">
      <c r="B40" s="2256"/>
      <c r="K40" s="2256"/>
    </row>
    <row r="42" spans="1:18">
      <c r="D42" s="2295"/>
      <c r="E42" s="2295"/>
      <c r="F42" s="2295"/>
    </row>
  </sheetData>
  <protectedRanges>
    <protectedRange sqref="A7:A9" name="Range2"/>
    <protectedRange sqref="I12" name="Range3"/>
    <protectedRange sqref="B7:L9" name="Range2_1_1_1_1"/>
  </protectedRanges>
  <mergeCells count="15">
    <mergeCell ref="J32:M32"/>
    <mergeCell ref="A4:A5"/>
    <mergeCell ref="M4:M5"/>
    <mergeCell ref="A27:C27"/>
    <mergeCell ref="A30:C30"/>
    <mergeCell ref="G30:H30"/>
    <mergeCell ref="A32:C32"/>
    <mergeCell ref="D32:F32"/>
    <mergeCell ref="G32:I32"/>
    <mergeCell ref="A1:M1"/>
    <mergeCell ref="A2:M2"/>
    <mergeCell ref="A3:M3"/>
    <mergeCell ref="B4:L4"/>
    <mergeCell ref="D5:F5"/>
    <mergeCell ref="G5:I5"/>
  </mergeCells>
  <pageMargins left="0.74803149606299202" right="0.74803149606299202" top="0.39370078740157499" bottom="0.196850393700787" header="0.196850393700787" footer="0.196850393700787"/>
  <pageSetup paperSize="9" scale="87" orientation="landscape" r:id="rId1"/>
  <headerFooter scaleWithDoc="0" alignWithMargins="0"/>
  <colBreaks count="1" manualBreakCount="1">
    <brk id="13"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AD90"/>
  <sheetViews>
    <sheetView view="pageBreakPreview" topLeftCell="A56" workbookViewId="0">
      <selection activeCell="A36" sqref="A36:XFD46"/>
    </sheetView>
  </sheetViews>
  <sheetFormatPr defaultColWidth="9.109375" defaultRowHeight="13.2"/>
  <cols>
    <col min="1" max="1" width="4.33203125" style="2297" customWidth="1"/>
    <col min="2" max="2" width="8.88671875" style="2297" customWidth="1"/>
    <col min="3" max="3" width="5.5546875" style="2297" customWidth="1"/>
    <col min="4" max="4" width="4.88671875" style="2297" customWidth="1"/>
    <col min="5" max="16" width="5.109375" style="2297" customWidth="1"/>
    <col min="17" max="18" width="5" style="2297" customWidth="1"/>
    <col min="19" max="19" width="5.5546875" style="2297" customWidth="1"/>
    <col min="20" max="20" width="7.88671875" style="2297" customWidth="1"/>
    <col min="21" max="21" width="4.5546875" style="2297" customWidth="1"/>
    <col min="22" max="22" width="4.6640625" style="2297" customWidth="1"/>
    <col min="23" max="40" width="9.109375" style="2297" customWidth="1"/>
    <col min="41" max="16384" width="9.109375" style="2297"/>
  </cols>
  <sheetData>
    <row r="1" spans="1:22" ht="27" customHeight="1">
      <c r="A1" s="3304" t="s">
        <v>833</v>
      </c>
      <c r="B1" s="3304"/>
      <c r="C1" s="3304"/>
      <c r="D1" s="3304"/>
      <c r="E1" s="3304"/>
      <c r="F1" s="3304"/>
      <c r="G1" s="3304"/>
      <c r="H1" s="3304"/>
      <c r="I1" s="3304"/>
      <c r="J1" s="3304"/>
      <c r="K1" s="3304"/>
      <c r="L1" s="3304"/>
      <c r="M1" s="3304"/>
      <c r="N1" s="3304"/>
      <c r="O1" s="3304"/>
      <c r="P1" s="3304"/>
      <c r="Q1" s="3304"/>
      <c r="R1" s="3304"/>
      <c r="S1" s="3304"/>
      <c r="T1" s="3304"/>
      <c r="U1" s="3304"/>
      <c r="V1" s="2296"/>
    </row>
    <row r="2" spans="1:22" s="2299" customFormat="1" ht="33.75" customHeight="1">
      <c r="A2" s="3305" t="s">
        <v>834</v>
      </c>
      <c r="B2" s="3305"/>
      <c r="C2" s="3305"/>
      <c r="D2" s="3305"/>
      <c r="E2" s="3306" t="str">
        <f>'Input Data'!E1:J1</f>
        <v xml:space="preserve">BT Renewal from Balabadraipally to Danamma Thanda of Gundumal Mandal in Narayanpet District </v>
      </c>
      <c r="F2" s="3306"/>
      <c r="G2" s="3306"/>
      <c r="H2" s="3306"/>
      <c r="I2" s="3306"/>
      <c r="J2" s="3306"/>
      <c r="K2" s="3306"/>
      <c r="L2" s="3306"/>
      <c r="M2" s="3306"/>
      <c r="N2" s="3306"/>
      <c r="O2" s="3306"/>
      <c r="P2" s="3306"/>
      <c r="Q2" s="3306"/>
      <c r="R2" s="3306"/>
      <c r="S2" s="3306"/>
      <c r="T2" s="3306"/>
      <c r="U2" s="3306"/>
      <c r="V2" s="2298"/>
    </row>
    <row r="3" spans="1:22" s="2299" customFormat="1" ht="19.5" customHeight="1">
      <c r="A3" s="2300"/>
      <c r="B3" s="2300" t="s">
        <v>388</v>
      </c>
      <c r="C3" s="2300" t="str">
        <f>'Input Data'!I6</f>
        <v>SDF</v>
      </c>
      <c r="D3" s="2300" t="str">
        <f>'Input Data'!I7</f>
        <v>2024-25</v>
      </c>
      <c r="E3" s="2298"/>
      <c r="F3" s="2298"/>
      <c r="G3" s="2298"/>
      <c r="H3" s="2300"/>
      <c r="I3" s="2300"/>
      <c r="J3" s="3307"/>
      <c r="K3" s="3307"/>
      <c r="L3" s="2300" t="s">
        <v>835</v>
      </c>
      <c r="M3" s="2300"/>
      <c r="N3" s="2300"/>
      <c r="O3" s="3307">
        <f>'Input Data'!J4</f>
        <v>96.15</v>
      </c>
      <c r="P3" s="3307"/>
      <c r="Q3" s="2300" t="s">
        <v>329</v>
      </c>
      <c r="R3" s="2301"/>
      <c r="S3" s="2300"/>
      <c r="T3" s="2298"/>
      <c r="U3" s="2298"/>
      <c r="V3" s="2298"/>
    </row>
    <row r="4" spans="1:22" s="2302" customFormat="1" ht="21.75" customHeight="1">
      <c r="B4" s="3308"/>
      <c r="C4" s="3308"/>
      <c r="D4" s="3308"/>
      <c r="E4" s="3308"/>
      <c r="F4" s="3308"/>
      <c r="G4" s="3308"/>
      <c r="H4" s="3308"/>
      <c r="I4" s="3308"/>
      <c r="J4" s="3308"/>
      <c r="K4" s="3308"/>
      <c r="L4" s="3308"/>
      <c r="M4" s="3308"/>
      <c r="N4" s="3308"/>
      <c r="O4" s="3308"/>
      <c r="P4" s="3308"/>
      <c r="Q4" s="3308"/>
      <c r="R4" s="3308"/>
      <c r="S4" s="3308"/>
      <c r="T4" s="3308"/>
    </row>
    <row r="5" spans="1:22">
      <c r="A5" s="2303" t="s">
        <v>836</v>
      </c>
      <c r="B5" s="3309" t="s">
        <v>837</v>
      </c>
      <c r="C5" s="3309"/>
      <c r="D5" s="3309"/>
      <c r="E5" s="3309"/>
      <c r="F5" s="3309"/>
      <c r="G5" s="3309"/>
      <c r="H5" s="3309"/>
      <c r="I5" s="3309"/>
      <c r="J5" s="3309"/>
      <c r="K5" s="3309"/>
      <c r="L5" s="3309"/>
      <c r="M5" s="3309"/>
      <c r="N5" s="3309"/>
      <c r="O5" s="3309"/>
      <c r="P5" s="3309"/>
      <c r="Q5" s="3309"/>
      <c r="R5" s="2304"/>
      <c r="S5" s="2304"/>
      <c r="T5" s="2304"/>
      <c r="U5" s="2304"/>
    </row>
    <row r="6" spans="1:22">
      <c r="B6" s="3310" t="s">
        <v>838</v>
      </c>
      <c r="C6" s="3310"/>
      <c r="D6" s="3310"/>
      <c r="E6" s="3310"/>
      <c r="F6" s="3310"/>
      <c r="G6" s="3310"/>
      <c r="H6" s="3310"/>
      <c r="I6" s="3310"/>
      <c r="J6" s="3310"/>
      <c r="K6" s="3310"/>
      <c r="L6" s="3310"/>
      <c r="M6" s="3310"/>
      <c r="N6" s="3310"/>
      <c r="O6" s="3310"/>
      <c r="P6" s="3310"/>
      <c r="Q6" s="3310"/>
      <c r="R6" s="2305"/>
    </row>
    <row r="7" spans="1:22">
      <c r="B7" s="2305"/>
      <c r="C7" s="2305"/>
      <c r="D7" s="2305"/>
      <c r="E7" s="2305"/>
      <c r="F7" s="2305"/>
      <c r="G7" s="2305"/>
      <c r="H7" s="2305"/>
      <c r="I7" s="2305"/>
      <c r="J7" s="2305"/>
      <c r="K7" s="2305"/>
      <c r="L7" s="2305"/>
      <c r="M7" s="2305"/>
      <c r="N7" s="2305"/>
      <c r="O7" s="2305"/>
      <c r="P7" s="2305"/>
      <c r="Q7" s="2305"/>
      <c r="R7" s="2305"/>
    </row>
    <row r="8" spans="1:22" ht="32.25" customHeight="1">
      <c r="A8" s="2306"/>
      <c r="B8" s="3382" t="s">
        <v>839</v>
      </c>
      <c r="C8" s="3386" t="s">
        <v>480</v>
      </c>
      <c r="D8" s="3387"/>
      <c r="E8" s="3388"/>
      <c r="F8" s="3392" t="s">
        <v>840</v>
      </c>
      <c r="G8" s="3393"/>
      <c r="H8" s="3393"/>
      <c r="I8" s="3394"/>
      <c r="J8" s="3311" t="s">
        <v>841</v>
      </c>
      <c r="K8" s="3311"/>
      <c r="L8" s="3311"/>
      <c r="M8" s="3311"/>
      <c r="N8" s="3311"/>
      <c r="O8" s="3311"/>
      <c r="P8" s="3311"/>
      <c r="Q8" s="3311"/>
      <c r="S8" s="2306"/>
      <c r="T8" s="2306"/>
      <c r="U8" s="2306"/>
      <c r="V8" s="2306"/>
    </row>
    <row r="9" spans="1:22" ht="23.4" customHeight="1">
      <c r="A9" s="2306"/>
      <c r="B9" s="3383"/>
      <c r="C9" s="3389"/>
      <c r="D9" s="3390"/>
      <c r="E9" s="3391"/>
      <c r="F9" s="3395"/>
      <c r="G9" s="3396"/>
      <c r="H9" s="3396"/>
      <c r="I9" s="3397"/>
      <c r="J9" s="3312" t="s">
        <v>490</v>
      </c>
      <c r="K9" s="3313"/>
      <c r="L9" s="3312" t="s">
        <v>491</v>
      </c>
      <c r="M9" s="3314"/>
      <c r="N9" s="3313"/>
      <c r="O9" s="3312" t="s">
        <v>492</v>
      </c>
      <c r="P9" s="3314"/>
      <c r="Q9" s="3313"/>
      <c r="S9" s="2306"/>
      <c r="T9" s="2306"/>
      <c r="U9" s="2306"/>
      <c r="V9" s="2306"/>
    </row>
    <row r="10" spans="1:22" ht="28.2" customHeight="1">
      <c r="A10" s="2306"/>
      <c r="B10" s="2307">
        <v>1</v>
      </c>
      <c r="C10" s="3315" t="str">
        <f>'Input Data'!D7</f>
        <v>Gundumal</v>
      </c>
      <c r="D10" s="3315"/>
      <c r="E10" s="3315"/>
      <c r="F10" s="3316" t="s">
        <v>2787</v>
      </c>
      <c r="G10" s="3317"/>
      <c r="H10" s="3317"/>
      <c r="I10" s="3318"/>
      <c r="J10" s="3315">
        <v>602</v>
      </c>
      <c r="K10" s="3315"/>
      <c r="L10" s="3319">
        <v>0</v>
      </c>
      <c r="M10" s="3320"/>
      <c r="N10" s="3321"/>
      <c r="O10" s="3319">
        <v>1085</v>
      </c>
      <c r="P10" s="3320"/>
      <c r="Q10" s="3321"/>
      <c r="S10" s="2306"/>
      <c r="T10" s="2306"/>
      <c r="U10" s="2306"/>
      <c r="V10" s="2306"/>
    </row>
    <row r="11" spans="1:22" ht="28.2" customHeight="1">
      <c r="A11" s="2306"/>
      <c r="B11" s="2307">
        <v>2</v>
      </c>
      <c r="C11" s="3315" t="str">
        <f>C10</f>
        <v>Gundumal</v>
      </c>
      <c r="D11" s="3315"/>
      <c r="E11" s="3315"/>
      <c r="F11" s="3316" t="s">
        <v>2788</v>
      </c>
      <c r="G11" s="3317"/>
      <c r="H11" s="3317"/>
      <c r="I11" s="3318"/>
      <c r="J11" s="3319">
        <v>0</v>
      </c>
      <c r="K11" s="3321"/>
      <c r="L11" s="3319">
        <v>145</v>
      </c>
      <c r="M11" s="3320"/>
      <c r="N11" s="3321"/>
      <c r="O11" s="3319">
        <v>0</v>
      </c>
      <c r="P11" s="3320"/>
      <c r="Q11" s="3321"/>
      <c r="S11" s="2306"/>
      <c r="T11" s="2306"/>
      <c r="U11" s="2306"/>
      <c r="V11" s="2306"/>
    </row>
    <row r="12" spans="1:22" ht="18" customHeight="1">
      <c r="A12" s="2306"/>
      <c r="B12" s="2307"/>
      <c r="C12" s="3322"/>
      <c r="D12" s="3322"/>
      <c r="E12" s="3322"/>
      <c r="F12" s="3323" t="s">
        <v>60</v>
      </c>
      <c r="G12" s="3323"/>
      <c r="H12" s="3323"/>
      <c r="I12" s="3323"/>
      <c r="J12" s="3324">
        <f>SUM(J10:K11)</f>
        <v>602</v>
      </c>
      <c r="K12" s="3324"/>
      <c r="L12" s="3325">
        <v>260</v>
      </c>
      <c r="M12" s="3326"/>
      <c r="N12" s="3327"/>
      <c r="O12" s="3325">
        <f>SUM(O10:Q11)</f>
        <v>1085</v>
      </c>
      <c r="P12" s="3326"/>
      <c r="Q12" s="3327"/>
      <c r="R12" s="3328">
        <f>J12+L12+O12</f>
        <v>1947</v>
      </c>
      <c r="S12" s="3329"/>
      <c r="T12" s="2306"/>
      <c r="U12" s="2306"/>
      <c r="V12" s="2306"/>
    </row>
    <row r="13" spans="1:22" s="2308" customFormat="1"/>
    <row r="14" spans="1:22">
      <c r="A14" s="2303" t="s">
        <v>842</v>
      </c>
      <c r="B14" s="3309" t="s">
        <v>496</v>
      </c>
      <c r="C14" s="3309"/>
      <c r="D14" s="3309"/>
      <c r="E14" s="3309"/>
      <c r="F14" s="3309"/>
      <c r="G14" s="3309"/>
      <c r="H14" s="3309"/>
      <c r="I14" s="3309"/>
      <c r="J14" s="3309"/>
      <c r="K14" s="3309"/>
      <c r="L14" s="3309"/>
      <c r="M14" s="3309"/>
      <c r="N14" s="3309"/>
      <c r="O14" s="3309"/>
      <c r="P14" s="3309"/>
      <c r="Q14" s="3309"/>
      <c r="R14" s="2309"/>
      <c r="S14" s="2309"/>
      <c r="T14" s="2309"/>
      <c r="U14" s="2309"/>
      <c r="V14" s="2306"/>
    </row>
    <row r="15" spans="1:22">
      <c r="A15" s="2306"/>
      <c r="B15" s="3330" t="s">
        <v>843</v>
      </c>
      <c r="C15" s="3330"/>
      <c r="D15" s="3330"/>
      <c r="E15" s="3330"/>
      <c r="F15" s="3330"/>
      <c r="G15" s="3330"/>
      <c r="H15" s="3330"/>
      <c r="I15" s="3330"/>
      <c r="J15" s="3330"/>
      <c r="K15" s="3330"/>
      <c r="L15" s="3330"/>
      <c r="M15" s="3330"/>
      <c r="N15" s="3330"/>
      <c r="O15" s="3330"/>
      <c r="P15" s="3330"/>
      <c r="Q15" s="3330"/>
      <c r="R15" s="3330"/>
      <c r="S15" s="3330"/>
      <c r="T15" s="3330"/>
      <c r="U15" s="3330"/>
      <c r="V15" s="2306"/>
    </row>
    <row r="16" spans="1:22">
      <c r="A16" s="2306"/>
      <c r="B16" s="2309"/>
      <c r="C16" s="2309"/>
      <c r="D16" s="2309"/>
      <c r="E16" s="2309"/>
      <c r="F16" s="2309"/>
      <c r="G16" s="2309"/>
      <c r="H16" s="2309"/>
      <c r="I16" s="2309"/>
      <c r="J16" s="2309"/>
      <c r="K16" s="2309"/>
      <c r="L16" s="2309"/>
      <c r="M16" s="2309"/>
      <c r="N16" s="2309"/>
      <c r="O16" s="2309"/>
      <c r="P16" s="2309"/>
      <c r="Q16" s="2309"/>
      <c r="R16" s="2309"/>
      <c r="S16" s="2309"/>
      <c r="T16" s="2309"/>
      <c r="U16" s="2309"/>
      <c r="V16" s="2306"/>
    </row>
    <row r="17" spans="1:23" ht="42.75" customHeight="1">
      <c r="A17" s="2306"/>
      <c r="B17" s="2310" t="s">
        <v>395</v>
      </c>
      <c r="C17" s="3331" t="s">
        <v>449</v>
      </c>
      <c r="D17" s="3331"/>
      <c r="E17" s="3331"/>
      <c r="F17" s="3331" t="s">
        <v>450</v>
      </c>
      <c r="G17" s="3331"/>
      <c r="H17" s="3331"/>
      <c r="I17" s="3331"/>
      <c r="J17" s="3331"/>
      <c r="K17" s="3331" t="s">
        <v>451</v>
      </c>
      <c r="L17" s="3332"/>
      <c r="M17" s="3333" t="s">
        <v>452</v>
      </c>
      <c r="N17" s="3333"/>
      <c r="O17" s="3333"/>
      <c r="P17" s="3333"/>
      <c r="Q17" s="3333"/>
      <c r="R17" s="3333"/>
      <c r="S17" s="3333"/>
      <c r="T17" s="3333"/>
      <c r="U17" s="2309"/>
      <c r="V17" s="2306"/>
    </row>
    <row r="18" spans="1:23" ht="41.4" customHeight="1">
      <c r="A18" s="2306"/>
      <c r="B18" s="2310">
        <v>1</v>
      </c>
      <c r="C18" s="3332" t="s">
        <v>844</v>
      </c>
      <c r="D18" s="3334"/>
      <c r="E18" s="3335"/>
      <c r="F18" s="3316" t="str">
        <f>'Inspection Report'!D20</f>
        <v>0/000 to 2/070 km</v>
      </c>
      <c r="G18" s="3317"/>
      <c r="H18" s="3317"/>
      <c r="I18" s="3317"/>
      <c r="J18" s="3318"/>
      <c r="K18" s="3336">
        <v>2700</v>
      </c>
      <c r="L18" s="3337"/>
      <c r="M18" s="3338" t="s">
        <v>2789</v>
      </c>
      <c r="N18" s="3339"/>
      <c r="O18" s="3339"/>
      <c r="P18" s="3339"/>
      <c r="Q18" s="3339"/>
      <c r="R18" s="3339"/>
      <c r="S18" s="3339"/>
      <c r="T18" s="3340"/>
      <c r="U18" s="2309"/>
      <c r="V18" s="2306"/>
      <c r="W18" s="2297" t="str">
        <f>M18</f>
        <v>BM 50mm over BC 30mm over  WMM 150mm as the existing BT Surface is badly damaged along with WMM</v>
      </c>
    </row>
    <row r="19" spans="1:23" ht="35.1" hidden="1" customHeight="1">
      <c r="A19" s="2306"/>
      <c r="B19" s="2310">
        <v>3</v>
      </c>
      <c r="C19" s="3332" t="s">
        <v>845</v>
      </c>
      <c r="D19" s="3334"/>
      <c r="E19" s="3335"/>
      <c r="F19" s="3316"/>
      <c r="G19" s="3317"/>
      <c r="H19" s="3317"/>
      <c r="I19" s="3317"/>
      <c r="J19" s="3317"/>
      <c r="K19" s="3341"/>
      <c r="L19" s="3341"/>
      <c r="M19" s="3342"/>
      <c r="N19" s="3342"/>
      <c r="O19" s="3342"/>
      <c r="P19" s="3342"/>
      <c r="Q19" s="3342"/>
      <c r="R19" s="3342"/>
      <c r="S19" s="3342"/>
      <c r="T19" s="3342"/>
      <c r="U19" s="2309"/>
      <c r="V19" s="2306"/>
    </row>
    <row r="20" spans="1:23" s="2311" customFormat="1" ht="35.1" customHeight="1">
      <c r="B20" s="2310"/>
      <c r="C20" s="3344" t="s">
        <v>60</v>
      </c>
      <c r="D20" s="3344"/>
      <c r="E20" s="3344"/>
      <c r="F20" s="3331"/>
      <c r="G20" s="3331"/>
      <c r="H20" s="3331"/>
      <c r="I20" s="3331"/>
      <c r="J20" s="3332"/>
      <c r="K20" s="3345">
        <f>SUM(K18:L19)</f>
        <v>2700</v>
      </c>
      <c r="L20" s="3345"/>
      <c r="M20" s="2312"/>
      <c r="N20" s="2312"/>
      <c r="O20" s="2312"/>
      <c r="P20" s="2312"/>
      <c r="Q20" s="2312"/>
      <c r="R20" s="2312"/>
      <c r="S20" s="2312"/>
      <c r="T20" s="2312"/>
      <c r="U20" s="2313"/>
    </row>
    <row r="21" spans="1:23">
      <c r="A21" s="2306"/>
      <c r="B21" s="2309"/>
      <c r="C21" s="2309"/>
      <c r="D21" s="2309"/>
      <c r="E21" s="2309"/>
      <c r="F21" s="2309"/>
      <c r="G21" s="2309"/>
      <c r="H21" s="2309"/>
      <c r="I21" s="2309"/>
      <c r="J21" s="2309"/>
      <c r="K21" s="2309"/>
      <c r="L21" s="2309"/>
      <c r="M21" s="2309"/>
      <c r="N21" s="2309"/>
      <c r="O21" s="2309"/>
      <c r="P21" s="2309"/>
      <c r="Q21" s="2309"/>
      <c r="R21" s="2309"/>
      <c r="S21" s="2309"/>
      <c r="T21" s="2309"/>
      <c r="U21" s="2309"/>
      <c r="V21" s="2306"/>
    </row>
    <row r="22" spans="1:23">
      <c r="A22" s="2303" t="s">
        <v>846</v>
      </c>
      <c r="B22" s="3309" t="s">
        <v>847</v>
      </c>
      <c r="C22" s="3309"/>
      <c r="D22" s="3309"/>
      <c r="E22" s="3309"/>
      <c r="F22" s="3309"/>
      <c r="G22" s="3309"/>
      <c r="H22" s="3309"/>
      <c r="I22" s="3309"/>
      <c r="J22" s="3309"/>
      <c r="K22" s="3309"/>
      <c r="L22" s="3309"/>
      <c r="M22" s="3309"/>
      <c r="N22" s="3309"/>
      <c r="O22" s="3309"/>
      <c r="P22" s="3309"/>
      <c r="Q22" s="3309"/>
      <c r="R22" s="2306"/>
      <c r="S22" s="2306"/>
      <c r="T22" s="2306"/>
      <c r="U22" s="2306"/>
      <c r="V22" s="2306"/>
    </row>
    <row r="23" spans="1:23">
      <c r="A23" s="2306"/>
      <c r="B23" s="2314" t="s">
        <v>848</v>
      </c>
      <c r="J23" s="2315"/>
      <c r="N23" s="2304"/>
      <c r="O23" s="2304"/>
      <c r="P23" s="2304"/>
      <c r="Q23" s="2306"/>
      <c r="R23" s="2306"/>
      <c r="S23" s="2306"/>
      <c r="T23" s="2306"/>
      <c r="U23" s="2306"/>
      <c r="V23" s="2306"/>
    </row>
    <row r="24" spans="1:23">
      <c r="Q24" s="2306"/>
      <c r="R24" s="2306"/>
      <c r="S24" s="2306"/>
      <c r="T24" s="2306"/>
      <c r="U24" s="2306"/>
      <c r="V24" s="2306"/>
    </row>
    <row r="25" spans="1:23">
      <c r="A25" s="2316"/>
      <c r="B25" s="3347" t="s">
        <v>849</v>
      </c>
      <c r="C25" s="3346" t="s">
        <v>776</v>
      </c>
      <c r="D25" s="3346"/>
      <c r="E25" s="3346"/>
      <c r="F25" s="3346"/>
      <c r="G25" s="3346"/>
      <c r="H25" s="3346"/>
      <c r="I25" s="3346"/>
      <c r="J25" s="3346"/>
      <c r="K25" s="3346"/>
      <c r="L25" s="3346"/>
      <c r="M25" s="3346"/>
      <c r="N25" s="3346"/>
      <c r="O25" s="2317"/>
      <c r="P25" s="2317"/>
      <c r="Q25" s="3347" t="s">
        <v>60</v>
      </c>
      <c r="R25" s="3347"/>
      <c r="S25" s="2306"/>
      <c r="T25" s="2306"/>
      <c r="U25" s="2306"/>
      <c r="V25" s="2306"/>
    </row>
    <row r="26" spans="1:23" ht="63.6" customHeight="1">
      <c r="A26" s="2316"/>
      <c r="B26" s="3347"/>
      <c r="C26" s="3384" t="s">
        <v>777</v>
      </c>
      <c r="D26" s="3384" t="s">
        <v>778</v>
      </c>
      <c r="E26" s="3347" t="s">
        <v>779</v>
      </c>
      <c r="F26" s="3347"/>
      <c r="G26" s="3347"/>
      <c r="H26" s="3347" t="s">
        <v>780</v>
      </c>
      <c r="I26" s="3347"/>
      <c r="J26" s="3347"/>
      <c r="K26" s="2318" t="s">
        <v>781</v>
      </c>
      <c r="L26" s="2318" t="s">
        <v>782</v>
      </c>
      <c r="M26" s="3347" t="s">
        <v>783</v>
      </c>
      <c r="N26" s="3347"/>
      <c r="O26" s="3348" t="s">
        <v>493</v>
      </c>
      <c r="P26" s="3349"/>
      <c r="Q26" s="3347"/>
      <c r="R26" s="3347"/>
      <c r="S26" s="2306"/>
      <c r="T26" s="2306"/>
      <c r="U26" s="2306"/>
      <c r="V26" s="2306"/>
    </row>
    <row r="27" spans="1:23" ht="54" customHeight="1">
      <c r="A27" s="2316"/>
      <c r="B27" s="3347"/>
      <c r="C27" s="3385"/>
      <c r="D27" s="3385"/>
      <c r="E27" s="2319" t="s">
        <v>784</v>
      </c>
      <c r="F27" s="2319" t="s">
        <v>745</v>
      </c>
      <c r="G27" s="2319" t="s">
        <v>785</v>
      </c>
      <c r="H27" s="2319" t="s">
        <v>784</v>
      </c>
      <c r="I27" s="2319" t="s">
        <v>745</v>
      </c>
      <c r="J27" s="2319" t="s">
        <v>785</v>
      </c>
      <c r="K27" s="2320"/>
      <c r="L27" s="2320"/>
      <c r="M27" s="3399"/>
      <c r="N27" s="3399"/>
      <c r="O27" s="3400"/>
      <c r="P27" s="3401"/>
      <c r="Q27" s="3399"/>
      <c r="R27" s="3399"/>
      <c r="S27" s="2306"/>
      <c r="T27" s="2306"/>
      <c r="U27" s="2306"/>
      <c r="V27" s="2306"/>
    </row>
    <row r="28" spans="1:23" ht="40.200000000000003" customHeight="1">
      <c r="A28" s="2316"/>
      <c r="B28" s="2321"/>
      <c r="C28" s="2322">
        <f>'TRAFF-Count-ESAL-Cal'!B11</f>
        <v>139</v>
      </c>
      <c r="D28" s="2322">
        <f>'TRAFF-Count-ESAL-Cal'!C11</f>
        <v>168</v>
      </c>
      <c r="E28" s="2322">
        <f>'TRAFF-Count-ESAL-Cal'!D11</f>
        <v>47</v>
      </c>
      <c r="F28" s="2322">
        <f>'TRAFF-Count-ESAL-Cal'!E11</f>
        <v>10</v>
      </c>
      <c r="G28" s="2322">
        <f>'TRAFF-Count-ESAL-Cal'!F11</f>
        <v>27</v>
      </c>
      <c r="H28" s="2322">
        <f>'TRAFF-Count-ESAL-Cal'!G11</f>
        <v>75</v>
      </c>
      <c r="I28" s="2322">
        <f>'TRAFF-Count-ESAL-Cal'!H11</f>
        <v>17</v>
      </c>
      <c r="J28" s="2322">
        <f>'TRAFF-Count-ESAL-Cal'!I11</f>
        <v>0</v>
      </c>
      <c r="K28" s="2322">
        <f>'TRAFF-Count-ESAL-Cal'!J11</f>
        <v>29</v>
      </c>
      <c r="L28" s="2322">
        <f>'TRAFF-Count-ESAL-Cal'!K11</f>
        <v>0</v>
      </c>
      <c r="M28" s="3402">
        <v>0</v>
      </c>
      <c r="N28" s="3402"/>
      <c r="O28" s="3403">
        <f>E28+F28+G28+H28+I28+J28</f>
        <v>176</v>
      </c>
      <c r="P28" s="3404"/>
      <c r="Q28" s="3402">
        <f>C28+D28+E28+F28+G28+H28+I28+J28+K28+L28+L28+M28</f>
        <v>512</v>
      </c>
      <c r="R28" s="3402"/>
      <c r="S28" s="2306"/>
      <c r="T28" s="2306"/>
      <c r="U28" s="2306"/>
      <c r="V28" s="2306"/>
    </row>
    <row r="29" spans="1:23">
      <c r="A29" s="2323"/>
      <c r="B29" s="2324"/>
      <c r="C29" s="2324"/>
      <c r="D29" s="2325"/>
      <c r="E29" s="2325"/>
      <c r="F29" s="2325"/>
      <c r="G29" s="2325"/>
      <c r="H29" s="2325"/>
      <c r="I29" s="2325"/>
      <c r="J29" s="2324"/>
      <c r="K29" s="2324"/>
      <c r="L29" s="2324"/>
      <c r="M29" s="2324"/>
      <c r="N29" s="2304"/>
      <c r="O29" s="2304"/>
      <c r="P29" s="2304"/>
      <c r="Q29" s="2306"/>
      <c r="R29" s="2306"/>
      <c r="S29" s="2306"/>
      <c r="T29" s="2306"/>
      <c r="U29" s="2306"/>
      <c r="V29" s="2306"/>
    </row>
    <row r="30" spans="1:23">
      <c r="A30" s="2326" t="s">
        <v>850</v>
      </c>
      <c r="B30" s="3375" t="s">
        <v>851</v>
      </c>
      <c r="C30" s="3375"/>
      <c r="D30" s="3375"/>
      <c r="E30" s="3375"/>
      <c r="F30" s="3375"/>
      <c r="G30" s="3375"/>
      <c r="H30" s="3375"/>
      <c r="I30" s="3375"/>
      <c r="J30" s="3375"/>
      <c r="K30" s="3375"/>
      <c r="L30" s="3375"/>
      <c r="M30" s="3375"/>
      <c r="N30" s="3375"/>
      <c r="O30" s="3375"/>
      <c r="P30" s="3375"/>
      <c r="Q30" s="3375"/>
      <c r="R30" s="3375"/>
      <c r="S30" s="3375"/>
      <c r="T30" s="3375"/>
      <c r="U30" s="3375"/>
      <c r="V30" s="3375"/>
    </row>
    <row r="31" spans="1:23" s="2313" customFormat="1" ht="15.6" customHeight="1">
      <c r="A31" s="3333" t="s">
        <v>537</v>
      </c>
      <c r="B31" s="3398" t="s">
        <v>538</v>
      </c>
      <c r="C31" s="3398"/>
      <c r="D31" s="3398"/>
      <c r="E31" s="3333" t="s">
        <v>539</v>
      </c>
      <c r="F31" s="3333" t="s">
        <v>852</v>
      </c>
      <c r="G31" s="3333"/>
      <c r="H31" s="3333"/>
      <c r="I31" s="3343" t="s">
        <v>541</v>
      </c>
      <c r="J31" s="3343"/>
      <c r="K31" s="3343"/>
      <c r="L31" s="3343"/>
      <c r="M31" s="3343"/>
      <c r="N31" s="3343"/>
      <c r="O31" s="3343"/>
      <c r="P31" s="3343"/>
      <c r="Q31" s="3343"/>
      <c r="R31" s="3343"/>
      <c r="S31" s="3343"/>
      <c r="T31" s="3333" t="s">
        <v>853</v>
      </c>
      <c r="U31" s="3343" t="s">
        <v>854</v>
      </c>
      <c r="V31" s="3343"/>
    </row>
    <row r="32" spans="1:23" s="2313" customFormat="1" ht="30" customHeight="1">
      <c r="A32" s="3333"/>
      <c r="B32" s="3398"/>
      <c r="C32" s="3398"/>
      <c r="D32" s="3398"/>
      <c r="E32" s="3333"/>
      <c r="F32" s="3333"/>
      <c r="G32" s="3333"/>
      <c r="H32" s="3333"/>
      <c r="I32" s="3343" t="s">
        <v>409</v>
      </c>
      <c r="J32" s="3343"/>
      <c r="K32" s="3343" t="s">
        <v>855</v>
      </c>
      <c r="L32" s="3343"/>
      <c r="M32" s="3343" t="s">
        <v>520</v>
      </c>
      <c r="N32" s="3343"/>
      <c r="O32" s="3343" t="s">
        <v>500</v>
      </c>
      <c r="P32" s="3343"/>
      <c r="Q32" s="3343" t="s">
        <v>532</v>
      </c>
      <c r="R32" s="3343"/>
      <c r="S32" s="3343"/>
      <c r="T32" s="3333"/>
      <c r="U32" s="3343"/>
      <c r="V32" s="3343"/>
    </row>
    <row r="33" spans="1:30" s="2313" customFormat="1" ht="28.95" customHeight="1">
      <c r="A33" s="3333"/>
      <c r="B33" s="3398"/>
      <c r="C33" s="3398"/>
      <c r="D33" s="3398"/>
      <c r="E33" s="3333"/>
      <c r="F33" s="3333"/>
      <c r="G33" s="3333"/>
      <c r="H33" s="3333"/>
      <c r="I33" s="2327" t="s">
        <v>528</v>
      </c>
      <c r="J33" s="2327" t="s">
        <v>499</v>
      </c>
      <c r="K33" s="2327" t="s">
        <v>856</v>
      </c>
      <c r="L33" s="2327" t="s">
        <v>857</v>
      </c>
      <c r="M33" s="2327" t="s">
        <v>856</v>
      </c>
      <c r="N33" s="2327" t="s">
        <v>857</v>
      </c>
      <c r="O33" s="2327" t="s">
        <v>856</v>
      </c>
      <c r="P33" s="2327" t="s">
        <v>857</v>
      </c>
      <c r="Q33" s="2327" t="s">
        <v>856</v>
      </c>
      <c r="R33" s="2327" t="s">
        <v>857</v>
      </c>
      <c r="S33" s="2327" t="s">
        <v>60</v>
      </c>
      <c r="T33" s="3333"/>
      <c r="U33" s="2327" t="s">
        <v>856</v>
      </c>
      <c r="V33" s="2327" t="s">
        <v>857</v>
      </c>
      <c r="Y33" s="3350"/>
      <c r="Z33" s="3350"/>
      <c r="AA33" s="3350"/>
      <c r="AB33" s="3350"/>
    </row>
    <row r="34" spans="1:30" s="2311" customFormat="1" ht="33" customHeight="1">
      <c r="A34" s="2312">
        <v>1</v>
      </c>
      <c r="B34" s="3351" t="str">
        <f>F18</f>
        <v>0/000 to 2/070 km</v>
      </c>
      <c r="C34" s="3351"/>
      <c r="D34" s="3351"/>
      <c r="E34" s="2328">
        <v>0.1</v>
      </c>
      <c r="F34" s="3352">
        <f>S34</f>
        <v>430</v>
      </c>
      <c r="G34" s="3353"/>
      <c r="H34" s="3354"/>
      <c r="I34" s="2327">
        <v>0</v>
      </c>
      <c r="J34" s="2327">
        <v>0</v>
      </c>
      <c r="K34" s="2327">
        <v>125</v>
      </c>
      <c r="L34" s="2327"/>
      <c r="M34" s="2327">
        <v>75</v>
      </c>
      <c r="N34" s="2327">
        <v>150</v>
      </c>
      <c r="O34" s="2327">
        <v>0</v>
      </c>
      <c r="P34" s="2327">
        <v>0</v>
      </c>
      <c r="Q34" s="2327">
        <f>I34+K34+M34+O34</f>
        <v>200</v>
      </c>
      <c r="R34" s="2327">
        <f>J34+L34+N34+P34</f>
        <v>150</v>
      </c>
      <c r="S34" s="2327">
        <f>Q34+R34+V34</f>
        <v>430</v>
      </c>
      <c r="T34" s="2327">
        <v>0</v>
      </c>
      <c r="U34" s="2312">
        <v>0</v>
      </c>
      <c r="V34" s="2312">
        <v>80</v>
      </c>
      <c r="Y34" s="2313"/>
      <c r="Z34" s="2313"/>
      <c r="AA34" s="2313"/>
      <c r="AB34" s="2313"/>
    </row>
    <row r="35" spans="1:30">
      <c r="A35" s="2329"/>
      <c r="B35" s="3355"/>
      <c r="C35" s="3355"/>
      <c r="D35" s="3355"/>
      <c r="E35" s="2330"/>
      <c r="F35" s="2330"/>
      <c r="G35" s="2331"/>
      <c r="H35" s="2331"/>
      <c r="I35" s="2331"/>
      <c r="J35" s="2331"/>
      <c r="K35" s="2331"/>
      <c r="L35" s="2331"/>
      <c r="M35" s="2331"/>
      <c r="N35" s="2331"/>
      <c r="O35" s="2331"/>
      <c r="P35" s="2331"/>
      <c r="Q35" s="2331"/>
      <c r="R35" s="2331"/>
      <c r="S35" s="2331"/>
      <c r="T35" s="2331"/>
      <c r="U35" s="2331"/>
      <c r="V35" s="2332"/>
    </row>
    <row r="36" spans="1:30" hidden="1">
      <c r="A36" s="2329"/>
      <c r="B36" s="2333"/>
      <c r="C36" s="2333"/>
      <c r="D36" s="2333"/>
      <c r="E36" s="2330"/>
      <c r="F36" s="2330"/>
      <c r="G36" s="2331"/>
      <c r="H36" s="2331"/>
      <c r="I36" s="2331"/>
      <c r="J36" s="2331"/>
      <c r="K36" s="2331"/>
      <c r="L36" s="2331"/>
      <c r="M36" s="2331"/>
      <c r="N36" s="2331"/>
      <c r="O36" s="2331"/>
      <c r="P36" s="2331"/>
      <c r="Q36" s="2331"/>
      <c r="R36" s="2331"/>
      <c r="S36" s="2331"/>
      <c r="T36" s="2331"/>
      <c r="U36" s="2331"/>
      <c r="V36" s="2332"/>
    </row>
    <row r="37" spans="1:30" ht="21.6" hidden="1" customHeight="1">
      <c r="A37" s="2326" t="s">
        <v>858</v>
      </c>
      <c r="B37" s="2334" t="s">
        <v>859</v>
      </c>
      <c r="C37" s="2330"/>
      <c r="D37" s="2330"/>
      <c r="E37" s="2330"/>
      <c r="F37" s="2330"/>
      <c r="G37" s="2331"/>
      <c r="H37" s="2331"/>
      <c r="I37" s="2331"/>
      <c r="J37" s="2331"/>
      <c r="K37" s="2331"/>
      <c r="L37" s="2331"/>
      <c r="M37" s="2331"/>
      <c r="N37" s="2331"/>
      <c r="O37" s="2331"/>
      <c r="P37" s="2331"/>
      <c r="Q37" s="2331"/>
      <c r="R37" s="2331"/>
      <c r="S37" s="2331"/>
      <c r="T37" s="2331"/>
      <c r="U37" s="2331"/>
      <c r="V37" s="2332"/>
    </row>
    <row r="38" spans="1:30" s="2311" customFormat="1" ht="33.75" hidden="1" customHeight="1">
      <c r="A38" s="2312"/>
      <c r="B38" s="3333" t="s">
        <v>860</v>
      </c>
      <c r="C38" s="3333"/>
      <c r="D38" s="3333"/>
      <c r="E38" s="3333"/>
      <c r="F38" s="2327" t="s">
        <v>710</v>
      </c>
      <c r="G38" s="3333" t="s">
        <v>861</v>
      </c>
      <c r="H38" s="3333"/>
      <c r="I38" s="3333"/>
      <c r="J38" s="3333"/>
      <c r="K38" s="3333" t="s">
        <v>862</v>
      </c>
      <c r="L38" s="3333"/>
      <c r="M38" s="3333"/>
      <c r="N38" s="3333"/>
      <c r="O38" s="3333" t="s">
        <v>710</v>
      </c>
      <c r="P38" s="3333"/>
      <c r="Q38" s="3333"/>
      <c r="R38" s="3333" t="s">
        <v>863</v>
      </c>
      <c r="S38" s="3333"/>
      <c r="T38" s="3333"/>
      <c r="U38" s="3333"/>
      <c r="V38" s="3333"/>
    </row>
    <row r="39" spans="1:30" s="2332" customFormat="1" ht="33" hidden="1" customHeight="1">
      <c r="A39" s="2335">
        <v>1</v>
      </c>
      <c r="B39" s="3356" t="s">
        <v>864</v>
      </c>
      <c r="C39" s="3357"/>
      <c r="D39" s="3357"/>
      <c r="E39" s="3358"/>
      <c r="F39" s="2336"/>
      <c r="G39" s="3359"/>
      <c r="H39" s="3359"/>
      <c r="I39" s="3359"/>
      <c r="J39" s="3359"/>
      <c r="K39" s="3359"/>
      <c r="L39" s="3359"/>
      <c r="M39" s="3359"/>
      <c r="N39" s="3359"/>
      <c r="O39" s="3360"/>
      <c r="P39" s="3360"/>
      <c r="Q39" s="3360"/>
      <c r="R39" s="3361"/>
      <c r="S39" s="3361"/>
      <c r="T39" s="3361"/>
      <c r="U39" s="3361"/>
      <c r="V39" s="3361"/>
    </row>
    <row r="40" spans="1:30" s="2311" customFormat="1" ht="35.25" hidden="1" customHeight="1">
      <c r="A40" s="2312">
        <v>2</v>
      </c>
      <c r="B40" s="3356" t="s">
        <v>865</v>
      </c>
      <c r="C40" s="3357"/>
      <c r="D40" s="3357"/>
      <c r="E40" s="3358"/>
      <c r="F40" s="2337"/>
      <c r="G40" s="3362"/>
      <c r="H40" s="3362"/>
      <c r="I40" s="3362"/>
      <c r="J40" s="3362"/>
      <c r="K40" s="3359"/>
      <c r="L40" s="3359"/>
      <c r="M40" s="3359"/>
      <c r="N40" s="3359"/>
      <c r="O40" s="3363"/>
      <c r="P40" s="3363"/>
      <c r="Q40" s="3363"/>
      <c r="R40" s="3364"/>
      <c r="S40" s="3364"/>
      <c r="T40" s="3364"/>
      <c r="U40" s="3364"/>
      <c r="V40" s="3364"/>
    </row>
    <row r="41" spans="1:30" s="2311" customFormat="1" ht="45.75" hidden="1" customHeight="1">
      <c r="A41" s="2312">
        <v>3</v>
      </c>
      <c r="B41" s="3365" t="s">
        <v>866</v>
      </c>
      <c r="C41" s="3366"/>
      <c r="D41" s="3366"/>
      <c r="E41" s="3367"/>
      <c r="F41" s="2337"/>
      <c r="G41" s="3362"/>
      <c r="H41" s="3362"/>
      <c r="I41" s="3362"/>
      <c r="J41" s="3362"/>
      <c r="K41" s="3362"/>
      <c r="L41" s="3362"/>
      <c r="M41" s="3362"/>
      <c r="N41" s="3362"/>
      <c r="O41" s="3363"/>
      <c r="P41" s="3363"/>
      <c r="Q41" s="3363"/>
      <c r="R41" s="3364"/>
      <c r="S41" s="3364"/>
      <c r="T41" s="3364"/>
      <c r="U41" s="3364"/>
      <c r="V41" s="3364"/>
    </row>
    <row r="42" spans="1:30" s="2311" customFormat="1" ht="35.25" hidden="1" customHeight="1">
      <c r="A42" s="2312">
        <v>4</v>
      </c>
      <c r="B42" s="3365" t="s">
        <v>867</v>
      </c>
      <c r="C42" s="3366"/>
      <c r="D42" s="3366"/>
      <c r="E42" s="3367"/>
      <c r="F42" s="2337"/>
      <c r="G42" s="3362"/>
      <c r="H42" s="3362"/>
      <c r="I42" s="3362"/>
      <c r="J42" s="3362"/>
      <c r="K42" s="3362"/>
      <c r="L42" s="3362"/>
      <c r="M42" s="3362"/>
      <c r="N42" s="3362"/>
      <c r="O42" s="3363"/>
      <c r="P42" s="3363"/>
      <c r="Q42" s="3363"/>
      <c r="R42" s="3364"/>
      <c r="S42" s="3364"/>
      <c r="T42" s="3364"/>
      <c r="U42" s="3364"/>
      <c r="V42" s="3364"/>
    </row>
    <row r="43" spans="1:30" s="2311" customFormat="1" ht="35.25" hidden="1" customHeight="1">
      <c r="A43" s="2312">
        <v>5</v>
      </c>
      <c r="B43" s="3368" t="s">
        <v>868</v>
      </c>
      <c r="C43" s="3369"/>
      <c r="D43" s="3369"/>
      <c r="E43" s="3370"/>
      <c r="F43" s="2338"/>
      <c r="G43" s="3371"/>
      <c r="H43" s="3371"/>
      <c r="I43" s="3371"/>
      <c r="J43" s="3371"/>
      <c r="K43" s="3371"/>
      <c r="L43" s="3371"/>
      <c r="M43" s="3371"/>
      <c r="N43" s="3371"/>
      <c r="O43" s="3372"/>
      <c r="P43" s="3372"/>
      <c r="Q43" s="3372"/>
      <c r="R43" s="3373"/>
      <c r="S43" s="3373"/>
      <c r="T43" s="3373"/>
      <c r="U43" s="3373"/>
      <c r="V43" s="3373"/>
    </row>
    <row r="44" spans="1:30" s="2311" customFormat="1" ht="35.25" hidden="1" customHeight="1">
      <c r="A44" s="2312">
        <v>6</v>
      </c>
      <c r="B44" s="3368" t="s">
        <v>869</v>
      </c>
      <c r="C44" s="3369"/>
      <c r="D44" s="3369"/>
      <c r="E44" s="3370"/>
      <c r="F44" s="2338"/>
      <c r="G44" s="3371"/>
      <c r="H44" s="3371"/>
      <c r="I44" s="3371"/>
      <c r="J44" s="3371"/>
      <c r="K44" s="3371"/>
      <c r="L44" s="3371"/>
      <c r="M44" s="3371"/>
      <c r="N44" s="3371"/>
      <c r="O44" s="3372"/>
      <c r="P44" s="3372"/>
      <c r="Q44" s="3372"/>
      <c r="R44" s="3373"/>
      <c r="S44" s="3373"/>
      <c r="T44" s="3373"/>
      <c r="U44" s="3373"/>
      <c r="V44" s="3373"/>
    </row>
    <row r="45" spans="1:30" s="2311" customFormat="1" ht="27" hidden="1" customHeight="1">
      <c r="A45" s="2339"/>
      <c r="B45" s="3374" t="s">
        <v>870</v>
      </c>
      <c r="C45" s="3374"/>
      <c r="D45" s="3374"/>
      <c r="E45" s="3374"/>
      <c r="F45" s="2340">
        <f>SUM(F38:F38)</f>
        <v>0</v>
      </c>
      <c r="G45" s="3374"/>
      <c r="H45" s="3374"/>
      <c r="I45" s="3374"/>
      <c r="J45" s="3374"/>
      <c r="K45" s="3374" t="s">
        <v>870</v>
      </c>
      <c r="L45" s="3374"/>
      <c r="M45" s="3374"/>
      <c r="N45" s="3374"/>
      <c r="O45" s="3374">
        <f>SUM(O38:O43)</f>
        <v>0</v>
      </c>
      <c r="P45" s="3374"/>
      <c r="Q45" s="3374"/>
      <c r="R45" s="3374"/>
      <c r="S45" s="3374"/>
      <c r="T45" s="3374"/>
      <c r="U45" s="3374"/>
      <c r="V45" s="3374"/>
    </row>
    <row r="46" spans="1:30" s="2311" customFormat="1" ht="27" hidden="1" customHeight="1">
      <c r="A46" s="2341"/>
      <c r="B46" s="2342"/>
      <c r="C46" s="2342"/>
      <c r="D46" s="2342"/>
      <c r="E46" s="2342"/>
      <c r="F46" s="2342"/>
      <c r="G46" s="2342"/>
      <c r="H46" s="2342"/>
      <c r="I46" s="2342"/>
      <c r="J46" s="2342"/>
      <c r="K46" s="2342"/>
      <c r="L46" s="2342"/>
      <c r="M46" s="2342"/>
      <c r="N46" s="2342"/>
      <c r="O46" s="2342"/>
      <c r="P46" s="2342"/>
      <c r="Q46" s="2342"/>
      <c r="R46" s="2342"/>
      <c r="S46" s="2342"/>
      <c r="T46" s="2342"/>
      <c r="U46" s="2342"/>
      <c r="V46" s="2342"/>
    </row>
    <row r="47" spans="1:30" s="2311" customFormat="1" ht="27" customHeight="1">
      <c r="A47" s="2341"/>
      <c r="B47" s="2342"/>
      <c r="C47" s="2342"/>
      <c r="D47" s="2342"/>
      <c r="E47" s="2342"/>
      <c r="F47" s="2342"/>
      <c r="G47" s="2342"/>
      <c r="H47" s="2342"/>
      <c r="I47" s="2342"/>
      <c r="J47" s="2342"/>
      <c r="K47" s="2342"/>
      <c r="L47" s="2342"/>
      <c r="M47" s="2342"/>
      <c r="N47" s="2342"/>
      <c r="O47" s="2342"/>
      <c r="P47" s="2342"/>
      <c r="Q47" s="2342"/>
      <c r="R47" s="2342"/>
      <c r="S47" s="2342"/>
      <c r="T47" s="2342"/>
      <c r="U47" s="2342"/>
      <c r="V47" s="2342"/>
    </row>
    <row r="48" spans="1:30" ht="27.75" customHeight="1">
      <c r="A48" s="2326"/>
      <c r="B48" s="3375" t="s">
        <v>871</v>
      </c>
      <c r="C48" s="3375"/>
      <c r="D48" s="3375"/>
      <c r="E48" s="3375"/>
      <c r="F48" s="3375"/>
      <c r="G48" s="3375"/>
      <c r="H48" s="3375"/>
      <c r="I48" s="3375"/>
      <c r="J48" s="3375"/>
      <c r="K48" s="3375"/>
      <c r="L48" s="3375"/>
      <c r="M48" s="3375"/>
      <c r="N48" s="3375"/>
      <c r="O48" s="3375"/>
      <c r="P48" s="3375"/>
      <c r="Q48" s="3375"/>
      <c r="R48" s="3375"/>
      <c r="S48" s="3375"/>
      <c r="T48" s="3375"/>
      <c r="U48" s="3375"/>
      <c r="V48" s="3375"/>
      <c r="W48" s="2343"/>
      <c r="X48" s="2343"/>
      <c r="Y48" s="2343"/>
      <c r="Z48" s="2343"/>
      <c r="AA48" s="2343"/>
      <c r="AB48" s="2343"/>
      <c r="AC48" s="2343"/>
      <c r="AD48" s="2343"/>
    </row>
    <row r="49" spans="1:30" s="2329" customFormat="1" ht="28.2" customHeight="1">
      <c r="A49" s="2332">
        <v>1</v>
      </c>
      <c r="B49" s="3376" t="s">
        <v>872</v>
      </c>
      <c r="C49" s="3376"/>
      <c r="D49" s="3376"/>
      <c r="E49" s="3376"/>
      <c r="F49" s="3376"/>
      <c r="G49" s="3376"/>
      <c r="H49" s="3376"/>
      <c r="I49" s="3376"/>
      <c r="J49" s="3376"/>
      <c r="K49" s="3376"/>
      <c r="L49" s="3376"/>
      <c r="M49" s="3376"/>
      <c r="N49" s="3376"/>
      <c r="O49" s="3376"/>
      <c r="P49" s="3376"/>
      <c r="Q49" s="3376"/>
      <c r="R49" s="3376"/>
      <c r="S49" s="3376"/>
      <c r="T49" s="3376"/>
      <c r="U49" s="3376"/>
      <c r="V49" s="3376"/>
      <c r="W49" s="2343"/>
      <c r="X49" s="2343"/>
      <c r="Y49" s="2343"/>
      <c r="Z49" s="2343"/>
      <c r="AA49" s="2343"/>
      <c r="AB49" s="2343"/>
      <c r="AC49" s="2343"/>
      <c r="AD49" s="2343"/>
    </row>
    <row r="50" spans="1:30" s="2329" customFormat="1" ht="28.2" customHeight="1">
      <c r="A50" s="2332">
        <v>2</v>
      </c>
      <c r="B50" s="3376" t="s">
        <v>873</v>
      </c>
      <c r="C50" s="3376"/>
      <c r="D50" s="3376"/>
      <c r="E50" s="3376"/>
      <c r="F50" s="3376"/>
      <c r="G50" s="3376"/>
      <c r="H50" s="3376"/>
      <c r="I50" s="3376"/>
      <c r="J50" s="3376"/>
      <c r="K50" s="3376"/>
      <c r="L50" s="3376"/>
      <c r="M50" s="3376"/>
      <c r="N50" s="3376"/>
      <c r="O50" s="3376"/>
      <c r="P50" s="3376"/>
      <c r="Q50" s="3376"/>
      <c r="R50" s="3376"/>
      <c r="S50" s="3376"/>
      <c r="T50" s="3376"/>
      <c r="U50" s="3376"/>
      <c r="V50" s="3376"/>
    </row>
    <row r="51" spans="1:30" s="2329" customFormat="1" ht="39.6" hidden="1" customHeight="1">
      <c r="A51" s="2332">
        <v>3</v>
      </c>
      <c r="B51" s="3376" t="s">
        <v>874</v>
      </c>
      <c r="C51" s="3376"/>
      <c r="D51" s="3376"/>
      <c r="E51" s="3376"/>
      <c r="F51" s="3376"/>
      <c r="G51" s="3376"/>
      <c r="H51" s="3376"/>
      <c r="I51" s="3376"/>
      <c r="J51" s="3376"/>
      <c r="K51" s="3376"/>
      <c r="L51" s="3376"/>
      <c r="M51" s="3376"/>
      <c r="N51" s="3376"/>
      <c r="O51" s="3376"/>
      <c r="P51" s="3376"/>
      <c r="Q51" s="3376"/>
      <c r="R51" s="3376"/>
      <c r="S51" s="3376"/>
      <c r="T51" s="3376"/>
      <c r="U51" s="3376"/>
      <c r="V51" s="3376"/>
    </row>
    <row r="52" spans="1:30" s="2329" customFormat="1" ht="31.95" customHeight="1">
      <c r="A52" s="2332" t="s">
        <v>846</v>
      </c>
      <c r="B52" s="3376" t="s">
        <v>875</v>
      </c>
      <c r="C52" s="3376"/>
      <c r="D52" s="3376"/>
      <c r="E52" s="3376"/>
      <c r="F52" s="3376"/>
      <c r="G52" s="3376"/>
      <c r="H52" s="3376"/>
      <c r="I52" s="3376"/>
      <c r="J52" s="3376"/>
      <c r="K52" s="3376"/>
      <c r="L52" s="3376"/>
      <c r="M52" s="3376"/>
      <c r="N52" s="3376"/>
      <c r="O52" s="3376"/>
      <c r="P52" s="3376"/>
      <c r="Q52" s="3376"/>
      <c r="R52" s="3376"/>
      <c r="S52" s="3376"/>
      <c r="T52" s="3376"/>
      <c r="U52" s="3376"/>
      <c r="V52" s="3376"/>
    </row>
    <row r="53" spans="1:30" s="2329" customFormat="1">
      <c r="A53" s="2332" t="s">
        <v>850</v>
      </c>
      <c r="B53" s="3376" t="s">
        <v>876</v>
      </c>
      <c r="C53" s="3376"/>
      <c r="D53" s="3376"/>
      <c r="E53" s="3376"/>
      <c r="F53" s="3376"/>
      <c r="G53" s="3376"/>
      <c r="H53" s="3376"/>
      <c r="I53" s="3376"/>
      <c r="J53" s="3376"/>
      <c r="K53" s="3376"/>
      <c r="L53" s="3376"/>
      <c r="M53" s="3376"/>
      <c r="N53" s="3376"/>
      <c r="O53" s="3376"/>
      <c r="P53" s="3376"/>
      <c r="Q53" s="3376"/>
      <c r="R53" s="3376"/>
      <c r="S53" s="3376"/>
      <c r="T53" s="3376"/>
      <c r="U53" s="3376"/>
      <c r="V53" s="3376"/>
    </row>
    <row r="54" spans="1:30" s="2329" customFormat="1" ht="26.4" customHeight="1">
      <c r="A54" s="2332">
        <v>5</v>
      </c>
      <c r="B54" s="3376" t="s">
        <v>877</v>
      </c>
      <c r="C54" s="3376"/>
      <c r="D54" s="3376"/>
      <c r="E54" s="3376"/>
      <c r="F54" s="3376"/>
      <c r="G54" s="3376"/>
      <c r="H54" s="3376"/>
      <c r="I54" s="3376"/>
      <c r="J54" s="3376"/>
      <c r="K54" s="3376"/>
      <c r="L54" s="3376"/>
      <c r="M54" s="3376"/>
      <c r="N54" s="3376"/>
      <c r="O54" s="3376"/>
      <c r="P54" s="3376"/>
      <c r="Q54" s="3376"/>
      <c r="R54" s="3376"/>
      <c r="S54" s="3376"/>
      <c r="T54" s="3376"/>
      <c r="U54" s="3376"/>
      <c r="V54" s="3376"/>
    </row>
    <row r="55" spans="1:30" s="2329" customFormat="1" ht="26.4" customHeight="1">
      <c r="A55" s="2332">
        <v>6</v>
      </c>
      <c r="B55" s="3376" t="s">
        <v>878</v>
      </c>
      <c r="C55" s="3376"/>
      <c r="D55" s="3376"/>
      <c r="E55" s="3376"/>
      <c r="F55" s="3376"/>
      <c r="G55" s="3376"/>
      <c r="H55" s="3376"/>
      <c r="I55" s="3376"/>
      <c r="J55" s="3376"/>
      <c r="K55" s="3376"/>
      <c r="L55" s="3376"/>
      <c r="M55" s="3376"/>
      <c r="N55" s="3376"/>
      <c r="O55" s="3376"/>
      <c r="P55" s="3376"/>
      <c r="Q55" s="3376"/>
      <c r="R55" s="3376"/>
      <c r="S55" s="3376"/>
      <c r="T55" s="3376"/>
      <c r="U55" s="3376"/>
      <c r="V55" s="3376"/>
    </row>
    <row r="56" spans="1:30" s="2329" customFormat="1" ht="26.4" customHeight="1">
      <c r="A56" s="2332">
        <v>7</v>
      </c>
      <c r="B56" s="3376" t="s">
        <v>879</v>
      </c>
      <c r="C56" s="3376"/>
      <c r="D56" s="3376"/>
      <c r="E56" s="3376"/>
      <c r="F56" s="3376"/>
      <c r="G56" s="3376"/>
      <c r="H56" s="3376"/>
      <c r="I56" s="3376"/>
      <c r="J56" s="3376"/>
      <c r="K56" s="3376"/>
      <c r="L56" s="3376"/>
      <c r="M56" s="3376"/>
      <c r="N56" s="3376"/>
      <c r="O56" s="3376"/>
      <c r="P56" s="3376"/>
      <c r="Q56" s="3376"/>
      <c r="R56" s="3376"/>
      <c r="S56" s="3376"/>
      <c r="T56" s="3376"/>
      <c r="U56" s="3376"/>
      <c r="V56" s="3376"/>
    </row>
    <row r="57" spans="1:30" s="2329" customFormat="1" ht="41.1" customHeight="1">
      <c r="A57" s="2332">
        <v>8</v>
      </c>
      <c r="B57" s="3376" t="s">
        <v>880</v>
      </c>
      <c r="C57" s="3376"/>
      <c r="D57" s="3376"/>
      <c r="E57" s="3376"/>
      <c r="F57" s="3376"/>
      <c r="G57" s="3376"/>
      <c r="H57" s="3376"/>
      <c r="I57" s="3376"/>
      <c r="J57" s="3376"/>
      <c r="K57" s="3376"/>
      <c r="L57" s="3376"/>
      <c r="M57" s="3376"/>
      <c r="N57" s="3376"/>
      <c r="O57" s="3376"/>
      <c r="P57" s="3376"/>
      <c r="Q57" s="3376"/>
      <c r="R57" s="3376"/>
      <c r="S57" s="3376"/>
      <c r="T57" s="3376"/>
      <c r="U57" s="3376"/>
      <c r="V57" s="3376"/>
    </row>
    <row r="58" spans="1:30" s="2329" customFormat="1" ht="27.6" customHeight="1">
      <c r="A58" s="2332">
        <v>9</v>
      </c>
      <c r="B58" s="3376" t="s">
        <v>881</v>
      </c>
      <c r="C58" s="3376"/>
      <c r="D58" s="3376"/>
      <c r="E58" s="3376"/>
      <c r="F58" s="3376"/>
      <c r="G58" s="3376"/>
      <c r="H58" s="3376"/>
      <c r="I58" s="3376"/>
      <c r="J58" s="3376"/>
      <c r="K58" s="3376"/>
      <c r="L58" s="3376"/>
      <c r="M58" s="3376"/>
      <c r="N58" s="3376"/>
      <c r="O58" s="3376"/>
      <c r="P58" s="3376"/>
      <c r="Q58" s="3376"/>
      <c r="R58" s="3376"/>
      <c r="S58" s="3376"/>
      <c r="T58" s="3376"/>
      <c r="U58" s="3376"/>
      <c r="V58" s="3376"/>
      <c r="W58" s="2344"/>
      <c r="X58" s="2344"/>
      <c r="Y58" s="2344"/>
      <c r="Z58" s="2344"/>
    </row>
    <row r="59" spans="1:30" s="2329" customFormat="1" ht="35.1" customHeight="1">
      <c r="A59" s="2332">
        <v>10</v>
      </c>
      <c r="B59" s="3376" t="s">
        <v>882</v>
      </c>
      <c r="C59" s="3376"/>
      <c r="D59" s="3376"/>
      <c r="E59" s="3376"/>
      <c r="F59" s="3376"/>
      <c r="G59" s="3376"/>
      <c r="H59" s="3376"/>
      <c r="I59" s="3376"/>
      <c r="J59" s="3376"/>
      <c r="K59" s="3376"/>
      <c r="L59" s="3376"/>
      <c r="M59" s="3376"/>
      <c r="N59" s="3376"/>
      <c r="O59" s="3376"/>
      <c r="P59" s="3376"/>
      <c r="Q59" s="3376"/>
      <c r="R59" s="3376"/>
      <c r="S59" s="3376"/>
      <c r="T59" s="3376"/>
      <c r="U59" s="3376"/>
      <c r="V59" s="3376"/>
    </row>
    <row r="60" spans="1:30" s="2329" customFormat="1" ht="16.95" customHeight="1">
      <c r="A60" s="2332">
        <v>11</v>
      </c>
      <c r="B60" s="3376" t="s">
        <v>883</v>
      </c>
      <c r="C60" s="3376"/>
      <c r="D60" s="3376"/>
      <c r="E60" s="3376"/>
      <c r="F60" s="3376"/>
      <c r="G60" s="3376"/>
      <c r="H60" s="3376"/>
      <c r="I60" s="3376"/>
      <c r="J60" s="3376"/>
      <c r="K60" s="3376"/>
      <c r="L60" s="3376"/>
      <c r="M60" s="3376"/>
      <c r="N60" s="3376"/>
      <c r="O60" s="3376"/>
      <c r="P60" s="3376"/>
      <c r="Q60" s="3376"/>
      <c r="R60" s="3376"/>
      <c r="S60" s="3376"/>
      <c r="T60" s="3376"/>
      <c r="U60" s="3376"/>
      <c r="V60" s="3376"/>
    </row>
    <row r="61" spans="1:30" s="2329" customFormat="1" hidden="1">
      <c r="A61" s="2332">
        <v>11</v>
      </c>
      <c r="B61" s="3376" t="s">
        <v>884</v>
      </c>
      <c r="C61" s="3376"/>
      <c r="D61" s="3376"/>
      <c r="E61" s="3376"/>
      <c r="F61" s="3376"/>
      <c r="G61" s="3376"/>
      <c r="H61" s="3376"/>
      <c r="I61" s="3376"/>
      <c r="J61" s="3376"/>
      <c r="K61" s="3376"/>
      <c r="L61" s="3376"/>
      <c r="M61" s="3376"/>
      <c r="N61" s="3376"/>
      <c r="O61" s="3376"/>
      <c r="P61" s="3376"/>
      <c r="Q61" s="3376"/>
      <c r="R61" s="3376"/>
      <c r="S61" s="3376"/>
      <c r="T61" s="3376"/>
      <c r="U61" s="3376"/>
      <c r="V61" s="3376"/>
    </row>
    <row r="62" spans="1:30" s="2329" customFormat="1" ht="19.2" customHeight="1">
      <c r="A62" s="2332">
        <v>12</v>
      </c>
      <c r="B62" s="3376" t="s">
        <v>885</v>
      </c>
      <c r="C62" s="3376"/>
      <c r="D62" s="3376"/>
      <c r="E62" s="3376"/>
      <c r="F62" s="3376"/>
      <c r="G62" s="3376"/>
      <c r="H62" s="3376"/>
      <c r="I62" s="3376"/>
      <c r="J62" s="3376"/>
      <c r="K62" s="3376"/>
      <c r="L62" s="3376"/>
      <c r="M62" s="3376"/>
      <c r="N62" s="3376"/>
      <c r="O62" s="3376"/>
      <c r="P62" s="3376"/>
      <c r="Q62" s="3376"/>
      <c r="R62" s="3376"/>
      <c r="S62" s="3376"/>
      <c r="T62" s="3376"/>
      <c r="U62" s="3376"/>
      <c r="V62" s="3376"/>
    </row>
    <row r="63" spans="1:30" s="2329" customFormat="1" ht="28.5" customHeight="1">
      <c r="A63" s="2332"/>
      <c r="B63" s="2345"/>
      <c r="C63" s="2345"/>
      <c r="D63" s="2345"/>
      <c r="E63" s="2345"/>
      <c r="F63" s="2345"/>
      <c r="G63" s="2345"/>
      <c r="H63" s="2345"/>
      <c r="I63" s="2345"/>
      <c r="J63" s="2345"/>
      <c r="K63" s="2345"/>
      <c r="L63" s="2345"/>
      <c r="M63" s="2345"/>
      <c r="N63" s="2345"/>
      <c r="O63" s="2345"/>
      <c r="P63" s="2345"/>
      <c r="Q63" s="2345"/>
      <c r="R63" s="2345"/>
      <c r="S63" s="2345"/>
      <c r="T63" s="2345"/>
      <c r="U63" s="2345"/>
      <c r="V63" s="2345"/>
    </row>
    <row r="64" spans="1:30" s="2329" customFormat="1" ht="20.25" hidden="1" customHeight="1">
      <c r="A64" s="2332">
        <v>11</v>
      </c>
      <c r="B64" s="3376" t="s">
        <v>886</v>
      </c>
      <c r="C64" s="3376"/>
      <c r="D64" s="3376"/>
      <c r="E64" s="3376"/>
      <c r="F64" s="3376"/>
      <c r="G64" s="3376"/>
      <c r="H64" s="3376"/>
      <c r="I64" s="3376" t="s">
        <v>886</v>
      </c>
      <c r="J64" s="3376"/>
      <c r="K64" s="3376"/>
      <c r="L64" s="3376"/>
      <c r="M64" s="3376"/>
      <c r="N64" s="3376"/>
      <c r="O64" s="3376"/>
      <c r="P64" s="3376" t="s">
        <v>886</v>
      </c>
      <c r="Q64" s="3376"/>
      <c r="R64" s="3376"/>
      <c r="S64" s="3376"/>
      <c r="T64" s="3376"/>
      <c r="U64" s="3376"/>
      <c r="V64" s="3376"/>
    </row>
    <row r="65" spans="1:22" s="2329" customFormat="1" ht="20.25" hidden="1" customHeight="1">
      <c r="A65" s="2332">
        <v>12</v>
      </c>
      <c r="B65" s="3377" t="s">
        <v>887</v>
      </c>
      <c r="C65" s="3377"/>
      <c r="D65" s="3377"/>
      <c r="E65" s="3377"/>
      <c r="F65" s="3377"/>
      <c r="G65" s="3377"/>
      <c r="H65" s="3377"/>
      <c r="I65" s="3377"/>
      <c r="J65" s="3377"/>
      <c r="K65" s="3377"/>
      <c r="L65" s="3377"/>
      <c r="M65" s="3377"/>
      <c r="N65" s="3377"/>
      <c r="O65" s="3377"/>
      <c r="P65" s="3377"/>
      <c r="Q65" s="3377"/>
      <c r="R65" s="3377"/>
      <c r="S65" s="3377"/>
      <c r="T65" s="3377"/>
      <c r="U65" s="3377"/>
      <c r="V65" s="3377"/>
    </row>
    <row r="66" spans="1:22" s="2329" customFormat="1" ht="20.25" hidden="1" customHeight="1">
      <c r="A66" s="2332">
        <v>13</v>
      </c>
      <c r="B66" s="3377" t="s">
        <v>888</v>
      </c>
      <c r="C66" s="3377"/>
      <c r="D66" s="3377"/>
      <c r="E66" s="3377"/>
      <c r="F66" s="3377"/>
      <c r="G66" s="3377"/>
      <c r="H66" s="3377"/>
      <c r="I66" s="3377"/>
      <c r="J66" s="3377"/>
      <c r="K66" s="3377"/>
      <c r="L66" s="3377"/>
      <c r="M66" s="3377"/>
      <c r="N66" s="3377"/>
      <c r="O66" s="3377"/>
      <c r="P66" s="3377"/>
      <c r="Q66" s="3377"/>
      <c r="R66" s="3377"/>
      <c r="S66" s="3377"/>
      <c r="T66" s="3377"/>
      <c r="U66" s="3377"/>
      <c r="V66" s="3377"/>
    </row>
    <row r="67" spans="1:22" s="2329" customFormat="1" ht="20.25" hidden="1" customHeight="1">
      <c r="A67" s="2332">
        <v>16</v>
      </c>
      <c r="B67" s="3377" t="s">
        <v>889</v>
      </c>
      <c r="C67" s="3377"/>
      <c r="D67" s="3377"/>
      <c r="E67" s="3377"/>
      <c r="F67" s="3377"/>
      <c r="G67" s="3377"/>
      <c r="H67" s="3377"/>
      <c r="I67" s="3377"/>
      <c r="J67" s="3377"/>
      <c r="K67" s="3377"/>
      <c r="L67" s="3377"/>
      <c r="M67" s="3377"/>
      <c r="N67" s="3377"/>
      <c r="O67" s="3377"/>
      <c r="P67" s="3377"/>
      <c r="Q67" s="3377"/>
      <c r="R67" s="3377"/>
      <c r="S67" s="3377"/>
      <c r="T67" s="3377"/>
      <c r="U67" s="3377"/>
      <c r="V67" s="3377"/>
    </row>
    <row r="68" spans="1:22" s="2329" customFormat="1" ht="20.25" hidden="1" customHeight="1">
      <c r="A68" s="2332">
        <v>10</v>
      </c>
      <c r="B68" s="3377" t="s">
        <v>890</v>
      </c>
      <c r="C68" s="3377"/>
      <c r="D68" s="3377"/>
      <c r="E68" s="3377"/>
      <c r="F68" s="3377"/>
      <c r="G68" s="3377"/>
      <c r="H68" s="3377"/>
      <c r="I68" s="3377"/>
      <c r="J68" s="3377"/>
      <c r="K68" s="3377"/>
      <c r="L68" s="3377"/>
      <c r="M68" s="3377"/>
      <c r="N68" s="3377"/>
      <c r="O68" s="3377"/>
      <c r="P68" s="3377"/>
      <c r="Q68" s="3377"/>
      <c r="R68" s="3377"/>
      <c r="S68" s="3377"/>
      <c r="T68" s="3377"/>
      <c r="U68" s="3377"/>
      <c r="V68" s="3377"/>
    </row>
    <row r="69" spans="1:22" s="2329" customFormat="1">
      <c r="A69" s="2332"/>
      <c r="B69" s="2346"/>
      <c r="C69" s="2346"/>
      <c r="D69" s="2346"/>
      <c r="E69" s="2346"/>
      <c r="F69" s="2346"/>
      <c r="G69" s="2346"/>
      <c r="H69" s="2346"/>
      <c r="I69" s="2346"/>
      <c r="J69" s="2346"/>
      <c r="K69" s="2346"/>
      <c r="L69" s="2346"/>
      <c r="M69" s="2346"/>
      <c r="N69" s="2346"/>
      <c r="O69" s="2346"/>
      <c r="P69" s="2346"/>
      <c r="Q69" s="2346"/>
      <c r="R69" s="2346"/>
      <c r="S69" s="2346"/>
      <c r="T69" s="2346"/>
      <c r="U69" s="2346"/>
      <c r="V69" s="2346"/>
    </row>
    <row r="70" spans="1:22" s="2329" customFormat="1" hidden="1">
      <c r="A70" s="2347" t="s">
        <v>891</v>
      </c>
      <c r="B70" s="3378" t="s">
        <v>892</v>
      </c>
      <c r="C70" s="3378"/>
      <c r="D70" s="3378"/>
      <c r="E70" s="3378"/>
      <c r="F70" s="3378"/>
      <c r="G70" s="3378"/>
      <c r="H70" s="3378"/>
      <c r="I70" s="3378"/>
      <c r="J70" s="3378"/>
      <c r="K70" s="3378"/>
      <c r="L70" s="3378"/>
      <c r="M70" s="3378"/>
      <c r="N70" s="3378"/>
      <c r="O70" s="3378"/>
      <c r="P70" s="3378"/>
      <c r="Q70" s="3378"/>
    </row>
    <row r="71" spans="1:22" s="2329" customFormat="1" hidden="1">
      <c r="A71" s="2348" t="s">
        <v>893</v>
      </c>
      <c r="B71" s="3330" t="s">
        <v>894</v>
      </c>
      <c r="C71" s="3330"/>
      <c r="D71" s="3330"/>
      <c r="E71" s="3330"/>
      <c r="F71" s="3330"/>
      <c r="G71" s="3330"/>
      <c r="H71" s="3330"/>
      <c r="I71" s="3330"/>
      <c r="J71" s="3330"/>
      <c r="K71" s="3330"/>
      <c r="L71" s="3330"/>
      <c r="M71" s="3330"/>
      <c r="N71" s="3330"/>
      <c r="O71" s="3330"/>
      <c r="P71" s="3330"/>
      <c r="Q71" s="3330"/>
      <c r="R71" s="3330"/>
      <c r="S71" s="3330"/>
      <c r="T71" s="3330"/>
      <c r="U71" s="3330"/>
      <c r="V71" s="3330"/>
    </row>
    <row r="72" spans="1:22" s="2329" customFormat="1" hidden="1">
      <c r="A72" s="2348" t="s">
        <v>895</v>
      </c>
      <c r="B72" s="3330" t="s">
        <v>896</v>
      </c>
      <c r="C72" s="3330"/>
      <c r="D72" s="3330"/>
      <c r="E72" s="3330"/>
      <c r="F72" s="3330"/>
      <c r="G72" s="3330"/>
      <c r="H72" s="3330"/>
      <c r="I72" s="3330"/>
      <c r="J72" s="3330"/>
      <c r="K72" s="3330"/>
      <c r="L72" s="3330"/>
      <c r="M72" s="3330"/>
      <c r="N72" s="3330"/>
      <c r="O72" s="3330"/>
      <c r="P72" s="3330"/>
      <c r="Q72" s="3330"/>
      <c r="R72" s="3330"/>
      <c r="S72" s="3330"/>
      <c r="T72" s="3330"/>
      <c r="U72" s="3330"/>
      <c r="V72" s="3330"/>
    </row>
    <row r="73" spans="1:22" s="2329" customFormat="1" hidden="1">
      <c r="A73" s="2348" t="s">
        <v>897</v>
      </c>
      <c r="B73" s="3330" t="s">
        <v>898</v>
      </c>
      <c r="C73" s="3330"/>
      <c r="D73" s="3330"/>
      <c r="E73" s="3330"/>
      <c r="F73" s="3330"/>
      <c r="G73" s="3330"/>
      <c r="H73" s="3330"/>
      <c r="I73" s="3330"/>
      <c r="J73" s="3330"/>
      <c r="K73" s="3330"/>
      <c r="L73" s="3330"/>
      <c r="M73" s="3330"/>
      <c r="N73" s="3330"/>
      <c r="O73" s="3330"/>
      <c r="P73" s="3330"/>
      <c r="Q73" s="3330"/>
      <c r="R73" s="3330"/>
      <c r="S73" s="3330"/>
      <c r="T73" s="3330"/>
      <c r="U73" s="3330"/>
      <c r="V73" s="3330"/>
    </row>
    <row r="74" spans="1:22" s="2329" customFormat="1" hidden="1">
      <c r="A74" s="2348" t="s">
        <v>899</v>
      </c>
      <c r="B74" s="3330" t="s">
        <v>900</v>
      </c>
      <c r="C74" s="3330"/>
      <c r="D74" s="3330"/>
      <c r="E74" s="3330"/>
      <c r="F74" s="3330"/>
      <c r="G74" s="3330"/>
      <c r="H74" s="3330"/>
      <c r="I74" s="3330"/>
      <c r="J74" s="3330"/>
      <c r="K74" s="3330"/>
      <c r="L74" s="3330"/>
      <c r="M74" s="3330"/>
      <c r="N74" s="3330"/>
      <c r="O74" s="3330"/>
      <c r="P74" s="3330"/>
      <c r="Q74" s="3330"/>
      <c r="R74" s="3330"/>
      <c r="S74" s="3330"/>
      <c r="T74" s="3330"/>
      <c r="U74" s="3330"/>
      <c r="V74" s="3330"/>
    </row>
    <row r="75" spans="1:22" s="2329" customFormat="1" hidden="1">
      <c r="A75" s="2348" t="s">
        <v>901</v>
      </c>
      <c r="B75" s="3330" t="s">
        <v>902</v>
      </c>
      <c r="C75" s="3330"/>
      <c r="D75" s="3330"/>
      <c r="E75" s="3330"/>
      <c r="F75" s="3330"/>
      <c r="G75" s="3330"/>
      <c r="H75" s="3330"/>
      <c r="I75" s="3330"/>
      <c r="J75" s="3330"/>
      <c r="K75" s="3330"/>
      <c r="L75" s="3330"/>
      <c r="M75" s="3330"/>
      <c r="N75" s="3330"/>
      <c r="O75" s="3330"/>
      <c r="P75" s="3330"/>
      <c r="Q75" s="3330"/>
      <c r="R75" s="3330"/>
      <c r="S75" s="3330"/>
      <c r="T75" s="3330"/>
      <c r="U75" s="3330"/>
      <c r="V75" s="3330"/>
    </row>
    <row r="76" spans="1:22" s="2329" customFormat="1" hidden="1">
      <c r="A76" s="2348" t="s">
        <v>903</v>
      </c>
      <c r="B76" s="3330" t="s">
        <v>904</v>
      </c>
      <c r="C76" s="3330"/>
      <c r="D76" s="3330"/>
      <c r="E76" s="3330"/>
      <c r="F76" s="3330"/>
      <c r="G76" s="3330"/>
      <c r="H76" s="3330"/>
      <c r="I76" s="3330"/>
      <c r="J76" s="3330"/>
      <c r="K76" s="3330"/>
      <c r="L76" s="3330"/>
      <c r="M76" s="3330"/>
      <c r="N76" s="3330"/>
      <c r="O76" s="3330"/>
      <c r="P76" s="3330"/>
      <c r="Q76" s="3330"/>
      <c r="R76" s="3330"/>
      <c r="S76" s="3330"/>
      <c r="T76" s="3330"/>
      <c r="U76" s="3330"/>
      <c r="V76" s="3330"/>
    </row>
    <row r="77" spans="1:22" s="2329" customFormat="1" hidden="1">
      <c r="A77" s="2348"/>
      <c r="B77" s="3330" t="s">
        <v>905</v>
      </c>
      <c r="C77" s="3330"/>
      <c r="D77" s="3330"/>
      <c r="E77" s="3330"/>
      <c r="F77" s="3330"/>
      <c r="G77" s="3330"/>
      <c r="H77" s="3330"/>
      <c r="I77" s="3330"/>
      <c r="J77" s="3330"/>
      <c r="K77" s="3330"/>
      <c r="L77" s="3330"/>
      <c r="M77" s="3330"/>
      <c r="N77" s="3330"/>
      <c r="O77" s="3330"/>
      <c r="P77" s="3330"/>
      <c r="Q77" s="3330"/>
      <c r="R77" s="3330"/>
      <c r="S77" s="3330"/>
      <c r="T77" s="3330"/>
      <c r="U77" s="3330"/>
      <c r="V77" s="3330"/>
    </row>
    <row r="78" spans="1:22" s="2329" customFormat="1" hidden="1">
      <c r="A78" s="2348" t="s">
        <v>906</v>
      </c>
      <c r="B78" s="3330" t="s">
        <v>907</v>
      </c>
      <c r="C78" s="3330"/>
      <c r="D78" s="3330"/>
      <c r="E78" s="3330"/>
      <c r="F78" s="3330"/>
      <c r="G78" s="3330"/>
      <c r="H78" s="3330"/>
      <c r="I78" s="3330"/>
      <c r="J78" s="3330"/>
      <c r="K78" s="3330"/>
      <c r="L78" s="3330"/>
      <c r="M78" s="3330"/>
      <c r="N78" s="3330"/>
      <c r="O78" s="3330"/>
      <c r="P78" s="3330"/>
      <c r="Q78" s="3330"/>
      <c r="R78" s="3330"/>
      <c r="S78" s="3330"/>
      <c r="T78" s="3330"/>
      <c r="U78" s="3330"/>
      <c r="V78" s="3330"/>
    </row>
    <row r="79" spans="1:22" ht="7.5" customHeight="1">
      <c r="A79" s="2348"/>
      <c r="B79" s="3330"/>
      <c r="C79" s="3330"/>
      <c r="D79" s="3330"/>
      <c r="E79" s="3330"/>
      <c r="F79" s="3330"/>
      <c r="G79" s="3330"/>
      <c r="H79" s="3330"/>
      <c r="I79" s="3330"/>
      <c r="J79" s="3330"/>
      <c r="K79" s="3330"/>
      <c r="L79" s="3330"/>
      <c r="M79" s="3330"/>
      <c r="N79" s="3330"/>
      <c r="O79" s="3330"/>
      <c r="P79" s="3330"/>
      <c r="Q79" s="3330"/>
      <c r="R79" s="3330"/>
      <c r="S79" s="3330"/>
      <c r="T79" s="3330"/>
      <c r="U79" s="3330"/>
      <c r="V79" s="3330"/>
    </row>
    <row r="80" spans="1:22" ht="33" customHeight="1">
      <c r="A80" s="2348"/>
      <c r="B80" s="3330" t="s">
        <v>908</v>
      </c>
      <c r="C80" s="3330"/>
      <c r="D80" s="3330"/>
      <c r="E80" s="3330"/>
      <c r="F80" s="3330"/>
      <c r="G80" s="3330"/>
      <c r="H80" s="3330"/>
      <c r="I80" s="3330"/>
      <c r="J80" s="3330"/>
      <c r="K80" s="3330"/>
      <c r="L80" s="3330"/>
      <c r="M80" s="3330"/>
      <c r="N80" s="3330"/>
      <c r="O80" s="3330"/>
      <c r="P80" s="3330"/>
      <c r="Q80" s="3330"/>
      <c r="R80" s="3330"/>
      <c r="S80" s="3330"/>
      <c r="T80" s="3330"/>
      <c r="U80" s="3330"/>
      <c r="V80" s="3330"/>
    </row>
    <row r="81" spans="1:22" ht="32.25" customHeight="1">
      <c r="B81" s="3330" t="s">
        <v>2762</v>
      </c>
      <c r="C81" s="3330"/>
      <c r="D81" s="3330"/>
      <c r="E81" s="3330"/>
      <c r="F81" s="3330"/>
      <c r="G81" s="3330"/>
      <c r="H81" s="3330"/>
      <c r="I81" s="3330"/>
      <c r="J81" s="3330"/>
      <c r="K81" s="3330"/>
      <c r="L81" s="3330"/>
      <c r="M81" s="3330"/>
      <c r="N81" s="3330"/>
      <c r="O81" s="3330"/>
      <c r="P81" s="3330"/>
      <c r="Q81" s="3330"/>
      <c r="R81" s="3330"/>
      <c r="S81" s="3330"/>
      <c r="T81" s="3330"/>
      <c r="U81" s="3330"/>
      <c r="V81" s="3330"/>
    </row>
    <row r="82" spans="1:22" ht="13.8">
      <c r="A82" s="2296"/>
      <c r="B82" s="2349"/>
      <c r="C82" s="2349"/>
      <c r="D82" s="2349"/>
      <c r="E82" s="2349"/>
      <c r="F82" s="2349"/>
      <c r="G82" s="2349"/>
      <c r="H82" s="2349"/>
      <c r="I82" s="2349"/>
      <c r="J82" s="2349"/>
      <c r="K82" s="2349"/>
      <c r="L82" s="2349"/>
      <c r="M82" s="2349"/>
      <c r="N82" s="2349"/>
      <c r="O82" s="2349"/>
      <c r="P82" s="2349"/>
      <c r="Q82" s="2349"/>
      <c r="R82" s="2349"/>
      <c r="S82" s="2349"/>
      <c r="T82" s="2349"/>
      <c r="U82" s="2349"/>
      <c r="V82" s="2296"/>
    </row>
    <row r="83" spans="1:22" ht="13.8">
      <c r="A83" s="2296"/>
      <c r="B83" s="2349"/>
      <c r="C83" s="2349"/>
      <c r="D83" s="2349"/>
      <c r="E83" s="2349"/>
      <c r="F83" s="2349"/>
      <c r="G83" s="2349"/>
      <c r="H83" s="2349"/>
      <c r="I83" s="2349"/>
      <c r="J83" s="2349"/>
      <c r="K83" s="2349"/>
      <c r="L83" s="2349"/>
      <c r="M83" s="2349"/>
      <c r="N83" s="2349"/>
      <c r="O83" s="2349"/>
      <c r="P83" s="2349"/>
      <c r="Q83" s="2349"/>
      <c r="R83" s="2349"/>
      <c r="S83" s="2349"/>
      <c r="T83" s="2349"/>
      <c r="U83" s="2349"/>
      <c r="V83" s="2296"/>
    </row>
    <row r="84" spans="1:22" ht="13.8">
      <c r="A84" s="2296"/>
      <c r="B84" s="2349"/>
      <c r="C84" s="2349"/>
      <c r="D84" s="2349"/>
      <c r="E84" s="2349"/>
      <c r="F84" s="2349"/>
      <c r="G84" s="2349"/>
      <c r="H84" s="2349"/>
      <c r="I84" s="2349"/>
      <c r="J84" s="2349"/>
      <c r="K84" s="2349"/>
      <c r="L84" s="2349"/>
      <c r="M84" s="2349"/>
      <c r="N84" s="2349"/>
      <c r="O84" s="2349"/>
      <c r="P84" s="2349"/>
      <c r="Q84" s="2349"/>
      <c r="R84" s="2349"/>
      <c r="S84" s="2349"/>
      <c r="T84" s="2349"/>
      <c r="U84" s="2349"/>
      <c r="V84" s="2296"/>
    </row>
    <row r="85" spans="1:22" ht="13.8">
      <c r="A85" s="2296"/>
      <c r="B85" s="2349"/>
      <c r="C85" s="2349"/>
      <c r="D85" s="2349"/>
      <c r="E85" s="2349"/>
      <c r="F85" s="2349"/>
      <c r="G85" s="2349"/>
      <c r="H85" s="2349"/>
      <c r="I85" s="2349"/>
      <c r="J85" s="2349"/>
      <c r="K85" s="2349"/>
      <c r="L85" s="2349"/>
      <c r="M85" s="2349"/>
      <c r="N85" s="2349"/>
      <c r="O85" s="2349"/>
      <c r="P85" s="2349"/>
      <c r="Q85" s="2349"/>
      <c r="R85" s="2349"/>
      <c r="S85" s="2349"/>
      <c r="T85" s="2349"/>
      <c r="U85" s="2349"/>
      <c r="V85" s="2296"/>
    </row>
    <row r="86" spans="1:22" s="2351" customFormat="1">
      <c r="A86" s="2350"/>
      <c r="B86" s="3379" t="str">
        <f>GA!B34</f>
        <v>Asst Exe Engineer,</v>
      </c>
      <c r="C86" s="3379"/>
      <c r="D86" s="3379"/>
      <c r="F86" s="3379" t="s">
        <v>909</v>
      </c>
      <c r="G86" s="3379"/>
      <c r="H86" s="3379"/>
      <c r="I86" s="3379"/>
      <c r="J86" s="3379"/>
      <c r="L86" s="3379" t="str">
        <f>GA!B37</f>
        <v>District Panchayat Raj Engineer,</v>
      </c>
      <c r="M86" s="3379"/>
      <c r="N86" s="3379"/>
      <c r="O86" s="3379"/>
      <c r="P86" s="3379"/>
      <c r="Q86" s="3379" t="s">
        <v>455</v>
      </c>
      <c r="R86" s="3379"/>
      <c r="S86" s="3379"/>
      <c r="T86" s="3379"/>
      <c r="U86" s="3379"/>
    </row>
    <row r="87" spans="1:22" s="2353" customFormat="1">
      <c r="A87" s="2352"/>
      <c r="B87" s="3379" t="str">
        <f>GA!B35</f>
        <v>PRSD Maddur</v>
      </c>
      <c r="C87" s="3379"/>
      <c r="D87" s="3379"/>
      <c r="F87" s="3380" t="str">
        <f>GA!C35</f>
        <v>PRSD, Maddur</v>
      </c>
      <c r="G87" s="3380"/>
      <c r="H87" s="3380"/>
      <c r="I87" s="3380"/>
      <c r="J87" s="3380"/>
      <c r="L87" s="3379" t="str">
        <f>GA!B38</f>
        <v>PR Division, Narayanpet</v>
      </c>
      <c r="M87" s="3379"/>
      <c r="N87" s="3379"/>
      <c r="O87" s="3379"/>
      <c r="P87" s="3379"/>
      <c r="Q87" s="3381" t="str">
        <f>'Road Estimate'!I73</f>
        <v>PR, Circle, Vikarabad</v>
      </c>
      <c r="R87" s="3381"/>
      <c r="S87" s="3381"/>
      <c r="T87" s="3381"/>
      <c r="U87" s="3381"/>
    </row>
    <row r="88" spans="1:22" ht="13.8">
      <c r="A88" s="2296"/>
      <c r="B88" s="2349"/>
      <c r="C88" s="2349"/>
      <c r="D88" s="2349"/>
      <c r="E88" s="2349"/>
      <c r="F88" s="2349"/>
      <c r="G88" s="2349"/>
      <c r="H88" s="2349"/>
      <c r="I88" s="2349"/>
      <c r="J88" s="2349"/>
      <c r="K88" s="2349"/>
      <c r="L88" s="2349"/>
      <c r="M88" s="2349"/>
      <c r="N88" s="2349"/>
      <c r="O88" s="2349"/>
      <c r="P88" s="2349"/>
      <c r="Q88" s="2349"/>
      <c r="R88" s="2349"/>
      <c r="S88" s="2349"/>
      <c r="T88" s="2349"/>
      <c r="U88" s="2349"/>
      <c r="V88" s="2296"/>
    </row>
    <row r="89" spans="1:22" ht="13.8">
      <c r="A89" s="2296"/>
      <c r="B89" s="2349"/>
      <c r="C89" s="2349"/>
      <c r="D89" s="2349"/>
      <c r="E89" s="2349"/>
      <c r="F89" s="2349"/>
      <c r="G89" s="2349"/>
      <c r="H89" s="2349"/>
      <c r="I89" s="2349"/>
      <c r="J89" s="2349"/>
      <c r="K89" s="2349"/>
      <c r="L89" s="2349"/>
      <c r="M89" s="2349"/>
      <c r="N89" s="2349"/>
      <c r="O89" s="2349"/>
      <c r="P89" s="2349"/>
      <c r="Q89" s="2349"/>
      <c r="R89" s="2349"/>
      <c r="S89" s="2349"/>
      <c r="T89" s="2349"/>
      <c r="U89" s="2349"/>
      <c r="V89" s="2296"/>
    </row>
    <row r="90" spans="1:22" ht="13.8">
      <c r="A90" s="2296"/>
      <c r="B90" s="2349"/>
      <c r="C90" s="2349"/>
      <c r="D90" s="2349"/>
      <c r="E90" s="2349"/>
      <c r="F90" s="2349"/>
      <c r="G90" s="2349"/>
      <c r="H90" s="2349"/>
      <c r="I90" s="2349"/>
      <c r="J90" s="2349"/>
      <c r="K90" s="2349"/>
      <c r="L90" s="2349"/>
      <c r="M90" s="2349"/>
      <c r="N90" s="2349"/>
      <c r="O90" s="2349"/>
      <c r="P90" s="2349"/>
      <c r="Q90" s="2349"/>
      <c r="R90" s="2349"/>
      <c r="S90" s="2349"/>
      <c r="T90" s="2349"/>
      <c r="U90" s="2349"/>
      <c r="V90" s="2296"/>
    </row>
  </sheetData>
  <mergeCells count="163">
    <mergeCell ref="A31:A33"/>
    <mergeCell ref="B8:B9"/>
    <mergeCell ref="B25:B27"/>
    <mergeCell ref="C26:C27"/>
    <mergeCell ref="D26:D27"/>
    <mergeCell ref="E31:E33"/>
    <mergeCell ref="T31:T33"/>
    <mergeCell ref="U31:V32"/>
    <mergeCell ref="C8:E9"/>
    <mergeCell ref="F8:I9"/>
    <mergeCell ref="Q25:R26"/>
    <mergeCell ref="F31:H33"/>
    <mergeCell ref="B31:D33"/>
    <mergeCell ref="M27:N27"/>
    <mergeCell ref="O27:P27"/>
    <mergeCell ref="Q27:R27"/>
    <mergeCell ref="M28:N28"/>
    <mergeCell ref="O28:P28"/>
    <mergeCell ref="Q28:R28"/>
    <mergeCell ref="B30:V30"/>
    <mergeCell ref="I31:S31"/>
    <mergeCell ref="I32:J32"/>
    <mergeCell ref="K32:L32"/>
    <mergeCell ref="M32:N32"/>
    <mergeCell ref="B79:V79"/>
    <mergeCell ref="B80:V80"/>
    <mergeCell ref="B81:V81"/>
    <mergeCell ref="B86:D86"/>
    <mergeCell ref="F86:J86"/>
    <mergeCell ref="L86:P86"/>
    <mergeCell ref="Q86:U86"/>
    <mergeCell ref="B87:D87"/>
    <mergeCell ref="F87:J87"/>
    <mergeCell ref="L87:P87"/>
    <mergeCell ref="Q87:U87"/>
    <mergeCell ref="B70:Q70"/>
    <mergeCell ref="B71:V71"/>
    <mergeCell ref="B72:V72"/>
    <mergeCell ref="B73:V73"/>
    <mergeCell ref="B74:V74"/>
    <mergeCell ref="B75:V75"/>
    <mergeCell ref="B76:V76"/>
    <mergeCell ref="B77:V77"/>
    <mergeCell ref="B78:V78"/>
    <mergeCell ref="B61:V61"/>
    <mergeCell ref="B62:V62"/>
    <mergeCell ref="B64:H64"/>
    <mergeCell ref="I64:O64"/>
    <mergeCell ref="P64:V64"/>
    <mergeCell ref="B65:V65"/>
    <mergeCell ref="B66:V66"/>
    <mergeCell ref="B67:V67"/>
    <mergeCell ref="B68:V68"/>
    <mergeCell ref="B52:V52"/>
    <mergeCell ref="B53:V53"/>
    <mergeCell ref="B54:V54"/>
    <mergeCell ref="B55:V55"/>
    <mergeCell ref="B56:V56"/>
    <mergeCell ref="B57:V57"/>
    <mergeCell ref="B58:V58"/>
    <mergeCell ref="B59:V59"/>
    <mergeCell ref="B60:V60"/>
    <mergeCell ref="B45:E45"/>
    <mergeCell ref="G45:J45"/>
    <mergeCell ref="K45:N45"/>
    <mergeCell ref="O45:Q45"/>
    <mergeCell ref="R45:V45"/>
    <mergeCell ref="B48:V48"/>
    <mergeCell ref="B49:V49"/>
    <mergeCell ref="B50:V50"/>
    <mergeCell ref="B51:V51"/>
    <mergeCell ref="B43:E43"/>
    <mergeCell ref="G43:J43"/>
    <mergeCell ref="K43:N43"/>
    <mergeCell ref="O43:Q43"/>
    <mergeCell ref="R43:V43"/>
    <mergeCell ref="B44:E44"/>
    <mergeCell ref="G44:J44"/>
    <mergeCell ref="K44:N44"/>
    <mergeCell ref="O44:Q44"/>
    <mergeCell ref="R44:V44"/>
    <mergeCell ref="B41:E41"/>
    <mergeCell ref="G41:J41"/>
    <mergeCell ref="K41:N41"/>
    <mergeCell ref="O41:Q41"/>
    <mergeCell ref="R41:V41"/>
    <mergeCell ref="B42:E42"/>
    <mergeCell ref="G42:J42"/>
    <mergeCell ref="K42:N42"/>
    <mergeCell ref="O42:Q42"/>
    <mergeCell ref="R42:V42"/>
    <mergeCell ref="B39:E39"/>
    <mergeCell ref="G39:J39"/>
    <mergeCell ref="K39:N39"/>
    <mergeCell ref="O39:Q39"/>
    <mergeCell ref="R39:V39"/>
    <mergeCell ref="B40:E40"/>
    <mergeCell ref="G40:J40"/>
    <mergeCell ref="K40:N40"/>
    <mergeCell ref="O40:Q40"/>
    <mergeCell ref="R40:V40"/>
    <mergeCell ref="Y33:AB33"/>
    <mergeCell ref="B34:D34"/>
    <mergeCell ref="F34:H34"/>
    <mergeCell ref="B35:D35"/>
    <mergeCell ref="B38:E38"/>
    <mergeCell ref="G38:J38"/>
    <mergeCell ref="K38:N38"/>
    <mergeCell ref="O38:Q38"/>
    <mergeCell ref="R38:V38"/>
    <mergeCell ref="C18:E18"/>
    <mergeCell ref="F18:J18"/>
    <mergeCell ref="K18:L18"/>
    <mergeCell ref="M18:T18"/>
    <mergeCell ref="C19:E19"/>
    <mergeCell ref="F19:J19"/>
    <mergeCell ref="K19:L19"/>
    <mergeCell ref="M19:T19"/>
    <mergeCell ref="O32:P32"/>
    <mergeCell ref="Q32:S32"/>
    <mergeCell ref="C20:E20"/>
    <mergeCell ref="F20:J20"/>
    <mergeCell ref="K20:L20"/>
    <mergeCell ref="B22:Q22"/>
    <mergeCell ref="C25:N25"/>
    <mergeCell ref="E26:G26"/>
    <mergeCell ref="H26:J26"/>
    <mergeCell ref="M26:N26"/>
    <mergeCell ref="O26:P26"/>
    <mergeCell ref="C12:E12"/>
    <mergeCell ref="F12:I12"/>
    <mergeCell ref="J12:K12"/>
    <mergeCell ref="L12:N12"/>
    <mergeCell ref="O12:Q12"/>
    <mergeCell ref="R12:S12"/>
    <mergeCell ref="B14:Q14"/>
    <mergeCell ref="B15:U15"/>
    <mergeCell ref="C17:E17"/>
    <mergeCell ref="F17:J17"/>
    <mergeCell ref="K17:L17"/>
    <mergeCell ref="M17:T17"/>
    <mergeCell ref="J9:K9"/>
    <mergeCell ref="L9:N9"/>
    <mergeCell ref="O9:Q9"/>
    <mergeCell ref="C10:E10"/>
    <mergeCell ref="F10:I10"/>
    <mergeCell ref="J10:K10"/>
    <mergeCell ref="L10:N10"/>
    <mergeCell ref="O10:Q10"/>
    <mergeCell ref="C11:E11"/>
    <mergeCell ref="F11:I11"/>
    <mergeCell ref="J11:K11"/>
    <mergeCell ref="L11:N11"/>
    <mergeCell ref="O11:Q11"/>
    <mergeCell ref="A1:U1"/>
    <mergeCell ref="A2:D2"/>
    <mergeCell ref="E2:U2"/>
    <mergeCell ref="J3:K3"/>
    <mergeCell ref="O3:P3"/>
    <mergeCell ref="B4:T4"/>
    <mergeCell ref="B5:Q5"/>
    <mergeCell ref="B6:Q6"/>
    <mergeCell ref="J8:Q8"/>
  </mergeCells>
  <printOptions horizontalCentered="1"/>
  <pageMargins left="0.43263888888888902" right="0.156944444444444" top="0.55069444444444404" bottom="0.51180555555555596" header="0.196527777777778" footer="0.31458333333333299"/>
  <pageSetup paperSize="9" scale="84"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
  <sheetViews>
    <sheetView view="pageBreakPreview" topLeftCell="A13" workbookViewId="0">
      <selection activeCell="C14" sqref="C14:J16"/>
    </sheetView>
  </sheetViews>
  <sheetFormatPr defaultColWidth="9.109375" defaultRowHeight="13.2"/>
  <cols>
    <col min="1" max="1" width="9.109375" style="1832"/>
    <col min="2" max="2" width="8.88671875" style="1832" customWidth="1"/>
    <col min="3" max="3" width="6.44140625" style="1832" customWidth="1"/>
    <col min="4" max="4" width="4.21875" style="1832" customWidth="1"/>
    <col min="5" max="5" width="9.109375" style="1832" customWidth="1"/>
    <col min="6" max="9" width="8.109375" style="1832" customWidth="1"/>
    <col min="10" max="10" width="9.109375" style="1832"/>
    <col min="11" max="11" width="7" style="1832" customWidth="1"/>
    <col min="12" max="12" width="15" style="1832" customWidth="1"/>
    <col min="13" max="16384" width="9.109375" style="1832"/>
  </cols>
  <sheetData>
    <row r="1" spans="1:12" ht="39" customHeight="1">
      <c r="A1" s="2354"/>
      <c r="B1" s="3405" t="s">
        <v>910</v>
      </c>
      <c r="C1" s="3405"/>
      <c r="D1" s="3405"/>
      <c r="E1" s="3405"/>
      <c r="F1" s="3405"/>
      <c r="G1" s="3405"/>
      <c r="H1" s="3405"/>
      <c r="I1" s="3405"/>
      <c r="J1" s="3405"/>
      <c r="K1" s="3405"/>
      <c r="L1" s="3406"/>
    </row>
    <row r="2" spans="1:12">
      <c r="A2" s="2354"/>
      <c r="B2" s="2354"/>
      <c r="L2" s="2355"/>
    </row>
    <row r="3" spans="1:12">
      <c r="A3" s="2354"/>
      <c r="B3" s="2354"/>
      <c r="L3" s="2355"/>
    </row>
    <row r="4" spans="1:12" s="2357" customFormat="1" ht="30" customHeight="1">
      <c r="A4" s="2356"/>
      <c r="B4" s="3407" t="s">
        <v>911</v>
      </c>
      <c r="C4" s="3407"/>
      <c r="D4" s="3408" t="str">
        <f>'Input Data'!E1</f>
        <v xml:space="preserve">BT Renewal from Balabadraipally to Danamma Thanda of Gundumal Mandal in Narayanpet District </v>
      </c>
      <c r="E4" s="3408"/>
      <c r="F4" s="3408"/>
      <c r="G4" s="3408"/>
      <c r="H4" s="3408"/>
      <c r="I4" s="3408"/>
      <c r="J4" s="3408"/>
      <c r="K4" s="3408"/>
      <c r="L4" s="3409"/>
    </row>
    <row r="5" spans="1:12" s="2357" customFormat="1" ht="30" customHeight="1">
      <c r="A5" s="2356"/>
      <c r="B5" s="2358"/>
      <c r="C5" s="2358"/>
      <c r="D5" s="2359"/>
      <c r="E5" s="2359"/>
      <c r="F5" s="2359"/>
      <c r="G5" s="2359"/>
      <c r="H5" s="2359"/>
      <c r="I5" s="2359"/>
      <c r="J5" s="2359"/>
      <c r="K5" s="2359"/>
      <c r="L5" s="2360"/>
    </row>
    <row r="6" spans="1:12">
      <c r="A6" s="2354"/>
      <c r="B6" s="2354"/>
      <c r="L6" s="2355"/>
    </row>
    <row r="7" spans="1:12">
      <c r="A7" s="2354"/>
      <c r="B7" s="2354"/>
      <c r="K7" s="1832" t="s">
        <v>2791</v>
      </c>
      <c r="L7" s="2355"/>
    </row>
    <row r="8" spans="1:12" ht="13.5" customHeight="1">
      <c r="A8" s="2354"/>
      <c r="B8" s="2354"/>
      <c r="H8" s="2357"/>
      <c r="K8" s="3411"/>
      <c r="L8" s="2355"/>
    </row>
    <row r="9" spans="1:12" ht="21" customHeight="1">
      <c r="A9" s="2354"/>
      <c r="B9" s="2361"/>
      <c r="C9" s="2361"/>
      <c r="D9" s="2361"/>
      <c r="E9" s="2361"/>
      <c r="F9" s="2361"/>
      <c r="G9" s="2361"/>
      <c r="H9" s="2361"/>
      <c r="I9" s="2361"/>
      <c r="J9" s="2361"/>
      <c r="K9" s="3412"/>
      <c r="L9" s="2355"/>
    </row>
    <row r="10" spans="1:12">
      <c r="A10" s="2354"/>
      <c r="B10" s="2354"/>
      <c r="C10" s="2354"/>
      <c r="D10" s="2354"/>
      <c r="E10" s="2354"/>
      <c r="F10" s="2354"/>
      <c r="G10" s="2354"/>
      <c r="H10" s="2362"/>
      <c r="K10" s="3412"/>
      <c r="L10" s="2355"/>
    </row>
    <row r="11" spans="1:12">
      <c r="A11" s="2354"/>
      <c r="B11" s="2354"/>
      <c r="C11" s="2354"/>
      <c r="D11" s="2354"/>
      <c r="E11" s="2354"/>
      <c r="F11" s="2354"/>
      <c r="G11" s="2354"/>
      <c r="H11" s="2362"/>
      <c r="K11" s="3412"/>
      <c r="L11" s="2355"/>
    </row>
    <row r="12" spans="1:12">
      <c r="A12" s="2354"/>
      <c r="B12" s="2354"/>
      <c r="C12" s="2354"/>
      <c r="D12" s="2354"/>
      <c r="E12" s="2363"/>
      <c r="F12" s="2354"/>
      <c r="G12" s="2354"/>
      <c r="H12" s="2362"/>
      <c r="K12" s="3412"/>
      <c r="L12" s="2355"/>
    </row>
    <row r="13" spans="1:12" ht="13.8" thickBot="1">
      <c r="A13" s="2354"/>
      <c r="B13" s="2354"/>
      <c r="C13" s="2354"/>
      <c r="D13" s="2354"/>
      <c r="E13" s="2354"/>
      <c r="F13" s="2354"/>
      <c r="G13" s="2354"/>
      <c r="H13" s="2362"/>
      <c r="K13" s="3412"/>
      <c r="L13" s="2355"/>
    </row>
    <row r="14" spans="1:12" ht="13.2" customHeight="1">
      <c r="A14" s="3423" t="s">
        <v>2788</v>
      </c>
      <c r="B14" s="3424"/>
      <c r="C14" s="3414" t="s">
        <v>912</v>
      </c>
      <c r="D14" s="3415"/>
      <c r="E14" s="3415"/>
      <c r="F14" s="3415"/>
      <c r="G14" s="3415"/>
      <c r="H14" s="3415"/>
      <c r="I14" s="3415"/>
      <c r="J14" s="3416"/>
      <c r="K14" s="3412"/>
      <c r="L14" s="2355"/>
    </row>
    <row r="15" spans="1:12">
      <c r="A15" s="3423"/>
      <c r="B15" s="3424"/>
      <c r="C15" s="3417"/>
      <c r="D15" s="3418"/>
      <c r="E15" s="3418"/>
      <c r="F15" s="3418"/>
      <c r="G15" s="3418"/>
      <c r="H15" s="3418"/>
      <c r="I15" s="3418"/>
      <c r="J15" s="3419"/>
      <c r="K15" s="3412"/>
      <c r="L15" s="2355" t="s">
        <v>2790</v>
      </c>
    </row>
    <row r="16" spans="1:12" ht="13.8" thickBot="1">
      <c r="A16" s="3423"/>
      <c r="B16" s="3424"/>
      <c r="C16" s="3420"/>
      <c r="D16" s="3421"/>
      <c r="E16" s="3421"/>
      <c r="F16" s="3421"/>
      <c r="G16" s="3421"/>
      <c r="H16" s="3421"/>
      <c r="I16" s="3421"/>
      <c r="J16" s="3422"/>
      <c r="K16" s="3412"/>
      <c r="L16" s="2355"/>
    </row>
    <row r="17" spans="1:12">
      <c r="A17" s="2354"/>
      <c r="B17" s="2354"/>
      <c r="C17" s="2932" t="s">
        <v>2817</v>
      </c>
      <c r="D17" s="2364"/>
      <c r="E17" s="2356"/>
      <c r="F17" s="2354"/>
      <c r="G17" s="2354"/>
      <c r="H17" s="2356"/>
      <c r="J17" s="1832" t="s">
        <v>913</v>
      </c>
      <c r="K17" s="3412"/>
      <c r="L17" s="2355"/>
    </row>
    <row r="18" spans="1:12">
      <c r="A18" s="2354"/>
      <c r="B18" s="2354"/>
      <c r="C18" s="2354"/>
      <c r="D18" s="2364"/>
      <c r="E18" s="2354"/>
      <c r="F18" s="2354"/>
      <c r="G18" s="2354"/>
      <c r="H18" s="2354"/>
      <c r="K18" s="3412"/>
      <c r="L18" s="2355"/>
    </row>
    <row r="19" spans="1:12">
      <c r="A19" s="2354"/>
      <c r="B19" s="2354"/>
      <c r="C19" s="2354"/>
      <c r="D19" s="2364"/>
      <c r="E19" s="2354"/>
      <c r="F19" s="2354"/>
      <c r="G19" s="2354"/>
      <c r="H19" s="2354"/>
      <c r="K19" s="3412"/>
      <c r="L19" s="2355"/>
    </row>
    <row r="20" spans="1:12">
      <c r="A20" s="2354"/>
      <c r="B20" s="2354"/>
      <c r="C20" s="2354"/>
      <c r="D20" s="2364"/>
      <c r="E20" s="2354"/>
      <c r="F20" s="2354"/>
      <c r="G20" s="2354"/>
      <c r="H20" s="2354"/>
      <c r="K20" s="3412"/>
      <c r="L20" s="2355"/>
    </row>
    <row r="21" spans="1:12">
      <c r="A21" s="2354"/>
      <c r="B21" s="2354"/>
      <c r="C21" s="2354"/>
      <c r="D21" s="2364"/>
      <c r="E21" s="2354"/>
      <c r="F21" s="2354"/>
      <c r="G21" s="2354"/>
      <c r="H21" s="2354"/>
      <c r="K21" s="3412"/>
      <c r="L21" s="2355"/>
    </row>
    <row r="22" spans="1:12">
      <c r="A22" s="2354"/>
      <c r="B22" s="2354"/>
      <c r="C22" s="2354"/>
      <c r="D22" s="2364"/>
      <c r="E22" s="2354"/>
      <c r="F22" s="2354"/>
      <c r="G22" s="2354"/>
      <c r="H22" s="2354"/>
      <c r="K22" s="3412"/>
      <c r="L22" s="2355"/>
    </row>
    <row r="23" spans="1:12">
      <c r="A23" s="2354"/>
      <c r="B23" s="2354"/>
      <c r="C23" s="2354"/>
      <c r="D23" s="2364"/>
      <c r="E23" s="2356"/>
      <c r="F23" s="2354"/>
      <c r="G23" s="2354"/>
      <c r="H23" s="2354"/>
      <c r="K23" s="3412"/>
      <c r="L23" s="2355"/>
    </row>
    <row r="24" spans="1:12">
      <c r="A24" s="2354"/>
      <c r="B24" s="2365"/>
      <c r="C24" s="2365"/>
      <c r="D24" s="2365"/>
      <c r="E24" s="2365"/>
      <c r="F24" s="2365"/>
      <c r="G24" s="2365"/>
      <c r="H24" s="2365"/>
      <c r="I24" s="2365"/>
      <c r="J24" s="2366"/>
      <c r="K24" s="3412"/>
      <c r="L24" s="2355"/>
    </row>
    <row r="25" spans="1:12">
      <c r="A25" s="2354"/>
      <c r="B25" s="2354"/>
      <c r="C25" s="2357"/>
      <c r="K25" s="3412"/>
      <c r="L25" s="2355"/>
    </row>
    <row r="26" spans="1:12">
      <c r="A26" s="2354"/>
      <c r="B26" s="2354"/>
      <c r="K26" s="3413"/>
      <c r="L26" s="2355"/>
    </row>
    <row r="27" spans="1:12">
      <c r="A27" s="2354"/>
      <c r="B27" s="2354"/>
      <c r="K27" s="1832" t="s">
        <v>2792</v>
      </c>
      <c r="L27" s="2355"/>
    </row>
    <row r="28" spans="1:12">
      <c r="A28" s="2354"/>
      <c r="B28" s="2354"/>
      <c r="L28" s="2355"/>
    </row>
    <row r="29" spans="1:12">
      <c r="A29" s="2354"/>
      <c r="B29" s="2354"/>
      <c r="L29" s="2355"/>
    </row>
    <row r="30" spans="1:12">
      <c r="A30" s="2354"/>
      <c r="B30" s="2354"/>
      <c r="L30" s="2355"/>
    </row>
    <row r="31" spans="1:12">
      <c r="A31" s="2354"/>
      <c r="B31" s="2354"/>
      <c r="L31" s="2355"/>
    </row>
    <row r="32" spans="1:12">
      <c r="A32" s="2354"/>
      <c r="B32" s="2354"/>
      <c r="L32" s="2355"/>
    </row>
    <row r="33" spans="1:12">
      <c r="A33" s="2354"/>
      <c r="B33" s="2354"/>
      <c r="L33" s="2355"/>
    </row>
    <row r="34" spans="1:12">
      <c r="A34" s="2354"/>
      <c r="B34" s="3410" t="str">
        <f>GA!B34</f>
        <v>Asst Exe Engineer,</v>
      </c>
      <c r="C34" s="3410"/>
      <c r="D34" s="3410"/>
      <c r="E34" s="3410" t="str">
        <f>GA!B34</f>
        <v>Asst Exe Engineer,</v>
      </c>
      <c r="F34" s="3410"/>
      <c r="G34" s="3410"/>
      <c r="H34" s="3410" t="str">
        <f>GA!B37</f>
        <v>District Panchayat Raj Engineer,</v>
      </c>
      <c r="I34" s="3410"/>
      <c r="J34" s="3410"/>
      <c r="K34" s="3410"/>
      <c r="L34" s="2355"/>
    </row>
    <row r="35" spans="1:12">
      <c r="A35" s="2354"/>
      <c r="B35" s="3410" t="str">
        <f>GA!B35</f>
        <v>PRSD Maddur</v>
      </c>
      <c r="C35" s="3410"/>
      <c r="D35" s="3410"/>
      <c r="E35" s="3410" t="str">
        <f>GA!B35</f>
        <v>PRSD Maddur</v>
      </c>
      <c r="F35" s="3410"/>
      <c r="G35" s="3410"/>
      <c r="H35" s="3410" t="str">
        <f>GA!B38</f>
        <v>PR Division, Narayanpet</v>
      </c>
      <c r="I35" s="3410"/>
      <c r="J35" s="3410"/>
      <c r="K35" s="3410"/>
      <c r="L35" s="2355"/>
    </row>
    <row r="36" spans="1:12">
      <c r="A36" s="2354"/>
      <c r="B36" s="2354"/>
      <c r="L36" s="2355"/>
    </row>
    <row r="37" spans="1:12">
      <c r="A37" s="2354"/>
      <c r="B37" s="2354"/>
      <c r="L37" s="2355"/>
    </row>
    <row r="38" spans="1:12">
      <c r="A38" s="2354"/>
      <c r="B38" s="2354"/>
      <c r="L38" s="2355"/>
    </row>
    <row r="39" spans="1:12">
      <c r="A39" s="2354"/>
      <c r="B39" s="2354"/>
      <c r="H39" s="3410" t="s">
        <v>455</v>
      </c>
      <c r="I39" s="3410"/>
      <c r="J39" s="3410"/>
      <c r="K39" s="3410"/>
      <c r="L39" s="2355"/>
    </row>
    <row r="40" spans="1:12">
      <c r="A40" s="2354"/>
      <c r="B40" s="2354"/>
      <c r="H40" s="3410" t="s">
        <v>914</v>
      </c>
      <c r="I40" s="3410"/>
      <c r="J40" s="3410"/>
      <c r="K40" s="3410"/>
      <c r="L40" s="2355"/>
    </row>
    <row r="41" spans="1:12">
      <c r="A41" s="2354"/>
      <c r="B41" s="2367"/>
      <c r="C41" s="2367"/>
      <c r="D41" s="2367"/>
      <c r="E41" s="2367"/>
      <c r="F41" s="2367"/>
      <c r="G41" s="2367"/>
      <c r="H41" s="2367"/>
      <c r="I41" s="2367"/>
      <c r="J41" s="2367"/>
      <c r="K41" s="2367"/>
      <c r="L41" s="2368"/>
    </row>
  </sheetData>
  <mergeCells count="14">
    <mergeCell ref="B35:D35"/>
    <mergeCell ref="E35:G35"/>
    <mergeCell ref="H35:K35"/>
    <mergeCell ref="H39:K39"/>
    <mergeCell ref="H40:K40"/>
    <mergeCell ref="B1:L1"/>
    <mergeCell ref="B4:C4"/>
    <mergeCell ref="D4:L4"/>
    <mergeCell ref="B34:D34"/>
    <mergeCell ref="E34:G34"/>
    <mergeCell ref="H34:K34"/>
    <mergeCell ref="K8:K26"/>
    <mergeCell ref="C14:J16"/>
    <mergeCell ref="A14:B16"/>
  </mergeCells>
  <pageMargins left="0.35763888888888901" right="0.16111111111111101" top="1" bottom="0.60624999999999996" header="0.30277777777777798" footer="0.30277777777777798"/>
  <pageSetup paperSize="9" scale="9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9" tint="-0.249977111117893"/>
  </sheetPr>
  <dimension ref="A1:S75"/>
  <sheetViews>
    <sheetView view="pageBreakPreview" workbookViewId="0">
      <selection activeCell="F8" sqref="F8"/>
    </sheetView>
  </sheetViews>
  <sheetFormatPr defaultColWidth="8.88671875" defaultRowHeight="13.8"/>
  <cols>
    <col min="1" max="1" width="6.33203125" style="2428" bestFit="1" customWidth="1"/>
    <col min="2" max="2" width="21.88671875" style="2369" customWidth="1"/>
    <col min="3" max="5" width="3.33203125" style="2369" customWidth="1"/>
    <col min="6" max="6" width="7.88671875" style="2374" customWidth="1"/>
    <col min="7" max="7" width="7.109375" style="2374" customWidth="1"/>
    <col min="8" max="8" width="6.88671875" style="2374" customWidth="1"/>
    <col min="9" max="9" width="10" style="2374" bestFit="1" customWidth="1"/>
    <col min="10" max="10" width="10" style="2429" bestFit="1" customWidth="1"/>
    <col min="11" max="11" width="6.109375" style="2374" customWidth="1"/>
    <col min="12" max="12" width="13.77734375" style="2429" bestFit="1" customWidth="1"/>
    <col min="13" max="16" width="9.109375" style="2369" hidden="1" customWidth="1"/>
    <col min="17" max="18" width="9.109375" style="2369"/>
    <col min="19" max="19" width="9.33203125" style="2369" customWidth="1"/>
    <col min="20" max="16384" width="8.88671875" style="2369"/>
  </cols>
  <sheetData>
    <row r="1" spans="1:12" ht="21" customHeight="1">
      <c r="A1" s="3425" t="s">
        <v>915</v>
      </c>
      <c r="B1" s="3426"/>
      <c r="C1" s="3426"/>
      <c r="D1" s="3426"/>
      <c r="E1" s="3426"/>
      <c r="F1" s="3426"/>
      <c r="G1" s="3426"/>
      <c r="H1" s="3426"/>
      <c r="I1" s="3426"/>
      <c r="J1" s="3426"/>
      <c r="K1" s="3426"/>
      <c r="L1" s="3426"/>
    </row>
    <row r="2" spans="1:12" ht="31.8" customHeight="1">
      <c r="A2" s="3427" t="s">
        <v>2812</v>
      </c>
      <c r="B2" s="3427"/>
      <c r="C2" s="3428" t="str">
        <f>'Input Data'!E1</f>
        <v xml:space="preserve">BT Renewal from Balabadraipally to Danamma Thanda of Gundumal Mandal in Narayanpet District </v>
      </c>
      <c r="D2" s="3428"/>
      <c r="E2" s="3428"/>
      <c r="F2" s="3428"/>
      <c r="G2" s="3428"/>
      <c r="H2" s="3428"/>
      <c r="I2" s="3428"/>
      <c r="J2" s="3428"/>
      <c r="K2" s="3428"/>
      <c r="L2" s="3428"/>
    </row>
    <row r="3" spans="1:12" s="2374" customFormat="1">
      <c r="A3" s="2370" t="s">
        <v>916</v>
      </c>
      <c r="B3" s="2371" t="s">
        <v>917</v>
      </c>
      <c r="C3" s="3429" t="s">
        <v>918</v>
      </c>
      <c r="D3" s="3430"/>
      <c r="E3" s="3431"/>
      <c r="F3" s="2371" t="s">
        <v>180</v>
      </c>
      <c r="G3" s="2371" t="s">
        <v>919</v>
      </c>
      <c r="H3" s="2371" t="s">
        <v>920</v>
      </c>
      <c r="I3" s="2372" t="s">
        <v>3</v>
      </c>
      <c r="J3" s="2373" t="s">
        <v>5</v>
      </c>
      <c r="K3" s="2373" t="s">
        <v>607</v>
      </c>
      <c r="L3" s="2371" t="s">
        <v>7</v>
      </c>
    </row>
    <row r="4" spans="1:12" s="2374" customFormat="1">
      <c r="A4" s="2373">
        <v>1</v>
      </c>
      <c r="B4" s="2373">
        <v>2</v>
      </c>
      <c r="C4" s="3432">
        <v>3</v>
      </c>
      <c r="D4" s="3432"/>
      <c r="E4" s="3432"/>
      <c r="F4" s="2373">
        <v>4</v>
      </c>
      <c r="G4" s="2373">
        <v>5</v>
      </c>
      <c r="H4" s="2373">
        <v>6</v>
      </c>
      <c r="I4" s="2373">
        <v>7</v>
      </c>
      <c r="J4" s="2373">
        <v>8</v>
      </c>
      <c r="K4" s="2373">
        <v>9</v>
      </c>
      <c r="L4" s="2373">
        <v>10</v>
      </c>
    </row>
    <row r="5" spans="1:12" ht="83.4" customHeight="1">
      <c r="A5" s="2375">
        <v>1</v>
      </c>
      <c r="B5" s="3433" t="str">
        <f>'Road data'!B5:G5</f>
        <v>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v>
      </c>
      <c r="C5" s="3433"/>
      <c r="D5" s="3433"/>
      <c r="E5" s="3433"/>
      <c r="F5" s="3433"/>
      <c r="G5" s="3433"/>
      <c r="H5" s="3433"/>
      <c r="I5" s="3433"/>
      <c r="J5" s="3433"/>
      <c r="K5" s="3433"/>
      <c r="L5" s="2376"/>
    </row>
    <row r="6" spans="1:12" ht="20.100000000000001" customHeight="1">
      <c r="A6" s="2377"/>
      <c r="B6" s="2378" t="s">
        <v>2816</v>
      </c>
      <c r="C6" s="2379">
        <v>1</v>
      </c>
      <c r="D6" s="2379" t="s">
        <v>921</v>
      </c>
      <c r="E6" s="2379">
        <v>2</v>
      </c>
      <c r="F6" s="2380">
        <f>'Input Data'!J5*1000</f>
        <v>2070</v>
      </c>
      <c r="G6" s="2381">
        <v>2.5</v>
      </c>
      <c r="H6" s="2381"/>
      <c r="I6" s="2382">
        <f>C6*E6*F6*G6</f>
        <v>10350</v>
      </c>
      <c r="J6" s="2383"/>
      <c r="K6" s="2378"/>
      <c r="L6" s="2384"/>
    </row>
    <row r="7" spans="1:12" ht="20.100000000000001" customHeight="1">
      <c r="A7" s="2377"/>
      <c r="B7" s="2378" t="s">
        <v>2785</v>
      </c>
      <c r="C7" s="2379">
        <v>1</v>
      </c>
      <c r="D7" s="2379" t="s">
        <v>921</v>
      </c>
      <c r="E7" s="2379">
        <v>2</v>
      </c>
      <c r="F7" s="2380">
        <v>-430</v>
      </c>
      <c r="G7" s="2381">
        <v>2.5</v>
      </c>
      <c r="H7" s="2381"/>
      <c r="I7" s="2382">
        <f>C7*E7*F7*G7</f>
        <v>-2150</v>
      </c>
      <c r="J7" s="2383"/>
      <c r="K7" s="2378"/>
      <c r="L7" s="2384"/>
    </row>
    <row r="8" spans="1:12" ht="20.100000000000001" customHeight="1">
      <c r="A8" s="2377"/>
      <c r="B8" s="2378"/>
      <c r="C8" s="2379"/>
      <c r="D8" s="2379"/>
      <c r="E8" s="2379"/>
      <c r="F8" s="2380">
        <f>SUM(F6:F7)</f>
        <v>1640</v>
      </c>
      <c r="G8" s="2381"/>
      <c r="H8" s="2381"/>
      <c r="I8" s="2382">
        <f>SUM(I6:I7)</f>
        <v>8200</v>
      </c>
      <c r="J8" s="2383"/>
      <c r="K8" s="2378"/>
      <c r="L8" s="2384"/>
    </row>
    <row r="9" spans="1:12" ht="20.100000000000001" customHeight="1">
      <c r="A9" s="2377"/>
      <c r="B9" s="2385" t="s">
        <v>922</v>
      </c>
      <c r="C9" s="2379"/>
      <c r="D9" s="2379"/>
      <c r="E9" s="2379"/>
      <c r="F9" s="2386"/>
      <c r="G9" s="2381"/>
      <c r="H9" s="2381"/>
      <c r="I9" s="2382">
        <f>-(I8)*40%</f>
        <v>-3280</v>
      </c>
      <c r="J9" s="2383"/>
      <c r="K9" s="2378"/>
      <c r="L9" s="2384"/>
    </row>
    <row r="10" spans="1:12" ht="20.100000000000001" customHeight="1">
      <c r="A10" s="2377"/>
      <c r="B10" s="2378"/>
      <c r="C10" s="2378"/>
      <c r="D10" s="2378"/>
      <c r="E10" s="2378"/>
      <c r="F10" s="2377"/>
      <c r="G10" s="2377"/>
      <c r="H10" s="2377"/>
      <c r="I10" s="2387">
        <f>SUM(I8:I9)</f>
        <v>4920</v>
      </c>
      <c r="J10" s="2388">
        <f>'Road data'!G22</f>
        <v>3.93</v>
      </c>
      <c r="K10" s="2378">
        <v>1</v>
      </c>
      <c r="L10" s="2384">
        <f>ROUND(I10*J10,0)</f>
        <v>19336</v>
      </c>
    </row>
    <row r="11" spans="1:12">
      <c r="A11" s="2389"/>
      <c r="B11" s="2378"/>
      <c r="C11" s="2378"/>
      <c r="D11" s="2378"/>
      <c r="E11" s="2378"/>
      <c r="F11" s="2377"/>
      <c r="G11" s="2377"/>
      <c r="H11" s="2377"/>
      <c r="I11" s="2387" t="s">
        <v>353</v>
      </c>
      <c r="J11" s="2388"/>
      <c r="K11" s="2378" t="s">
        <v>353</v>
      </c>
      <c r="L11" s="2384"/>
    </row>
    <row r="12" spans="1:12" ht="76.5" hidden="1" customHeight="1">
      <c r="A12" s="2390">
        <v>2</v>
      </c>
      <c r="B12" s="3433" t="str">
        <f>'Road data'!B255:G255</f>
        <v xml:space="preserve">Scarifying the granular surface  to a depth of 50 mm by Mechanical means and re-using the scarified material with all leads and lifts  as per MoRT&amp;H (5th Revision) Specn. No.305.4.3    </v>
      </c>
      <c r="C12" s="3433"/>
      <c r="D12" s="3433"/>
      <c r="E12" s="3433"/>
      <c r="F12" s="3433"/>
      <c r="G12" s="3433"/>
      <c r="H12" s="3433"/>
      <c r="I12" s="3433"/>
      <c r="J12" s="3433"/>
      <c r="K12" s="3433"/>
      <c r="L12" s="2384"/>
    </row>
    <row r="13" spans="1:12" ht="27" hidden="1" customHeight="1">
      <c r="A13" s="2390"/>
      <c r="B13" s="2378" t="str">
        <f>B6</f>
        <v>0/000 to 2/070 km</v>
      </c>
      <c r="C13" s="2391">
        <v>0</v>
      </c>
      <c r="D13" s="2391" t="s">
        <v>921</v>
      </c>
      <c r="E13" s="2392">
        <v>1</v>
      </c>
      <c r="F13" s="2393">
        <v>1000</v>
      </c>
      <c r="G13" s="2393">
        <v>3.75</v>
      </c>
      <c r="H13" s="2394"/>
      <c r="I13" s="2382">
        <f>C13*E13*F13*G13</f>
        <v>0</v>
      </c>
      <c r="J13" s="2395"/>
      <c r="K13" s="2396"/>
      <c r="L13" s="2376"/>
    </row>
    <row r="14" spans="1:12" ht="19.95" hidden="1" customHeight="1">
      <c r="A14" s="2390"/>
      <c r="B14" s="2397"/>
      <c r="C14" s="2396"/>
      <c r="D14" s="2396"/>
      <c r="E14" s="2396"/>
      <c r="F14" s="2377"/>
      <c r="G14" s="2377"/>
      <c r="H14" s="2377"/>
      <c r="I14" s="2387">
        <f>SUM(I13)</f>
        <v>0</v>
      </c>
      <c r="J14" s="2388">
        <f>'Road data'!G270</f>
        <v>43.84</v>
      </c>
      <c r="K14" s="2378">
        <v>1</v>
      </c>
      <c r="L14" s="2384">
        <f>ROUND(I14*J14,0)</f>
        <v>0</v>
      </c>
    </row>
    <row r="15" spans="1:12" ht="14.25" hidden="1" customHeight="1">
      <c r="A15" s="2390"/>
      <c r="B15" s="2396"/>
      <c r="C15" s="2396"/>
      <c r="D15" s="2396"/>
      <c r="E15" s="2396"/>
      <c r="F15" s="2377"/>
      <c r="G15" s="2377"/>
      <c r="H15" s="2377"/>
      <c r="I15" s="2388" t="s">
        <v>353</v>
      </c>
      <c r="J15" s="2388"/>
      <c r="K15" s="2378" t="s">
        <v>353</v>
      </c>
      <c r="L15" s="2384"/>
    </row>
    <row r="16" spans="1:12" ht="73.5" hidden="1" customHeight="1">
      <c r="A16" s="2390">
        <v>2</v>
      </c>
      <c r="B16" s="3433" t="str">
        <f>'Road data'!B117:G117</f>
        <v>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v>
      </c>
      <c r="C16" s="3433"/>
      <c r="D16" s="3433"/>
      <c r="E16" s="3433"/>
      <c r="F16" s="3433"/>
      <c r="G16" s="3433"/>
      <c r="H16" s="3433"/>
      <c r="I16" s="3433"/>
      <c r="J16" s="3433"/>
      <c r="K16" s="3433"/>
      <c r="L16" s="2376"/>
    </row>
    <row r="17" spans="1:19" ht="14.25" hidden="1" customHeight="1">
      <c r="A17" s="2390"/>
      <c r="B17" s="2395" t="str">
        <f>B13</f>
        <v>0/000 to 2/070 km</v>
      </c>
      <c r="C17" s="2391">
        <v>0</v>
      </c>
      <c r="D17" s="2391" t="s">
        <v>921</v>
      </c>
      <c r="E17" s="2392">
        <v>2</v>
      </c>
      <c r="F17" s="2398">
        <v>2100</v>
      </c>
      <c r="G17" s="2399">
        <v>1.03</v>
      </c>
      <c r="H17" s="2399">
        <v>0.2</v>
      </c>
      <c r="I17" s="2382">
        <f>C17*E17*F17*G17</f>
        <v>0</v>
      </c>
      <c r="J17" s="2395"/>
      <c r="K17" s="2396"/>
      <c r="L17" s="2376"/>
    </row>
    <row r="18" spans="1:19" s="2407" customFormat="1" ht="14.25" hidden="1" customHeight="1">
      <c r="A18" s="2400"/>
      <c r="B18" s="2401"/>
      <c r="C18" s="2402"/>
      <c r="D18" s="2402"/>
      <c r="E18" s="2402"/>
      <c r="F18" s="2403"/>
      <c r="G18" s="2403"/>
      <c r="H18" s="2403"/>
      <c r="I18" s="2404">
        <f>SUM(I17)</f>
        <v>0</v>
      </c>
      <c r="J18" s="2405">
        <f>'Road data'!G134</f>
        <v>127.41</v>
      </c>
      <c r="K18" s="2402">
        <v>1</v>
      </c>
      <c r="L18" s="2406">
        <f>ROUND(I18*J18,0)</f>
        <v>0</v>
      </c>
    </row>
    <row r="19" spans="1:19" ht="14.25" hidden="1" customHeight="1">
      <c r="A19" s="2390"/>
      <c r="B19" s="2396"/>
      <c r="C19" s="2396"/>
      <c r="D19" s="2396"/>
      <c r="E19" s="2396"/>
      <c r="F19" s="2377"/>
      <c r="G19" s="2377"/>
      <c r="H19" s="2377"/>
      <c r="I19" s="2387" t="s">
        <v>73</v>
      </c>
      <c r="J19" s="2388"/>
      <c r="K19" s="2378" t="s">
        <v>31</v>
      </c>
      <c r="L19" s="2384"/>
      <c r="S19" s="2408"/>
    </row>
    <row r="20" spans="1:19" ht="45.9" customHeight="1">
      <c r="A20" s="2373">
        <f>A5+1</f>
        <v>2</v>
      </c>
      <c r="B20" s="3434" t="str">
        <f>'Road data'!B272:G272</f>
        <v xml:space="preserve">Scarifying the existing bitumen surface  to a depth of 50 mm by Mechanical means and disposal of scarified material with all leads and lifts upto 1000 Mtrs as per MoRT&amp;H (5th Revision) Specn. No.305.4.3    </v>
      </c>
      <c r="C20" s="3433"/>
      <c r="D20" s="3433"/>
      <c r="E20" s="3433"/>
      <c r="F20" s="3433"/>
      <c r="G20" s="3433"/>
      <c r="H20" s="3433"/>
      <c r="I20" s="3433"/>
      <c r="J20" s="3433"/>
      <c r="K20" s="3433"/>
      <c r="L20" s="2409"/>
    </row>
    <row r="21" spans="1:19" ht="20.100000000000001" customHeight="1">
      <c r="A21" s="2373"/>
      <c r="B21" s="2378" t="str">
        <f>B6</f>
        <v>0/000 to 2/070 km</v>
      </c>
      <c r="C21" s="2379">
        <v>1</v>
      </c>
      <c r="D21" s="2379" t="s">
        <v>921</v>
      </c>
      <c r="E21" s="2379">
        <v>1</v>
      </c>
      <c r="F21" s="2410">
        <f>F8</f>
        <v>1640</v>
      </c>
      <c r="G21" s="2411">
        <v>3.75</v>
      </c>
      <c r="H21" s="2381"/>
      <c r="I21" s="2380">
        <f>PRODUCT(C21:H21)</f>
        <v>6150</v>
      </c>
      <c r="J21" s="2412"/>
      <c r="K21" s="2371"/>
      <c r="L21" s="2409"/>
      <c r="Q21" s="2369">
        <f>I21*5%</f>
        <v>307.5</v>
      </c>
    </row>
    <row r="22" spans="1:19" ht="20.100000000000001" customHeight="1">
      <c r="A22" s="2373"/>
      <c r="B22" s="3435"/>
      <c r="C22" s="3435"/>
      <c r="D22" s="3435"/>
      <c r="E22" s="3435"/>
      <c r="F22" s="3435"/>
      <c r="G22" s="3435"/>
      <c r="H22" s="3435"/>
      <c r="I22" s="2413">
        <f>I21</f>
        <v>6150</v>
      </c>
      <c r="J22" s="2412">
        <f>'Road data'!G290</f>
        <v>10.220000000000001</v>
      </c>
      <c r="K22" s="2371"/>
      <c r="L22" s="2387">
        <f>ROUND(I22*J22,0)</f>
        <v>62853</v>
      </c>
    </row>
    <row r="23" spans="1:19">
      <c r="A23" s="2373"/>
      <c r="B23" s="2371"/>
      <c r="C23" s="2371"/>
      <c r="D23" s="2371"/>
      <c r="E23" s="2371"/>
      <c r="F23" s="2373"/>
      <c r="G23" s="2373"/>
      <c r="H23" s="2373"/>
      <c r="I23" s="2412" t="s">
        <v>73</v>
      </c>
      <c r="J23" s="2412"/>
      <c r="K23" s="2371" t="s">
        <v>73</v>
      </c>
      <c r="L23" s="2409"/>
    </row>
    <row r="24" spans="1:19" ht="116.4" customHeight="1">
      <c r="A24" s="2375">
        <f>A20+1</f>
        <v>3</v>
      </c>
      <c r="B24" s="3433" t="str">
        <f>'Road data'!B400:G400</f>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v>
      </c>
      <c r="C24" s="3433"/>
      <c r="D24" s="3433"/>
      <c r="E24" s="3433"/>
      <c r="F24" s="3433"/>
      <c r="G24" s="3433"/>
      <c r="H24" s="3433"/>
      <c r="I24" s="3433"/>
      <c r="J24" s="3433"/>
      <c r="K24" s="3433"/>
      <c r="L24" s="2376"/>
    </row>
    <row r="25" spans="1:19" s="2407" customFormat="1">
      <c r="A25" s="2403"/>
      <c r="B25" s="2397" t="str">
        <f>B13</f>
        <v>0/000 to 2/070 km</v>
      </c>
      <c r="C25" s="2391">
        <v>1</v>
      </c>
      <c r="D25" s="2391" t="s">
        <v>921</v>
      </c>
      <c r="E25" s="2391">
        <v>1</v>
      </c>
      <c r="F25" s="2414">
        <f>F21</f>
        <v>1640</v>
      </c>
      <c r="G25" s="2415">
        <v>3.75</v>
      </c>
      <c r="H25" s="2415">
        <v>0.1</v>
      </c>
      <c r="I25" s="2416">
        <f t="shared" ref="I25" si="0">ROUND(C25*E25*F25*G25*H25,2)</f>
        <v>615</v>
      </c>
      <c r="J25" s="2417"/>
      <c r="K25" s="2402"/>
      <c r="L25" s="2406"/>
    </row>
    <row r="26" spans="1:19" s="2407" customFormat="1">
      <c r="A26" s="2403"/>
      <c r="B26" s="2402"/>
      <c r="C26" s="2402"/>
      <c r="D26" s="2402"/>
      <c r="E26" s="2402"/>
      <c r="F26" s="2403"/>
      <c r="G26" s="2403"/>
      <c r="H26" s="2403"/>
      <c r="I26" s="2418">
        <f>SUM(I25:I25)</f>
        <v>615</v>
      </c>
      <c r="J26" s="2405">
        <f>'Road data'!G431</f>
        <v>3101.04</v>
      </c>
      <c r="K26" s="2402">
        <v>1</v>
      </c>
      <c r="L26" s="2406">
        <f>ROUND(I26*J26,0)</f>
        <v>1907140</v>
      </c>
    </row>
    <row r="27" spans="1:19">
      <c r="A27" s="2375"/>
      <c r="B27" s="2396"/>
      <c r="C27" s="2396"/>
      <c r="D27" s="2396"/>
      <c r="E27" s="2396"/>
      <c r="F27" s="2377"/>
      <c r="G27" s="2377"/>
      <c r="H27" s="2377"/>
      <c r="I27" s="2387" t="s">
        <v>73</v>
      </c>
      <c r="J27" s="2388"/>
      <c r="K27" s="2378" t="s">
        <v>31</v>
      </c>
      <c r="L27" s="2384"/>
    </row>
    <row r="28" spans="1:19" ht="87" customHeight="1">
      <c r="A28" s="2375">
        <f>A24+1</f>
        <v>4</v>
      </c>
      <c r="B28" s="3436" t="str">
        <f>'Road data'!B481:G481</f>
        <v>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v>
      </c>
      <c r="C28" s="3437"/>
      <c r="D28" s="3437"/>
      <c r="E28" s="3437"/>
      <c r="F28" s="3437"/>
      <c r="G28" s="3437"/>
      <c r="H28" s="3437"/>
      <c r="I28" s="3437"/>
      <c r="J28" s="3437"/>
      <c r="K28" s="3438"/>
      <c r="L28" s="2376"/>
    </row>
    <row r="29" spans="1:19" ht="14.25" customHeight="1">
      <c r="A29" s="2377"/>
      <c r="B29" s="2378" t="str">
        <f>B21</f>
        <v>0/000 to 2/070 km</v>
      </c>
      <c r="C29" s="2379">
        <v>1</v>
      </c>
      <c r="D29" s="2379" t="s">
        <v>921</v>
      </c>
      <c r="E29" s="2419">
        <v>1</v>
      </c>
      <c r="F29" s="2393">
        <f>F25</f>
        <v>1640</v>
      </c>
      <c r="G29" s="2393">
        <f>G25</f>
        <v>3.75</v>
      </c>
      <c r="H29" s="2381"/>
      <c r="I29" s="2382">
        <f>F29*G29</f>
        <v>6150</v>
      </c>
      <c r="J29" s="2383"/>
      <c r="K29" s="2383"/>
      <c r="L29" s="2384"/>
    </row>
    <row r="30" spans="1:19" ht="14.25" customHeight="1">
      <c r="A30" s="2377"/>
      <c r="B30" s="2420"/>
      <c r="C30" s="2378"/>
      <c r="D30" s="2378"/>
      <c r="E30" s="2378"/>
      <c r="F30" s="2377"/>
      <c r="G30" s="2377"/>
      <c r="H30" s="2377"/>
      <c r="I30" s="2387">
        <f>SUM(I29:I29)</f>
        <v>6150</v>
      </c>
      <c r="J30" s="2388">
        <f>'Road data'!G505</f>
        <v>57.03</v>
      </c>
      <c r="K30" s="2378">
        <v>1</v>
      </c>
      <c r="L30" s="2384">
        <f>ROUND(I30*J30,0)</f>
        <v>350735</v>
      </c>
    </row>
    <row r="31" spans="1:19" ht="20.100000000000001" customHeight="1">
      <c r="A31" s="2377"/>
      <c r="B31" s="2378"/>
      <c r="C31" s="2378"/>
      <c r="D31" s="2378"/>
      <c r="E31" s="2378"/>
      <c r="F31" s="2377"/>
      <c r="G31" s="2377"/>
      <c r="H31" s="2377"/>
      <c r="I31" s="2387" t="s">
        <v>353</v>
      </c>
      <c r="J31" s="2388"/>
      <c r="K31" s="2378" t="s">
        <v>923</v>
      </c>
      <c r="L31" s="2384"/>
    </row>
    <row r="32" spans="1:19" ht="78.75" customHeight="1">
      <c r="A32" s="2375">
        <f>A28+1</f>
        <v>5</v>
      </c>
      <c r="B32" s="3436" t="str">
        <f>'Road data'!B433:G433</f>
        <v>Providing and applying tack coat with Bitumen emulsion (RS-1)  using emulsion  distributor at the rate of 0.275 kg per sqm on the prepared granular surfaces treated with primer &amp; cleaned with Hydraulic broom,as directed by the Engineer-in-Charge and as per Technical Specification Clause 503 MoRT&amp;H (5th Revision), including overhead charges &amp; Contractors profit excluding Seignarage charges etc complete.</v>
      </c>
      <c r="C32" s="3437"/>
      <c r="D32" s="3437"/>
      <c r="E32" s="3437"/>
      <c r="F32" s="3437"/>
      <c r="G32" s="3437"/>
      <c r="H32" s="3437"/>
      <c r="I32" s="3437"/>
      <c r="J32" s="3437"/>
      <c r="K32" s="3438"/>
      <c r="L32" s="2376"/>
    </row>
    <row r="33" spans="1:12" ht="14.25" customHeight="1">
      <c r="A33" s="2377"/>
      <c r="B33" s="2378" t="str">
        <f>B6</f>
        <v>0/000 to 2/070 km</v>
      </c>
      <c r="C33" s="2379">
        <v>1</v>
      </c>
      <c r="D33" s="2379" t="s">
        <v>921</v>
      </c>
      <c r="E33" s="2419">
        <v>1</v>
      </c>
      <c r="F33" s="2393">
        <f>F6</f>
        <v>2070</v>
      </c>
      <c r="G33" s="2393">
        <v>3.75</v>
      </c>
      <c r="H33" s="2381"/>
      <c r="I33" s="2382">
        <f>F33*G33</f>
        <v>7762.5</v>
      </c>
      <c r="J33" s="2383"/>
      <c r="K33" s="2383"/>
      <c r="L33" s="2384"/>
    </row>
    <row r="34" spans="1:12" ht="14.25" customHeight="1">
      <c r="A34" s="2377"/>
      <c r="B34" s="2420" t="s">
        <v>924</v>
      </c>
      <c r="C34" s="2378"/>
      <c r="D34" s="2378"/>
      <c r="E34" s="2378"/>
      <c r="F34" s="2377"/>
      <c r="G34" s="2377"/>
      <c r="H34" s="2377"/>
      <c r="I34" s="2387">
        <f>SUM(I33:I33)</f>
        <v>7762.5</v>
      </c>
      <c r="J34" s="2388">
        <f>'Road data'!G455</f>
        <v>16.649999999999999</v>
      </c>
      <c r="K34" s="2378">
        <v>1</v>
      </c>
      <c r="L34" s="2384">
        <f>ROUND(I34*J34,0)</f>
        <v>129246</v>
      </c>
    </row>
    <row r="35" spans="1:12">
      <c r="A35" s="2377"/>
      <c r="B35" s="2378"/>
      <c r="C35" s="2378"/>
      <c r="D35" s="2378"/>
      <c r="E35" s="2378"/>
      <c r="F35" s="2377"/>
      <c r="G35" s="2377"/>
      <c r="H35" s="2377"/>
      <c r="I35" s="2387" t="s">
        <v>353</v>
      </c>
      <c r="J35" s="2388"/>
      <c r="K35" s="2378" t="s">
        <v>923</v>
      </c>
      <c r="L35" s="2384"/>
    </row>
    <row r="36" spans="1:12" ht="195" hidden="1" customHeight="1">
      <c r="A36" s="2375">
        <v>8</v>
      </c>
      <c r="B36" s="3433" t="str">
        <f>'Road data'!B508:G508</f>
        <v>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v>
      </c>
      <c r="C36" s="3433"/>
      <c r="D36" s="3433"/>
      <c r="E36" s="3433"/>
      <c r="F36" s="3433"/>
      <c r="G36" s="3433"/>
      <c r="H36" s="3433"/>
      <c r="I36" s="3433"/>
      <c r="J36" s="3433"/>
      <c r="K36" s="3433"/>
      <c r="L36" s="2376"/>
    </row>
    <row r="37" spans="1:12" ht="28.2" hidden="1" customHeight="1">
      <c r="A37" s="2403"/>
      <c r="B37" s="2402" t="e">
        <f>#REF!</f>
        <v>#REF!</v>
      </c>
      <c r="C37" s="2391">
        <v>1</v>
      </c>
      <c r="D37" s="2391" t="s">
        <v>921</v>
      </c>
      <c r="E37" s="2392">
        <v>1</v>
      </c>
      <c r="F37" s="2398" t="e">
        <f>#REF!</f>
        <v>#REF!</v>
      </c>
      <c r="G37" s="2415" t="e">
        <f>#REF!</f>
        <v>#REF!</v>
      </c>
      <c r="H37" s="2415"/>
      <c r="I37" s="2421"/>
      <c r="J37" s="2417"/>
      <c r="K37" s="2402"/>
      <c r="L37" s="2406"/>
    </row>
    <row r="38" spans="1:12" ht="20.399999999999999" hidden="1" customHeight="1">
      <c r="A38" s="2403"/>
      <c r="B38" s="2402"/>
      <c r="C38" s="2402"/>
      <c r="D38" s="2402"/>
      <c r="E38" s="2402"/>
      <c r="F38" s="2403"/>
      <c r="G38" s="2403"/>
      <c r="H38" s="2403"/>
      <c r="I38" s="2418">
        <f>SUM(I37:I37)</f>
        <v>0</v>
      </c>
      <c r="J38" s="2405">
        <f>'Road data'!G536</f>
        <v>156.63999999999999</v>
      </c>
      <c r="K38" s="2402">
        <v>1</v>
      </c>
      <c r="L38" s="2406">
        <f>ROUND(I38*J38,0)</f>
        <v>0</v>
      </c>
    </row>
    <row r="39" spans="1:12" ht="28.2" hidden="1" customHeight="1">
      <c r="A39" s="2375"/>
      <c r="B39" s="2396"/>
      <c r="C39" s="2396"/>
      <c r="D39" s="2396"/>
      <c r="E39" s="2396"/>
      <c r="F39" s="2377"/>
      <c r="G39" s="2377"/>
      <c r="H39" s="2377"/>
      <c r="I39" s="2387" t="s">
        <v>353</v>
      </c>
      <c r="J39" s="2388"/>
      <c r="K39" s="2378" t="s">
        <v>923</v>
      </c>
      <c r="L39" s="2384"/>
    </row>
    <row r="40" spans="1:12" ht="183.6" hidden="1" customHeight="1">
      <c r="A40" s="2375">
        <v>9</v>
      </c>
      <c r="B40" s="3433" t="str">
        <f>'Road data'!B567:G567</f>
        <v>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v>
      </c>
      <c r="C40" s="3433"/>
      <c r="D40" s="3433"/>
      <c r="E40" s="3433"/>
      <c r="F40" s="3433"/>
      <c r="G40" s="3433"/>
      <c r="H40" s="3433"/>
      <c r="I40" s="3433"/>
      <c r="J40" s="3433"/>
      <c r="K40" s="3433"/>
      <c r="L40" s="2376"/>
    </row>
    <row r="41" spans="1:12" ht="20.399999999999999" hidden="1" customHeight="1">
      <c r="A41" s="2403"/>
      <c r="B41" s="2402" t="e">
        <f>B37</f>
        <v>#REF!</v>
      </c>
      <c r="C41" s="2391">
        <v>1</v>
      </c>
      <c r="D41" s="2391" t="s">
        <v>921</v>
      </c>
      <c r="E41" s="2392">
        <v>1</v>
      </c>
      <c r="F41" s="2398" t="e">
        <f>F37</f>
        <v>#REF!</v>
      </c>
      <c r="G41" s="2415" t="e">
        <f>G37</f>
        <v>#REF!</v>
      </c>
      <c r="H41" s="2415"/>
      <c r="I41" s="2421"/>
      <c r="J41" s="2417"/>
      <c r="K41" s="2402"/>
      <c r="L41" s="2406"/>
    </row>
    <row r="42" spans="1:12" ht="20.399999999999999" hidden="1" customHeight="1">
      <c r="A42" s="2403"/>
      <c r="B42" s="2402"/>
      <c r="C42" s="2402"/>
      <c r="D42" s="2402"/>
      <c r="E42" s="2402"/>
      <c r="F42" s="2403"/>
      <c r="G42" s="2403"/>
      <c r="H42" s="2403"/>
      <c r="I42" s="2418">
        <f>SUM(I41:I41)</f>
        <v>0</v>
      </c>
      <c r="J42" s="2405">
        <f>'Road data'!G593</f>
        <v>62.3</v>
      </c>
      <c r="K42" s="2402">
        <v>1</v>
      </c>
      <c r="L42" s="2406">
        <f>ROUND(I42*J42,0)</f>
        <v>0</v>
      </c>
    </row>
    <row r="43" spans="1:12" ht="20.399999999999999" hidden="1" customHeight="1">
      <c r="A43" s="2375"/>
      <c r="B43" s="2396"/>
      <c r="C43" s="2396"/>
      <c r="D43" s="2396"/>
      <c r="E43" s="2396"/>
      <c r="F43" s="2377"/>
      <c r="G43" s="2377"/>
      <c r="H43" s="2377"/>
      <c r="I43" s="2387" t="s">
        <v>353</v>
      </c>
      <c r="J43" s="2388"/>
      <c r="K43" s="2378" t="s">
        <v>923</v>
      </c>
      <c r="L43" s="2384"/>
    </row>
    <row r="44" spans="1:12" ht="134.4" hidden="1" customHeight="1">
      <c r="A44" s="2375">
        <v>6</v>
      </c>
      <c r="B44" s="3433" t="str">
        <f>'Road data'!B682:G682</f>
        <v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v>
      </c>
      <c r="C44" s="3433"/>
      <c r="D44" s="3433"/>
      <c r="E44" s="3433"/>
      <c r="F44" s="3433"/>
      <c r="G44" s="3433"/>
      <c r="H44" s="3433"/>
      <c r="I44" s="3433"/>
      <c r="J44" s="3433"/>
      <c r="K44" s="3433"/>
      <c r="L44" s="2376"/>
    </row>
    <row r="45" spans="1:12" s="2407" customFormat="1" hidden="1">
      <c r="A45" s="2403"/>
      <c r="B45" s="2397" t="str">
        <f>B33</f>
        <v>0/000 to 2/070 km</v>
      </c>
      <c r="C45" s="2391">
        <v>1</v>
      </c>
      <c r="D45" s="2391" t="s">
        <v>921</v>
      </c>
      <c r="E45" s="2391">
        <v>1</v>
      </c>
      <c r="F45" s="2414">
        <f>F33</f>
        <v>2070</v>
      </c>
      <c r="G45" s="2415">
        <v>3.75</v>
      </c>
      <c r="H45" s="2415">
        <v>0.05</v>
      </c>
      <c r="I45" s="2416">
        <v>0</v>
      </c>
      <c r="J45" s="2417"/>
      <c r="K45" s="2402"/>
      <c r="L45" s="2406"/>
    </row>
    <row r="46" spans="1:12" s="2407" customFormat="1" hidden="1">
      <c r="A46" s="2403"/>
      <c r="B46" s="2402"/>
      <c r="C46" s="2402"/>
      <c r="D46" s="2402"/>
      <c r="E46" s="2402"/>
      <c r="F46" s="2403"/>
      <c r="G46" s="2403"/>
      <c r="H46" s="2403"/>
      <c r="I46" s="2418">
        <f>SUM(I45:I45)</f>
        <v>0</v>
      </c>
      <c r="J46" s="2405">
        <f>'Road data'!G721</f>
        <v>10406.879999999999</v>
      </c>
      <c r="K46" s="2402">
        <v>1</v>
      </c>
      <c r="L46" s="2406">
        <f>ROUND(I46*J46,0)</f>
        <v>0</v>
      </c>
    </row>
    <row r="47" spans="1:12" hidden="1">
      <c r="A47" s="2375"/>
      <c r="B47" s="2396"/>
      <c r="C47" s="2396"/>
      <c r="D47" s="2396"/>
      <c r="E47" s="2396"/>
      <c r="F47" s="2377"/>
      <c r="G47" s="2377"/>
      <c r="H47" s="2377"/>
      <c r="I47" s="2387" t="s">
        <v>73</v>
      </c>
      <c r="J47" s="2388"/>
      <c r="K47" s="2378" t="s">
        <v>31</v>
      </c>
      <c r="L47" s="2384"/>
    </row>
    <row r="48" spans="1:12" ht="78.75" hidden="1" customHeight="1">
      <c r="A48" s="2375">
        <v>7</v>
      </c>
      <c r="B48" s="3439" t="str">
        <f>'Road data'!B457:G457</f>
        <v>Providing and applying tack coat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v>
      </c>
      <c r="C48" s="3439"/>
      <c r="D48" s="3439"/>
      <c r="E48" s="3439"/>
      <c r="F48" s="3439"/>
      <c r="G48" s="3439"/>
      <c r="H48" s="3439"/>
      <c r="I48" s="3439"/>
      <c r="J48" s="3439"/>
      <c r="K48" s="3439"/>
      <c r="L48" s="2376"/>
    </row>
    <row r="49" spans="1:12" hidden="1">
      <c r="A49" s="2403"/>
      <c r="B49" s="2397" t="str">
        <f>B45</f>
        <v>0/000 to 2/070 km</v>
      </c>
      <c r="C49" s="2391">
        <v>1</v>
      </c>
      <c r="D49" s="2391" t="s">
        <v>921</v>
      </c>
      <c r="E49" s="2391">
        <v>1</v>
      </c>
      <c r="F49" s="2422">
        <f>$F$45</f>
        <v>2070</v>
      </c>
      <c r="G49" s="2415">
        <f>G45</f>
        <v>3.75</v>
      </c>
      <c r="H49" s="2415"/>
      <c r="I49" s="2416">
        <f>ROUND(C49*E49*F49*G49,2)</f>
        <v>7762.5</v>
      </c>
      <c r="J49" s="2417"/>
      <c r="K49" s="2402"/>
      <c r="L49" s="2406"/>
    </row>
    <row r="50" spans="1:12" ht="19.95" hidden="1" customHeight="1">
      <c r="A50" s="2403"/>
      <c r="B50" s="2423" t="s">
        <v>925</v>
      </c>
      <c r="C50" s="2402"/>
      <c r="D50" s="2402"/>
      <c r="E50" s="2402"/>
      <c r="F50" s="2403"/>
      <c r="G50" s="2403"/>
      <c r="H50" s="2403"/>
      <c r="I50" s="2418">
        <v>0</v>
      </c>
      <c r="J50" s="2405">
        <f>'Road data'!G479</f>
        <v>12.69</v>
      </c>
      <c r="K50" s="2402">
        <v>1</v>
      </c>
      <c r="L50" s="2406">
        <f>ROUND(I50*J50,0)</f>
        <v>0</v>
      </c>
    </row>
    <row r="51" spans="1:12" hidden="1">
      <c r="A51" s="2375"/>
      <c r="B51" s="2396"/>
      <c r="C51" s="2396"/>
      <c r="D51" s="2396"/>
      <c r="E51" s="2396"/>
      <c r="F51" s="2377"/>
      <c r="G51" s="2377"/>
      <c r="H51" s="2377"/>
      <c r="I51" s="2387" t="s">
        <v>353</v>
      </c>
      <c r="J51" s="2388"/>
      <c r="K51" s="2378" t="s">
        <v>923</v>
      </c>
      <c r="L51" s="2384"/>
    </row>
    <row r="52" spans="1:12" ht="108" hidden="1" customHeight="1">
      <c r="A52" s="2375">
        <v>16</v>
      </c>
      <c r="B52" s="3433" t="str">
        <f>'Road data'!B808:G808</f>
        <v>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v>
      </c>
      <c r="C52" s="3433"/>
      <c r="D52" s="3433"/>
      <c r="E52" s="3433"/>
      <c r="F52" s="3433"/>
      <c r="G52" s="3433"/>
      <c r="H52" s="3433"/>
      <c r="I52" s="3433"/>
      <c r="J52" s="3433"/>
      <c r="K52" s="3433"/>
      <c r="L52" s="2376"/>
    </row>
    <row r="53" spans="1:12" s="2407" customFormat="1" ht="21" hidden="1" customHeight="1">
      <c r="A53" s="2403"/>
      <c r="B53" s="2397" t="str">
        <f>B45</f>
        <v>0/000 to 2/070 km</v>
      </c>
      <c r="C53" s="2391">
        <v>1</v>
      </c>
      <c r="D53" s="2391" t="s">
        <v>921</v>
      </c>
      <c r="E53" s="2391">
        <v>1</v>
      </c>
      <c r="F53" s="2414">
        <v>0</v>
      </c>
      <c r="G53" s="2415">
        <v>3.75</v>
      </c>
      <c r="H53" s="2415">
        <v>2.5000000000000001E-2</v>
      </c>
      <c r="I53" s="2416">
        <f t="shared" ref="I53" si="1">ROUND(C53*E53*F53*G53*H53,2)</f>
        <v>0</v>
      </c>
      <c r="J53" s="2417"/>
      <c r="K53" s="2402"/>
      <c r="L53" s="2406"/>
    </row>
    <row r="54" spans="1:12" s="2407" customFormat="1" ht="24" hidden="1" customHeight="1">
      <c r="A54" s="2403"/>
      <c r="B54" s="2402"/>
      <c r="C54" s="2402"/>
      <c r="D54" s="2402"/>
      <c r="E54" s="2402"/>
      <c r="F54" s="2403"/>
      <c r="G54" s="2403"/>
      <c r="H54" s="2403"/>
      <c r="I54" s="2418">
        <f>SUM(I53:I53)</f>
        <v>0</v>
      </c>
      <c r="J54" s="2405">
        <f>'Road data'!G845</f>
        <v>10958.84</v>
      </c>
      <c r="K54" s="2402">
        <v>1</v>
      </c>
      <c r="L54" s="2406">
        <f>ROUND(I54*J54,0)</f>
        <v>0</v>
      </c>
    </row>
    <row r="55" spans="1:12" ht="21.6" hidden="1" customHeight="1">
      <c r="A55" s="2375"/>
      <c r="B55" s="2396"/>
      <c r="C55" s="2396"/>
      <c r="D55" s="2396"/>
      <c r="E55" s="2396"/>
      <c r="F55" s="2377"/>
      <c r="G55" s="2377"/>
      <c r="H55" s="2377"/>
      <c r="I55" s="2387" t="s">
        <v>73</v>
      </c>
      <c r="J55" s="2388"/>
      <c r="K55" s="2378" t="s">
        <v>31</v>
      </c>
      <c r="L55" s="2384"/>
    </row>
    <row r="56" spans="1:12" ht="101.4" customHeight="1">
      <c r="A56" s="2375">
        <f>A32+1</f>
        <v>6</v>
      </c>
      <c r="B56" s="3433" t="str">
        <f>'Road data'!B766:G766</f>
        <v>Providing and laying bituminous concrete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v>
      </c>
      <c r="C56" s="3433"/>
      <c r="D56" s="3433"/>
      <c r="E56" s="3433"/>
      <c r="F56" s="3433"/>
      <c r="G56" s="3433"/>
      <c r="H56" s="3433"/>
      <c r="I56" s="3433"/>
      <c r="J56" s="3433"/>
      <c r="K56" s="3433"/>
      <c r="L56" s="2376"/>
    </row>
    <row r="57" spans="1:12">
      <c r="A57" s="2377"/>
      <c r="B57" s="2378" t="str">
        <f>B33</f>
        <v>0/000 to 2/070 km</v>
      </c>
      <c r="C57" s="2379">
        <f>C33</f>
        <v>1</v>
      </c>
      <c r="D57" s="2379" t="s">
        <v>921</v>
      </c>
      <c r="E57" s="2379">
        <v>1</v>
      </c>
      <c r="F57" s="2380">
        <f>F33</f>
        <v>2070</v>
      </c>
      <c r="G57" s="2381">
        <f>G33</f>
        <v>3.75</v>
      </c>
      <c r="H57" s="2381">
        <v>0.05</v>
      </c>
      <c r="I57" s="2382">
        <f t="shared" ref="I57" si="2">ROUND(C57*E57*F57*G57*H57,2)</f>
        <v>388.13</v>
      </c>
      <c r="J57" s="2383"/>
      <c r="K57" s="2383"/>
      <c r="L57" s="2384"/>
    </row>
    <row r="58" spans="1:12" ht="20.100000000000001" customHeight="1">
      <c r="A58" s="2377"/>
      <c r="B58" s="2378"/>
      <c r="C58" s="2378"/>
      <c r="D58" s="2378"/>
      <c r="E58" s="2378"/>
      <c r="F58" s="2377"/>
      <c r="G58" s="2377"/>
      <c r="H58" s="2377"/>
      <c r="I58" s="2387">
        <f>SUM(I57:I57)</f>
        <v>388.13</v>
      </c>
      <c r="J58" s="2388">
        <f>'Road data'!G806</f>
        <v>11734.57</v>
      </c>
      <c r="K58" s="2378">
        <v>1</v>
      </c>
      <c r="L58" s="2384">
        <f>ROUND(I58*J58,0)</f>
        <v>4554539</v>
      </c>
    </row>
    <row r="59" spans="1:12">
      <c r="A59" s="2377"/>
      <c r="B59" s="2378"/>
      <c r="C59" s="2378"/>
      <c r="D59" s="2378"/>
      <c r="E59" s="2378"/>
      <c r="F59" s="2377"/>
      <c r="G59" s="2377"/>
      <c r="H59" s="2377"/>
      <c r="I59" s="2387" t="s">
        <v>73</v>
      </c>
      <c r="J59" s="2388"/>
      <c r="K59" s="2378" t="s">
        <v>31</v>
      </c>
      <c r="L59" s="2384"/>
    </row>
    <row r="60" spans="1:12" ht="76.5" customHeight="1">
      <c r="A60" s="2375">
        <f>A56+1</f>
        <v>7</v>
      </c>
      <c r="B60" s="3433" t="str">
        <f>'Road data'!B228:G228</f>
        <v>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v>
      </c>
      <c r="C60" s="3433"/>
      <c r="D60" s="3433"/>
      <c r="E60" s="3433"/>
      <c r="F60" s="3433"/>
      <c r="G60" s="3433"/>
      <c r="H60" s="3433"/>
      <c r="I60" s="3433"/>
      <c r="J60" s="3433"/>
      <c r="K60" s="3433"/>
      <c r="L60" s="2376"/>
    </row>
    <row r="61" spans="1:12" s="2427" customFormat="1" ht="14.25" customHeight="1">
      <c r="A61" s="2424"/>
      <c r="B61" s="2378" t="str">
        <f>B6</f>
        <v>0/000 to 2/070 km</v>
      </c>
      <c r="C61" s="2379">
        <v>1</v>
      </c>
      <c r="D61" s="2379" t="s">
        <v>921</v>
      </c>
      <c r="E61" s="2419">
        <v>2</v>
      </c>
      <c r="F61" s="2393">
        <f>F6</f>
        <v>2070</v>
      </c>
      <c r="G61" s="2394">
        <v>1.875</v>
      </c>
      <c r="H61" s="2394">
        <v>0.15</v>
      </c>
      <c r="I61" s="2380">
        <f t="shared" ref="I61" si="3">ROUND(C61*E61*F61*G61*H61,2)</f>
        <v>1164.3800000000001</v>
      </c>
      <c r="J61" s="2425"/>
      <c r="K61" s="2425" t="s">
        <v>501</v>
      </c>
      <c r="L61" s="2426"/>
    </row>
    <row r="62" spans="1:12" ht="14.25" customHeight="1">
      <c r="A62" s="2377"/>
      <c r="B62" s="2378"/>
      <c r="C62" s="2378"/>
      <c r="D62" s="2378"/>
      <c r="E62" s="2378"/>
      <c r="F62" s="2377"/>
      <c r="G62" s="2377"/>
      <c r="H62" s="2377"/>
      <c r="I62" s="2388">
        <f>SUM(I61:I61)</f>
        <v>1164.3800000000001</v>
      </c>
      <c r="J62" s="2388">
        <f>'Road data'!G253</f>
        <v>288.3</v>
      </c>
      <c r="K62" s="2378">
        <v>1</v>
      </c>
      <c r="L62" s="2384">
        <f>ROUND(I62*J62,0)</f>
        <v>335691</v>
      </c>
    </row>
    <row r="63" spans="1:12" ht="14.25" customHeight="1">
      <c r="A63" s="2377"/>
      <c r="B63" s="2378"/>
      <c r="C63" s="2378"/>
      <c r="D63" s="2378"/>
      <c r="E63" s="2378"/>
      <c r="F63" s="2377"/>
      <c r="G63" s="2377"/>
      <c r="H63" s="2377"/>
      <c r="I63" s="2387" t="s">
        <v>73</v>
      </c>
      <c r="J63" s="2388"/>
      <c r="K63" s="2378" t="s">
        <v>31</v>
      </c>
      <c r="L63" s="2384"/>
    </row>
    <row r="64" spans="1:12" ht="27" customHeight="1">
      <c r="A64" s="2373"/>
      <c r="B64" s="2371"/>
      <c r="C64" s="2371"/>
      <c r="D64" s="2371"/>
      <c r="E64" s="2371"/>
      <c r="F64" s="2373"/>
      <c r="G64" s="2373"/>
      <c r="H64" s="2373"/>
      <c r="I64" s="2412"/>
      <c r="J64" s="2412" t="s">
        <v>60</v>
      </c>
      <c r="K64" s="2371"/>
      <c r="L64" s="2409">
        <f>SUM(L5:L63)</f>
        <v>7359540</v>
      </c>
    </row>
    <row r="68" spans="5:11">
      <c r="E68" s="3442" t="str">
        <f>GA!B34</f>
        <v>Asst Exe Engineer,</v>
      </c>
      <c r="F68" s="3442"/>
      <c r="G68" s="3442"/>
      <c r="I68" s="3442" t="s">
        <v>723</v>
      </c>
      <c r="J68" s="3442"/>
      <c r="K68" s="3442"/>
    </row>
    <row r="69" spans="5:11">
      <c r="E69" s="3440" t="str">
        <f>+GA!$B$35</f>
        <v>PRSD Maddur</v>
      </c>
      <c r="F69" s="3440"/>
      <c r="G69" s="3440"/>
      <c r="I69" s="3440" t="str">
        <f>+GA!$C$35</f>
        <v>PRSD, Maddur</v>
      </c>
      <c r="J69" s="3440"/>
      <c r="K69" s="3440"/>
    </row>
    <row r="70" spans="5:11" ht="18" customHeight="1">
      <c r="F70" s="2430"/>
      <c r="I70" s="2430"/>
      <c r="J70" s="2431"/>
    </row>
    <row r="71" spans="5:11" ht="18" customHeight="1">
      <c r="F71" s="2430"/>
      <c r="I71" s="2430"/>
      <c r="J71" s="2431"/>
    </row>
    <row r="72" spans="5:11" ht="13.5" customHeight="1">
      <c r="F72" s="2432" t="s">
        <v>926</v>
      </c>
      <c r="I72" s="3440" t="s">
        <v>455</v>
      </c>
      <c r="J72" s="3440"/>
      <c r="K72" s="3440"/>
    </row>
    <row r="73" spans="5:11">
      <c r="E73" s="3440" t="str">
        <f>+GA!$B$38</f>
        <v>PR Division, Narayanpet</v>
      </c>
      <c r="F73" s="3440"/>
      <c r="G73" s="3440"/>
      <c r="I73" s="3441" t="str">
        <f>+GA!$C$38</f>
        <v>PR, Circle, Vikarabad</v>
      </c>
      <c r="J73" s="3441"/>
      <c r="K73" s="3441"/>
    </row>
    <row r="74" spans="5:11">
      <c r="I74" s="3440"/>
      <c r="J74" s="3440"/>
    </row>
    <row r="75" spans="5:11">
      <c r="I75" s="3441"/>
      <c r="J75" s="3441"/>
    </row>
  </sheetData>
  <protectedRanges>
    <protectedRange sqref="E68 F70:F72" name="Range4"/>
    <protectedRange sqref="J75 I74:J74 I68:J68 I70:J72" name="Range4_1"/>
    <protectedRange sqref="E69" name="Range4_2"/>
    <protectedRange sqref="I69:J69" name="Range4_3"/>
    <protectedRange sqref="E73" name="Range4_4"/>
    <protectedRange sqref="J73" name="Range4_5"/>
  </protectedRanges>
  <mergeCells count="29">
    <mergeCell ref="E73:G73"/>
    <mergeCell ref="I73:K73"/>
    <mergeCell ref="I74:J74"/>
    <mergeCell ref="I75:J75"/>
    <mergeCell ref="E68:G68"/>
    <mergeCell ref="I68:K68"/>
    <mergeCell ref="E69:G69"/>
    <mergeCell ref="I69:K69"/>
    <mergeCell ref="I72:K72"/>
    <mergeCell ref="B44:K44"/>
    <mergeCell ref="B48:K48"/>
    <mergeCell ref="B52:K52"/>
    <mergeCell ref="B56:K56"/>
    <mergeCell ref="B60:K60"/>
    <mergeCell ref="B24:K24"/>
    <mergeCell ref="B28:K28"/>
    <mergeCell ref="B32:K32"/>
    <mergeCell ref="B36:K36"/>
    <mergeCell ref="B40:K40"/>
    <mergeCell ref="B5:K5"/>
    <mergeCell ref="B12:K12"/>
    <mergeCell ref="B16:K16"/>
    <mergeCell ref="B20:K20"/>
    <mergeCell ref="B22:H22"/>
    <mergeCell ref="A1:L1"/>
    <mergeCell ref="A2:B2"/>
    <mergeCell ref="C2:L2"/>
    <mergeCell ref="C3:E3"/>
    <mergeCell ref="C4:E4"/>
  </mergeCells>
  <printOptions horizontalCentered="1"/>
  <pageMargins left="0.59055118110236204" right="0.196850393700787" top="0.59055118110236204" bottom="0.39370078740157499" header="0.31496062992126" footer="0.23622047244094499"/>
  <pageSetup paperSize="9" scale="9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47"/>
  <sheetViews>
    <sheetView view="pageBreakPreview" topLeftCell="A16" zoomScaleNormal="90" workbookViewId="0">
      <selection activeCell="I79" sqref="I79"/>
    </sheetView>
  </sheetViews>
  <sheetFormatPr defaultColWidth="9" defaultRowHeight="14.4"/>
  <cols>
    <col min="1" max="1" width="10.33203125" style="1477" customWidth="1"/>
    <col min="2" max="2" width="7" style="1477" customWidth="1"/>
    <col min="3" max="3" width="7.33203125" style="1477" customWidth="1"/>
    <col min="4" max="4" width="9.33203125" style="1477" customWidth="1"/>
    <col min="5" max="5" width="12" style="1477" customWidth="1"/>
    <col min="6" max="7" width="11.88671875" style="1477" customWidth="1"/>
    <col min="8" max="8" width="13.44140625" style="1477" customWidth="1"/>
    <col min="9" max="9" width="13.6640625" style="1477" customWidth="1"/>
    <col min="10" max="10" width="11.44140625" style="1477" customWidth="1"/>
    <col min="11" max="11" width="13.88671875" style="1477" customWidth="1"/>
    <col min="12" max="12" width="12.44140625" style="1477" customWidth="1"/>
    <col min="13" max="13" width="16.44140625" style="1478" customWidth="1"/>
    <col min="14" max="256" width="9.109375" style="1477"/>
    <col min="257" max="257" width="10.33203125" style="1477" customWidth="1"/>
    <col min="258" max="258" width="7" style="1477" customWidth="1"/>
    <col min="259" max="259" width="7.33203125" style="1477" customWidth="1"/>
    <col min="260" max="260" width="9.33203125" style="1477" customWidth="1"/>
    <col min="261" max="261" width="12" style="1477" customWidth="1"/>
    <col min="262" max="263" width="11.88671875" style="1477" customWidth="1"/>
    <col min="264" max="264" width="13.44140625" style="1477" customWidth="1"/>
    <col min="265" max="265" width="13.6640625" style="1477" customWidth="1"/>
    <col min="266" max="266" width="11.44140625" style="1477" customWidth="1"/>
    <col min="267" max="267" width="13.88671875" style="1477" customWidth="1"/>
    <col min="268" max="268" width="12.44140625" style="1477" customWidth="1"/>
    <col min="269" max="269" width="16.44140625" style="1477" customWidth="1"/>
    <col min="270" max="512" width="9.109375" style="1477"/>
    <col min="513" max="513" width="10.33203125" style="1477" customWidth="1"/>
    <col min="514" max="514" width="7" style="1477" customWidth="1"/>
    <col min="515" max="515" width="7.33203125" style="1477" customWidth="1"/>
    <col min="516" max="516" width="9.33203125" style="1477" customWidth="1"/>
    <col min="517" max="517" width="12" style="1477" customWidth="1"/>
    <col min="518" max="519" width="11.88671875" style="1477" customWidth="1"/>
    <col min="520" max="520" width="13.44140625" style="1477" customWidth="1"/>
    <col min="521" max="521" width="13.6640625" style="1477" customWidth="1"/>
    <col min="522" max="522" width="11.44140625" style="1477" customWidth="1"/>
    <col min="523" max="523" width="13.88671875" style="1477" customWidth="1"/>
    <col min="524" max="524" width="12.44140625" style="1477" customWidth="1"/>
    <col min="525" max="525" width="16.44140625" style="1477" customWidth="1"/>
    <col min="526" max="768" width="9.109375" style="1477"/>
    <col min="769" max="769" width="10.33203125" style="1477" customWidth="1"/>
    <col min="770" max="770" width="7" style="1477" customWidth="1"/>
    <col min="771" max="771" width="7.33203125" style="1477" customWidth="1"/>
    <col min="772" max="772" width="9.33203125" style="1477" customWidth="1"/>
    <col min="773" max="773" width="12" style="1477" customWidth="1"/>
    <col min="774" max="775" width="11.88671875" style="1477" customWidth="1"/>
    <col min="776" max="776" width="13.44140625" style="1477" customWidth="1"/>
    <col min="777" max="777" width="13.6640625" style="1477" customWidth="1"/>
    <col min="778" max="778" width="11.44140625" style="1477" customWidth="1"/>
    <col min="779" max="779" width="13.88671875" style="1477" customWidth="1"/>
    <col min="780" max="780" width="12.44140625" style="1477" customWidth="1"/>
    <col min="781" max="781" width="16.44140625" style="1477" customWidth="1"/>
    <col min="782" max="1024" width="9.109375" style="1477"/>
    <col min="1025" max="1025" width="10.33203125" style="1477" customWidth="1"/>
    <col min="1026" max="1026" width="7" style="1477" customWidth="1"/>
    <col min="1027" max="1027" width="7.33203125" style="1477" customWidth="1"/>
    <col min="1028" max="1028" width="9.33203125" style="1477" customWidth="1"/>
    <col min="1029" max="1029" width="12" style="1477" customWidth="1"/>
    <col min="1030" max="1031" width="11.88671875" style="1477" customWidth="1"/>
    <col min="1032" max="1032" width="13.44140625" style="1477" customWidth="1"/>
    <col min="1033" max="1033" width="13.6640625" style="1477" customWidth="1"/>
    <col min="1034" max="1034" width="11.44140625" style="1477" customWidth="1"/>
    <col min="1035" max="1035" width="13.88671875" style="1477" customWidth="1"/>
    <col min="1036" max="1036" width="12.44140625" style="1477" customWidth="1"/>
    <col min="1037" max="1037" width="16.44140625" style="1477" customWidth="1"/>
    <col min="1038" max="1280" width="9.109375" style="1477"/>
    <col min="1281" max="1281" width="10.33203125" style="1477" customWidth="1"/>
    <col min="1282" max="1282" width="7" style="1477" customWidth="1"/>
    <col min="1283" max="1283" width="7.33203125" style="1477" customWidth="1"/>
    <col min="1284" max="1284" width="9.33203125" style="1477" customWidth="1"/>
    <col min="1285" max="1285" width="12" style="1477" customWidth="1"/>
    <col min="1286" max="1287" width="11.88671875" style="1477" customWidth="1"/>
    <col min="1288" max="1288" width="13.44140625" style="1477" customWidth="1"/>
    <col min="1289" max="1289" width="13.6640625" style="1477" customWidth="1"/>
    <col min="1290" max="1290" width="11.44140625" style="1477" customWidth="1"/>
    <col min="1291" max="1291" width="13.88671875" style="1477" customWidth="1"/>
    <col min="1292" max="1292" width="12.44140625" style="1477" customWidth="1"/>
    <col min="1293" max="1293" width="16.44140625" style="1477" customWidth="1"/>
    <col min="1294" max="1536" width="9.109375" style="1477"/>
    <col min="1537" max="1537" width="10.33203125" style="1477" customWidth="1"/>
    <col min="1538" max="1538" width="7" style="1477" customWidth="1"/>
    <col min="1539" max="1539" width="7.33203125" style="1477" customWidth="1"/>
    <col min="1540" max="1540" width="9.33203125" style="1477" customWidth="1"/>
    <col min="1541" max="1541" width="12" style="1477" customWidth="1"/>
    <col min="1542" max="1543" width="11.88671875" style="1477" customWidth="1"/>
    <col min="1544" max="1544" width="13.44140625" style="1477" customWidth="1"/>
    <col min="1545" max="1545" width="13.6640625" style="1477" customWidth="1"/>
    <col min="1546" max="1546" width="11.44140625" style="1477" customWidth="1"/>
    <col min="1547" max="1547" width="13.88671875" style="1477" customWidth="1"/>
    <col min="1548" max="1548" width="12.44140625" style="1477" customWidth="1"/>
    <col min="1549" max="1549" width="16.44140625" style="1477" customWidth="1"/>
    <col min="1550" max="1792" width="9.109375" style="1477"/>
    <col min="1793" max="1793" width="10.33203125" style="1477" customWidth="1"/>
    <col min="1794" max="1794" width="7" style="1477" customWidth="1"/>
    <col min="1795" max="1795" width="7.33203125" style="1477" customWidth="1"/>
    <col min="1796" max="1796" width="9.33203125" style="1477" customWidth="1"/>
    <col min="1797" max="1797" width="12" style="1477" customWidth="1"/>
    <col min="1798" max="1799" width="11.88671875" style="1477" customWidth="1"/>
    <col min="1800" max="1800" width="13.44140625" style="1477" customWidth="1"/>
    <col min="1801" max="1801" width="13.6640625" style="1477" customWidth="1"/>
    <col min="1802" max="1802" width="11.44140625" style="1477" customWidth="1"/>
    <col min="1803" max="1803" width="13.88671875" style="1477" customWidth="1"/>
    <col min="1804" max="1804" width="12.44140625" style="1477" customWidth="1"/>
    <col min="1805" max="1805" width="16.44140625" style="1477" customWidth="1"/>
    <col min="1806" max="2048" width="9.109375" style="1477"/>
    <col min="2049" max="2049" width="10.33203125" style="1477" customWidth="1"/>
    <col min="2050" max="2050" width="7" style="1477" customWidth="1"/>
    <col min="2051" max="2051" width="7.33203125" style="1477" customWidth="1"/>
    <col min="2052" max="2052" width="9.33203125" style="1477" customWidth="1"/>
    <col min="2053" max="2053" width="12" style="1477" customWidth="1"/>
    <col min="2054" max="2055" width="11.88671875" style="1477" customWidth="1"/>
    <col min="2056" max="2056" width="13.44140625" style="1477" customWidth="1"/>
    <col min="2057" max="2057" width="13.6640625" style="1477" customWidth="1"/>
    <col min="2058" max="2058" width="11.44140625" style="1477" customWidth="1"/>
    <col min="2059" max="2059" width="13.88671875" style="1477" customWidth="1"/>
    <col min="2060" max="2060" width="12.44140625" style="1477" customWidth="1"/>
    <col min="2061" max="2061" width="16.44140625" style="1477" customWidth="1"/>
    <col min="2062" max="2304" width="9.109375" style="1477"/>
    <col min="2305" max="2305" width="10.33203125" style="1477" customWidth="1"/>
    <col min="2306" max="2306" width="7" style="1477" customWidth="1"/>
    <col min="2307" max="2307" width="7.33203125" style="1477" customWidth="1"/>
    <col min="2308" max="2308" width="9.33203125" style="1477" customWidth="1"/>
    <col min="2309" max="2309" width="12" style="1477" customWidth="1"/>
    <col min="2310" max="2311" width="11.88671875" style="1477" customWidth="1"/>
    <col min="2312" max="2312" width="13.44140625" style="1477" customWidth="1"/>
    <col min="2313" max="2313" width="13.6640625" style="1477" customWidth="1"/>
    <col min="2314" max="2314" width="11.44140625" style="1477" customWidth="1"/>
    <col min="2315" max="2315" width="13.88671875" style="1477" customWidth="1"/>
    <col min="2316" max="2316" width="12.44140625" style="1477" customWidth="1"/>
    <col min="2317" max="2317" width="16.44140625" style="1477" customWidth="1"/>
    <col min="2318" max="2560" width="9.109375" style="1477"/>
    <col min="2561" max="2561" width="10.33203125" style="1477" customWidth="1"/>
    <col min="2562" max="2562" width="7" style="1477" customWidth="1"/>
    <col min="2563" max="2563" width="7.33203125" style="1477" customWidth="1"/>
    <col min="2564" max="2564" width="9.33203125" style="1477" customWidth="1"/>
    <col min="2565" max="2565" width="12" style="1477" customWidth="1"/>
    <col min="2566" max="2567" width="11.88671875" style="1477" customWidth="1"/>
    <col min="2568" max="2568" width="13.44140625" style="1477" customWidth="1"/>
    <col min="2569" max="2569" width="13.6640625" style="1477" customWidth="1"/>
    <col min="2570" max="2570" width="11.44140625" style="1477" customWidth="1"/>
    <col min="2571" max="2571" width="13.88671875" style="1477" customWidth="1"/>
    <col min="2572" max="2572" width="12.44140625" style="1477" customWidth="1"/>
    <col min="2573" max="2573" width="16.44140625" style="1477" customWidth="1"/>
    <col min="2574" max="2816" width="9.109375" style="1477"/>
    <col min="2817" max="2817" width="10.33203125" style="1477" customWidth="1"/>
    <col min="2818" max="2818" width="7" style="1477" customWidth="1"/>
    <col min="2819" max="2819" width="7.33203125" style="1477" customWidth="1"/>
    <col min="2820" max="2820" width="9.33203125" style="1477" customWidth="1"/>
    <col min="2821" max="2821" width="12" style="1477" customWidth="1"/>
    <col min="2822" max="2823" width="11.88671875" style="1477" customWidth="1"/>
    <col min="2824" max="2824" width="13.44140625" style="1477" customWidth="1"/>
    <col min="2825" max="2825" width="13.6640625" style="1477" customWidth="1"/>
    <col min="2826" max="2826" width="11.44140625" style="1477" customWidth="1"/>
    <col min="2827" max="2827" width="13.88671875" style="1477" customWidth="1"/>
    <col min="2828" max="2828" width="12.44140625" style="1477" customWidth="1"/>
    <col min="2829" max="2829" width="16.44140625" style="1477" customWidth="1"/>
    <col min="2830" max="3072" width="9.109375" style="1477"/>
    <col min="3073" max="3073" width="10.33203125" style="1477" customWidth="1"/>
    <col min="3074" max="3074" width="7" style="1477" customWidth="1"/>
    <col min="3075" max="3075" width="7.33203125" style="1477" customWidth="1"/>
    <col min="3076" max="3076" width="9.33203125" style="1477" customWidth="1"/>
    <col min="3077" max="3077" width="12" style="1477" customWidth="1"/>
    <col min="3078" max="3079" width="11.88671875" style="1477" customWidth="1"/>
    <col min="3080" max="3080" width="13.44140625" style="1477" customWidth="1"/>
    <col min="3081" max="3081" width="13.6640625" style="1477" customWidth="1"/>
    <col min="3082" max="3082" width="11.44140625" style="1477" customWidth="1"/>
    <col min="3083" max="3083" width="13.88671875" style="1477" customWidth="1"/>
    <col min="3084" max="3084" width="12.44140625" style="1477" customWidth="1"/>
    <col min="3085" max="3085" width="16.44140625" style="1477" customWidth="1"/>
    <col min="3086" max="3328" width="9.109375" style="1477"/>
    <col min="3329" max="3329" width="10.33203125" style="1477" customWidth="1"/>
    <col min="3330" max="3330" width="7" style="1477" customWidth="1"/>
    <col min="3331" max="3331" width="7.33203125" style="1477" customWidth="1"/>
    <col min="3332" max="3332" width="9.33203125" style="1477" customWidth="1"/>
    <col min="3333" max="3333" width="12" style="1477" customWidth="1"/>
    <col min="3334" max="3335" width="11.88671875" style="1477" customWidth="1"/>
    <col min="3336" max="3336" width="13.44140625" style="1477" customWidth="1"/>
    <col min="3337" max="3337" width="13.6640625" style="1477" customWidth="1"/>
    <col min="3338" max="3338" width="11.44140625" style="1477" customWidth="1"/>
    <col min="3339" max="3339" width="13.88671875" style="1477" customWidth="1"/>
    <col min="3340" max="3340" width="12.44140625" style="1477" customWidth="1"/>
    <col min="3341" max="3341" width="16.44140625" style="1477" customWidth="1"/>
    <col min="3342" max="3584" width="9.109375" style="1477"/>
    <col min="3585" max="3585" width="10.33203125" style="1477" customWidth="1"/>
    <col min="3586" max="3586" width="7" style="1477" customWidth="1"/>
    <col min="3587" max="3587" width="7.33203125" style="1477" customWidth="1"/>
    <col min="3588" max="3588" width="9.33203125" style="1477" customWidth="1"/>
    <col min="3589" max="3589" width="12" style="1477" customWidth="1"/>
    <col min="3590" max="3591" width="11.88671875" style="1477" customWidth="1"/>
    <col min="3592" max="3592" width="13.44140625" style="1477" customWidth="1"/>
    <col min="3593" max="3593" width="13.6640625" style="1477" customWidth="1"/>
    <col min="3594" max="3594" width="11.44140625" style="1477" customWidth="1"/>
    <col min="3595" max="3595" width="13.88671875" style="1477" customWidth="1"/>
    <col min="3596" max="3596" width="12.44140625" style="1477" customWidth="1"/>
    <col min="3597" max="3597" width="16.44140625" style="1477" customWidth="1"/>
    <col min="3598" max="3840" width="9.109375" style="1477"/>
    <col min="3841" max="3841" width="10.33203125" style="1477" customWidth="1"/>
    <col min="3842" max="3842" width="7" style="1477" customWidth="1"/>
    <col min="3843" max="3843" width="7.33203125" style="1477" customWidth="1"/>
    <col min="3844" max="3844" width="9.33203125" style="1477" customWidth="1"/>
    <col min="3845" max="3845" width="12" style="1477" customWidth="1"/>
    <col min="3846" max="3847" width="11.88671875" style="1477" customWidth="1"/>
    <col min="3848" max="3848" width="13.44140625" style="1477" customWidth="1"/>
    <col min="3849" max="3849" width="13.6640625" style="1477" customWidth="1"/>
    <col min="3850" max="3850" width="11.44140625" style="1477" customWidth="1"/>
    <col min="3851" max="3851" width="13.88671875" style="1477" customWidth="1"/>
    <col min="3852" max="3852" width="12.44140625" style="1477" customWidth="1"/>
    <col min="3853" max="3853" width="16.44140625" style="1477" customWidth="1"/>
    <col min="3854" max="4096" width="9.109375" style="1477"/>
    <col min="4097" max="4097" width="10.33203125" style="1477" customWidth="1"/>
    <col min="4098" max="4098" width="7" style="1477" customWidth="1"/>
    <col min="4099" max="4099" width="7.33203125" style="1477" customWidth="1"/>
    <col min="4100" max="4100" width="9.33203125" style="1477" customWidth="1"/>
    <col min="4101" max="4101" width="12" style="1477" customWidth="1"/>
    <col min="4102" max="4103" width="11.88671875" style="1477" customWidth="1"/>
    <col min="4104" max="4104" width="13.44140625" style="1477" customWidth="1"/>
    <col min="4105" max="4105" width="13.6640625" style="1477" customWidth="1"/>
    <col min="4106" max="4106" width="11.44140625" style="1477" customWidth="1"/>
    <col min="4107" max="4107" width="13.88671875" style="1477" customWidth="1"/>
    <col min="4108" max="4108" width="12.44140625" style="1477" customWidth="1"/>
    <col min="4109" max="4109" width="16.44140625" style="1477" customWidth="1"/>
    <col min="4110" max="4352" width="9.109375" style="1477"/>
    <col min="4353" max="4353" width="10.33203125" style="1477" customWidth="1"/>
    <col min="4354" max="4354" width="7" style="1477" customWidth="1"/>
    <col min="4355" max="4355" width="7.33203125" style="1477" customWidth="1"/>
    <col min="4356" max="4356" width="9.33203125" style="1477" customWidth="1"/>
    <col min="4357" max="4357" width="12" style="1477" customWidth="1"/>
    <col min="4358" max="4359" width="11.88671875" style="1477" customWidth="1"/>
    <col min="4360" max="4360" width="13.44140625" style="1477" customWidth="1"/>
    <col min="4361" max="4361" width="13.6640625" style="1477" customWidth="1"/>
    <col min="4362" max="4362" width="11.44140625" style="1477" customWidth="1"/>
    <col min="4363" max="4363" width="13.88671875" style="1477" customWidth="1"/>
    <col min="4364" max="4364" width="12.44140625" style="1477" customWidth="1"/>
    <col min="4365" max="4365" width="16.44140625" style="1477" customWidth="1"/>
    <col min="4366" max="4608" width="9.109375" style="1477"/>
    <col min="4609" max="4609" width="10.33203125" style="1477" customWidth="1"/>
    <col min="4610" max="4610" width="7" style="1477" customWidth="1"/>
    <col min="4611" max="4611" width="7.33203125" style="1477" customWidth="1"/>
    <col min="4612" max="4612" width="9.33203125" style="1477" customWidth="1"/>
    <col min="4613" max="4613" width="12" style="1477" customWidth="1"/>
    <col min="4614" max="4615" width="11.88671875" style="1477" customWidth="1"/>
    <col min="4616" max="4616" width="13.44140625" style="1477" customWidth="1"/>
    <col min="4617" max="4617" width="13.6640625" style="1477" customWidth="1"/>
    <col min="4618" max="4618" width="11.44140625" style="1477" customWidth="1"/>
    <col min="4619" max="4619" width="13.88671875" style="1477" customWidth="1"/>
    <col min="4620" max="4620" width="12.44140625" style="1477" customWidth="1"/>
    <col min="4621" max="4621" width="16.44140625" style="1477" customWidth="1"/>
    <col min="4622" max="4864" width="9.109375" style="1477"/>
    <col min="4865" max="4865" width="10.33203125" style="1477" customWidth="1"/>
    <col min="4866" max="4866" width="7" style="1477" customWidth="1"/>
    <col min="4867" max="4867" width="7.33203125" style="1477" customWidth="1"/>
    <col min="4868" max="4868" width="9.33203125" style="1477" customWidth="1"/>
    <col min="4869" max="4869" width="12" style="1477" customWidth="1"/>
    <col min="4870" max="4871" width="11.88671875" style="1477" customWidth="1"/>
    <col min="4872" max="4872" width="13.44140625" style="1477" customWidth="1"/>
    <col min="4873" max="4873" width="13.6640625" style="1477" customWidth="1"/>
    <col min="4874" max="4874" width="11.44140625" style="1477" customWidth="1"/>
    <col min="4875" max="4875" width="13.88671875" style="1477" customWidth="1"/>
    <col min="4876" max="4876" width="12.44140625" style="1477" customWidth="1"/>
    <col min="4877" max="4877" width="16.44140625" style="1477" customWidth="1"/>
    <col min="4878" max="5120" width="9.109375" style="1477"/>
    <col min="5121" max="5121" width="10.33203125" style="1477" customWidth="1"/>
    <col min="5122" max="5122" width="7" style="1477" customWidth="1"/>
    <col min="5123" max="5123" width="7.33203125" style="1477" customWidth="1"/>
    <col min="5124" max="5124" width="9.33203125" style="1477" customWidth="1"/>
    <col min="5125" max="5125" width="12" style="1477" customWidth="1"/>
    <col min="5126" max="5127" width="11.88671875" style="1477" customWidth="1"/>
    <col min="5128" max="5128" width="13.44140625" style="1477" customWidth="1"/>
    <col min="5129" max="5129" width="13.6640625" style="1477" customWidth="1"/>
    <col min="5130" max="5130" width="11.44140625" style="1477" customWidth="1"/>
    <col min="5131" max="5131" width="13.88671875" style="1477" customWidth="1"/>
    <col min="5132" max="5132" width="12.44140625" style="1477" customWidth="1"/>
    <col min="5133" max="5133" width="16.44140625" style="1477" customWidth="1"/>
    <col min="5134" max="5376" width="9.109375" style="1477"/>
    <col min="5377" max="5377" width="10.33203125" style="1477" customWidth="1"/>
    <col min="5378" max="5378" width="7" style="1477" customWidth="1"/>
    <col min="5379" max="5379" width="7.33203125" style="1477" customWidth="1"/>
    <col min="5380" max="5380" width="9.33203125" style="1477" customWidth="1"/>
    <col min="5381" max="5381" width="12" style="1477" customWidth="1"/>
    <col min="5382" max="5383" width="11.88671875" style="1477" customWidth="1"/>
    <col min="5384" max="5384" width="13.44140625" style="1477" customWidth="1"/>
    <col min="5385" max="5385" width="13.6640625" style="1477" customWidth="1"/>
    <col min="5386" max="5386" width="11.44140625" style="1477" customWidth="1"/>
    <col min="5387" max="5387" width="13.88671875" style="1477" customWidth="1"/>
    <col min="5388" max="5388" width="12.44140625" style="1477" customWidth="1"/>
    <col min="5389" max="5389" width="16.44140625" style="1477" customWidth="1"/>
    <col min="5390" max="5632" width="9.109375" style="1477"/>
    <col min="5633" max="5633" width="10.33203125" style="1477" customWidth="1"/>
    <col min="5634" max="5634" width="7" style="1477" customWidth="1"/>
    <col min="5635" max="5635" width="7.33203125" style="1477" customWidth="1"/>
    <col min="5636" max="5636" width="9.33203125" style="1477" customWidth="1"/>
    <col min="5637" max="5637" width="12" style="1477" customWidth="1"/>
    <col min="5638" max="5639" width="11.88671875" style="1477" customWidth="1"/>
    <col min="5640" max="5640" width="13.44140625" style="1477" customWidth="1"/>
    <col min="5641" max="5641" width="13.6640625" style="1477" customWidth="1"/>
    <col min="5642" max="5642" width="11.44140625" style="1477" customWidth="1"/>
    <col min="5643" max="5643" width="13.88671875" style="1477" customWidth="1"/>
    <col min="5644" max="5644" width="12.44140625" style="1477" customWidth="1"/>
    <col min="5645" max="5645" width="16.44140625" style="1477" customWidth="1"/>
    <col min="5646" max="5888" width="9.109375" style="1477"/>
    <col min="5889" max="5889" width="10.33203125" style="1477" customWidth="1"/>
    <col min="5890" max="5890" width="7" style="1477" customWidth="1"/>
    <col min="5891" max="5891" width="7.33203125" style="1477" customWidth="1"/>
    <col min="5892" max="5892" width="9.33203125" style="1477" customWidth="1"/>
    <col min="5893" max="5893" width="12" style="1477" customWidth="1"/>
    <col min="5894" max="5895" width="11.88671875" style="1477" customWidth="1"/>
    <col min="5896" max="5896" width="13.44140625" style="1477" customWidth="1"/>
    <col min="5897" max="5897" width="13.6640625" style="1477" customWidth="1"/>
    <col min="5898" max="5898" width="11.44140625" style="1477" customWidth="1"/>
    <col min="5899" max="5899" width="13.88671875" style="1477" customWidth="1"/>
    <col min="5900" max="5900" width="12.44140625" style="1477" customWidth="1"/>
    <col min="5901" max="5901" width="16.44140625" style="1477" customWidth="1"/>
    <col min="5902" max="6144" width="9.109375" style="1477"/>
    <col min="6145" max="6145" width="10.33203125" style="1477" customWidth="1"/>
    <col min="6146" max="6146" width="7" style="1477" customWidth="1"/>
    <col min="6147" max="6147" width="7.33203125" style="1477" customWidth="1"/>
    <col min="6148" max="6148" width="9.33203125" style="1477" customWidth="1"/>
    <col min="6149" max="6149" width="12" style="1477" customWidth="1"/>
    <col min="6150" max="6151" width="11.88671875" style="1477" customWidth="1"/>
    <col min="6152" max="6152" width="13.44140625" style="1477" customWidth="1"/>
    <col min="6153" max="6153" width="13.6640625" style="1477" customWidth="1"/>
    <col min="6154" max="6154" width="11.44140625" style="1477" customWidth="1"/>
    <col min="6155" max="6155" width="13.88671875" style="1477" customWidth="1"/>
    <col min="6156" max="6156" width="12.44140625" style="1477" customWidth="1"/>
    <col min="6157" max="6157" width="16.44140625" style="1477" customWidth="1"/>
    <col min="6158" max="6400" width="9.109375" style="1477"/>
    <col min="6401" max="6401" width="10.33203125" style="1477" customWidth="1"/>
    <col min="6402" max="6402" width="7" style="1477" customWidth="1"/>
    <col min="6403" max="6403" width="7.33203125" style="1477" customWidth="1"/>
    <col min="6404" max="6404" width="9.33203125" style="1477" customWidth="1"/>
    <col min="6405" max="6405" width="12" style="1477" customWidth="1"/>
    <col min="6406" max="6407" width="11.88671875" style="1477" customWidth="1"/>
    <col min="6408" max="6408" width="13.44140625" style="1477" customWidth="1"/>
    <col min="6409" max="6409" width="13.6640625" style="1477" customWidth="1"/>
    <col min="6410" max="6410" width="11.44140625" style="1477" customWidth="1"/>
    <col min="6411" max="6411" width="13.88671875" style="1477" customWidth="1"/>
    <col min="6412" max="6412" width="12.44140625" style="1477" customWidth="1"/>
    <col min="6413" max="6413" width="16.44140625" style="1477" customWidth="1"/>
    <col min="6414" max="6656" width="9.109375" style="1477"/>
    <col min="6657" max="6657" width="10.33203125" style="1477" customWidth="1"/>
    <col min="6658" max="6658" width="7" style="1477" customWidth="1"/>
    <col min="6659" max="6659" width="7.33203125" style="1477" customWidth="1"/>
    <col min="6660" max="6660" width="9.33203125" style="1477" customWidth="1"/>
    <col min="6661" max="6661" width="12" style="1477" customWidth="1"/>
    <col min="6662" max="6663" width="11.88671875" style="1477" customWidth="1"/>
    <col min="6664" max="6664" width="13.44140625" style="1477" customWidth="1"/>
    <col min="6665" max="6665" width="13.6640625" style="1477" customWidth="1"/>
    <col min="6666" max="6666" width="11.44140625" style="1477" customWidth="1"/>
    <col min="6667" max="6667" width="13.88671875" style="1477" customWidth="1"/>
    <col min="6668" max="6668" width="12.44140625" style="1477" customWidth="1"/>
    <col min="6669" max="6669" width="16.44140625" style="1477" customWidth="1"/>
    <col min="6670" max="6912" width="9.109375" style="1477"/>
    <col min="6913" max="6913" width="10.33203125" style="1477" customWidth="1"/>
    <col min="6914" max="6914" width="7" style="1477" customWidth="1"/>
    <col min="6915" max="6915" width="7.33203125" style="1477" customWidth="1"/>
    <col min="6916" max="6916" width="9.33203125" style="1477" customWidth="1"/>
    <col min="6917" max="6917" width="12" style="1477" customWidth="1"/>
    <col min="6918" max="6919" width="11.88671875" style="1477" customWidth="1"/>
    <col min="6920" max="6920" width="13.44140625" style="1477" customWidth="1"/>
    <col min="6921" max="6921" width="13.6640625" style="1477" customWidth="1"/>
    <col min="6922" max="6922" width="11.44140625" style="1477" customWidth="1"/>
    <col min="6923" max="6923" width="13.88671875" style="1477" customWidth="1"/>
    <col min="6924" max="6924" width="12.44140625" style="1477" customWidth="1"/>
    <col min="6925" max="6925" width="16.44140625" style="1477" customWidth="1"/>
    <col min="6926" max="7168" width="9.109375" style="1477"/>
    <col min="7169" max="7169" width="10.33203125" style="1477" customWidth="1"/>
    <col min="7170" max="7170" width="7" style="1477" customWidth="1"/>
    <col min="7171" max="7171" width="7.33203125" style="1477" customWidth="1"/>
    <col min="7172" max="7172" width="9.33203125" style="1477" customWidth="1"/>
    <col min="7173" max="7173" width="12" style="1477" customWidth="1"/>
    <col min="7174" max="7175" width="11.88671875" style="1477" customWidth="1"/>
    <col min="7176" max="7176" width="13.44140625" style="1477" customWidth="1"/>
    <col min="7177" max="7177" width="13.6640625" style="1477" customWidth="1"/>
    <col min="7178" max="7178" width="11.44140625" style="1477" customWidth="1"/>
    <col min="7179" max="7179" width="13.88671875" style="1477" customWidth="1"/>
    <col min="7180" max="7180" width="12.44140625" style="1477" customWidth="1"/>
    <col min="7181" max="7181" width="16.44140625" style="1477" customWidth="1"/>
    <col min="7182" max="7424" width="9.109375" style="1477"/>
    <col min="7425" max="7425" width="10.33203125" style="1477" customWidth="1"/>
    <col min="7426" max="7426" width="7" style="1477" customWidth="1"/>
    <col min="7427" max="7427" width="7.33203125" style="1477" customWidth="1"/>
    <col min="7428" max="7428" width="9.33203125" style="1477" customWidth="1"/>
    <col min="7429" max="7429" width="12" style="1477" customWidth="1"/>
    <col min="7430" max="7431" width="11.88671875" style="1477" customWidth="1"/>
    <col min="7432" max="7432" width="13.44140625" style="1477" customWidth="1"/>
    <col min="7433" max="7433" width="13.6640625" style="1477" customWidth="1"/>
    <col min="7434" max="7434" width="11.44140625" style="1477" customWidth="1"/>
    <col min="7435" max="7435" width="13.88671875" style="1477" customWidth="1"/>
    <col min="7436" max="7436" width="12.44140625" style="1477" customWidth="1"/>
    <col min="7437" max="7437" width="16.44140625" style="1477" customWidth="1"/>
    <col min="7438" max="7680" width="9.109375" style="1477"/>
    <col min="7681" max="7681" width="10.33203125" style="1477" customWidth="1"/>
    <col min="7682" max="7682" width="7" style="1477" customWidth="1"/>
    <col min="7683" max="7683" width="7.33203125" style="1477" customWidth="1"/>
    <col min="7684" max="7684" width="9.33203125" style="1477" customWidth="1"/>
    <col min="7685" max="7685" width="12" style="1477" customWidth="1"/>
    <col min="7686" max="7687" width="11.88671875" style="1477" customWidth="1"/>
    <col min="7688" max="7688" width="13.44140625" style="1477" customWidth="1"/>
    <col min="7689" max="7689" width="13.6640625" style="1477" customWidth="1"/>
    <col min="7690" max="7690" width="11.44140625" style="1477" customWidth="1"/>
    <col min="7691" max="7691" width="13.88671875" style="1477" customWidth="1"/>
    <col min="7692" max="7692" width="12.44140625" style="1477" customWidth="1"/>
    <col min="7693" max="7693" width="16.44140625" style="1477" customWidth="1"/>
    <col min="7694" max="7936" width="9.109375" style="1477"/>
    <col min="7937" max="7937" width="10.33203125" style="1477" customWidth="1"/>
    <col min="7938" max="7938" width="7" style="1477" customWidth="1"/>
    <col min="7939" max="7939" width="7.33203125" style="1477" customWidth="1"/>
    <col min="7940" max="7940" width="9.33203125" style="1477" customWidth="1"/>
    <col min="7941" max="7941" width="12" style="1477" customWidth="1"/>
    <col min="7942" max="7943" width="11.88671875" style="1477" customWidth="1"/>
    <col min="7944" max="7944" width="13.44140625" style="1477" customWidth="1"/>
    <col min="7945" max="7945" width="13.6640625" style="1477" customWidth="1"/>
    <col min="7946" max="7946" width="11.44140625" style="1477" customWidth="1"/>
    <col min="7947" max="7947" width="13.88671875" style="1477" customWidth="1"/>
    <col min="7948" max="7948" width="12.44140625" style="1477" customWidth="1"/>
    <col min="7949" max="7949" width="16.44140625" style="1477" customWidth="1"/>
    <col min="7950" max="8192" width="9.109375" style="1477"/>
    <col min="8193" max="8193" width="10.33203125" style="1477" customWidth="1"/>
    <col min="8194" max="8194" width="7" style="1477" customWidth="1"/>
    <col min="8195" max="8195" width="7.33203125" style="1477" customWidth="1"/>
    <col min="8196" max="8196" width="9.33203125" style="1477" customWidth="1"/>
    <col min="8197" max="8197" width="12" style="1477" customWidth="1"/>
    <col min="8198" max="8199" width="11.88671875" style="1477" customWidth="1"/>
    <col min="8200" max="8200" width="13.44140625" style="1477" customWidth="1"/>
    <col min="8201" max="8201" width="13.6640625" style="1477" customWidth="1"/>
    <col min="8202" max="8202" width="11.44140625" style="1477" customWidth="1"/>
    <col min="8203" max="8203" width="13.88671875" style="1477" customWidth="1"/>
    <col min="8204" max="8204" width="12.44140625" style="1477" customWidth="1"/>
    <col min="8205" max="8205" width="16.44140625" style="1477" customWidth="1"/>
    <col min="8206" max="8448" width="9.109375" style="1477"/>
    <col min="8449" max="8449" width="10.33203125" style="1477" customWidth="1"/>
    <col min="8450" max="8450" width="7" style="1477" customWidth="1"/>
    <col min="8451" max="8451" width="7.33203125" style="1477" customWidth="1"/>
    <col min="8452" max="8452" width="9.33203125" style="1477" customWidth="1"/>
    <col min="8453" max="8453" width="12" style="1477" customWidth="1"/>
    <col min="8454" max="8455" width="11.88671875" style="1477" customWidth="1"/>
    <col min="8456" max="8456" width="13.44140625" style="1477" customWidth="1"/>
    <col min="8457" max="8457" width="13.6640625" style="1477" customWidth="1"/>
    <col min="8458" max="8458" width="11.44140625" style="1477" customWidth="1"/>
    <col min="8459" max="8459" width="13.88671875" style="1477" customWidth="1"/>
    <col min="8460" max="8460" width="12.44140625" style="1477" customWidth="1"/>
    <col min="8461" max="8461" width="16.44140625" style="1477" customWidth="1"/>
    <col min="8462" max="8704" width="9.109375" style="1477"/>
    <col min="8705" max="8705" width="10.33203125" style="1477" customWidth="1"/>
    <col min="8706" max="8706" width="7" style="1477" customWidth="1"/>
    <col min="8707" max="8707" width="7.33203125" style="1477" customWidth="1"/>
    <col min="8708" max="8708" width="9.33203125" style="1477" customWidth="1"/>
    <col min="8709" max="8709" width="12" style="1477" customWidth="1"/>
    <col min="8710" max="8711" width="11.88671875" style="1477" customWidth="1"/>
    <col min="8712" max="8712" width="13.44140625" style="1477" customWidth="1"/>
    <col min="8713" max="8713" width="13.6640625" style="1477" customWidth="1"/>
    <col min="8714" max="8714" width="11.44140625" style="1477" customWidth="1"/>
    <col min="8715" max="8715" width="13.88671875" style="1477" customWidth="1"/>
    <col min="8716" max="8716" width="12.44140625" style="1477" customWidth="1"/>
    <col min="8717" max="8717" width="16.44140625" style="1477" customWidth="1"/>
    <col min="8718" max="8960" width="9.109375" style="1477"/>
    <col min="8961" max="8961" width="10.33203125" style="1477" customWidth="1"/>
    <col min="8962" max="8962" width="7" style="1477" customWidth="1"/>
    <col min="8963" max="8963" width="7.33203125" style="1477" customWidth="1"/>
    <col min="8964" max="8964" width="9.33203125" style="1477" customWidth="1"/>
    <col min="8965" max="8965" width="12" style="1477" customWidth="1"/>
    <col min="8966" max="8967" width="11.88671875" style="1477" customWidth="1"/>
    <col min="8968" max="8968" width="13.44140625" style="1477" customWidth="1"/>
    <col min="8969" max="8969" width="13.6640625" style="1477" customWidth="1"/>
    <col min="8970" max="8970" width="11.44140625" style="1477" customWidth="1"/>
    <col min="8971" max="8971" width="13.88671875" style="1477" customWidth="1"/>
    <col min="8972" max="8972" width="12.44140625" style="1477" customWidth="1"/>
    <col min="8973" max="8973" width="16.44140625" style="1477" customWidth="1"/>
    <col min="8974" max="9216" width="9.109375" style="1477"/>
    <col min="9217" max="9217" width="10.33203125" style="1477" customWidth="1"/>
    <col min="9218" max="9218" width="7" style="1477" customWidth="1"/>
    <col min="9219" max="9219" width="7.33203125" style="1477" customWidth="1"/>
    <col min="9220" max="9220" width="9.33203125" style="1477" customWidth="1"/>
    <col min="9221" max="9221" width="12" style="1477" customWidth="1"/>
    <col min="9222" max="9223" width="11.88671875" style="1477" customWidth="1"/>
    <col min="9224" max="9224" width="13.44140625" style="1477" customWidth="1"/>
    <col min="9225" max="9225" width="13.6640625" style="1477" customWidth="1"/>
    <col min="9226" max="9226" width="11.44140625" style="1477" customWidth="1"/>
    <col min="9227" max="9227" width="13.88671875" style="1477" customWidth="1"/>
    <col min="9228" max="9228" width="12.44140625" style="1477" customWidth="1"/>
    <col min="9229" max="9229" width="16.44140625" style="1477" customWidth="1"/>
    <col min="9230" max="9472" width="9.109375" style="1477"/>
    <col min="9473" max="9473" width="10.33203125" style="1477" customWidth="1"/>
    <col min="9474" max="9474" width="7" style="1477" customWidth="1"/>
    <col min="9475" max="9475" width="7.33203125" style="1477" customWidth="1"/>
    <col min="9476" max="9476" width="9.33203125" style="1477" customWidth="1"/>
    <col min="9477" max="9477" width="12" style="1477" customWidth="1"/>
    <col min="9478" max="9479" width="11.88671875" style="1477" customWidth="1"/>
    <col min="9480" max="9480" width="13.44140625" style="1477" customWidth="1"/>
    <col min="9481" max="9481" width="13.6640625" style="1477" customWidth="1"/>
    <col min="9482" max="9482" width="11.44140625" style="1477" customWidth="1"/>
    <col min="9483" max="9483" width="13.88671875" style="1477" customWidth="1"/>
    <col min="9484" max="9484" width="12.44140625" style="1477" customWidth="1"/>
    <col min="9485" max="9485" width="16.44140625" style="1477" customWidth="1"/>
    <col min="9486" max="9728" width="9.109375" style="1477"/>
    <col min="9729" max="9729" width="10.33203125" style="1477" customWidth="1"/>
    <col min="9730" max="9730" width="7" style="1477" customWidth="1"/>
    <col min="9731" max="9731" width="7.33203125" style="1477" customWidth="1"/>
    <col min="9732" max="9732" width="9.33203125" style="1477" customWidth="1"/>
    <col min="9733" max="9733" width="12" style="1477" customWidth="1"/>
    <col min="9734" max="9735" width="11.88671875" style="1477" customWidth="1"/>
    <col min="9736" max="9736" width="13.44140625" style="1477" customWidth="1"/>
    <col min="9737" max="9737" width="13.6640625" style="1477" customWidth="1"/>
    <col min="9738" max="9738" width="11.44140625" style="1477" customWidth="1"/>
    <col min="9739" max="9739" width="13.88671875" style="1477" customWidth="1"/>
    <col min="9740" max="9740" width="12.44140625" style="1477" customWidth="1"/>
    <col min="9741" max="9741" width="16.44140625" style="1477" customWidth="1"/>
    <col min="9742" max="9984" width="9.109375" style="1477"/>
    <col min="9985" max="9985" width="10.33203125" style="1477" customWidth="1"/>
    <col min="9986" max="9986" width="7" style="1477" customWidth="1"/>
    <col min="9987" max="9987" width="7.33203125" style="1477" customWidth="1"/>
    <col min="9988" max="9988" width="9.33203125" style="1477" customWidth="1"/>
    <col min="9989" max="9989" width="12" style="1477" customWidth="1"/>
    <col min="9990" max="9991" width="11.88671875" style="1477" customWidth="1"/>
    <col min="9992" max="9992" width="13.44140625" style="1477" customWidth="1"/>
    <col min="9993" max="9993" width="13.6640625" style="1477" customWidth="1"/>
    <col min="9994" max="9994" width="11.44140625" style="1477" customWidth="1"/>
    <col min="9995" max="9995" width="13.88671875" style="1477" customWidth="1"/>
    <col min="9996" max="9996" width="12.44140625" style="1477" customWidth="1"/>
    <col min="9997" max="9997" width="16.44140625" style="1477" customWidth="1"/>
    <col min="9998" max="10240" width="9.109375" style="1477"/>
    <col min="10241" max="10241" width="10.33203125" style="1477" customWidth="1"/>
    <col min="10242" max="10242" width="7" style="1477" customWidth="1"/>
    <col min="10243" max="10243" width="7.33203125" style="1477" customWidth="1"/>
    <col min="10244" max="10244" width="9.33203125" style="1477" customWidth="1"/>
    <col min="10245" max="10245" width="12" style="1477" customWidth="1"/>
    <col min="10246" max="10247" width="11.88671875" style="1477" customWidth="1"/>
    <col min="10248" max="10248" width="13.44140625" style="1477" customWidth="1"/>
    <col min="10249" max="10249" width="13.6640625" style="1477" customWidth="1"/>
    <col min="10250" max="10250" width="11.44140625" style="1477" customWidth="1"/>
    <col min="10251" max="10251" width="13.88671875" style="1477" customWidth="1"/>
    <col min="10252" max="10252" width="12.44140625" style="1477" customWidth="1"/>
    <col min="10253" max="10253" width="16.44140625" style="1477" customWidth="1"/>
    <col min="10254" max="10496" width="9.109375" style="1477"/>
    <col min="10497" max="10497" width="10.33203125" style="1477" customWidth="1"/>
    <col min="10498" max="10498" width="7" style="1477" customWidth="1"/>
    <col min="10499" max="10499" width="7.33203125" style="1477" customWidth="1"/>
    <col min="10500" max="10500" width="9.33203125" style="1477" customWidth="1"/>
    <col min="10501" max="10501" width="12" style="1477" customWidth="1"/>
    <col min="10502" max="10503" width="11.88671875" style="1477" customWidth="1"/>
    <col min="10504" max="10504" width="13.44140625" style="1477" customWidth="1"/>
    <col min="10505" max="10505" width="13.6640625" style="1477" customWidth="1"/>
    <col min="10506" max="10506" width="11.44140625" style="1477" customWidth="1"/>
    <col min="10507" max="10507" width="13.88671875" style="1477" customWidth="1"/>
    <col min="10508" max="10508" width="12.44140625" style="1477" customWidth="1"/>
    <col min="10509" max="10509" width="16.44140625" style="1477" customWidth="1"/>
    <col min="10510" max="10752" width="9.109375" style="1477"/>
    <col min="10753" max="10753" width="10.33203125" style="1477" customWidth="1"/>
    <col min="10754" max="10754" width="7" style="1477" customWidth="1"/>
    <col min="10755" max="10755" width="7.33203125" style="1477" customWidth="1"/>
    <col min="10756" max="10756" width="9.33203125" style="1477" customWidth="1"/>
    <col min="10757" max="10757" width="12" style="1477" customWidth="1"/>
    <col min="10758" max="10759" width="11.88671875" style="1477" customWidth="1"/>
    <col min="10760" max="10760" width="13.44140625" style="1477" customWidth="1"/>
    <col min="10761" max="10761" width="13.6640625" style="1477" customWidth="1"/>
    <col min="10762" max="10762" width="11.44140625" style="1477" customWidth="1"/>
    <col min="10763" max="10763" width="13.88671875" style="1477" customWidth="1"/>
    <col min="10764" max="10764" width="12.44140625" style="1477" customWidth="1"/>
    <col min="10765" max="10765" width="16.44140625" style="1477" customWidth="1"/>
    <col min="10766" max="11008" width="9.109375" style="1477"/>
    <col min="11009" max="11009" width="10.33203125" style="1477" customWidth="1"/>
    <col min="11010" max="11010" width="7" style="1477" customWidth="1"/>
    <col min="11011" max="11011" width="7.33203125" style="1477" customWidth="1"/>
    <col min="11012" max="11012" width="9.33203125" style="1477" customWidth="1"/>
    <col min="11013" max="11013" width="12" style="1477" customWidth="1"/>
    <col min="11014" max="11015" width="11.88671875" style="1477" customWidth="1"/>
    <col min="11016" max="11016" width="13.44140625" style="1477" customWidth="1"/>
    <col min="11017" max="11017" width="13.6640625" style="1477" customWidth="1"/>
    <col min="11018" max="11018" width="11.44140625" style="1477" customWidth="1"/>
    <col min="11019" max="11019" width="13.88671875" style="1477" customWidth="1"/>
    <col min="11020" max="11020" width="12.44140625" style="1477" customWidth="1"/>
    <col min="11021" max="11021" width="16.44140625" style="1477" customWidth="1"/>
    <col min="11022" max="11264" width="9.109375" style="1477"/>
    <col min="11265" max="11265" width="10.33203125" style="1477" customWidth="1"/>
    <col min="11266" max="11266" width="7" style="1477" customWidth="1"/>
    <col min="11267" max="11267" width="7.33203125" style="1477" customWidth="1"/>
    <col min="11268" max="11268" width="9.33203125" style="1477" customWidth="1"/>
    <col min="11269" max="11269" width="12" style="1477" customWidth="1"/>
    <col min="11270" max="11271" width="11.88671875" style="1477" customWidth="1"/>
    <col min="11272" max="11272" width="13.44140625" style="1477" customWidth="1"/>
    <col min="11273" max="11273" width="13.6640625" style="1477" customWidth="1"/>
    <col min="11274" max="11274" width="11.44140625" style="1477" customWidth="1"/>
    <col min="11275" max="11275" width="13.88671875" style="1477" customWidth="1"/>
    <col min="11276" max="11276" width="12.44140625" style="1477" customWidth="1"/>
    <col min="11277" max="11277" width="16.44140625" style="1477" customWidth="1"/>
    <col min="11278" max="11520" width="9.109375" style="1477"/>
    <col min="11521" max="11521" width="10.33203125" style="1477" customWidth="1"/>
    <col min="11522" max="11522" width="7" style="1477" customWidth="1"/>
    <col min="11523" max="11523" width="7.33203125" style="1477" customWidth="1"/>
    <col min="11524" max="11524" width="9.33203125" style="1477" customWidth="1"/>
    <col min="11525" max="11525" width="12" style="1477" customWidth="1"/>
    <col min="11526" max="11527" width="11.88671875" style="1477" customWidth="1"/>
    <col min="11528" max="11528" width="13.44140625" style="1477" customWidth="1"/>
    <col min="11529" max="11529" width="13.6640625" style="1477" customWidth="1"/>
    <col min="11530" max="11530" width="11.44140625" style="1477" customWidth="1"/>
    <col min="11531" max="11531" width="13.88671875" style="1477" customWidth="1"/>
    <col min="11532" max="11532" width="12.44140625" style="1477" customWidth="1"/>
    <col min="11533" max="11533" width="16.44140625" style="1477" customWidth="1"/>
    <col min="11534" max="11776" width="9.109375" style="1477"/>
    <col min="11777" max="11777" width="10.33203125" style="1477" customWidth="1"/>
    <col min="11778" max="11778" width="7" style="1477" customWidth="1"/>
    <col min="11779" max="11779" width="7.33203125" style="1477" customWidth="1"/>
    <col min="11780" max="11780" width="9.33203125" style="1477" customWidth="1"/>
    <col min="11781" max="11781" width="12" style="1477" customWidth="1"/>
    <col min="11782" max="11783" width="11.88671875" style="1477" customWidth="1"/>
    <col min="11784" max="11784" width="13.44140625" style="1477" customWidth="1"/>
    <col min="11785" max="11785" width="13.6640625" style="1477" customWidth="1"/>
    <col min="11786" max="11786" width="11.44140625" style="1477" customWidth="1"/>
    <col min="11787" max="11787" width="13.88671875" style="1477" customWidth="1"/>
    <col min="11788" max="11788" width="12.44140625" style="1477" customWidth="1"/>
    <col min="11789" max="11789" width="16.44140625" style="1477" customWidth="1"/>
    <col min="11790" max="12032" width="9.109375" style="1477"/>
    <col min="12033" max="12033" width="10.33203125" style="1477" customWidth="1"/>
    <col min="12034" max="12034" width="7" style="1477" customWidth="1"/>
    <col min="12035" max="12035" width="7.33203125" style="1477" customWidth="1"/>
    <col min="12036" max="12036" width="9.33203125" style="1477" customWidth="1"/>
    <col min="12037" max="12037" width="12" style="1477" customWidth="1"/>
    <col min="12038" max="12039" width="11.88671875" style="1477" customWidth="1"/>
    <col min="12040" max="12040" width="13.44140625" style="1477" customWidth="1"/>
    <col min="12041" max="12041" width="13.6640625" style="1477" customWidth="1"/>
    <col min="12042" max="12042" width="11.44140625" style="1477" customWidth="1"/>
    <col min="12043" max="12043" width="13.88671875" style="1477" customWidth="1"/>
    <col min="12044" max="12044" width="12.44140625" style="1477" customWidth="1"/>
    <col min="12045" max="12045" width="16.44140625" style="1477" customWidth="1"/>
    <col min="12046" max="12288" width="9.109375" style="1477"/>
    <col min="12289" max="12289" width="10.33203125" style="1477" customWidth="1"/>
    <col min="12290" max="12290" width="7" style="1477" customWidth="1"/>
    <col min="12291" max="12291" width="7.33203125" style="1477" customWidth="1"/>
    <col min="12292" max="12292" width="9.33203125" style="1477" customWidth="1"/>
    <col min="12293" max="12293" width="12" style="1477" customWidth="1"/>
    <col min="12294" max="12295" width="11.88671875" style="1477" customWidth="1"/>
    <col min="12296" max="12296" width="13.44140625" style="1477" customWidth="1"/>
    <col min="12297" max="12297" width="13.6640625" style="1477" customWidth="1"/>
    <col min="12298" max="12298" width="11.44140625" style="1477" customWidth="1"/>
    <col min="12299" max="12299" width="13.88671875" style="1477" customWidth="1"/>
    <col min="12300" max="12300" width="12.44140625" style="1477" customWidth="1"/>
    <col min="12301" max="12301" width="16.44140625" style="1477" customWidth="1"/>
    <col min="12302" max="12544" width="9.109375" style="1477"/>
    <col min="12545" max="12545" width="10.33203125" style="1477" customWidth="1"/>
    <col min="12546" max="12546" width="7" style="1477" customWidth="1"/>
    <col min="12547" max="12547" width="7.33203125" style="1477" customWidth="1"/>
    <col min="12548" max="12548" width="9.33203125" style="1477" customWidth="1"/>
    <col min="12549" max="12549" width="12" style="1477" customWidth="1"/>
    <col min="12550" max="12551" width="11.88671875" style="1477" customWidth="1"/>
    <col min="12552" max="12552" width="13.44140625" style="1477" customWidth="1"/>
    <col min="12553" max="12553" width="13.6640625" style="1477" customWidth="1"/>
    <col min="12554" max="12554" width="11.44140625" style="1477" customWidth="1"/>
    <col min="12555" max="12555" width="13.88671875" style="1477" customWidth="1"/>
    <col min="12556" max="12556" width="12.44140625" style="1477" customWidth="1"/>
    <col min="12557" max="12557" width="16.44140625" style="1477" customWidth="1"/>
    <col min="12558" max="12800" width="9.109375" style="1477"/>
    <col min="12801" max="12801" width="10.33203125" style="1477" customWidth="1"/>
    <col min="12802" max="12802" width="7" style="1477" customWidth="1"/>
    <col min="12803" max="12803" width="7.33203125" style="1477" customWidth="1"/>
    <col min="12804" max="12804" width="9.33203125" style="1477" customWidth="1"/>
    <col min="12805" max="12805" width="12" style="1477" customWidth="1"/>
    <col min="12806" max="12807" width="11.88671875" style="1477" customWidth="1"/>
    <col min="12808" max="12808" width="13.44140625" style="1477" customWidth="1"/>
    <col min="12809" max="12809" width="13.6640625" style="1477" customWidth="1"/>
    <col min="12810" max="12810" width="11.44140625" style="1477" customWidth="1"/>
    <col min="12811" max="12811" width="13.88671875" style="1477" customWidth="1"/>
    <col min="12812" max="12812" width="12.44140625" style="1477" customWidth="1"/>
    <col min="12813" max="12813" width="16.44140625" style="1477" customWidth="1"/>
    <col min="12814" max="13056" width="9.109375" style="1477"/>
    <col min="13057" max="13057" width="10.33203125" style="1477" customWidth="1"/>
    <col min="13058" max="13058" width="7" style="1477" customWidth="1"/>
    <col min="13059" max="13059" width="7.33203125" style="1477" customWidth="1"/>
    <col min="13060" max="13060" width="9.33203125" style="1477" customWidth="1"/>
    <col min="13061" max="13061" width="12" style="1477" customWidth="1"/>
    <col min="13062" max="13063" width="11.88671875" style="1477" customWidth="1"/>
    <col min="13064" max="13064" width="13.44140625" style="1477" customWidth="1"/>
    <col min="13065" max="13065" width="13.6640625" style="1477" customWidth="1"/>
    <col min="13066" max="13066" width="11.44140625" style="1477" customWidth="1"/>
    <col min="13067" max="13067" width="13.88671875" style="1477" customWidth="1"/>
    <col min="13068" max="13068" width="12.44140625" style="1477" customWidth="1"/>
    <col min="13069" max="13069" width="16.44140625" style="1477" customWidth="1"/>
    <col min="13070" max="13312" width="9.109375" style="1477"/>
    <col min="13313" max="13313" width="10.33203125" style="1477" customWidth="1"/>
    <col min="13314" max="13314" width="7" style="1477" customWidth="1"/>
    <col min="13315" max="13315" width="7.33203125" style="1477" customWidth="1"/>
    <col min="13316" max="13316" width="9.33203125" style="1477" customWidth="1"/>
    <col min="13317" max="13317" width="12" style="1477" customWidth="1"/>
    <col min="13318" max="13319" width="11.88671875" style="1477" customWidth="1"/>
    <col min="13320" max="13320" width="13.44140625" style="1477" customWidth="1"/>
    <col min="13321" max="13321" width="13.6640625" style="1477" customWidth="1"/>
    <col min="13322" max="13322" width="11.44140625" style="1477" customWidth="1"/>
    <col min="13323" max="13323" width="13.88671875" style="1477" customWidth="1"/>
    <col min="13324" max="13324" width="12.44140625" style="1477" customWidth="1"/>
    <col min="13325" max="13325" width="16.44140625" style="1477" customWidth="1"/>
    <col min="13326" max="13568" width="9.109375" style="1477"/>
    <col min="13569" max="13569" width="10.33203125" style="1477" customWidth="1"/>
    <col min="13570" max="13570" width="7" style="1477" customWidth="1"/>
    <col min="13571" max="13571" width="7.33203125" style="1477" customWidth="1"/>
    <col min="13572" max="13572" width="9.33203125" style="1477" customWidth="1"/>
    <col min="13573" max="13573" width="12" style="1477" customWidth="1"/>
    <col min="13574" max="13575" width="11.88671875" style="1477" customWidth="1"/>
    <col min="13576" max="13576" width="13.44140625" style="1477" customWidth="1"/>
    <col min="13577" max="13577" width="13.6640625" style="1477" customWidth="1"/>
    <col min="13578" max="13578" width="11.44140625" style="1477" customWidth="1"/>
    <col min="13579" max="13579" width="13.88671875" style="1477" customWidth="1"/>
    <col min="13580" max="13580" width="12.44140625" style="1477" customWidth="1"/>
    <col min="13581" max="13581" width="16.44140625" style="1477" customWidth="1"/>
    <col min="13582" max="13824" width="9.109375" style="1477"/>
    <col min="13825" max="13825" width="10.33203125" style="1477" customWidth="1"/>
    <col min="13826" max="13826" width="7" style="1477" customWidth="1"/>
    <col min="13827" max="13827" width="7.33203125" style="1477" customWidth="1"/>
    <col min="13828" max="13828" width="9.33203125" style="1477" customWidth="1"/>
    <col min="13829" max="13829" width="12" style="1477" customWidth="1"/>
    <col min="13830" max="13831" width="11.88671875" style="1477" customWidth="1"/>
    <col min="13832" max="13832" width="13.44140625" style="1477" customWidth="1"/>
    <col min="13833" max="13833" width="13.6640625" style="1477" customWidth="1"/>
    <col min="13834" max="13834" width="11.44140625" style="1477" customWidth="1"/>
    <col min="13835" max="13835" width="13.88671875" style="1477" customWidth="1"/>
    <col min="13836" max="13836" width="12.44140625" style="1477" customWidth="1"/>
    <col min="13837" max="13837" width="16.44140625" style="1477" customWidth="1"/>
    <col min="13838" max="14080" width="9.109375" style="1477"/>
    <col min="14081" max="14081" width="10.33203125" style="1477" customWidth="1"/>
    <col min="14082" max="14082" width="7" style="1477" customWidth="1"/>
    <col min="14083" max="14083" width="7.33203125" style="1477" customWidth="1"/>
    <col min="14084" max="14084" width="9.33203125" style="1477" customWidth="1"/>
    <col min="14085" max="14085" width="12" style="1477" customWidth="1"/>
    <col min="14086" max="14087" width="11.88671875" style="1477" customWidth="1"/>
    <col min="14088" max="14088" width="13.44140625" style="1477" customWidth="1"/>
    <col min="14089" max="14089" width="13.6640625" style="1477" customWidth="1"/>
    <col min="14090" max="14090" width="11.44140625" style="1477" customWidth="1"/>
    <col min="14091" max="14091" width="13.88671875" style="1477" customWidth="1"/>
    <col min="14092" max="14092" width="12.44140625" style="1477" customWidth="1"/>
    <col min="14093" max="14093" width="16.44140625" style="1477" customWidth="1"/>
    <col min="14094" max="14336" width="9.109375" style="1477"/>
    <col min="14337" max="14337" width="10.33203125" style="1477" customWidth="1"/>
    <col min="14338" max="14338" width="7" style="1477" customWidth="1"/>
    <col min="14339" max="14339" width="7.33203125" style="1477" customWidth="1"/>
    <col min="14340" max="14340" width="9.33203125" style="1477" customWidth="1"/>
    <col min="14341" max="14341" width="12" style="1477" customWidth="1"/>
    <col min="14342" max="14343" width="11.88671875" style="1477" customWidth="1"/>
    <col min="14344" max="14344" width="13.44140625" style="1477" customWidth="1"/>
    <col min="14345" max="14345" width="13.6640625" style="1477" customWidth="1"/>
    <col min="14346" max="14346" width="11.44140625" style="1477" customWidth="1"/>
    <col min="14347" max="14347" width="13.88671875" style="1477" customWidth="1"/>
    <col min="14348" max="14348" width="12.44140625" style="1477" customWidth="1"/>
    <col min="14349" max="14349" width="16.44140625" style="1477" customWidth="1"/>
    <col min="14350" max="14592" width="9.109375" style="1477"/>
    <col min="14593" max="14593" width="10.33203125" style="1477" customWidth="1"/>
    <col min="14594" max="14594" width="7" style="1477" customWidth="1"/>
    <col min="14595" max="14595" width="7.33203125" style="1477" customWidth="1"/>
    <col min="14596" max="14596" width="9.33203125" style="1477" customWidth="1"/>
    <col min="14597" max="14597" width="12" style="1477" customWidth="1"/>
    <col min="14598" max="14599" width="11.88671875" style="1477" customWidth="1"/>
    <col min="14600" max="14600" width="13.44140625" style="1477" customWidth="1"/>
    <col min="14601" max="14601" width="13.6640625" style="1477" customWidth="1"/>
    <col min="14602" max="14602" width="11.44140625" style="1477" customWidth="1"/>
    <col min="14603" max="14603" width="13.88671875" style="1477" customWidth="1"/>
    <col min="14604" max="14604" width="12.44140625" style="1477" customWidth="1"/>
    <col min="14605" max="14605" width="16.44140625" style="1477" customWidth="1"/>
    <col min="14606" max="14848" width="9.109375" style="1477"/>
    <col min="14849" max="14849" width="10.33203125" style="1477" customWidth="1"/>
    <col min="14850" max="14850" width="7" style="1477" customWidth="1"/>
    <col min="14851" max="14851" width="7.33203125" style="1477" customWidth="1"/>
    <col min="14852" max="14852" width="9.33203125" style="1477" customWidth="1"/>
    <col min="14853" max="14853" width="12" style="1477" customWidth="1"/>
    <col min="14854" max="14855" width="11.88671875" style="1477" customWidth="1"/>
    <col min="14856" max="14856" width="13.44140625" style="1477" customWidth="1"/>
    <col min="14857" max="14857" width="13.6640625" style="1477" customWidth="1"/>
    <col min="14858" max="14858" width="11.44140625" style="1477" customWidth="1"/>
    <col min="14859" max="14859" width="13.88671875" style="1477" customWidth="1"/>
    <col min="14860" max="14860" width="12.44140625" style="1477" customWidth="1"/>
    <col min="14861" max="14861" width="16.44140625" style="1477" customWidth="1"/>
    <col min="14862" max="15104" width="9.109375" style="1477"/>
    <col min="15105" max="15105" width="10.33203125" style="1477" customWidth="1"/>
    <col min="15106" max="15106" width="7" style="1477" customWidth="1"/>
    <col min="15107" max="15107" width="7.33203125" style="1477" customWidth="1"/>
    <col min="15108" max="15108" width="9.33203125" style="1477" customWidth="1"/>
    <col min="15109" max="15109" width="12" style="1477" customWidth="1"/>
    <col min="15110" max="15111" width="11.88671875" style="1477" customWidth="1"/>
    <col min="15112" max="15112" width="13.44140625" style="1477" customWidth="1"/>
    <col min="15113" max="15113" width="13.6640625" style="1477" customWidth="1"/>
    <col min="15114" max="15114" width="11.44140625" style="1477" customWidth="1"/>
    <col min="15115" max="15115" width="13.88671875" style="1477" customWidth="1"/>
    <col min="15116" max="15116" width="12.44140625" style="1477" customWidth="1"/>
    <col min="15117" max="15117" width="16.44140625" style="1477" customWidth="1"/>
    <col min="15118" max="15360" width="9.109375" style="1477"/>
    <col min="15361" max="15361" width="10.33203125" style="1477" customWidth="1"/>
    <col min="15362" max="15362" width="7" style="1477" customWidth="1"/>
    <col min="15363" max="15363" width="7.33203125" style="1477" customWidth="1"/>
    <col min="15364" max="15364" width="9.33203125" style="1477" customWidth="1"/>
    <col min="15365" max="15365" width="12" style="1477" customWidth="1"/>
    <col min="15366" max="15367" width="11.88671875" style="1477" customWidth="1"/>
    <col min="15368" max="15368" width="13.44140625" style="1477" customWidth="1"/>
    <col min="15369" max="15369" width="13.6640625" style="1477" customWidth="1"/>
    <col min="15370" max="15370" width="11.44140625" style="1477" customWidth="1"/>
    <col min="15371" max="15371" width="13.88671875" style="1477" customWidth="1"/>
    <col min="15372" max="15372" width="12.44140625" style="1477" customWidth="1"/>
    <col min="15373" max="15373" width="16.44140625" style="1477" customWidth="1"/>
    <col min="15374" max="15616" width="9.109375" style="1477"/>
    <col min="15617" max="15617" width="10.33203125" style="1477" customWidth="1"/>
    <col min="15618" max="15618" width="7" style="1477" customWidth="1"/>
    <col min="15619" max="15619" width="7.33203125" style="1477" customWidth="1"/>
    <col min="15620" max="15620" width="9.33203125" style="1477" customWidth="1"/>
    <col min="15621" max="15621" width="12" style="1477" customWidth="1"/>
    <col min="15622" max="15623" width="11.88671875" style="1477" customWidth="1"/>
    <col min="15624" max="15624" width="13.44140625" style="1477" customWidth="1"/>
    <col min="15625" max="15625" width="13.6640625" style="1477" customWidth="1"/>
    <col min="15626" max="15626" width="11.44140625" style="1477" customWidth="1"/>
    <col min="15627" max="15627" width="13.88671875" style="1477" customWidth="1"/>
    <col min="15628" max="15628" width="12.44140625" style="1477" customWidth="1"/>
    <col min="15629" max="15629" width="16.44140625" style="1477" customWidth="1"/>
    <col min="15630" max="15872" width="9.109375" style="1477"/>
    <col min="15873" max="15873" width="10.33203125" style="1477" customWidth="1"/>
    <col min="15874" max="15874" width="7" style="1477" customWidth="1"/>
    <col min="15875" max="15875" width="7.33203125" style="1477" customWidth="1"/>
    <col min="15876" max="15876" width="9.33203125" style="1477" customWidth="1"/>
    <col min="15877" max="15877" width="12" style="1477" customWidth="1"/>
    <col min="15878" max="15879" width="11.88671875" style="1477" customWidth="1"/>
    <col min="15880" max="15880" width="13.44140625" style="1477" customWidth="1"/>
    <col min="15881" max="15881" width="13.6640625" style="1477" customWidth="1"/>
    <col min="15882" max="15882" width="11.44140625" style="1477" customWidth="1"/>
    <col min="15883" max="15883" width="13.88671875" style="1477" customWidth="1"/>
    <col min="15884" max="15884" width="12.44140625" style="1477" customWidth="1"/>
    <col min="15885" max="15885" width="16.44140625" style="1477" customWidth="1"/>
    <col min="15886" max="16128" width="9.109375" style="1477"/>
    <col min="16129" max="16129" width="10.33203125" style="1477" customWidth="1"/>
    <col min="16130" max="16130" width="7" style="1477" customWidth="1"/>
    <col min="16131" max="16131" width="7.33203125" style="1477" customWidth="1"/>
    <col min="16132" max="16132" width="9.33203125" style="1477" customWidth="1"/>
    <col min="16133" max="16133" width="12" style="1477" customWidth="1"/>
    <col min="16134" max="16135" width="11.88671875" style="1477" customWidth="1"/>
    <col min="16136" max="16136" width="13.44140625" style="1477" customWidth="1"/>
    <col min="16137" max="16137" width="13.6640625" style="1477" customWidth="1"/>
    <col min="16138" max="16138" width="11.44140625" style="1477" customWidth="1"/>
    <col min="16139" max="16139" width="13.88671875" style="1477" customWidth="1"/>
    <col min="16140" max="16140" width="12.44140625" style="1477" customWidth="1"/>
    <col min="16141" max="16141" width="16.44140625" style="1477" customWidth="1"/>
    <col min="16142" max="16384" width="9.109375" style="1477"/>
  </cols>
  <sheetData>
    <row r="2" spans="1:13" s="1474" customFormat="1" ht="45" customHeight="1">
      <c r="A2" s="3448" t="s">
        <v>927</v>
      </c>
      <c r="B2" s="3448" t="s">
        <v>741</v>
      </c>
      <c r="C2" s="3443" t="s">
        <v>743</v>
      </c>
      <c r="D2" s="3443"/>
      <c r="E2" s="3443"/>
      <c r="F2" s="3443" t="s">
        <v>928</v>
      </c>
      <c r="G2" s="3443"/>
      <c r="H2" s="3443"/>
      <c r="I2" s="3448" t="s">
        <v>752</v>
      </c>
      <c r="J2" s="3448" t="s">
        <v>753</v>
      </c>
      <c r="K2" s="3443" t="s">
        <v>929</v>
      </c>
      <c r="L2" s="3443"/>
      <c r="M2" s="3448" t="s">
        <v>930</v>
      </c>
    </row>
    <row r="3" spans="1:13">
      <c r="A3" s="3449"/>
      <c r="B3" s="3449"/>
      <c r="C3" s="1479" t="s">
        <v>744</v>
      </c>
      <c r="D3" s="1479" t="s">
        <v>745</v>
      </c>
      <c r="E3" s="1479" t="s">
        <v>747</v>
      </c>
      <c r="F3" s="1479" t="s">
        <v>744</v>
      </c>
      <c r="G3" s="1479" t="s">
        <v>745</v>
      </c>
      <c r="H3" s="1479" t="s">
        <v>931</v>
      </c>
      <c r="I3" s="3449"/>
      <c r="J3" s="3449"/>
      <c r="K3" s="1479" t="s">
        <v>755</v>
      </c>
      <c r="L3" s="1479" t="s">
        <v>756</v>
      </c>
      <c r="M3" s="3449"/>
    </row>
    <row r="4" spans="1:13">
      <c r="A4" s="1480">
        <f>'ESAL-result'!D9</f>
        <v>139</v>
      </c>
      <c r="B4" s="1481">
        <f>'ESAL-result'!D10:D10</f>
        <v>0</v>
      </c>
      <c r="C4" s="1481">
        <f>'ESAL-result'!D11</f>
        <v>75</v>
      </c>
      <c r="D4" s="1481">
        <f>'ESAL-result'!D12</f>
        <v>17</v>
      </c>
      <c r="E4" s="1481">
        <f>'ESAL-result'!D13</f>
        <v>0</v>
      </c>
      <c r="F4" s="1481">
        <f>'ESAL-result'!D14</f>
        <v>47</v>
      </c>
      <c r="G4" s="1481">
        <f>'ESAL-result'!D15</f>
        <v>10</v>
      </c>
      <c r="H4" s="1481">
        <f>'ESAL-result'!D16</f>
        <v>27</v>
      </c>
      <c r="I4" s="1481">
        <f>'ESAL-result'!D17:D17</f>
        <v>168</v>
      </c>
      <c r="J4" s="1481">
        <f>'ESAL-result'!D18</f>
        <v>29</v>
      </c>
      <c r="K4" s="1481">
        <f>'ESAL-result'!D19</f>
        <v>0</v>
      </c>
      <c r="L4" s="1481">
        <f>'ESAL-result'!D20</f>
        <v>0</v>
      </c>
      <c r="M4" s="1481">
        <f>SUM(A4:L4)</f>
        <v>512</v>
      </c>
    </row>
    <row r="5" spans="1:13" s="1475" customFormat="1">
      <c r="A5" s="1482"/>
      <c r="B5" s="1482"/>
      <c r="C5" s="1482"/>
      <c r="D5" s="1482"/>
      <c r="E5" s="1482"/>
      <c r="F5" s="1482"/>
      <c r="G5" s="1482"/>
      <c r="H5" s="1482"/>
      <c r="I5" s="1482"/>
      <c r="J5" s="1482"/>
      <c r="K5" s="1482"/>
      <c r="L5" s="1482"/>
      <c r="M5" s="1482"/>
    </row>
    <row r="6" spans="1:13">
      <c r="A6" s="1483"/>
      <c r="B6" s="1483"/>
      <c r="C6" s="1483"/>
      <c r="D6" s="3444" t="s">
        <v>932</v>
      </c>
      <c r="E6" s="3444"/>
      <c r="F6" s="3444"/>
      <c r="G6" s="1484">
        <f>'ESAL-result'!E25</f>
        <v>2</v>
      </c>
      <c r="H6" s="1483"/>
      <c r="I6" s="3445" t="s">
        <v>933</v>
      </c>
      <c r="J6" s="3446"/>
      <c r="K6" s="3446"/>
      <c r="L6" s="3447"/>
      <c r="M6" s="1484" t="str">
        <f>'ESAL-result'!E24</f>
        <v>NO</v>
      </c>
    </row>
    <row r="7" spans="1:13">
      <c r="D7" s="3452" t="s">
        <v>934</v>
      </c>
      <c r="E7" s="3452"/>
      <c r="F7" s="3452"/>
      <c r="G7" s="1485">
        <f>'ESAL-result'!E27</f>
        <v>1</v>
      </c>
      <c r="I7" s="3453" t="s">
        <v>935</v>
      </c>
      <c r="J7" s="3453"/>
      <c r="K7" s="3453"/>
      <c r="L7" s="3453"/>
      <c r="M7" s="1502">
        <f>'ESAL-result'!E26</f>
        <v>75</v>
      </c>
    </row>
    <row r="8" spans="1:13">
      <c r="I8" s="3454" t="s">
        <v>936</v>
      </c>
      <c r="J8" s="3455"/>
      <c r="K8" s="3455"/>
      <c r="L8" s="3456"/>
      <c r="M8" s="1485">
        <f>IF(M6="yes",M4/2,M4)</f>
        <v>512</v>
      </c>
    </row>
    <row r="9" spans="1:13">
      <c r="I9" s="3454" t="s">
        <v>937</v>
      </c>
      <c r="J9" s="3455"/>
      <c r="K9" s="3455"/>
      <c r="L9" s="3456"/>
      <c r="M9" s="1503">
        <f>ROUND(M8+((0.6*G7*M7*G6*M8)/365),0)</f>
        <v>638</v>
      </c>
    </row>
    <row r="10" spans="1:13">
      <c r="I10" s="3454" t="s">
        <v>938</v>
      </c>
      <c r="J10" s="3455"/>
      <c r="K10" s="3455"/>
      <c r="L10" s="3456"/>
      <c r="M10" s="1504">
        <f>ROUND(M9*((1.06)^'ESAL-result'!E23),0)</f>
        <v>717</v>
      </c>
    </row>
    <row r="11" spans="1:13" ht="15" customHeight="1">
      <c r="I11" s="3454" t="s">
        <v>939</v>
      </c>
      <c r="J11" s="3455"/>
      <c r="K11" s="3455"/>
      <c r="L11" s="3456"/>
      <c r="M11" s="1505">
        <f>M10/M4</f>
        <v>1.400390625</v>
      </c>
    </row>
    <row r="12" spans="1:13" ht="15" hidden="1" customHeight="1">
      <c r="A12" s="1486">
        <f>M11</f>
        <v>1.400390625</v>
      </c>
      <c r="B12" s="1486">
        <f>M11</f>
        <v>1.400390625</v>
      </c>
      <c r="C12" s="1486">
        <f>M11</f>
        <v>1.400390625</v>
      </c>
      <c r="D12" s="1486">
        <f>M11</f>
        <v>1.400390625</v>
      </c>
      <c r="E12" s="1486">
        <f>M11</f>
        <v>1.400390625</v>
      </c>
      <c r="F12" s="1486">
        <f>M11</f>
        <v>1.400390625</v>
      </c>
      <c r="G12" s="1486">
        <f>M11</f>
        <v>1.400390625</v>
      </c>
      <c r="H12" s="1486">
        <f>M11</f>
        <v>1.400390625</v>
      </c>
      <c r="I12" s="1486">
        <f>M11</f>
        <v>1.400390625</v>
      </c>
      <c r="J12" s="1486">
        <f>M11</f>
        <v>1.400390625</v>
      </c>
      <c r="K12" s="1486">
        <f>M11</f>
        <v>1.400390625</v>
      </c>
      <c r="L12" s="1486">
        <f>M11</f>
        <v>1.400390625</v>
      </c>
      <c r="M12" s="1506"/>
    </row>
    <row r="13" spans="1:13" ht="15" customHeight="1">
      <c r="A13" s="1486"/>
      <c r="B13" s="1486"/>
      <c r="C13" s="1486"/>
      <c r="D13" s="1486"/>
      <c r="E13" s="1486"/>
      <c r="F13" s="1486"/>
      <c r="G13" s="1486"/>
      <c r="H13" s="1486" t="s">
        <v>85</v>
      </c>
      <c r="I13" s="1486"/>
      <c r="J13" s="1486"/>
      <c r="K13" s="1486"/>
      <c r="L13" s="1486"/>
      <c r="M13" s="1506"/>
    </row>
    <row r="14" spans="1:13">
      <c r="A14" s="3470" t="s">
        <v>927</v>
      </c>
      <c r="B14" s="3470" t="s">
        <v>741</v>
      </c>
      <c r="C14" s="3470" t="s">
        <v>743</v>
      </c>
      <c r="D14" s="3470"/>
      <c r="E14" s="3470"/>
      <c r="F14" s="3470" t="s">
        <v>940</v>
      </c>
      <c r="G14" s="3470"/>
      <c r="H14" s="3470"/>
      <c r="I14" s="3450" t="s">
        <v>752</v>
      </c>
      <c r="J14" s="3450" t="s">
        <v>753</v>
      </c>
      <c r="K14" s="3470" t="s">
        <v>929</v>
      </c>
      <c r="L14" s="3470"/>
      <c r="M14" s="3479"/>
    </row>
    <row r="15" spans="1:13" ht="43.5" customHeight="1">
      <c r="A15" s="3470"/>
      <c r="B15" s="3470"/>
      <c r="C15" s="1484" t="s">
        <v>744</v>
      </c>
      <c r="D15" s="1484" t="s">
        <v>745</v>
      </c>
      <c r="E15" s="1484" t="s">
        <v>747</v>
      </c>
      <c r="F15" s="1484" t="s">
        <v>744</v>
      </c>
      <c r="G15" s="1484" t="s">
        <v>745</v>
      </c>
      <c r="H15" s="1484" t="s">
        <v>931</v>
      </c>
      <c r="I15" s="3451"/>
      <c r="J15" s="3451"/>
      <c r="K15" s="1484" t="s">
        <v>755</v>
      </c>
      <c r="L15" s="1484" t="s">
        <v>756</v>
      </c>
      <c r="M15" s="3479"/>
    </row>
    <row r="16" spans="1:13" s="1476" customFormat="1">
      <c r="A16" s="1487">
        <f>ROUND(A4*A12,0)</f>
        <v>195</v>
      </c>
      <c r="B16" s="1487">
        <f>ROUND(B4*B12,0)</f>
        <v>0</v>
      </c>
      <c r="C16" s="1487">
        <f>ROUND(C4*C12,0)</f>
        <v>105</v>
      </c>
      <c r="D16" s="1487">
        <f t="shared" ref="D16:L16" si="0">ROUND(D4*D12,0)</f>
        <v>24</v>
      </c>
      <c r="E16" s="1487">
        <f t="shared" si="0"/>
        <v>0</v>
      </c>
      <c r="F16" s="1487">
        <f t="shared" si="0"/>
        <v>66</v>
      </c>
      <c r="G16" s="1487">
        <f t="shared" si="0"/>
        <v>14</v>
      </c>
      <c r="H16" s="1487">
        <f t="shared" si="0"/>
        <v>38</v>
      </c>
      <c r="I16" s="1487">
        <f t="shared" si="0"/>
        <v>235</v>
      </c>
      <c r="J16" s="1487">
        <f t="shared" si="0"/>
        <v>41</v>
      </c>
      <c r="K16" s="1487">
        <f t="shared" si="0"/>
        <v>0</v>
      </c>
      <c r="L16" s="1487">
        <f t="shared" si="0"/>
        <v>0</v>
      </c>
      <c r="M16" s="1507"/>
    </row>
    <row r="18" spans="1:13">
      <c r="A18" s="3471" t="s">
        <v>941</v>
      </c>
      <c r="B18" s="3472" t="s">
        <v>942</v>
      </c>
      <c r="C18" s="3478" t="s">
        <v>743</v>
      </c>
      <c r="D18" s="3470"/>
      <c r="E18" s="3470"/>
      <c r="F18" s="3470" t="s">
        <v>85</v>
      </c>
      <c r="G18" s="3470"/>
      <c r="H18" s="3470"/>
    </row>
    <row r="19" spans="1:13">
      <c r="A19" s="3471"/>
      <c r="B19" s="3472"/>
      <c r="C19" s="1488" t="s">
        <v>744</v>
      </c>
      <c r="D19" s="1484" t="s">
        <v>745</v>
      </c>
      <c r="E19" s="1484" t="s">
        <v>747</v>
      </c>
      <c r="F19" s="1484" t="s">
        <v>744</v>
      </c>
      <c r="G19" s="1484" t="s">
        <v>745</v>
      </c>
      <c r="H19" s="1484" t="s">
        <v>931</v>
      </c>
    </row>
    <row r="20" spans="1:13">
      <c r="A20" s="3471"/>
      <c r="B20" s="3472"/>
      <c r="C20" s="1489">
        <f>'ESAL-result'!E11</f>
        <v>2.58</v>
      </c>
      <c r="D20" s="1490">
        <f>'ESAL-result'!E12</f>
        <v>0.31</v>
      </c>
      <c r="E20" s="1490">
        <f>'ESAL-result'!E13</f>
        <v>2.86</v>
      </c>
      <c r="F20" s="1490">
        <f>'ESAL-result'!E14</f>
        <v>0.31</v>
      </c>
      <c r="G20" s="1490">
        <f>'ESAL-result'!E15</f>
        <v>0.02</v>
      </c>
      <c r="H20" s="1490">
        <f>'ESAL-result'!E16</f>
        <v>0.34</v>
      </c>
    </row>
    <row r="21" spans="1:13">
      <c r="A21" s="3471"/>
      <c r="B21" s="3476"/>
      <c r="C21" s="3477"/>
      <c r="D21" s="3477"/>
      <c r="E21" s="3477"/>
      <c r="F21" s="3477"/>
      <c r="G21" s="3477"/>
      <c r="H21" s="3477"/>
    </row>
    <row r="22" spans="1:13">
      <c r="A22" s="3471"/>
      <c r="B22" s="3473" t="s">
        <v>943</v>
      </c>
      <c r="C22" s="3478" t="s">
        <v>743</v>
      </c>
      <c r="D22" s="3470"/>
      <c r="E22" s="3470"/>
      <c r="F22" s="3470" t="s">
        <v>940</v>
      </c>
      <c r="G22" s="3470"/>
      <c r="H22" s="3470"/>
      <c r="I22" s="3492" t="s">
        <v>944</v>
      </c>
    </row>
    <row r="23" spans="1:13">
      <c r="A23" s="3471"/>
      <c r="B23" s="3474"/>
      <c r="C23" s="1488" t="s">
        <v>744</v>
      </c>
      <c r="D23" s="1484" t="s">
        <v>745</v>
      </c>
      <c r="E23" s="1484" t="s">
        <v>747</v>
      </c>
      <c r="F23" s="1484" t="s">
        <v>744</v>
      </c>
      <c r="G23" s="1484" t="s">
        <v>745</v>
      </c>
      <c r="H23" s="1484" t="s">
        <v>931</v>
      </c>
      <c r="I23" s="3493"/>
    </row>
    <row r="24" spans="1:13">
      <c r="A24" s="3471"/>
      <c r="B24" s="3475"/>
      <c r="C24" s="1491">
        <f t="shared" ref="C24:H24" si="1">C16*C20</f>
        <v>270.90000000000003</v>
      </c>
      <c r="D24" s="1487">
        <f t="shared" si="1"/>
        <v>7.4399999999999995</v>
      </c>
      <c r="E24" s="1487">
        <f t="shared" si="1"/>
        <v>0</v>
      </c>
      <c r="F24" s="1487">
        <f t="shared" si="1"/>
        <v>20.46</v>
      </c>
      <c r="G24" s="1487">
        <f t="shared" si="1"/>
        <v>0.28000000000000003</v>
      </c>
      <c r="H24" s="1487">
        <f t="shared" si="1"/>
        <v>12.920000000000002</v>
      </c>
      <c r="I24" s="1508">
        <f>ROUNDUP(SUM(C24:H24),2)</f>
        <v>312</v>
      </c>
      <c r="K24" s="3453" t="s">
        <v>944</v>
      </c>
      <c r="L24" s="3453"/>
      <c r="M24" s="1509">
        <f>I24</f>
        <v>312</v>
      </c>
    </row>
    <row r="25" spans="1:13">
      <c r="K25" s="3489"/>
      <c r="L25" s="3490"/>
      <c r="M25" s="3491"/>
    </row>
    <row r="26" spans="1:13">
      <c r="K26" s="3488" t="s">
        <v>945</v>
      </c>
      <c r="L26" s="3488"/>
      <c r="M26" s="1509">
        <f>M24*4811*1</f>
        <v>1501032</v>
      </c>
    </row>
    <row r="27" spans="1:13">
      <c r="K27" s="3489"/>
      <c r="L27" s="3490"/>
      <c r="M27" s="3491"/>
    </row>
    <row r="28" spans="1:13">
      <c r="K28" s="3452" t="s">
        <v>946</v>
      </c>
      <c r="L28" s="3452"/>
      <c r="M28" s="1509">
        <f>IF(K4=0,1,(IF(AND(M10&gt;100,M10&lt;150),((((L43-L42)/(K43-K42))*(M10-K42))+L42),0)+IF(AND(M10&gt;150,M10&lt;200),((((L44-L43)/(K44-K43))*(M10-K43))+L43),0)+IF(AND(M10&gt;200,M10&lt;300),((((L45-L44)/(K45-K44))*(M10-K44))+L44),0)+IF(AND(M10&gt;300,M10&lt;400),((((L46-L45)/(K46-K45))*(M10-K45))+L45),0)+IF(AND(M10&gt;400,M10&lt;500),((((L47-L46)/(K47-K46))*(M10-K46))+L46),0)))</f>
        <v>1</v>
      </c>
    </row>
    <row r="29" spans="1:13">
      <c r="K29" s="3489"/>
      <c r="L29" s="3490"/>
      <c r="M29" s="3491"/>
    </row>
    <row r="30" spans="1:13">
      <c r="K30" s="3452" t="s">
        <v>749</v>
      </c>
      <c r="L30" s="3452"/>
      <c r="M30" s="1485">
        <f>M26*M28</f>
        <v>1501032</v>
      </c>
    </row>
    <row r="31" spans="1:13">
      <c r="K31" s="1510"/>
      <c r="L31" s="1510"/>
    </row>
    <row r="32" spans="1:13" ht="21">
      <c r="H32" s="1492"/>
      <c r="K32" s="1511" t="s">
        <v>750</v>
      </c>
      <c r="L32" s="1512" t="s">
        <v>751</v>
      </c>
      <c r="M32" s="1513">
        <f>IF(AND(M30&gt;10000,M30&lt;30000),1,0)+IF(AND(M30&gt;30000,M30&lt;60000),2,0)+IF(AND(M30&gt;60000,M30&lt;100000),3,0)+IF(AND(M30&gt;100000,M30&lt;200000),4,0)+IF(AND(M30&gt;200000,M30&lt;300000),5,0)+IF(AND(M30&gt;300000,M30&lt;600000),6,0)+IF(AND(M30&gt;600000,M30&lt;1000000),7,0)</f>
        <v>0</v>
      </c>
    </row>
    <row r="35" spans="2:13">
      <c r="G35" s="1483" t="s">
        <v>947</v>
      </c>
    </row>
    <row r="36" spans="2:13" ht="31.2">
      <c r="D36" s="1493" t="s">
        <v>495</v>
      </c>
      <c r="E36" s="1494">
        <f>'ESAL-result'!$E$29</f>
        <v>10</v>
      </c>
      <c r="G36" s="1483">
        <f>IF(E36=2,1,0)+IF(AND(E36&gt;=3,E36&lt;=4),2,0)+IF(AND(E36&gt;=5,E36&lt;=6),3,0)+IF(AND(E36&gt;=7,E36&lt;=9),4,0)+IF(AND(E36&gt;=10,E36&lt;=15),5,0)</f>
        <v>5</v>
      </c>
      <c r="I36" s="1514" t="s">
        <v>750</v>
      </c>
      <c r="J36" s="1515" t="s">
        <v>751</v>
      </c>
      <c r="K36" s="1516">
        <f>M32</f>
        <v>0</v>
      </c>
    </row>
    <row r="39" spans="2:13">
      <c r="B39" s="3457" t="s">
        <v>948</v>
      </c>
      <c r="C39" s="3457"/>
      <c r="D39" s="3457"/>
    </row>
    <row r="40" spans="2:13" ht="18">
      <c r="H40" s="1495" t="s">
        <v>757</v>
      </c>
      <c r="J40" s="3458" t="s">
        <v>949</v>
      </c>
      <c r="K40" s="3459"/>
      <c r="L40" s="3459"/>
      <c r="M40" s="3460"/>
    </row>
    <row r="41" spans="2:13" ht="34.5" customHeight="1">
      <c r="E41" s="3461" t="s">
        <v>950</v>
      </c>
      <c r="F41" s="3462"/>
      <c r="G41" s="3463"/>
      <c r="H41" s="1496">
        <f>INDEX('ESAL-Data'!B30:H34,'ESAL-calculation '!G36,'ESAL-calculation '!M32)</f>
        <v>75</v>
      </c>
      <c r="I41" s="1475"/>
      <c r="J41" s="1517"/>
      <c r="M41" s="1518"/>
    </row>
    <row r="42" spans="2:13" ht="33" customHeight="1">
      <c r="E42" s="3464" t="s">
        <v>761</v>
      </c>
      <c r="F42" s="3465"/>
      <c r="G42" s="3466"/>
      <c r="H42" s="1497">
        <f>INDEX('ESAL-Data'!B23:H27,'ESAL-calculation '!G36,'ESAL-calculation '!M32)</f>
        <v>150</v>
      </c>
      <c r="J42" s="1517"/>
      <c r="K42" s="1484">
        <v>100</v>
      </c>
      <c r="L42" s="1484">
        <v>1.7</v>
      </c>
      <c r="M42" s="1518"/>
    </row>
    <row r="43" spans="2:13" ht="27" customHeight="1">
      <c r="E43" s="3467" t="s">
        <v>951</v>
      </c>
      <c r="F43" s="3468"/>
      <c r="G43" s="3469"/>
      <c r="H43" s="1498">
        <f>INDEX('ESAL-Data'!B16:H20,'ESAL-calculation '!G36,'ESAL-calculation '!M32)</f>
        <v>0</v>
      </c>
      <c r="J43" s="1517"/>
      <c r="K43" s="1484">
        <v>150</v>
      </c>
      <c r="L43" s="1484">
        <v>1.25</v>
      </c>
      <c r="M43" s="1518"/>
    </row>
    <row r="44" spans="2:13" ht="30" customHeight="1">
      <c r="E44" s="3480" t="s">
        <v>763</v>
      </c>
      <c r="F44" s="3481"/>
      <c r="G44" s="3482"/>
      <c r="H44" s="1499">
        <f>INDEX('ESAL-Data'!B9:H13,'ESAL-calculation '!G36,'ESAL-calculation '!M32)</f>
        <v>125</v>
      </c>
      <c r="J44" s="1517"/>
      <c r="K44" s="1484">
        <v>200</v>
      </c>
      <c r="L44" s="1484">
        <v>1.2</v>
      </c>
      <c r="M44" s="1518"/>
    </row>
    <row r="45" spans="2:13" ht="29.25" customHeight="1">
      <c r="E45" s="3483" t="s">
        <v>765</v>
      </c>
      <c r="F45" s="3484"/>
      <c r="G45" s="3485"/>
      <c r="H45" s="1500">
        <f>INDEX('ESAL-Data'!B2:H6,'ESAL-calculation '!G36,'ESAL-calculation '!M32)</f>
        <v>0</v>
      </c>
      <c r="J45" s="1517"/>
      <c r="K45" s="1484">
        <v>300</v>
      </c>
      <c r="L45" s="1484">
        <v>1.1499999999999999</v>
      </c>
      <c r="M45" s="1518"/>
    </row>
    <row r="46" spans="2:13">
      <c r="J46" s="1517"/>
      <c r="K46" s="1484">
        <v>400</v>
      </c>
      <c r="L46" s="1484">
        <v>1.1000000000000001</v>
      </c>
      <c r="M46" s="1518"/>
    </row>
    <row r="47" spans="2:13" ht="21">
      <c r="F47" s="3486" t="s">
        <v>770</v>
      </c>
      <c r="G47" s="3487"/>
      <c r="H47" s="1501">
        <f>SUM(H41:H45)</f>
        <v>350</v>
      </c>
      <c r="J47" s="1519"/>
      <c r="K47" s="1520">
        <v>500</v>
      </c>
      <c r="L47" s="1520">
        <v>1.07</v>
      </c>
      <c r="M47" s="1521"/>
    </row>
  </sheetData>
  <mergeCells count="48">
    <mergeCell ref="M2:M3"/>
    <mergeCell ref="M14:M15"/>
    <mergeCell ref="E44:G44"/>
    <mergeCell ref="E45:G45"/>
    <mergeCell ref="F47:G47"/>
    <mergeCell ref="K26:L26"/>
    <mergeCell ref="K27:M27"/>
    <mergeCell ref="K28:L28"/>
    <mergeCell ref="K29:M29"/>
    <mergeCell ref="K30:L30"/>
    <mergeCell ref="K24:L24"/>
    <mergeCell ref="K25:M25"/>
    <mergeCell ref="I22:I23"/>
    <mergeCell ref="I11:L11"/>
    <mergeCell ref="K14:L14"/>
    <mergeCell ref="I14:I15"/>
    <mergeCell ref="A2:A3"/>
    <mergeCell ref="A14:A15"/>
    <mergeCell ref="A18:A24"/>
    <mergeCell ref="B2:B3"/>
    <mergeCell ref="B14:B15"/>
    <mergeCell ref="B18:B20"/>
    <mergeCell ref="B22:B24"/>
    <mergeCell ref="B21:H21"/>
    <mergeCell ref="C22:E22"/>
    <mergeCell ref="F22:H22"/>
    <mergeCell ref="C14:E14"/>
    <mergeCell ref="F14:H14"/>
    <mergeCell ref="C18:E18"/>
    <mergeCell ref="F18:H18"/>
    <mergeCell ref="C2:E2"/>
    <mergeCell ref="F2:H2"/>
    <mergeCell ref="B39:D39"/>
    <mergeCell ref="J40:M40"/>
    <mergeCell ref="E41:G41"/>
    <mergeCell ref="E42:G42"/>
    <mergeCell ref="E43:G43"/>
    <mergeCell ref="J14:J15"/>
    <mergeCell ref="D7:F7"/>
    <mergeCell ref="I7:L7"/>
    <mergeCell ref="I8:L8"/>
    <mergeCell ref="I9:L9"/>
    <mergeCell ref="I10:L10"/>
    <mergeCell ref="K2:L2"/>
    <mergeCell ref="D6:F6"/>
    <mergeCell ref="I6:L6"/>
    <mergeCell ref="I2:I3"/>
    <mergeCell ref="J2:J3"/>
  </mergeCells>
  <pageMargins left="0.2" right="0.2" top="0.75" bottom="0.75" header="0.3" footer="0.3"/>
  <pageSetup paperSize="9" scale="9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L34"/>
  <sheetViews>
    <sheetView workbookViewId="0">
      <selection activeCell="I79" sqref="I79"/>
    </sheetView>
  </sheetViews>
  <sheetFormatPr defaultColWidth="9" defaultRowHeight="14.4"/>
  <cols>
    <col min="1" max="1" width="8.88671875" style="1462"/>
    <col min="2" max="2" width="14.88671875" style="1462" customWidth="1"/>
    <col min="3" max="257" width="8.88671875" style="1462"/>
    <col min="258" max="258" width="14.88671875" style="1462" customWidth="1"/>
    <col min="259" max="513" width="8.88671875" style="1462"/>
    <col min="514" max="514" width="14.88671875" style="1462" customWidth="1"/>
    <col min="515" max="769" width="8.88671875" style="1462"/>
    <col min="770" max="770" width="14.88671875" style="1462" customWidth="1"/>
    <col min="771" max="1025" width="8.88671875" style="1462"/>
    <col min="1026" max="1026" width="14.88671875" style="1462" customWidth="1"/>
    <col min="1027" max="1281" width="8.88671875" style="1462"/>
    <col min="1282" max="1282" width="14.88671875" style="1462" customWidth="1"/>
    <col min="1283" max="1537" width="8.88671875" style="1462"/>
    <col min="1538" max="1538" width="14.88671875" style="1462" customWidth="1"/>
    <col min="1539" max="1793" width="8.88671875" style="1462"/>
    <col min="1794" max="1794" width="14.88671875" style="1462" customWidth="1"/>
    <col min="1795" max="2049" width="8.88671875" style="1462"/>
    <col min="2050" max="2050" width="14.88671875" style="1462" customWidth="1"/>
    <col min="2051" max="2305" width="8.88671875" style="1462"/>
    <col min="2306" max="2306" width="14.88671875" style="1462" customWidth="1"/>
    <col min="2307" max="2561" width="8.88671875" style="1462"/>
    <col min="2562" max="2562" width="14.88671875" style="1462" customWidth="1"/>
    <col min="2563" max="2817" width="8.88671875" style="1462"/>
    <col min="2818" max="2818" width="14.88671875" style="1462" customWidth="1"/>
    <col min="2819" max="3073" width="8.88671875" style="1462"/>
    <col min="3074" max="3074" width="14.88671875" style="1462" customWidth="1"/>
    <col min="3075" max="3329" width="8.88671875" style="1462"/>
    <col min="3330" max="3330" width="14.88671875" style="1462" customWidth="1"/>
    <col min="3331" max="3585" width="8.88671875" style="1462"/>
    <col min="3586" max="3586" width="14.88671875" style="1462" customWidth="1"/>
    <col min="3587" max="3841" width="8.88671875" style="1462"/>
    <col min="3842" max="3842" width="14.88671875" style="1462" customWidth="1"/>
    <col min="3843" max="4097" width="8.88671875" style="1462"/>
    <col min="4098" max="4098" width="14.88671875" style="1462" customWidth="1"/>
    <col min="4099" max="4353" width="8.88671875" style="1462"/>
    <col min="4354" max="4354" width="14.88671875" style="1462" customWidth="1"/>
    <col min="4355" max="4609" width="8.88671875" style="1462"/>
    <col min="4610" max="4610" width="14.88671875" style="1462" customWidth="1"/>
    <col min="4611" max="4865" width="8.88671875" style="1462"/>
    <col min="4866" max="4866" width="14.88671875" style="1462" customWidth="1"/>
    <col min="4867" max="5121" width="8.88671875" style="1462"/>
    <col min="5122" max="5122" width="14.88671875" style="1462" customWidth="1"/>
    <col min="5123" max="5377" width="8.88671875" style="1462"/>
    <col min="5378" max="5378" width="14.88671875" style="1462" customWidth="1"/>
    <col min="5379" max="5633" width="8.88671875" style="1462"/>
    <col min="5634" max="5634" width="14.88671875" style="1462" customWidth="1"/>
    <col min="5635" max="5889" width="8.88671875" style="1462"/>
    <col min="5890" max="5890" width="14.88671875" style="1462" customWidth="1"/>
    <col min="5891" max="6145" width="8.88671875" style="1462"/>
    <col min="6146" max="6146" width="14.88671875" style="1462" customWidth="1"/>
    <col min="6147" max="6401" width="8.88671875" style="1462"/>
    <col min="6402" max="6402" width="14.88671875" style="1462" customWidth="1"/>
    <col min="6403" max="6657" width="8.88671875" style="1462"/>
    <col min="6658" max="6658" width="14.88671875" style="1462" customWidth="1"/>
    <col min="6659" max="6913" width="8.88671875" style="1462"/>
    <col min="6914" max="6914" width="14.88671875" style="1462" customWidth="1"/>
    <col min="6915" max="7169" width="8.88671875" style="1462"/>
    <col min="7170" max="7170" width="14.88671875" style="1462" customWidth="1"/>
    <col min="7171" max="7425" width="8.88671875" style="1462"/>
    <col min="7426" max="7426" width="14.88671875" style="1462" customWidth="1"/>
    <col min="7427" max="7681" width="8.88671875" style="1462"/>
    <col min="7682" max="7682" width="14.88671875" style="1462" customWidth="1"/>
    <col min="7683" max="7937" width="8.88671875" style="1462"/>
    <col min="7938" max="7938" width="14.88671875" style="1462" customWidth="1"/>
    <col min="7939" max="8193" width="8.88671875" style="1462"/>
    <col min="8194" max="8194" width="14.88671875" style="1462" customWidth="1"/>
    <col min="8195" max="8449" width="8.88671875" style="1462"/>
    <col min="8450" max="8450" width="14.88671875" style="1462" customWidth="1"/>
    <col min="8451" max="8705" width="8.88671875" style="1462"/>
    <col min="8706" max="8706" width="14.88671875" style="1462" customWidth="1"/>
    <col min="8707" max="8961" width="8.88671875" style="1462"/>
    <col min="8962" max="8962" width="14.88671875" style="1462" customWidth="1"/>
    <col min="8963" max="9217" width="8.88671875" style="1462"/>
    <col min="9218" max="9218" width="14.88671875" style="1462" customWidth="1"/>
    <col min="9219" max="9473" width="8.88671875" style="1462"/>
    <col min="9474" max="9474" width="14.88671875" style="1462" customWidth="1"/>
    <col min="9475" max="9729" width="8.88671875" style="1462"/>
    <col min="9730" max="9730" width="14.88671875" style="1462" customWidth="1"/>
    <col min="9731" max="9985" width="8.88671875" style="1462"/>
    <col min="9986" max="9986" width="14.88671875" style="1462" customWidth="1"/>
    <col min="9987" max="10241" width="8.88671875" style="1462"/>
    <col min="10242" max="10242" width="14.88671875" style="1462" customWidth="1"/>
    <col min="10243" max="10497" width="8.88671875" style="1462"/>
    <col min="10498" max="10498" width="14.88671875" style="1462" customWidth="1"/>
    <col min="10499" max="10753" width="8.88671875" style="1462"/>
    <col min="10754" max="10754" width="14.88671875" style="1462" customWidth="1"/>
    <col min="10755" max="11009" width="8.88671875" style="1462"/>
    <col min="11010" max="11010" width="14.88671875" style="1462" customWidth="1"/>
    <col min="11011" max="11265" width="8.88671875" style="1462"/>
    <col min="11266" max="11266" width="14.88671875" style="1462" customWidth="1"/>
    <col min="11267" max="11521" width="8.88671875" style="1462"/>
    <col min="11522" max="11522" width="14.88671875" style="1462" customWidth="1"/>
    <col min="11523" max="11777" width="8.88671875" style="1462"/>
    <col min="11778" max="11778" width="14.88671875" style="1462" customWidth="1"/>
    <col min="11779" max="12033" width="8.88671875" style="1462"/>
    <col min="12034" max="12034" width="14.88671875" style="1462" customWidth="1"/>
    <col min="12035" max="12289" width="8.88671875" style="1462"/>
    <col min="12290" max="12290" width="14.88671875" style="1462" customWidth="1"/>
    <col min="12291" max="12545" width="8.88671875" style="1462"/>
    <col min="12546" max="12546" width="14.88671875" style="1462" customWidth="1"/>
    <col min="12547" max="12801" width="8.88671875" style="1462"/>
    <col min="12802" max="12802" width="14.88671875" style="1462" customWidth="1"/>
    <col min="12803" max="13057" width="8.88671875" style="1462"/>
    <col min="13058" max="13058" width="14.88671875" style="1462" customWidth="1"/>
    <col min="13059" max="13313" width="8.88671875" style="1462"/>
    <col min="13314" max="13314" width="14.88671875" style="1462" customWidth="1"/>
    <col min="13315" max="13569" width="8.88671875" style="1462"/>
    <col min="13570" max="13570" width="14.88671875" style="1462" customWidth="1"/>
    <col min="13571" max="13825" width="8.88671875" style="1462"/>
    <col min="13826" max="13826" width="14.88671875" style="1462" customWidth="1"/>
    <col min="13827" max="14081" width="8.88671875" style="1462"/>
    <col min="14082" max="14082" width="14.88671875" style="1462" customWidth="1"/>
    <col min="14083" max="14337" width="8.88671875" style="1462"/>
    <col min="14338" max="14338" width="14.88671875" style="1462" customWidth="1"/>
    <col min="14339" max="14593" width="8.88671875" style="1462"/>
    <col min="14594" max="14594" width="14.88671875" style="1462" customWidth="1"/>
    <col min="14595" max="14849" width="8.88671875" style="1462"/>
    <col min="14850" max="14850" width="14.88671875" style="1462" customWidth="1"/>
    <col min="14851" max="15105" width="8.88671875" style="1462"/>
    <col min="15106" max="15106" width="14.88671875" style="1462" customWidth="1"/>
    <col min="15107" max="15361" width="8.88671875" style="1462"/>
    <col min="15362" max="15362" width="14.88671875" style="1462" customWidth="1"/>
    <col min="15363" max="15617" width="8.88671875" style="1462"/>
    <col min="15618" max="15618" width="14.88671875" style="1462" customWidth="1"/>
    <col min="15619" max="15873" width="8.88671875" style="1462"/>
    <col min="15874" max="15874" width="14.88671875" style="1462" customWidth="1"/>
    <col min="15875" max="16129" width="8.88671875" style="1462"/>
    <col min="16130" max="16130" width="14.88671875" style="1462" customWidth="1"/>
    <col min="16131" max="16384" width="8.88671875" style="1462"/>
  </cols>
  <sheetData>
    <row r="1" spans="1:12">
      <c r="A1" s="1463" t="s">
        <v>495</v>
      </c>
      <c r="B1" s="1464">
        <v>1</v>
      </c>
      <c r="C1" s="1465">
        <v>2</v>
      </c>
      <c r="D1" s="1465">
        <v>3</v>
      </c>
      <c r="E1" s="1465">
        <v>4</v>
      </c>
      <c r="F1" s="1465">
        <v>5</v>
      </c>
      <c r="G1" s="1465">
        <v>6</v>
      </c>
      <c r="H1" s="1466">
        <v>7</v>
      </c>
    </row>
    <row r="2" spans="1:12" ht="12.75" customHeight="1">
      <c r="A2" s="1467">
        <v>1</v>
      </c>
      <c r="B2" s="1468">
        <v>100</v>
      </c>
      <c r="C2" s="1469">
        <v>100</v>
      </c>
      <c r="D2" s="1469">
        <v>100</v>
      </c>
      <c r="E2" s="1469">
        <v>150</v>
      </c>
      <c r="F2" s="1469">
        <v>150</v>
      </c>
      <c r="G2" s="1469">
        <v>150</v>
      </c>
      <c r="H2" s="1469">
        <v>225</v>
      </c>
    </row>
    <row r="3" spans="1:12" ht="12" customHeight="1">
      <c r="A3" s="1470">
        <v>2</v>
      </c>
      <c r="B3" s="1471">
        <v>0</v>
      </c>
      <c r="C3" s="1472">
        <v>0</v>
      </c>
      <c r="D3" s="1472">
        <v>0</v>
      </c>
      <c r="E3" s="1472">
        <v>100</v>
      </c>
      <c r="F3" s="1472">
        <v>150</v>
      </c>
      <c r="G3" s="1472">
        <v>150</v>
      </c>
      <c r="H3" s="1472">
        <v>150</v>
      </c>
    </row>
    <row r="4" spans="1:12" ht="15" customHeight="1">
      <c r="A4" s="1470">
        <v>3</v>
      </c>
      <c r="B4" s="1471">
        <v>0</v>
      </c>
      <c r="C4" s="1472">
        <v>0</v>
      </c>
      <c r="D4" s="1472">
        <v>0</v>
      </c>
      <c r="E4" s="1472">
        <v>0</v>
      </c>
      <c r="F4" s="1472">
        <v>0</v>
      </c>
      <c r="G4" s="1472">
        <v>100</v>
      </c>
      <c r="H4" s="1472">
        <v>100</v>
      </c>
      <c r="J4" s="3494" t="s">
        <v>952</v>
      </c>
      <c r="K4" s="3494"/>
      <c r="L4" s="3494"/>
    </row>
    <row r="5" spans="1:12" ht="15.75" customHeight="1">
      <c r="A5" s="1470">
        <v>4</v>
      </c>
      <c r="B5" s="1471">
        <v>0</v>
      </c>
      <c r="C5" s="1472">
        <v>0</v>
      </c>
      <c r="D5" s="1472">
        <v>0</v>
      </c>
      <c r="E5" s="1472">
        <v>0</v>
      </c>
      <c r="F5" s="1472">
        <v>0</v>
      </c>
      <c r="G5" s="1472">
        <v>0</v>
      </c>
      <c r="H5" s="1472">
        <v>0</v>
      </c>
    </row>
    <row r="6" spans="1:12" ht="15.75" customHeight="1">
      <c r="A6" s="1473">
        <v>5</v>
      </c>
      <c r="B6" s="1471">
        <v>0</v>
      </c>
      <c r="C6" s="1472">
        <v>0</v>
      </c>
      <c r="D6" s="1472">
        <v>0</v>
      </c>
      <c r="E6" s="1472">
        <v>0</v>
      </c>
      <c r="F6" s="1472">
        <v>0</v>
      </c>
      <c r="G6" s="1472">
        <v>0</v>
      </c>
      <c r="H6" s="1472">
        <v>0</v>
      </c>
    </row>
    <row r="8" spans="1:12">
      <c r="A8" s="1463" t="s">
        <v>495</v>
      </c>
      <c r="B8" s="1464">
        <v>1</v>
      </c>
      <c r="C8" s="1465">
        <v>2</v>
      </c>
      <c r="D8" s="1465">
        <v>3</v>
      </c>
      <c r="E8" s="1465">
        <v>4</v>
      </c>
      <c r="F8" s="1465">
        <v>5</v>
      </c>
      <c r="G8" s="1465">
        <v>6</v>
      </c>
      <c r="H8" s="1466">
        <v>7</v>
      </c>
    </row>
    <row r="9" spans="1:12">
      <c r="A9" s="1467">
        <v>1</v>
      </c>
      <c r="B9" s="1468">
        <v>0</v>
      </c>
      <c r="C9" s="1469">
        <v>0</v>
      </c>
      <c r="D9" s="1469">
        <v>100</v>
      </c>
      <c r="E9" s="1469">
        <v>100</v>
      </c>
      <c r="F9" s="1469">
        <v>150</v>
      </c>
      <c r="G9" s="1469">
        <v>225</v>
      </c>
      <c r="H9" s="1469">
        <v>200</v>
      </c>
    </row>
    <row r="10" spans="1:12">
      <c r="A10" s="1470">
        <v>2</v>
      </c>
      <c r="B10" s="1471">
        <v>0</v>
      </c>
      <c r="C10" s="1472">
        <v>0</v>
      </c>
      <c r="D10" s="1472">
        <v>150</v>
      </c>
      <c r="E10" s="1472">
        <v>100</v>
      </c>
      <c r="F10" s="1472">
        <v>100</v>
      </c>
      <c r="G10" s="1472">
        <v>100</v>
      </c>
      <c r="H10" s="1472">
        <v>150</v>
      </c>
      <c r="J10" s="3494" t="s">
        <v>953</v>
      </c>
      <c r="K10" s="3494"/>
      <c r="L10" s="3494"/>
    </row>
    <row r="11" spans="1:12">
      <c r="A11" s="1470">
        <v>3</v>
      </c>
      <c r="B11" s="1471">
        <v>0</v>
      </c>
      <c r="C11" s="1472">
        <v>0</v>
      </c>
      <c r="D11" s="1472">
        <v>0</v>
      </c>
      <c r="E11" s="1472">
        <v>125</v>
      </c>
      <c r="F11" s="1472">
        <v>150</v>
      </c>
      <c r="G11" s="1472">
        <v>100</v>
      </c>
      <c r="H11" s="1472">
        <v>100</v>
      </c>
    </row>
    <row r="12" spans="1:12">
      <c r="A12" s="1470">
        <v>4</v>
      </c>
      <c r="B12" s="1471">
        <v>0</v>
      </c>
      <c r="C12" s="1472">
        <v>0</v>
      </c>
      <c r="D12" s="1472">
        <v>0</v>
      </c>
      <c r="E12" s="1472">
        <v>100</v>
      </c>
      <c r="F12" s="1472">
        <v>125</v>
      </c>
      <c r="G12" s="1472">
        <v>150</v>
      </c>
      <c r="H12" s="1472">
        <v>150</v>
      </c>
    </row>
    <row r="13" spans="1:12">
      <c r="A13" s="1473">
        <v>5</v>
      </c>
      <c r="B13" s="1471">
        <v>0</v>
      </c>
      <c r="C13" s="1472">
        <v>0</v>
      </c>
      <c r="D13" s="1472">
        <v>0</v>
      </c>
      <c r="E13" s="1472">
        <v>0</v>
      </c>
      <c r="F13" s="1472">
        <v>100</v>
      </c>
      <c r="G13" s="1472">
        <v>125</v>
      </c>
      <c r="H13" s="1472">
        <v>125</v>
      </c>
    </row>
    <row r="15" spans="1:12">
      <c r="A15" s="1463" t="s">
        <v>495</v>
      </c>
      <c r="B15" s="1464">
        <v>1</v>
      </c>
      <c r="C15" s="1465">
        <v>2</v>
      </c>
      <c r="D15" s="1465">
        <v>3</v>
      </c>
      <c r="E15" s="1465">
        <v>4</v>
      </c>
      <c r="F15" s="1465">
        <v>5</v>
      </c>
      <c r="G15" s="1465">
        <v>6</v>
      </c>
      <c r="H15" s="1466">
        <v>7</v>
      </c>
    </row>
    <row r="16" spans="1:12">
      <c r="A16" s="1467">
        <v>1</v>
      </c>
      <c r="B16" s="1468">
        <v>200</v>
      </c>
      <c r="C16" s="1469">
        <v>150</v>
      </c>
      <c r="D16" s="1469">
        <v>0</v>
      </c>
      <c r="E16" s="1469">
        <v>0</v>
      </c>
      <c r="F16" s="1469">
        <v>0</v>
      </c>
      <c r="G16" s="1469">
        <v>0</v>
      </c>
      <c r="H16" s="1469">
        <v>0</v>
      </c>
    </row>
    <row r="17" spans="1:12">
      <c r="A17" s="1470">
        <v>2</v>
      </c>
      <c r="B17" s="1471">
        <v>200</v>
      </c>
      <c r="C17" s="1472">
        <v>275</v>
      </c>
      <c r="D17" s="1472">
        <v>0</v>
      </c>
      <c r="E17" s="1472">
        <v>0</v>
      </c>
      <c r="F17" s="1472">
        <v>0</v>
      </c>
      <c r="G17" s="1472">
        <v>0</v>
      </c>
      <c r="H17" s="1472">
        <v>0</v>
      </c>
      <c r="J17" s="3494" t="s">
        <v>524</v>
      </c>
      <c r="K17" s="3494"/>
      <c r="L17" s="3494"/>
    </row>
    <row r="18" spans="1:12">
      <c r="A18" s="1470">
        <v>3</v>
      </c>
      <c r="B18" s="1471">
        <v>175</v>
      </c>
      <c r="C18" s="1472">
        <v>250</v>
      </c>
      <c r="D18" s="1472">
        <v>275</v>
      </c>
      <c r="E18" s="1472">
        <v>0</v>
      </c>
      <c r="F18" s="1472">
        <v>0</v>
      </c>
      <c r="G18" s="1472">
        <v>0</v>
      </c>
      <c r="H18" s="1472">
        <v>0</v>
      </c>
    </row>
    <row r="19" spans="1:12">
      <c r="A19" s="1470">
        <v>4</v>
      </c>
      <c r="B19" s="1471">
        <v>150</v>
      </c>
      <c r="C19" s="1472">
        <v>175</v>
      </c>
      <c r="D19" s="1472">
        <v>225</v>
      </c>
      <c r="E19" s="1472">
        <v>0</v>
      </c>
      <c r="F19" s="1472">
        <v>0</v>
      </c>
      <c r="G19" s="1472">
        <v>0</v>
      </c>
      <c r="H19" s="1472">
        <v>0</v>
      </c>
    </row>
    <row r="20" spans="1:12">
      <c r="A20" s="1473">
        <v>5</v>
      </c>
      <c r="B20" s="1471">
        <v>125</v>
      </c>
      <c r="C20" s="1472">
        <v>150</v>
      </c>
      <c r="D20" s="1472">
        <v>175</v>
      </c>
      <c r="E20" s="1472">
        <v>0</v>
      </c>
      <c r="F20" s="1472">
        <v>0</v>
      </c>
      <c r="G20" s="1472">
        <v>0</v>
      </c>
      <c r="H20" s="1472">
        <v>0</v>
      </c>
    </row>
    <row r="22" spans="1:12">
      <c r="A22" s="1463" t="s">
        <v>495</v>
      </c>
      <c r="B22" s="1464">
        <v>1</v>
      </c>
      <c r="C22" s="1465">
        <v>2</v>
      </c>
      <c r="D22" s="1465">
        <v>3</v>
      </c>
      <c r="E22" s="1465">
        <v>4</v>
      </c>
      <c r="F22" s="1465">
        <v>5</v>
      </c>
      <c r="G22" s="1465">
        <v>6</v>
      </c>
      <c r="H22" s="1466">
        <v>7</v>
      </c>
    </row>
    <row r="23" spans="1:12">
      <c r="A23" s="1467">
        <v>1</v>
      </c>
      <c r="B23" s="1468">
        <v>0</v>
      </c>
      <c r="C23" s="1469">
        <v>0</v>
      </c>
      <c r="D23" s="1469">
        <v>100</v>
      </c>
      <c r="E23" s="1469">
        <v>100</v>
      </c>
      <c r="F23" s="1469">
        <v>100</v>
      </c>
      <c r="G23" s="1469">
        <v>100</v>
      </c>
      <c r="H23" s="1469">
        <v>150</v>
      </c>
    </row>
    <row r="24" spans="1:12">
      <c r="A24" s="1470">
        <v>2</v>
      </c>
      <c r="B24" s="1471">
        <v>0</v>
      </c>
      <c r="C24" s="1472">
        <v>0</v>
      </c>
      <c r="D24" s="1472">
        <v>100</v>
      </c>
      <c r="E24" s="1472">
        <v>100</v>
      </c>
      <c r="F24" s="1472">
        <v>100</v>
      </c>
      <c r="G24" s="1472">
        <v>150</v>
      </c>
      <c r="H24" s="1472">
        <v>150</v>
      </c>
      <c r="J24" s="3494" t="s">
        <v>954</v>
      </c>
      <c r="K24" s="3494"/>
      <c r="L24" s="3494"/>
    </row>
    <row r="25" spans="1:12">
      <c r="A25" s="1470">
        <v>3</v>
      </c>
      <c r="B25" s="1471">
        <v>0</v>
      </c>
      <c r="C25" s="1472">
        <v>0</v>
      </c>
      <c r="D25" s="1472">
        <v>0</v>
      </c>
      <c r="E25" s="1472">
        <v>100</v>
      </c>
      <c r="F25" s="1472">
        <v>100</v>
      </c>
      <c r="G25" s="1472">
        <v>100</v>
      </c>
      <c r="H25" s="1472">
        <v>150</v>
      </c>
    </row>
    <row r="26" spans="1:12">
      <c r="A26" s="1470">
        <v>4</v>
      </c>
      <c r="B26" s="1471">
        <v>0</v>
      </c>
      <c r="C26" s="1472">
        <v>0</v>
      </c>
      <c r="D26" s="1472">
        <v>0</v>
      </c>
      <c r="E26" s="1472">
        <v>100</v>
      </c>
      <c r="F26" s="1472">
        <v>100</v>
      </c>
      <c r="G26" s="1472">
        <v>100</v>
      </c>
      <c r="H26" s="1472">
        <v>150</v>
      </c>
    </row>
    <row r="27" spans="1:12">
      <c r="A27" s="1473">
        <v>5</v>
      </c>
      <c r="B27" s="1471">
        <v>0</v>
      </c>
      <c r="C27" s="1472">
        <v>0</v>
      </c>
      <c r="D27" s="1472">
        <v>0</v>
      </c>
      <c r="E27" s="1472">
        <v>150</v>
      </c>
      <c r="F27" s="1472">
        <v>100</v>
      </c>
      <c r="G27" s="1472">
        <v>100</v>
      </c>
      <c r="H27" s="1472">
        <v>150</v>
      </c>
    </row>
    <row r="29" spans="1:12">
      <c r="A29" s="1463" t="s">
        <v>495</v>
      </c>
      <c r="B29" s="1464">
        <v>1</v>
      </c>
      <c r="C29" s="1465">
        <v>2</v>
      </c>
      <c r="D29" s="1465">
        <v>3</v>
      </c>
      <c r="E29" s="1465">
        <v>4</v>
      </c>
      <c r="F29" s="1465">
        <v>5</v>
      </c>
      <c r="G29" s="1465">
        <v>6</v>
      </c>
      <c r="H29" s="1466">
        <v>7</v>
      </c>
    </row>
    <row r="30" spans="1:12">
      <c r="A30" s="1467">
        <v>1</v>
      </c>
      <c r="B30" s="1468">
        <v>0</v>
      </c>
      <c r="C30" s="1469">
        <v>75</v>
      </c>
      <c r="D30" s="1469">
        <v>75</v>
      </c>
      <c r="E30" s="1469">
        <v>75</v>
      </c>
      <c r="F30" s="1469">
        <v>75</v>
      </c>
      <c r="G30" s="1469">
        <v>75</v>
      </c>
      <c r="H30" s="1469">
        <v>75</v>
      </c>
    </row>
    <row r="31" spans="1:12">
      <c r="A31" s="1470">
        <v>2</v>
      </c>
      <c r="B31" s="1471">
        <v>0</v>
      </c>
      <c r="C31" s="1472">
        <v>0</v>
      </c>
      <c r="D31" s="1472">
        <v>75</v>
      </c>
      <c r="E31" s="1472">
        <v>75</v>
      </c>
      <c r="F31" s="1472">
        <v>75</v>
      </c>
      <c r="G31" s="1472">
        <v>75</v>
      </c>
      <c r="H31" s="1472">
        <v>75</v>
      </c>
      <c r="J31" s="3495" t="s">
        <v>955</v>
      </c>
      <c r="K31" s="3496"/>
      <c r="L31" s="3497"/>
    </row>
    <row r="32" spans="1:12">
      <c r="A32" s="1470">
        <v>3</v>
      </c>
      <c r="B32" s="1471">
        <v>0</v>
      </c>
      <c r="C32" s="1472">
        <v>0</v>
      </c>
      <c r="D32" s="1472">
        <v>0</v>
      </c>
      <c r="E32" s="1472">
        <v>75</v>
      </c>
      <c r="F32" s="1472">
        <v>75</v>
      </c>
      <c r="G32" s="1472">
        <v>75</v>
      </c>
      <c r="H32" s="1472">
        <v>75</v>
      </c>
      <c r="J32" s="3498"/>
      <c r="K32" s="3499"/>
      <c r="L32" s="3500"/>
    </row>
    <row r="33" spans="1:8">
      <c r="A33" s="1470">
        <v>4</v>
      </c>
      <c r="B33" s="1471">
        <v>0</v>
      </c>
      <c r="C33" s="1472">
        <v>0</v>
      </c>
      <c r="D33" s="1472">
        <v>0</v>
      </c>
      <c r="E33" s="1472">
        <v>75</v>
      </c>
      <c r="F33" s="1472">
        <v>75</v>
      </c>
      <c r="G33" s="1472">
        <v>75</v>
      </c>
      <c r="H33" s="1472">
        <v>75</v>
      </c>
    </row>
    <row r="34" spans="1:8">
      <c r="A34" s="1473">
        <v>5</v>
      </c>
      <c r="B34" s="1471">
        <v>0</v>
      </c>
      <c r="C34" s="1472">
        <v>0</v>
      </c>
      <c r="D34" s="1472">
        <v>0</v>
      </c>
      <c r="E34" s="1472">
        <v>75</v>
      </c>
      <c r="F34" s="1472">
        <v>75</v>
      </c>
      <c r="G34" s="1472">
        <v>75</v>
      </c>
      <c r="H34" s="1472">
        <v>75</v>
      </c>
    </row>
  </sheetData>
  <sheetProtection password="CC6F" sheet="1" objects="1" scenarios="1"/>
  <mergeCells count="5">
    <mergeCell ref="J4:L4"/>
    <mergeCell ref="J10:L10"/>
    <mergeCell ref="J17:L17"/>
    <mergeCell ref="J24:L24"/>
    <mergeCell ref="J31:L32"/>
  </mergeCells>
  <pageMargins left="0.7" right="0.7" top="0.75" bottom="0.75" header="0.3" footer="0.3"/>
  <pageSetup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AJ1025"/>
  <sheetViews>
    <sheetView view="pageBreakPreview" topLeftCell="A11" workbookViewId="0">
      <selection activeCell="AB4" sqref="AB4"/>
    </sheetView>
  </sheetViews>
  <sheetFormatPr defaultColWidth="9.109375" defaultRowHeight="13.2"/>
  <cols>
    <col min="1" max="17" width="5.33203125" style="1424" customWidth="1"/>
    <col min="18" max="20" width="1.5546875" style="1424" customWidth="1"/>
    <col min="21" max="28" width="2.6640625" style="1424" customWidth="1"/>
    <col min="29" max="29" width="5" style="1424" customWidth="1"/>
    <col min="30" max="34" width="2.6640625" style="1424" customWidth="1"/>
    <col min="35" max="35" width="9.109375" style="1424" customWidth="1"/>
    <col min="36" max="16384" width="9.109375" style="1424"/>
  </cols>
  <sheetData>
    <row r="1" spans="2:35" ht="25.5" customHeight="1">
      <c r="AI1" s="1461"/>
    </row>
    <row r="2" spans="2:35" ht="25.5" customHeight="1">
      <c r="AI2" s="1461"/>
    </row>
    <row r="3" spans="2:35" ht="25.5" customHeight="1">
      <c r="B3" s="1425"/>
      <c r="C3" s="3502" t="s">
        <v>430</v>
      </c>
      <c r="D3" s="3502"/>
      <c r="E3" s="3502"/>
      <c r="F3" s="3502"/>
      <c r="G3" s="3502"/>
      <c r="H3" s="3502"/>
      <c r="I3" s="3502"/>
      <c r="J3" s="3502"/>
      <c r="K3" s="3502"/>
      <c r="L3" s="3502"/>
      <c r="M3" s="3502"/>
      <c r="N3" s="3502"/>
      <c r="O3" s="3502"/>
      <c r="P3" s="1443"/>
      <c r="Q3" s="1425"/>
      <c r="AI3" s="1461"/>
    </row>
    <row r="4" spans="2:35" ht="30">
      <c r="B4" s="1425"/>
      <c r="C4" s="3502"/>
      <c r="D4" s="3502"/>
      <c r="E4" s="3502"/>
      <c r="F4" s="3502"/>
      <c r="G4" s="3502"/>
      <c r="H4" s="3502"/>
      <c r="I4" s="3502"/>
      <c r="J4" s="3502"/>
      <c r="K4" s="3502"/>
      <c r="L4" s="3502"/>
      <c r="M4" s="3502"/>
      <c r="N4" s="3502"/>
      <c r="O4" s="3502"/>
      <c r="P4" s="1443"/>
      <c r="Q4" s="1425"/>
      <c r="AI4" s="1461"/>
    </row>
    <row r="5" spans="2:35" ht="12.75" customHeight="1">
      <c r="B5" s="1426"/>
      <c r="C5" s="3502"/>
      <c r="D5" s="3502"/>
      <c r="E5" s="3502"/>
      <c r="F5" s="3502"/>
      <c r="G5" s="3502"/>
      <c r="H5" s="3502"/>
      <c r="I5" s="3502"/>
      <c r="J5" s="3502"/>
      <c r="K5" s="3502"/>
      <c r="L5" s="3502"/>
      <c r="M5" s="3502"/>
      <c r="N5" s="3502"/>
      <c r="O5" s="3502"/>
      <c r="P5" s="1427"/>
      <c r="Q5" s="1426"/>
      <c r="AI5" s="1461"/>
    </row>
    <row r="6" spans="2:35" ht="25.5" customHeight="1">
      <c r="B6" s="1426"/>
      <c r="C6" s="1427"/>
      <c r="D6" s="1427"/>
      <c r="E6" s="1427"/>
      <c r="F6" s="1427"/>
      <c r="G6" s="1427"/>
      <c r="H6" s="1427"/>
      <c r="I6" s="1427"/>
      <c r="J6" s="1427"/>
      <c r="K6" s="1427"/>
      <c r="L6" s="1427"/>
      <c r="M6" s="1427"/>
      <c r="N6" s="1427"/>
      <c r="O6" s="1427"/>
      <c r="P6" s="1427"/>
      <c r="Q6" s="1426"/>
      <c r="AI6" s="1461"/>
    </row>
    <row r="7" spans="2:35" ht="25.5" customHeight="1">
      <c r="B7" s="1426"/>
      <c r="C7" s="1427"/>
      <c r="D7" s="3503" t="s">
        <v>431</v>
      </c>
      <c r="E7" s="3503"/>
      <c r="F7" s="3503"/>
      <c r="G7" s="3503"/>
      <c r="H7" s="3503"/>
      <c r="I7" s="3503"/>
      <c r="J7" s="3503"/>
      <c r="K7" s="3503"/>
      <c r="L7" s="3503"/>
      <c r="M7" s="3503"/>
      <c r="N7" s="3503"/>
      <c r="O7" s="1427"/>
      <c r="P7" s="1427"/>
      <c r="Q7" s="1426"/>
      <c r="AI7" s="1461"/>
    </row>
    <row r="8" spans="2:35" ht="25.5" customHeight="1">
      <c r="B8" s="1426"/>
      <c r="C8" s="1427"/>
      <c r="D8" s="3503"/>
      <c r="E8" s="3503"/>
      <c r="F8" s="3503"/>
      <c r="G8" s="3503"/>
      <c r="H8" s="3503"/>
      <c r="I8" s="3503"/>
      <c r="J8" s="3503"/>
      <c r="K8" s="3503"/>
      <c r="L8" s="3503"/>
      <c r="M8" s="3503"/>
      <c r="N8" s="3503"/>
      <c r="O8" s="1427"/>
      <c r="P8" s="1427"/>
      <c r="Q8" s="1426"/>
      <c r="AI8" s="1461"/>
    </row>
    <row r="9" spans="2:35" ht="3" customHeight="1">
      <c r="B9" s="1426"/>
      <c r="C9" s="1427"/>
      <c r="D9" s="3503"/>
      <c r="E9" s="3503"/>
      <c r="F9" s="3503"/>
      <c r="G9" s="3503"/>
      <c r="H9" s="3503"/>
      <c r="I9" s="3503"/>
      <c r="J9" s="3503"/>
      <c r="K9" s="3503"/>
      <c r="L9" s="3503"/>
      <c r="M9" s="3503"/>
      <c r="N9" s="3503"/>
      <c r="O9" s="1427"/>
      <c r="P9" s="1427"/>
      <c r="Q9" s="1426"/>
      <c r="AI9" s="1461"/>
    </row>
    <row r="10" spans="2:35" ht="6.75" customHeight="1">
      <c r="B10" s="1426"/>
      <c r="C10" s="1427"/>
      <c r="D10" s="1428"/>
      <c r="E10" s="1428"/>
      <c r="F10" s="1428"/>
      <c r="G10" s="1428"/>
      <c r="H10" s="1428"/>
      <c r="I10" s="1428"/>
      <c r="J10" s="1428"/>
      <c r="K10" s="1428"/>
      <c r="L10" s="1428"/>
      <c r="M10" s="1428"/>
      <c r="N10" s="1428"/>
      <c r="O10" s="1427"/>
      <c r="P10" s="1427"/>
      <c r="Q10" s="1426"/>
      <c r="AI10" s="1461"/>
    </row>
    <row r="11" spans="2:35" ht="25.5" customHeight="1">
      <c r="B11" s="1429"/>
      <c r="C11" s="1430"/>
      <c r="D11" s="1429"/>
      <c r="E11" s="1429"/>
      <c r="F11" s="1429"/>
      <c r="G11" s="1429"/>
      <c r="H11" s="1429"/>
      <c r="I11" s="1428"/>
      <c r="J11" s="3506"/>
      <c r="K11" s="3506"/>
      <c r="L11" s="3506"/>
      <c r="M11" s="3506"/>
      <c r="N11" s="1429"/>
      <c r="O11" s="1429"/>
      <c r="P11" s="1429"/>
      <c r="Q11" s="1426"/>
      <c r="X11" s="1454"/>
      <c r="AI11" s="1461"/>
    </row>
    <row r="12" spans="2:35" ht="25.5" customHeight="1">
      <c r="B12" s="1429"/>
      <c r="C12" s="1430" t="s">
        <v>433</v>
      </c>
      <c r="D12" s="1429"/>
      <c r="E12" s="1429"/>
      <c r="F12" s="1429"/>
      <c r="G12" s="1429"/>
      <c r="H12" s="1429"/>
      <c r="I12" s="1428" t="s">
        <v>434</v>
      </c>
      <c r="J12" s="1430" t="s">
        <v>956</v>
      </c>
      <c r="K12" s="1429"/>
      <c r="L12" s="1429"/>
      <c r="M12" s="1429"/>
      <c r="N12" s="1429"/>
      <c r="O12" s="1429"/>
      <c r="P12" s="1429"/>
      <c r="Q12" s="1426"/>
      <c r="X12" s="1454"/>
      <c r="AI12" s="1461"/>
    </row>
    <row r="13" spans="2:35" ht="15.75" customHeight="1">
      <c r="B13" s="1429"/>
      <c r="C13" s="1429"/>
      <c r="D13" s="1429"/>
      <c r="E13" s="1429"/>
      <c r="F13" s="1429"/>
      <c r="G13" s="1429"/>
      <c r="H13" s="1429"/>
      <c r="I13" s="1429"/>
      <c r="J13" s="1429"/>
      <c r="K13" s="1429"/>
      <c r="L13" s="1429"/>
      <c r="M13" s="1429"/>
      <c r="N13" s="1429"/>
      <c r="O13" s="1429"/>
      <c r="P13" s="1429"/>
      <c r="AI13" s="1461"/>
    </row>
    <row r="14" spans="2:35" ht="25.5" customHeight="1">
      <c r="C14"/>
      <c r="D14"/>
      <c r="E14"/>
      <c r="F14"/>
      <c r="G14"/>
      <c r="H14"/>
      <c r="I14"/>
      <c r="J14"/>
      <c r="K14"/>
      <c r="L14"/>
      <c r="M14"/>
      <c r="N14"/>
      <c r="O14"/>
      <c r="P14" s="1444"/>
      <c r="Q14" s="1455"/>
      <c r="AI14" s="1461"/>
    </row>
    <row r="15" spans="2:35" ht="25.5" customHeight="1">
      <c r="B15" s="1431"/>
      <c r="C15" s="1432" t="s">
        <v>435</v>
      </c>
      <c r="D15" s="1433"/>
      <c r="E15" s="1433"/>
      <c r="F15" s="1433"/>
      <c r="G15" s="1429"/>
      <c r="H15" s="1429"/>
      <c r="I15"/>
      <c r="J15"/>
      <c r="K15"/>
      <c r="L15"/>
      <c r="M15"/>
      <c r="N15"/>
      <c r="O15"/>
      <c r="P15" s="1445"/>
      <c r="Q15" s="1456"/>
      <c r="AI15" s="1461"/>
    </row>
    <row r="16" spans="2:35" ht="24.6">
      <c r="C16" s="3504" t="str">
        <f>'Input Data'!E1</f>
        <v xml:space="preserve">BT Renewal from Balabadraipally to Danamma Thanda of Gundumal Mandal in Narayanpet District </v>
      </c>
      <c r="D16" s="3505"/>
      <c r="E16" s="3505"/>
      <c r="F16" s="3505"/>
      <c r="G16" s="3505"/>
      <c r="H16" s="3505"/>
      <c r="I16" s="3505"/>
      <c r="J16" s="3505"/>
      <c r="K16" s="3505"/>
      <c r="L16" s="3505"/>
      <c r="M16" s="3505"/>
      <c r="N16" s="3505"/>
      <c r="O16" s="3505"/>
      <c r="P16" s="3505"/>
      <c r="Q16" s="1456"/>
      <c r="AI16" s="1461"/>
    </row>
    <row r="17" spans="3:36" ht="24.6">
      <c r="C17" s="3505"/>
      <c r="D17" s="3505"/>
      <c r="E17" s="3505"/>
      <c r="F17" s="3505"/>
      <c r="G17" s="3505"/>
      <c r="H17" s="3505"/>
      <c r="I17" s="3505"/>
      <c r="J17" s="3505"/>
      <c r="K17" s="3505"/>
      <c r="L17" s="3505"/>
      <c r="M17" s="3505"/>
      <c r="N17" s="3505"/>
      <c r="O17" s="3505"/>
      <c r="P17" s="3505"/>
      <c r="Q17" s="1456"/>
      <c r="AI17" s="1461"/>
    </row>
    <row r="18" spans="3:36" ht="43.5" customHeight="1">
      <c r="C18" s="3505"/>
      <c r="D18" s="3505"/>
      <c r="E18" s="3505"/>
      <c r="F18" s="3505"/>
      <c r="G18" s="3505"/>
      <c r="H18" s="3505"/>
      <c r="I18" s="3505"/>
      <c r="J18" s="3505"/>
      <c r="K18" s="3505"/>
      <c r="L18" s="3505"/>
      <c r="M18" s="3505"/>
      <c r="N18" s="3505"/>
      <c r="O18" s="3505"/>
      <c r="P18" s="3505"/>
      <c r="Q18" s="1456"/>
      <c r="AI18" s="1461"/>
      <c r="AJ18" s="1434"/>
    </row>
    <row r="19" spans="3:36" ht="39.75" hidden="1" customHeight="1">
      <c r="C19" s="3505"/>
      <c r="D19" s="3505"/>
      <c r="E19" s="3505"/>
      <c r="F19" s="3505"/>
      <c r="G19" s="3505"/>
      <c r="H19" s="3505"/>
      <c r="I19" s="3505"/>
      <c r="J19" s="3505"/>
      <c r="K19" s="3505"/>
      <c r="L19" s="3505"/>
      <c r="M19" s="3505"/>
      <c r="N19" s="3505"/>
      <c r="O19" s="3505"/>
      <c r="P19" s="3505"/>
      <c r="Q19" s="1456"/>
      <c r="AI19" s="1461"/>
    </row>
    <row r="20" spans="3:36" ht="25.5" customHeight="1">
      <c r="C20" s="1434"/>
      <c r="D20"/>
      <c r="E20"/>
      <c r="F20"/>
      <c r="G20"/>
      <c r="H20"/>
      <c r="I20"/>
      <c r="J20"/>
      <c r="K20"/>
      <c r="L20"/>
      <c r="M20"/>
      <c r="N20"/>
      <c r="O20"/>
      <c r="P20"/>
      <c r="Q20" s="1456"/>
      <c r="AI20" s="1461"/>
    </row>
    <row r="21" spans="3:36" s="1422" customFormat="1" ht="25.5" customHeight="1">
      <c r="D21" s="3507" t="s">
        <v>436</v>
      </c>
      <c r="E21" s="3507"/>
      <c r="F21" s="3507"/>
      <c r="G21" s="3507"/>
      <c r="H21" s="3507"/>
      <c r="I21" s="3507"/>
      <c r="J21" s="3507"/>
      <c r="K21" s="1446" t="s">
        <v>434</v>
      </c>
      <c r="L21" s="1447" t="s">
        <v>437</v>
      </c>
      <c r="M21" s="3508">
        <f>+'Input Data'!$J$4</f>
        <v>96.15</v>
      </c>
      <c r="N21" s="3508"/>
      <c r="O21" s="1448" t="s">
        <v>329</v>
      </c>
      <c r="P21" s="1449"/>
      <c r="Q21" s="1457"/>
      <c r="AI21" s="1461"/>
    </row>
    <row r="22" spans="3:36" s="1422" customFormat="1" ht="25.5" customHeight="1">
      <c r="C22" s="1435"/>
      <c r="D22" s="3507" t="s">
        <v>957</v>
      </c>
      <c r="E22" s="3507"/>
      <c r="F22" s="3507"/>
      <c r="G22" s="3507"/>
      <c r="H22" s="3507"/>
      <c r="I22" s="3507"/>
      <c r="J22" s="3507"/>
      <c r="K22" s="1446" t="s">
        <v>434</v>
      </c>
      <c r="L22" s="3508">
        <f>+'Input Data'!$J$5</f>
        <v>2.0699999999999998</v>
      </c>
      <c r="M22" s="3508"/>
      <c r="N22" s="1447" t="s">
        <v>398</v>
      </c>
      <c r="O22" s="1435"/>
      <c r="P22" s="1435"/>
      <c r="Q22" s="1458"/>
      <c r="AI22" s="1461"/>
    </row>
    <row r="23" spans="3:36" s="1423" customFormat="1" ht="25.5" customHeight="1">
      <c r="C23" s="1436"/>
      <c r="D23" s="1434"/>
      <c r="E23" s="1434"/>
      <c r="F23" s="1434"/>
      <c r="G23" s="1434"/>
      <c r="H23" s="1434"/>
      <c r="I23" s="1434"/>
      <c r="J23" s="1434"/>
      <c r="K23" s="1434"/>
      <c r="L23" s="1434"/>
      <c r="M23" s="1434"/>
      <c r="N23" s="1436"/>
      <c r="O23" s="1450"/>
      <c r="P23" s="1451"/>
      <c r="Q23" s="1459"/>
      <c r="AI23" s="1461"/>
    </row>
    <row r="24" spans="3:36" s="1423" customFormat="1" ht="25.5" customHeight="1">
      <c r="C24" s="1437"/>
      <c r="D24" s="1434"/>
      <c r="E24" s="1434"/>
      <c r="F24" s="1434"/>
      <c r="G24" s="1434"/>
      <c r="H24" s="1434"/>
      <c r="I24" s="1434"/>
      <c r="J24" s="1434"/>
      <c r="K24" s="1434"/>
      <c r="L24" s="1434"/>
      <c r="M24" s="1434"/>
      <c r="N24" s="1452"/>
      <c r="O24" s="1452"/>
      <c r="P24" s="1452"/>
      <c r="Q24" s="1460"/>
      <c r="AI24" s="1461"/>
    </row>
    <row r="25" spans="3:36" s="1423" customFormat="1" ht="25.5" customHeight="1">
      <c r="C25" s="1438"/>
      <c r="D25" s="1438"/>
      <c r="E25" s="1438"/>
      <c r="F25" s="1434"/>
      <c r="G25" s="1434"/>
      <c r="H25" s="1434"/>
      <c r="I25" s="1434"/>
      <c r="J25" s="1434"/>
      <c r="K25" s="1434"/>
      <c r="L25" s="1434"/>
      <c r="M25" s="1438"/>
      <c r="N25" s="1438"/>
      <c r="O25" s="1438"/>
      <c r="P25" s="1438"/>
      <c r="Q25" s="1441"/>
      <c r="AI25" s="1461"/>
    </row>
    <row r="26" spans="3:36" s="1423" customFormat="1" ht="25.5" customHeight="1">
      <c r="C26" s="3501" t="s">
        <v>375</v>
      </c>
      <c r="D26" s="3501"/>
      <c r="E26" s="3501"/>
      <c r="F26" s="3501"/>
      <c r="G26" s="1440" t="s">
        <v>440</v>
      </c>
      <c r="H26" s="3501" t="str">
        <f>+'Input Data'!$D$3</f>
        <v>Vikarabad</v>
      </c>
      <c r="I26" s="3501"/>
      <c r="J26" s="3501"/>
      <c r="K26" s="3501"/>
      <c r="L26" s="3501"/>
      <c r="M26" s="3501"/>
      <c r="N26" s="3501"/>
      <c r="O26" s="3501"/>
      <c r="P26" s="3501"/>
      <c r="Q26" s="1441"/>
      <c r="AI26" s="1461"/>
    </row>
    <row r="27" spans="3:36" s="1423" customFormat="1" ht="25.5" customHeight="1">
      <c r="C27" s="3501" t="s">
        <v>379</v>
      </c>
      <c r="D27" s="3501"/>
      <c r="E27" s="3501"/>
      <c r="F27" s="3501"/>
      <c r="G27" s="1440" t="s">
        <v>440</v>
      </c>
      <c r="H27" s="3501" t="str">
        <f>+'Input Data'!$D$4</f>
        <v>Narayanpet</v>
      </c>
      <c r="I27" s="3501"/>
      <c r="J27" s="3501"/>
      <c r="K27" s="3501"/>
      <c r="L27" s="3501"/>
      <c r="M27" s="3501"/>
      <c r="N27" s="3501"/>
      <c r="O27" s="3501"/>
      <c r="P27" s="3501"/>
      <c r="Q27" s="1441"/>
      <c r="AI27" s="1461"/>
    </row>
    <row r="28" spans="3:36" s="1423" customFormat="1" ht="25.5" customHeight="1">
      <c r="C28" s="3501" t="s">
        <v>383</v>
      </c>
      <c r="D28" s="3501"/>
      <c r="E28" s="3501"/>
      <c r="F28" s="3501"/>
      <c r="G28" s="1440" t="s">
        <v>440</v>
      </c>
      <c r="H28" s="3501" t="str">
        <f>+'Input Data'!$D$5</f>
        <v>Narayanpet</v>
      </c>
      <c r="I28" s="3501"/>
      <c r="J28" s="3501"/>
      <c r="K28" s="3501"/>
      <c r="L28" s="3501"/>
      <c r="M28" s="3501"/>
      <c r="N28" s="3501"/>
      <c r="O28" s="3501"/>
      <c r="P28" s="1453"/>
      <c r="Q28" s="1441"/>
      <c r="AI28" s="1461"/>
    </row>
    <row r="29" spans="3:36" s="1423" customFormat="1" ht="25.5" customHeight="1">
      <c r="C29" s="3501" t="s">
        <v>387</v>
      </c>
      <c r="D29" s="3501"/>
      <c r="E29" s="3501"/>
      <c r="F29" s="3501"/>
      <c r="G29" s="1440" t="s">
        <v>440</v>
      </c>
      <c r="H29" s="3501" t="str">
        <f>+'Input Data'!$D$6</f>
        <v>Maddur</v>
      </c>
      <c r="I29" s="3501"/>
      <c r="J29" s="3501"/>
      <c r="K29" s="3501"/>
      <c r="L29" s="3501"/>
      <c r="M29" s="3501"/>
      <c r="N29" s="3501"/>
      <c r="O29" s="3501"/>
      <c r="P29" s="1439"/>
      <c r="Q29" s="1441"/>
      <c r="AI29" s="1461"/>
    </row>
    <row r="30" spans="3:36" s="1423" customFormat="1" ht="25.5" customHeight="1">
      <c r="C30" s="3501" t="s">
        <v>391</v>
      </c>
      <c r="D30" s="3501"/>
      <c r="E30" s="3501"/>
      <c r="F30" s="3501"/>
      <c r="G30" s="1440" t="s">
        <v>440</v>
      </c>
      <c r="H30" s="3501" t="str">
        <f>+'Input Data'!$D$7</f>
        <v>Gundumal</v>
      </c>
      <c r="I30" s="3501"/>
      <c r="J30" s="3501"/>
      <c r="K30" s="3501"/>
      <c r="L30" s="3501"/>
      <c r="M30" s="3501"/>
      <c r="N30" s="3501"/>
      <c r="O30" s="3501"/>
      <c r="P30" s="3501"/>
      <c r="Q30" s="1441"/>
      <c r="AI30" s="1461"/>
    </row>
    <row r="31" spans="3:36" s="1423" customFormat="1" ht="25.5" customHeight="1">
      <c r="C31" s="1441"/>
      <c r="D31" s="1441"/>
      <c r="E31" s="1441"/>
      <c r="F31" s="1441"/>
      <c r="G31" s="1441"/>
      <c r="H31" s="1441"/>
      <c r="I31" s="1441"/>
      <c r="J31" s="1441"/>
      <c r="K31" s="1441"/>
      <c r="L31" s="1441"/>
      <c r="M31" s="1441"/>
      <c r="N31" s="1441"/>
      <c r="O31" s="1441"/>
      <c r="P31" s="1441"/>
      <c r="Q31" s="1441"/>
      <c r="AI31" s="1461"/>
    </row>
    <row r="32" spans="3:36" s="1423" customFormat="1" ht="25.5" customHeight="1">
      <c r="C32" s="1441"/>
      <c r="D32" s="1441"/>
      <c r="E32" s="1441"/>
      <c r="F32" s="1441"/>
      <c r="G32" s="1441"/>
      <c r="H32" s="1441"/>
      <c r="I32" s="1441"/>
      <c r="J32" s="1441"/>
      <c r="K32" s="1441"/>
      <c r="L32" s="1441"/>
      <c r="M32" s="1441"/>
      <c r="N32" s="1441"/>
      <c r="O32" s="1441"/>
      <c r="P32" s="1441"/>
      <c r="Q32" s="1441"/>
      <c r="AI32" s="1461"/>
    </row>
    <row r="33" spans="8:35">
      <c r="AI33" s="1461"/>
    </row>
    <row r="34" spans="8:35">
      <c r="AI34" s="1461"/>
    </row>
    <row r="35" spans="8:35">
      <c r="AI35" s="1461"/>
    </row>
    <row r="36" spans="8:35">
      <c r="AI36" s="1461"/>
    </row>
    <row r="37" spans="8:35">
      <c r="AI37" s="1461"/>
    </row>
    <row r="38" spans="8:35">
      <c r="H38" s="1442"/>
      <c r="AI38" s="1461"/>
    </row>
    <row r="39" spans="8:35">
      <c r="AI39" s="1461"/>
    </row>
    <row r="40" spans="8:35">
      <c r="AI40" s="1461"/>
    </row>
    <row r="41" spans="8:35">
      <c r="AI41" s="1461"/>
    </row>
    <row r="42" spans="8:35">
      <c r="AI42" s="1461"/>
    </row>
    <row r="43" spans="8:35">
      <c r="AI43" s="1461"/>
    </row>
    <row r="44" spans="8:35">
      <c r="AI44" s="1461"/>
    </row>
    <row r="45" spans="8:35">
      <c r="AI45" s="1461"/>
    </row>
    <row r="46" spans="8:35">
      <c r="AI46" s="1461"/>
    </row>
    <row r="47" spans="8:35">
      <c r="AI47" s="1461"/>
    </row>
    <row r="48" spans="8:35">
      <c r="AI48" s="1461"/>
    </row>
    <row r="49" spans="35:35">
      <c r="AI49" s="1461"/>
    </row>
    <row r="50" spans="35:35">
      <c r="AI50" s="1461"/>
    </row>
    <row r="51" spans="35:35">
      <c r="AI51" s="1461"/>
    </row>
    <row r="52" spans="35:35">
      <c r="AI52" s="1461"/>
    </row>
    <row r="53" spans="35:35">
      <c r="AI53" s="1461"/>
    </row>
    <row r="54" spans="35:35">
      <c r="AI54" s="1461"/>
    </row>
    <row r="55" spans="35:35">
      <c r="AI55" s="1461"/>
    </row>
    <row r="56" spans="35:35">
      <c r="AI56" s="1461"/>
    </row>
    <row r="57" spans="35:35">
      <c r="AI57" s="1461"/>
    </row>
    <row r="58" spans="35:35">
      <c r="AI58" s="1461"/>
    </row>
    <row r="59" spans="35:35">
      <c r="AI59" s="1461"/>
    </row>
    <row r="60" spans="35:35">
      <c r="AI60" s="1461"/>
    </row>
    <row r="61" spans="35:35">
      <c r="AI61" s="1461"/>
    </row>
    <row r="62" spans="35:35">
      <c r="AI62" s="1461"/>
    </row>
    <row r="63" spans="35:35">
      <c r="AI63" s="1461"/>
    </row>
    <row r="64" spans="35:35">
      <c r="AI64" s="1461"/>
    </row>
    <row r="65" spans="35:35">
      <c r="AI65" s="1461"/>
    </row>
    <row r="66" spans="35:35">
      <c r="AI66" s="1461"/>
    </row>
    <row r="67" spans="35:35">
      <c r="AI67" s="1461"/>
    </row>
    <row r="68" spans="35:35">
      <c r="AI68" s="1461"/>
    </row>
    <row r="69" spans="35:35">
      <c r="AI69" s="1461"/>
    </row>
    <row r="70" spans="35:35">
      <c r="AI70" s="1461"/>
    </row>
    <row r="71" spans="35:35">
      <c r="AI71" s="1461"/>
    </row>
    <row r="72" spans="35:35">
      <c r="AI72" s="1461"/>
    </row>
    <row r="73" spans="35:35">
      <c r="AI73" s="1461"/>
    </row>
    <row r="74" spans="35:35">
      <c r="AI74" s="1461"/>
    </row>
    <row r="75" spans="35:35">
      <c r="AI75" s="1461"/>
    </row>
    <row r="76" spans="35:35">
      <c r="AI76" s="1461"/>
    </row>
    <row r="77" spans="35:35">
      <c r="AI77" s="1461"/>
    </row>
    <row r="78" spans="35:35">
      <c r="AI78" s="1461"/>
    </row>
    <row r="79" spans="35:35">
      <c r="AI79" s="1461"/>
    </row>
    <row r="80" spans="35:35">
      <c r="AI80" s="1461"/>
    </row>
    <row r="81" spans="35:35">
      <c r="AI81" s="1461"/>
    </row>
    <row r="82" spans="35:35">
      <c r="AI82" s="1461"/>
    </row>
    <row r="83" spans="35:35">
      <c r="AI83" s="1461"/>
    </row>
    <row r="84" spans="35:35">
      <c r="AI84" s="1461"/>
    </row>
    <row r="85" spans="35:35">
      <c r="AI85" s="1461"/>
    </row>
    <row r="86" spans="35:35">
      <c r="AI86" s="1461"/>
    </row>
    <row r="87" spans="35:35">
      <c r="AI87" s="1461"/>
    </row>
    <row r="88" spans="35:35">
      <c r="AI88" s="1461"/>
    </row>
    <row r="89" spans="35:35">
      <c r="AI89" s="1461"/>
    </row>
    <row r="90" spans="35:35">
      <c r="AI90" s="1461"/>
    </row>
    <row r="91" spans="35:35">
      <c r="AI91" s="1461"/>
    </row>
    <row r="92" spans="35:35">
      <c r="AI92" s="1461"/>
    </row>
    <row r="93" spans="35:35">
      <c r="AI93" s="1461"/>
    </row>
    <row r="94" spans="35:35">
      <c r="AI94" s="1461"/>
    </row>
    <row r="95" spans="35:35">
      <c r="AI95" s="1461"/>
    </row>
    <row r="96" spans="35:35">
      <c r="AI96" s="1461"/>
    </row>
    <row r="97" spans="35:35">
      <c r="AI97" s="1461"/>
    </row>
    <row r="98" spans="35:35">
      <c r="AI98" s="1461"/>
    </row>
    <row r="99" spans="35:35">
      <c r="AI99" s="1461"/>
    </row>
    <row r="100" spans="35:35">
      <c r="AI100" s="1461"/>
    </row>
    <row r="101" spans="35:35">
      <c r="AI101" s="1461"/>
    </row>
    <row r="102" spans="35:35">
      <c r="AI102" s="1461"/>
    </row>
    <row r="103" spans="35:35">
      <c r="AI103" s="1461"/>
    </row>
    <row r="104" spans="35:35">
      <c r="AI104" s="1461"/>
    </row>
    <row r="105" spans="35:35">
      <c r="AI105" s="1461"/>
    </row>
    <row r="106" spans="35:35">
      <c r="AI106" s="1461"/>
    </row>
    <row r="107" spans="35:35">
      <c r="AI107" s="1461"/>
    </row>
    <row r="108" spans="35:35">
      <c r="AI108" s="1461"/>
    </row>
    <row r="109" spans="35:35">
      <c r="AI109" s="1461"/>
    </row>
    <row r="110" spans="35:35">
      <c r="AI110" s="1461"/>
    </row>
    <row r="111" spans="35:35">
      <c r="AI111" s="1461"/>
    </row>
    <row r="112" spans="35:35">
      <c r="AI112" s="1461"/>
    </row>
    <row r="113" spans="35:35">
      <c r="AI113" s="1461"/>
    </row>
    <row r="114" spans="35:35">
      <c r="AI114" s="1461"/>
    </row>
    <row r="115" spans="35:35">
      <c r="AI115" s="1461"/>
    </row>
    <row r="116" spans="35:35">
      <c r="AI116" s="1461"/>
    </row>
    <row r="117" spans="35:35">
      <c r="AI117" s="1461"/>
    </row>
    <row r="118" spans="35:35">
      <c r="AI118" s="1461"/>
    </row>
    <row r="119" spans="35:35">
      <c r="AI119" s="1461"/>
    </row>
    <row r="120" spans="35:35">
      <c r="AI120" s="1461"/>
    </row>
    <row r="121" spans="35:35">
      <c r="AI121" s="1461"/>
    </row>
    <row r="122" spans="35:35">
      <c r="AI122" s="1461"/>
    </row>
    <row r="123" spans="35:35">
      <c r="AI123" s="1461"/>
    </row>
    <row r="124" spans="35:35">
      <c r="AI124" s="1461"/>
    </row>
    <row r="125" spans="35:35">
      <c r="AI125" s="1461"/>
    </row>
    <row r="126" spans="35:35">
      <c r="AI126" s="1461"/>
    </row>
    <row r="127" spans="35:35">
      <c r="AI127" s="1461"/>
    </row>
    <row r="128" spans="35:35">
      <c r="AI128" s="1461"/>
    </row>
    <row r="129" spans="35:35">
      <c r="AI129" s="1461"/>
    </row>
    <row r="130" spans="35:35">
      <c r="AI130" s="1461"/>
    </row>
    <row r="131" spans="35:35">
      <c r="AI131" s="1461"/>
    </row>
    <row r="132" spans="35:35">
      <c r="AI132" s="1461"/>
    </row>
    <row r="133" spans="35:35">
      <c r="AI133" s="1461"/>
    </row>
    <row r="134" spans="35:35">
      <c r="AI134" s="1461"/>
    </row>
    <row r="135" spans="35:35">
      <c r="AI135" s="1461"/>
    </row>
    <row r="136" spans="35:35">
      <c r="AI136" s="1461"/>
    </row>
    <row r="137" spans="35:35">
      <c r="AI137" s="1461"/>
    </row>
    <row r="138" spans="35:35">
      <c r="AI138" s="1461"/>
    </row>
    <row r="139" spans="35:35">
      <c r="AI139" s="1461"/>
    </row>
    <row r="140" spans="35:35">
      <c r="AI140" s="1461"/>
    </row>
    <row r="141" spans="35:35">
      <c r="AI141" s="1461"/>
    </row>
    <row r="142" spans="35:35">
      <c r="AI142" s="1461"/>
    </row>
    <row r="143" spans="35:35">
      <c r="AI143" s="1461"/>
    </row>
    <row r="144" spans="35:35">
      <c r="AI144" s="1461"/>
    </row>
    <row r="145" spans="35:35">
      <c r="AI145" s="1461"/>
    </row>
    <row r="146" spans="35:35">
      <c r="AI146" s="1461"/>
    </row>
    <row r="147" spans="35:35">
      <c r="AI147" s="1461"/>
    </row>
    <row r="148" spans="35:35">
      <c r="AI148" s="1461"/>
    </row>
    <row r="149" spans="35:35">
      <c r="AI149" s="1461"/>
    </row>
    <row r="150" spans="35:35">
      <c r="AI150" s="1461"/>
    </row>
    <row r="151" spans="35:35">
      <c r="AI151" s="1461"/>
    </row>
    <row r="152" spans="35:35">
      <c r="AI152" s="1461"/>
    </row>
    <row r="153" spans="35:35">
      <c r="AI153" s="1461"/>
    </row>
    <row r="154" spans="35:35">
      <c r="AI154" s="1461"/>
    </row>
    <row r="155" spans="35:35">
      <c r="AI155" s="1461"/>
    </row>
    <row r="156" spans="35:35">
      <c r="AI156" s="1461"/>
    </row>
    <row r="157" spans="35:35">
      <c r="AI157" s="1461"/>
    </row>
    <row r="158" spans="35:35">
      <c r="AI158" s="1461"/>
    </row>
    <row r="159" spans="35:35">
      <c r="AI159" s="1461"/>
    </row>
    <row r="160" spans="35:35">
      <c r="AI160" s="1461"/>
    </row>
    <row r="161" spans="35:35">
      <c r="AI161" s="1461"/>
    </row>
    <row r="162" spans="35:35">
      <c r="AI162" s="1461"/>
    </row>
    <row r="163" spans="35:35">
      <c r="AI163" s="1461"/>
    </row>
    <row r="164" spans="35:35">
      <c r="AI164" s="1461"/>
    </row>
    <row r="165" spans="35:35">
      <c r="AI165" s="1461"/>
    </row>
    <row r="166" spans="35:35">
      <c r="AI166" s="1461"/>
    </row>
    <row r="167" spans="35:35">
      <c r="AI167" s="1461"/>
    </row>
    <row r="168" spans="35:35">
      <c r="AI168" s="1461"/>
    </row>
    <row r="169" spans="35:35">
      <c r="AI169" s="1461"/>
    </row>
    <row r="170" spans="35:35">
      <c r="AI170" s="1461"/>
    </row>
    <row r="171" spans="35:35">
      <c r="AI171" s="1461"/>
    </row>
    <row r="172" spans="35:35">
      <c r="AI172" s="1461"/>
    </row>
    <row r="173" spans="35:35">
      <c r="AI173" s="1461"/>
    </row>
    <row r="174" spans="35:35">
      <c r="AI174" s="1461"/>
    </row>
    <row r="175" spans="35:35">
      <c r="AI175" s="1461"/>
    </row>
    <row r="176" spans="35:35">
      <c r="AI176" s="1461"/>
    </row>
    <row r="177" spans="35:35">
      <c r="AI177" s="1461"/>
    </row>
    <row r="178" spans="35:35">
      <c r="AI178" s="1461"/>
    </row>
    <row r="179" spans="35:35">
      <c r="AI179" s="1461"/>
    </row>
    <row r="180" spans="35:35">
      <c r="AI180" s="1461"/>
    </row>
    <row r="181" spans="35:35">
      <c r="AI181" s="1461"/>
    </row>
    <row r="182" spans="35:35">
      <c r="AI182" s="1461"/>
    </row>
    <row r="183" spans="35:35">
      <c r="AI183" s="1461"/>
    </row>
    <row r="184" spans="35:35">
      <c r="AI184" s="1461"/>
    </row>
    <row r="185" spans="35:35">
      <c r="AI185" s="1461"/>
    </row>
    <row r="186" spans="35:35">
      <c r="AI186" s="1461"/>
    </row>
    <row r="187" spans="35:35">
      <c r="AI187" s="1461"/>
    </row>
    <row r="188" spans="35:35">
      <c r="AI188" s="1461"/>
    </row>
    <row r="189" spans="35:35">
      <c r="AI189" s="1461"/>
    </row>
    <row r="190" spans="35:35">
      <c r="AI190" s="1461"/>
    </row>
    <row r="191" spans="35:35">
      <c r="AI191" s="1461"/>
    </row>
    <row r="192" spans="35:35">
      <c r="AI192" s="1461"/>
    </row>
    <row r="193" spans="35:35">
      <c r="AI193" s="1461"/>
    </row>
    <row r="194" spans="35:35">
      <c r="AI194" s="1461"/>
    </row>
    <row r="195" spans="35:35">
      <c r="AI195" s="1461"/>
    </row>
    <row r="196" spans="35:35">
      <c r="AI196" s="1461"/>
    </row>
    <row r="197" spans="35:35">
      <c r="AI197" s="1461"/>
    </row>
    <row r="198" spans="35:35">
      <c r="AI198" s="1461"/>
    </row>
    <row r="199" spans="35:35">
      <c r="AI199" s="1461"/>
    </row>
    <row r="200" spans="35:35">
      <c r="AI200" s="1461"/>
    </row>
    <row r="201" spans="35:35">
      <c r="AI201" s="1461"/>
    </row>
    <row r="202" spans="35:35">
      <c r="AI202" s="1461"/>
    </row>
    <row r="203" spans="35:35">
      <c r="AI203" s="1461"/>
    </row>
    <row r="204" spans="35:35">
      <c r="AI204" s="1461"/>
    </row>
    <row r="205" spans="35:35">
      <c r="AI205" s="1461"/>
    </row>
    <row r="206" spans="35:35">
      <c r="AI206" s="1461"/>
    </row>
    <row r="207" spans="35:35">
      <c r="AI207" s="1461"/>
    </row>
    <row r="208" spans="35:35">
      <c r="AI208" s="1461"/>
    </row>
    <row r="209" spans="35:35">
      <c r="AI209" s="1461"/>
    </row>
    <row r="210" spans="35:35">
      <c r="AI210" s="1461"/>
    </row>
    <row r="211" spans="35:35">
      <c r="AI211" s="1461"/>
    </row>
    <row r="212" spans="35:35">
      <c r="AI212" s="1461"/>
    </row>
    <row r="213" spans="35:35">
      <c r="AI213" s="1461"/>
    </row>
    <row r="214" spans="35:35">
      <c r="AI214" s="1461"/>
    </row>
    <row r="215" spans="35:35">
      <c r="AI215" s="1461"/>
    </row>
    <row r="216" spans="35:35">
      <c r="AI216" s="1461"/>
    </row>
    <row r="217" spans="35:35">
      <c r="AI217" s="1461"/>
    </row>
    <row r="218" spans="35:35">
      <c r="AI218" s="1461"/>
    </row>
    <row r="219" spans="35:35">
      <c r="AI219" s="1461"/>
    </row>
    <row r="220" spans="35:35">
      <c r="AI220" s="1461"/>
    </row>
    <row r="221" spans="35:35">
      <c r="AI221" s="1461"/>
    </row>
    <row r="222" spans="35:35">
      <c r="AI222" s="1461"/>
    </row>
    <row r="223" spans="35:35">
      <c r="AI223" s="1461"/>
    </row>
    <row r="224" spans="35:35">
      <c r="AI224" s="1461"/>
    </row>
    <row r="225" spans="35:35">
      <c r="AI225" s="1461"/>
    </row>
    <row r="226" spans="35:35">
      <c r="AI226" s="1461"/>
    </row>
    <row r="227" spans="35:35">
      <c r="AI227" s="1461"/>
    </row>
    <row r="228" spans="35:35">
      <c r="AI228" s="1461"/>
    </row>
    <row r="229" spans="35:35">
      <c r="AI229" s="1461"/>
    </row>
    <row r="230" spans="35:35">
      <c r="AI230" s="1461"/>
    </row>
    <row r="231" spans="35:35">
      <c r="AI231" s="1461"/>
    </row>
    <row r="232" spans="35:35">
      <c r="AI232" s="1461"/>
    </row>
    <row r="233" spans="35:35">
      <c r="AI233" s="1461"/>
    </row>
    <row r="234" spans="35:35">
      <c r="AI234" s="1461"/>
    </row>
    <row r="235" spans="35:35">
      <c r="AI235" s="1461"/>
    </row>
    <row r="236" spans="35:35">
      <c r="AI236" s="1461"/>
    </row>
    <row r="237" spans="35:35">
      <c r="AI237" s="1461"/>
    </row>
    <row r="238" spans="35:35">
      <c r="AI238" s="1461"/>
    </row>
    <row r="239" spans="35:35">
      <c r="AI239" s="1461"/>
    </row>
    <row r="240" spans="35:35">
      <c r="AI240" s="1461"/>
    </row>
    <row r="241" spans="35:35">
      <c r="AI241" s="1461"/>
    </row>
    <row r="242" spans="35:35">
      <c r="AI242" s="1461"/>
    </row>
    <row r="243" spans="35:35">
      <c r="AI243" s="1461"/>
    </row>
    <row r="244" spans="35:35">
      <c r="AI244" s="1461"/>
    </row>
    <row r="245" spans="35:35">
      <c r="AI245" s="1461"/>
    </row>
    <row r="246" spans="35:35">
      <c r="AI246" s="1461"/>
    </row>
    <row r="247" spans="35:35">
      <c r="AI247" s="1461"/>
    </row>
    <row r="248" spans="35:35">
      <c r="AI248" s="1461"/>
    </row>
    <row r="249" spans="35:35">
      <c r="AI249" s="1461"/>
    </row>
    <row r="250" spans="35:35">
      <c r="AI250" s="1461"/>
    </row>
    <row r="251" spans="35:35">
      <c r="AI251" s="1461"/>
    </row>
    <row r="252" spans="35:35">
      <c r="AI252" s="1461"/>
    </row>
    <row r="253" spans="35:35">
      <c r="AI253" s="1461"/>
    </row>
    <row r="254" spans="35:35">
      <c r="AI254" s="1461"/>
    </row>
    <row r="255" spans="35:35">
      <c r="AI255" s="1461"/>
    </row>
    <row r="256" spans="35:35">
      <c r="AI256" s="1461"/>
    </row>
    <row r="257" spans="35:35">
      <c r="AI257" s="1461"/>
    </row>
    <row r="258" spans="35:35">
      <c r="AI258" s="1461"/>
    </row>
    <row r="259" spans="35:35">
      <c r="AI259" s="1461"/>
    </row>
    <row r="260" spans="35:35">
      <c r="AI260" s="1461"/>
    </row>
    <row r="261" spans="35:35">
      <c r="AI261" s="1461"/>
    </row>
    <row r="262" spans="35:35">
      <c r="AI262" s="1461"/>
    </row>
    <row r="263" spans="35:35">
      <c r="AI263" s="1461"/>
    </row>
    <row r="264" spans="35:35">
      <c r="AI264" s="1461"/>
    </row>
    <row r="265" spans="35:35">
      <c r="AI265" s="1461"/>
    </row>
    <row r="266" spans="35:35">
      <c r="AI266" s="1461"/>
    </row>
    <row r="267" spans="35:35">
      <c r="AI267" s="1461"/>
    </row>
    <row r="268" spans="35:35">
      <c r="AI268" s="1461"/>
    </row>
    <row r="269" spans="35:35">
      <c r="AI269" s="1461"/>
    </row>
    <row r="270" spans="35:35">
      <c r="AI270" s="1461"/>
    </row>
    <row r="271" spans="35:35">
      <c r="AI271" s="1461"/>
    </row>
    <row r="272" spans="35:35">
      <c r="AI272" s="1461"/>
    </row>
    <row r="273" spans="35:35">
      <c r="AI273" s="1461"/>
    </row>
    <row r="274" spans="35:35">
      <c r="AI274" s="1461"/>
    </row>
    <row r="275" spans="35:35">
      <c r="AI275" s="1461"/>
    </row>
    <row r="276" spans="35:35">
      <c r="AI276" s="1461"/>
    </row>
    <row r="277" spans="35:35">
      <c r="AI277" s="1461"/>
    </row>
    <row r="278" spans="35:35">
      <c r="AI278" s="1461"/>
    </row>
    <row r="279" spans="35:35">
      <c r="AI279" s="1461"/>
    </row>
    <row r="280" spans="35:35">
      <c r="AI280" s="1461"/>
    </row>
    <row r="281" spans="35:35">
      <c r="AI281" s="1461"/>
    </row>
    <row r="282" spans="35:35">
      <c r="AI282" s="1461"/>
    </row>
    <row r="283" spans="35:35">
      <c r="AI283" s="1461"/>
    </row>
    <row r="284" spans="35:35">
      <c r="AI284" s="1461"/>
    </row>
    <row r="285" spans="35:35">
      <c r="AI285" s="1461"/>
    </row>
    <row r="286" spans="35:35">
      <c r="AI286" s="1461"/>
    </row>
    <row r="287" spans="35:35">
      <c r="AI287" s="1461"/>
    </row>
    <row r="288" spans="35:35">
      <c r="AI288" s="1461"/>
    </row>
    <row r="289" spans="35:35">
      <c r="AI289" s="1461"/>
    </row>
    <row r="290" spans="35:35">
      <c r="AI290" s="1461"/>
    </row>
    <row r="291" spans="35:35">
      <c r="AI291" s="1461"/>
    </row>
    <row r="292" spans="35:35">
      <c r="AI292" s="1461"/>
    </row>
    <row r="293" spans="35:35">
      <c r="AI293" s="1461"/>
    </row>
    <row r="294" spans="35:35">
      <c r="AI294" s="1461"/>
    </row>
    <row r="295" spans="35:35">
      <c r="AI295" s="1461"/>
    </row>
    <row r="296" spans="35:35">
      <c r="AI296" s="1461"/>
    </row>
    <row r="297" spans="35:35">
      <c r="AI297" s="1461"/>
    </row>
    <row r="298" spans="35:35">
      <c r="AI298" s="1461"/>
    </row>
    <row r="299" spans="35:35">
      <c r="AI299" s="1461"/>
    </row>
    <row r="300" spans="35:35">
      <c r="AI300" s="1461"/>
    </row>
    <row r="301" spans="35:35">
      <c r="AI301" s="1461"/>
    </row>
    <row r="302" spans="35:35">
      <c r="AI302" s="1461"/>
    </row>
    <row r="303" spans="35:35">
      <c r="AI303" s="1461"/>
    </row>
    <row r="304" spans="35:35">
      <c r="AI304" s="1461"/>
    </row>
    <row r="305" spans="35:35">
      <c r="AI305" s="1461"/>
    </row>
    <row r="306" spans="35:35">
      <c r="AI306" s="1461"/>
    </row>
    <row r="307" spans="35:35">
      <c r="AI307" s="1461"/>
    </row>
    <row r="308" spans="35:35">
      <c r="AI308" s="1461"/>
    </row>
    <row r="309" spans="35:35">
      <c r="AI309" s="1461"/>
    </row>
    <row r="310" spans="35:35">
      <c r="AI310" s="1461"/>
    </row>
    <row r="311" spans="35:35">
      <c r="AI311" s="1461"/>
    </row>
    <row r="312" spans="35:35">
      <c r="AI312" s="1461"/>
    </row>
    <row r="313" spans="35:35">
      <c r="AI313" s="1461"/>
    </row>
    <row r="314" spans="35:35">
      <c r="AI314" s="1461"/>
    </row>
    <row r="315" spans="35:35">
      <c r="AI315" s="1461"/>
    </row>
    <row r="316" spans="35:35">
      <c r="AI316" s="1461"/>
    </row>
    <row r="317" spans="35:35">
      <c r="AI317" s="1461"/>
    </row>
    <row r="318" spans="35:35">
      <c r="AI318" s="1461"/>
    </row>
    <row r="319" spans="35:35">
      <c r="AI319" s="1461"/>
    </row>
    <row r="320" spans="35:35">
      <c r="AI320" s="1461"/>
    </row>
    <row r="321" spans="35:35">
      <c r="AI321" s="1461"/>
    </row>
    <row r="322" spans="35:35">
      <c r="AI322" s="1461"/>
    </row>
    <row r="323" spans="35:35">
      <c r="AI323" s="1461"/>
    </row>
    <row r="324" spans="35:35">
      <c r="AI324" s="1461"/>
    </row>
    <row r="325" spans="35:35">
      <c r="AI325" s="1461"/>
    </row>
    <row r="326" spans="35:35">
      <c r="AI326" s="1461"/>
    </row>
    <row r="327" spans="35:35">
      <c r="AI327" s="1461"/>
    </row>
    <row r="328" spans="35:35">
      <c r="AI328" s="1461"/>
    </row>
    <row r="329" spans="35:35">
      <c r="AI329" s="1461"/>
    </row>
    <row r="330" spans="35:35">
      <c r="AI330" s="1461"/>
    </row>
    <row r="331" spans="35:35">
      <c r="AI331" s="1461"/>
    </row>
    <row r="332" spans="35:35">
      <c r="AI332" s="1461"/>
    </row>
    <row r="333" spans="35:35">
      <c r="AI333" s="1461"/>
    </row>
    <row r="334" spans="35:35">
      <c r="AI334" s="1461"/>
    </row>
    <row r="335" spans="35:35">
      <c r="AI335" s="1461"/>
    </row>
    <row r="336" spans="35:35">
      <c r="AI336" s="1461"/>
    </row>
    <row r="337" spans="35:35">
      <c r="AI337" s="1461"/>
    </row>
    <row r="338" spans="35:35">
      <c r="AI338" s="1461"/>
    </row>
    <row r="339" spans="35:35">
      <c r="AI339" s="1461"/>
    </row>
    <row r="340" spans="35:35">
      <c r="AI340" s="1461"/>
    </row>
    <row r="341" spans="35:35">
      <c r="AI341" s="1461"/>
    </row>
    <row r="342" spans="35:35">
      <c r="AI342" s="1461"/>
    </row>
    <row r="343" spans="35:35">
      <c r="AI343" s="1461"/>
    </row>
    <row r="344" spans="35:35">
      <c r="AI344" s="1461"/>
    </row>
    <row r="345" spans="35:35">
      <c r="AI345" s="1461"/>
    </row>
    <row r="346" spans="35:35">
      <c r="AI346" s="1461"/>
    </row>
    <row r="347" spans="35:35">
      <c r="AI347" s="1461"/>
    </row>
    <row r="348" spans="35:35">
      <c r="AI348" s="1461"/>
    </row>
    <row r="349" spans="35:35">
      <c r="AI349" s="1461"/>
    </row>
    <row r="350" spans="35:35">
      <c r="AI350" s="1461"/>
    </row>
    <row r="351" spans="35:35">
      <c r="AI351" s="1461"/>
    </row>
    <row r="352" spans="35:35">
      <c r="AI352" s="1461"/>
    </row>
    <row r="353" spans="35:35">
      <c r="AI353" s="1461"/>
    </row>
    <row r="354" spans="35:35">
      <c r="AI354" s="1461"/>
    </row>
    <row r="355" spans="35:35">
      <c r="AI355" s="1461"/>
    </row>
    <row r="356" spans="35:35">
      <c r="AI356" s="1461"/>
    </row>
    <row r="357" spans="35:35">
      <c r="AI357" s="1461"/>
    </row>
    <row r="358" spans="35:35">
      <c r="AI358" s="1461"/>
    </row>
    <row r="359" spans="35:35">
      <c r="AI359" s="1461"/>
    </row>
    <row r="360" spans="35:35">
      <c r="AI360" s="1461"/>
    </row>
    <row r="361" spans="35:35">
      <c r="AI361" s="1461"/>
    </row>
    <row r="362" spans="35:35">
      <c r="AI362" s="1461"/>
    </row>
    <row r="363" spans="35:35">
      <c r="AI363" s="1461"/>
    </row>
    <row r="364" spans="35:35">
      <c r="AI364" s="1461"/>
    </row>
    <row r="365" spans="35:35">
      <c r="AI365" s="1461"/>
    </row>
    <row r="366" spans="35:35">
      <c r="AI366" s="1461"/>
    </row>
    <row r="367" spans="35:35">
      <c r="AI367" s="1461"/>
    </row>
    <row r="368" spans="35:35">
      <c r="AI368" s="1461"/>
    </row>
    <row r="369" spans="35:35">
      <c r="AI369" s="1461"/>
    </row>
    <row r="370" spans="35:35">
      <c r="AI370" s="1461"/>
    </row>
    <row r="371" spans="35:35">
      <c r="AI371" s="1461"/>
    </row>
    <row r="372" spans="35:35">
      <c r="AI372" s="1461"/>
    </row>
    <row r="373" spans="35:35">
      <c r="AI373" s="1461"/>
    </row>
    <row r="374" spans="35:35">
      <c r="AI374" s="1461"/>
    </row>
    <row r="375" spans="35:35">
      <c r="AI375" s="1461"/>
    </row>
    <row r="376" spans="35:35">
      <c r="AI376" s="1461"/>
    </row>
    <row r="377" spans="35:35">
      <c r="AI377" s="1461"/>
    </row>
    <row r="378" spans="35:35">
      <c r="AI378" s="1461"/>
    </row>
    <row r="379" spans="35:35">
      <c r="AI379" s="1461"/>
    </row>
    <row r="380" spans="35:35">
      <c r="AI380" s="1461"/>
    </row>
    <row r="381" spans="35:35">
      <c r="AI381" s="1461"/>
    </row>
    <row r="382" spans="35:35">
      <c r="AI382" s="1461"/>
    </row>
    <row r="383" spans="35:35">
      <c r="AI383" s="1461"/>
    </row>
    <row r="384" spans="35:35">
      <c r="AI384" s="1461"/>
    </row>
    <row r="385" spans="35:35">
      <c r="AI385" s="1461"/>
    </row>
    <row r="386" spans="35:35">
      <c r="AI386" s="1461"/>
    </row>
    <row r="387" spans="35:35">
      <c r="AI387" s="1461"/>
    </row>
    <row r="388" spans="35:35">
      <c r="AI388" s="1461"/>
    </row>
    <row r="389" spans="35:35">
      <c r="AI389" s="1461"/>
    </row>
    <row r="390" spans="35:35">
      <c r="AI390" s="1461"/>
    </row>
    <row r="391" spans="35:35">
      <c r="AI391" s="1461"/>
    </row>
    <row r="392" spans="35:35">
      <c r="AI392" s="1461"/>
    </row>
    <row r="393" spans="35:35">
      <c r="AI393" s="1461"/>
    </row>
    <row r="394" spans="35:35">
      <c r="AI394" s="1461"/>
    </row>
    <row r="395" spans="35:35">
      <c r="AI395" s="1461"/>
    </row>
    <row r="396" spans="35:35">
      <c r="AI396" s="1461"/>
    </row>
    <row r="397" spans="35:35">
      <c r="AI397" s="1461"/>
    </row>
    <row r="398" spans="35:35">
      <c r="AI398" s="1461"/>
    </row>
    <row r="399" spans="35:35">
      <c r="AI399" s="1461"/>
    </row>
    <row r="400" spans="35:35">
      <c r="AI400" s="1461"/>
    </row>
    <row r="401" spans="35:35">
      <c r="AI401" s="1461"/>
    </row>
    <row r="402" spans="35:35">
      <c r="AI402" s="1461"/>
    </row>
    <row r="403" spans="35:35">
      <c r="AI403" s="1461"/>
    </row>
    <row r="404" spans="35:35">
      <c r="AI404" s="1461"/>
    </row>
    <row r="405" spans="35:35">
      <c r="AI405" s="1461"/>
    </row>
    <row r="406" spans="35:35">
      <c r="AI406" s="1461"/>
    </row>
    <row r="407" spans="35:35">
      <c r="AI407" s="1461"/>
    </row>
    <row r="408" spans="35:35">
      <c r="AI408" s="1461"/>
    </row>
    <row r="409" spans="35:35">
      <c r="AI409" s="1461"/>
    </row>
    <row r="410" spans="35:35">
      <c r="AI410" s="1461"/>
    </row>
    <row r="411" spans="35:35">
      <c r="AI411" s="1461"/>
    </row>
    <row r="412" spans="35:35">
      <c r="AI412" s="1461"/>
    </row>
    <row r="413" spans="35:35">
      <c r="AI413" s="1461"/>
    </row>
    <row r="414" spans="35:35">
      <c r="AI414" s="1461"/>
    </row>
    <row r="415" spans="35:35">
      <c r="AI415" s="1461"/>
    </row>
    <row r="416" spans="35:35">
      <c r="AI416" s="1461"/>
    </row>
    <row r="417" spans="35:35">
      <c r="AI417" s="1461"/>
    </row>
    <row r="418" spans="35:35">
      <c r="AI418" s="1461"/>
    </row>
    <row r="419" spans="35:35">
      <c r="AI419" s="1461"/>
    </row>
    <row r="420" spans="35:35">
      <c r="AI420" s="1461"/>
    </row>
    <row r="421" spans="35:35">
      <c r="AI421" s="1461"/>
    </row>
    <row r="422" spans="35:35">
      <c r="AI422" s="1461"/>
    </row>
    <row r="423" spans="35:35">
      <c r="AI423" s="1461"/>
    </row>
    <row r="424" spans="35:35">
      <c r="AI424" s="1461"/>
    </row>
    <row r="425" spans="35:35">
      <c r="AI425" s="1461"/>
    </row>
    <row r="426" spans="35:35">
      <c r="AI426" s="1461"/>
    </row>
    <row r="427" spans="35:35">
      <c r="AI427" s="1461"/>
    </row>
    <row r="428" spans="35:35">
      <c r="AI428" s="1461"/>
    </row>
    <row r="429" spans="35:35">
      <c r="AI429" s="1461"/>
    </row>
    <row r="430" spans="35:35">
      <c r="AI430" s="1461"/>
    </row>
    <row r="431" spans="35:35">
      <c r="AI431" s="1461"/>
    </row>
    <row r="432" spans="35:35">
      <c r="AI432" s="1461"/>
    </row>
    <row r="433" spans="35:35">
      <c r="AI433" s="1461"/>
    </row>
    <row r="434" spans="35:35">
      <c r="AI434" s="1461"/>
    </row>
    <row r="435" spans="35:35">
      <c r="AI435" s="1461"/>
    </row>
    <row r="436" spans="35:35">
      <c r="AI436" s="1461"/>
    </row>
    <row r="437" spans="35:35">
      <c r="AI437" s="1461"/>
    </row>
    <row r="438" spans="35:35">
      <c r="AI438" s="1461"/>
    </row>
    <row r="439" spans="35:35">
      <c r="AI439" s="1461"/>
    </row>
    <row r="440" spans="35:35">
      <c r="AI440" s="1461"/>
    </row>
    <row r="441" spans="35:35">
      <c r="AI441" s="1461"/>
    </row>
    <row r="442" spans="35:35">
      <c r="AI442" s="1461"/>
    </row>
    <row r="443" spans="35:35">
      <c r="AI443" s="1461"/>
    </row>
    <row r="444" spans="35:35">
      <c r="AI444" s="1461"/>
    </row>
    <row r="445" spans="35:35">
      <c r="AI445" s="1461"/>
    </row>
    <row r="446" spans="35:35">
      <c r="AI446" s="1461"/>
    </row>
    <row r="447" spans="35:35">
      <c r="AI447" s="1461"/>
    </row>
    <row r="448" spans="35:35">
      <c r="AI448" s="1461"/>
    </row>
    <row r="449" spans="35:35">
      <c r="AI449" s="1461"/>
    </row>
    <row r="450" spans="35:35">
      <c r="AI450" s="1461"/>
    </row>
    <row r="451" spans="35:35">
      <c r="AI451" s="1461"/>
    </row>
    <row r="452" spans="35:35">
      <c r="AI452" s="1461"/>
    </row>
    <row r="453" spans="35:35">
      <c r="AI453" s="1461"/>
    </row>
    <row r="454" spans="35:35">
      <c r="AI454" s="1461"/>
    </row>
    <row r="455" spans="35:35">
      <c r="AI455" s="1461"/>
    </row>
    <row r="456" spans="35:35">
      <c r="AI456" s="1461"/>
    </row>
    <row r="457" spans="35:35">
      <c r="AI457" s="1461"/>
    </row>
    <row r="458" spans="35:35">
      <c r="AI458" s="1461"/>
    </row>
    <row r="459" spans="35:35">
      <c r="AI459" s="1461"/>
    </row>
    <row r="460" spans="35:35">
      <c r="AI460" s="1461"/>
    </row>
    <row r="461" spans="35:35">
      <c r="AI461" s="1461"/>
    </row>
    <row r="462" spans="35:35">
      <c r="AI462" s="1461"/>
    </row>
    <row r="463" spans="35:35">
      <c r="AI463" s="1461"/>
    </row>
    <row r="464" spans="35:35">
      <c r="AI464" s="1461"/>
    </row>
    <row r="465" spans="35:35">
      <c r="AI465" s="1461"/>
    </row>
    <row r="466" spans="35:35">
      <c r="AI466" s="1461"/>
    </row>
    <row r="467" spans="35:35">
      <c r="AI467" s="1461"/>
    </row>
    <row r="468" spans="35:35">
      <c r="AI468" s="1461"/>
    </row>
    <row r="469" spans="35:35">
      <c r="AI469" s="1461"/>
    </row>
    <row r="470" spans="35:35">
      <c r="AI470" s="1461"/>
    </row>
    <row r="471" spans="35:35">
      <c r="AI471" s="1461"/>
    </row>
    <row r="472" spans="35:35">
      <c r="AI472" s="1461"/>
    </row>
    <row r="473" spans="35:35">
      <c r="AI473" s="1461"/>
    </row>
    <row r="474" spans="35:35">
      <c r="AI474" s="1461"/>
    </row>
    <row r="475" spans="35:35">
      <c r="AI475" s="1461"/>
    </row>
    <row r="476" spans="35:35">
      <c r="AI476" s="1461"/>
    </row>
    <row r="477" spans="35:35">
      <c r="AI477" s="1461"/>
    </row>
    <row r="478" spans="35:35">
      <c r="AI478" s="1461"/>
    </row>
    <row r="479" spans="35:35">
      <c r="AI479" s="1461"/>
    </row>
    <row r="480" spans="35:35">
      <c r="AI480" s="1461"/>
    </row>
    <row r="481" spans="35:35">
      <c r="AI481" s="1461"/>
    </row>
    <row r="482" spans="35:35">
      <c r="AI482" s="1461"/>
    </row>
    <row r="483" spans="35:35">
      <c r="AI483" s="1461"/>
    </row>
    <row r="484" spans="35:35">
      <c r="AI484" s="1461"/>
    </row>
    <row r="485" spans="35:35">
      <c r="AI485" s="1461"/>
    </row>
    <row r="486" spans="35:35">
      <c r="AI486" s="1461"/>
    </row>
    <row r="487" spans="35:35">
      <c r="AI487" s="1461"/>
    </row>
    <row r="488" spans="35:35">
      <c r="AI488" s="1461"/>
    </row>
    <row r="489" spans="35:35">
      <c r="AI489" s="1461"/>
    </row>
    <row r="490" spans="35:35">
      <c r="AI490" s="1461"/>
    </row>
    <row r="491" spans="35:35">
      <c r="AI491" s="1461"/>
    </row>
    <row r="492" spans="35:35">
      <c r="AI492" s="1461"/>
    </row>
    <row r="493" spans="35:35">
      <c r="AI493" s="1461"/>
    </row>
    <row r="494" spans="35:35">
      <c r="AI494" s="1461"/>
    </row>
    <row r="495" spans="35:35">
      <c r="AI495" s="1461"/>
    </row>
    <row r="496" spans="35:35">
      <c r="AI496" s="1461"/>
    </row>
    <row r="497" spans="35:35">
      <c r="AI497" s="1461"/>
    </row>
    <row r="498" spans="35:35">
      <c r="AI498" s="1461"/>
    </row>
    <row r="499" spans="35:35">
      <c r="AI499" s="1461"/>
    </row>
    <row r="500" spans="35:35">
      <c r="AI500" s="1461"/>
    </row>
    <row r="501" spans="35:35">
      <c r="AI501" s="1461"/>
    </row>
    <row r="502" spans="35:35">
      <c r="AI502" s="1461"/>
    </row>
    <row r="503" spans="35:35">
      <c r="AI503" s="1461"/>
    </row>
    <row r="504" spans="35:35">
      <c r="AI504" s="1461"/>
    </row>
    <row r="505" spans="35:35">
      <c r="AI505" s="1461"/>
    </row>
    <row r="506" spans="35:35">
      <c r="AI506" s="1461"/>
    </row>
    <row r="507" spans="35:35">
      <c r="AI507" s="1461"/>
    </row>
    <row r="508" spans="35:35">
      <c r="AI508" s="1461"/>
    </row>
    <row r="509" spans="35:35">
      <c r="AI509" s="1461"/>
    </row>
    <row r="510" spans="35:35">
      <c r="AI510" s="1461"/>
    </row>
    <row r="511" spans="35:35">
      <c r="AI511" s="1461"/>
    </row>
    <row r="512" spans="35:35">
      <c r="AI512" s="1461"/>
    </row>
    <row r="513" spans="35:35">
      <c r="AI513" s="1461"/>
    </row>
    <row r="514" spans="35:35">
      <c r="AI514" s="1461"/>
    </row>
    <row r="515" spans="35:35">
      <c r="AI515" s="1461"/>
    </row>
    <row r="516" spans="35:35">
      <c r="AI516" s="1461"/>
    </row>
    <row r="517" spans="35:35">
      <c r="AI517" s="1461"/>
    </row>
    <row r="518" spans="35:35">
      <c r="AI518" s="1461"/>
    </row>
    <row r="519" spans="35:35">
      <c r="AI519" s="1461"/>
    </row>
    <row r="520" spans="35:35">
      <c r="AI520" s="1461"/>
    </row>
    <row r="521" spans="35:35">
      <c r="AI521" s="1461"/>
    </row>
    <row r="522" spans="35:35">
      <c r="AI522" s="1461"/>
    </row>
    <row r="523" spans="35:35">
      <c r="AI523" s="1461"/>
    </row>
    <row r="524" spans="35:35">
      <c r="AI524" s="1461"/>
    </row>
    <row r="525" spans="35:35">
      <c r="AI525" s="1461"/>
    </row>
    <row r="526" spans="35:35">
      <c r="AI526" s="1461"/>
    </row>
    <row r="527" spans="35:35">
      <c r="AI527" s="1461"/>
    </row>
    <row r="528" spans="35:35">
      <c r="AI528" s="1461"/>
    </row>
    <row r="529" spans="35:35">
      <c r="AI529" s="1461"/>
    </row>
    <row r="530" spans="35:35">
      <c r="AI530" s="1461"/>
    </row>
    <row r="531" spans="35:35">
      <c r="AI531" s="1461"/>
    </row>
    <row r="532" spans="35:35">
      <c r="AI532" s="1461"/>
    </row>
    <row r="533" spans="35:35">
      <c r="AI533" s="1461"/>
    </row>
    <row r="534" spans="35:35">
      <c r="AI534" s="1461"/>
    </row>
    <row r="535" spans="35:35">
      <c r="AI535" s="1461"/>
    </row>
    <row r="536" spans="35:35">
      <c r="AI536" s="1461"/>
    </row>
    <row r="537" spans="35:35">
      <c r="AI537" s="1461"/>
    </row>
    <row r="538" spans="35:35">
      <c r="AI538" s="1461"/>
    </row>
    <row r="539" spans="35:35">
      <c r="AI539" s="1461"/>
    </row>
    <row r="540" spans="35:35">
      <c r="AI540" s="1461"/>
    </row>
    <row r="541" spans="35:35">
      <c r="AI541" s="1461"/>
    </row>
    <row r="542" spans="35:35">
      <c r="AI542" s="1461"/>
    </row>
    <row r="543" spans="35:35">
      <c r="AI543" s="1461"/>
    </row>
    <row r="544" spans="35:35">
      <c r="AI544" s="1461"/>
    </row>
    <row r="545" spans="35:35">
      <c r="AI545" s="1461"/>
    </row>
    <row r="546" spans="35:35">
      <c r="AI546" s="1461"/>
    </row>
    <row r="547" spans="35:35">
      <c r="AI547" s="1461"/>
    </row>
    <row r="548" spans="35:35">
      <c r="AI548" s="1461"/>
    </row>
    <row r="549" spans="35:35">
      <c r="AI549" s="1461"/>
    </row>
    <row r="550" spans="35:35">
      <c r="AI550" s="1461"/>
    </row>
    <row r="551" spans="35:35">
      <c r="AI551" s="1461"/>
    </row>
    <row r="552" spans="35:35">
      <c r="AI552" s="1461"/>
    </row>
    <row r="553" spans="35:35">
      <c r="AI553" s="1461"/>
    </row>
    <row r="554" spans="35:35">
      <c r="AI554" s="1461"/>
    </row>
    <row r="555" spans="35:35">
      <c r="AI555" s="1461"/>
    </row>
    <row r="556" spans="35:35">
      <c r="AI556" s="1461"/>
    </row>
    <row r="557" spans="35:35">
      <c r="AI557" s="1461"/>
    </row>
    <row r="558" spans="35:35">
      <c r="AI558" s="1461"/>
    </row>
    <row r="559" spans="35:35">
      <c r="AI559" s="1461"/>
    </row>
    <row r="560" spans="35:35">
      <c r="AI560" s="1461"/>
    </row>
    <row r="561" spans="35:35">
      <c r="AI561" s="1461"/>
    </row>
    <row r="562" spans="35:35">
      <c r="AI562" s="1461"/>
    </row>
    <row r="563" spans="35:35">
      <c r="AI563" s="1461"/>
    </row>
    <row r="564" spans="35:35">
      <c r="AI564" s="1461"/>
    </row>
    <row r="565" spans="35:35">
      <c r="AI565" s="1461"/>
    </row>
    <row r="566" spans="35:35">
      <c r="AI566" s="1461"/>
    </row>
    <row r="567" spans="35:35">
      <c r="AI567" s="1461"/>
    </row>
    <row r="568" spans="35:35">
      <c r="AI568" s="1461"/>
    </row>
    <row r="569" spans="35:35">
      <c r="AI569" s="1461"/>
    </row>
    <row r="570" spans="35:35">
      <c r="AI570" s="1461"/>
    </row>
    <row r="571" spans="35:35">
      <c r="AI571" s="1461"/>
    </row>
    <row r="572" spans="35:35">
      <c r="AI572" s="1461"/>
    </row>
    <row r="573" spans="35:35">
      <c r="AI573" s="1461"/>
    </row>
    <row r="574" spans="35:35">
      <c r="AI574" s="1461"/>
    </row>
    <row r="575" spans="35:35">
      <c r="AI575" s="1461"/>
    </row>
    <row r="576" spans="35:35">
      <c r="AI576" s="1461"/>
    </row>
    <row r="577" spans="35:35">
      <c r="AI577" s="1461"/>
    </row>
    <row r="578" spans="35:35">
      <c r="AI578" s="1461"/>
    </row>
    <row r="579" spans="35:35">
      <c r="AI579" s="1461"/>
    </row>
    <row r="580" spans="35:35">
      <c r="AI580" s="1461"/>
    </row>
    <row r="581" spans="35:35">
      <c r="AI581" s="1461"/>
    </row>
    <row r="582" spans="35:35">
      <c r="AI582" s="1461"/>
    </row>
    <row r="583" spans="35:35">
      <c r="AI583" s="1461"/>
    </row>
    <row r="584" spans="35:35">
      <c r="AI584" s="1461"/>
    </row>
    <row r="585" spans="35:35">
      <c r="AI585" s="1461"/>
    </row>
    <row r="586" spans="35:35">
      <c r="AI586" s="1461"/>
    </row>
    <row r="587" spans="35:35">
      <c r="AI587" s="1461"/>
    </row>
    <row r="588" spans="35:35">
      <c r="AI588" s="1461"/>
    </row>
    <row r="589" spans="35:35">
      <c r="AI589" s="1461"/>
    </row>
    <row r="590" spans="35:35">
      <c r="AI590" s="1461"/>
    </row>
    <row r="591" spans="35:35">
      <c r="AI591" s="1461"/>
    </row>
    <row r="592" spans="35:35">
      <c r="AI592" s="1461"/>
    </row>
    <row r="593" spans="35:35">
      <c r="AI593" s="1461"/>
    </row>
    <row r="594" spans="35:35">
      <c r="AI594" s="1461"/>
    </row>
    <row r="595" spans="35:35">
      <c r="AI595" s="1461"/>
    </row>
    <row r="596" spans="35:35">
      <c r="AI596" s="1461"/>
    </row>
    <row r="597" spans="35:35">
      <c r="AI597" s="1461"/>
    </row>
    <row r="598" spans="35:35">
      <c r="AI598" s="1461"/>
    </row>
    <row r="599" spans="35:35">
      <c r="AI599" s="1461"/>
    </row>
    <row r="600" spans="35:35">
      <c r="AI600" s="1461"/>
    </row>
    <row r="601" spans="35:35">
      <c r="AI601" s="1461"/>
    </row>
    <row r="602" spans="35:35">
      <c r="AI602" s="1461"/>
    </row>
    <row r="603" spans="35:35">
      <c r="AI603" s="1461"/>
    </row>
    <row r="604" spans="35:35">
      <c r="AI604" s="1461"/>
    </row>
    <row r="605" spans="35:35">
      <c r="AI605" s="1461"/>
    </row>
    <row r="606" spans="35:35">
      <c r="AI606" s="1461"/>
    </row>
    <row r="607" spans="35:35">
      <c r="AI607" s="1461"/>
    </row>
    <row r="608" spans="35:35">
      <c r="AI608" s="1461"/>
    </row>
    <row r="609" spans="35:35">
      <c r="AI609" s="1461"/>
    </row>
    <row r="610" spans="35:35">
      <c r="AI610" s="1461"/>
    </row>
    <row r="611" spans="35:35">
      <c r="AI611" s="1461"/>
    </row>
    <row r="612" spans="35:35">
      <c r="AI612" s="1461"/>
    </row>
    <row r="613" spans="35:35">
      <c r="AI613" s="1461"/>
    </row>
    <row r="614" spans="35:35">
      <c r="AI614" s="1461"/>
    </row>
    <row r="615" spans="35:35">
      <c r="AI615" s="1461"/>
    </row>
    <row r="616" spans="35:35">
      <c r="AI616" s="1461"/>
    </row>
    <row r="617" spans="35:35">
      <c r="AI617" s="1461"/>
    </row>
    <row r="618" spans="35:35">
      <c r="AI618" s="1461"/>
    </row>
    <row r="619" spans="35:35">
      <c r="AI619" s="1461"/>
    </row>
    <row r="620" spans="35:35">
      <c r="AI620" s="1461"/>
    </row>
    <row r="621" spans="35:35">
      <c r="AI621" s="1461"/>
    </row>
    <row r="622" spans="35:35">
      <c r="AI622" s="1461"/>
    </row>
    <row r="623" spans="35:35">
      <c r="AI623" s="1461"/>
    </row>
    <row r="624" spans="35:35">
      <c r="AI624" s="1461"/>
    </row>
    <row r="625" spans="35:35">
      <c r="AI625" s="1461"/>
    </row>
    <row r="626" spans="35:35">
      <c r="AI626" s="1461"/>
    </row>
    <row r="627" spans="35:35">
      <c r="AI627" s="1461"/>
    </row>
    <row r="628" spans="35:35">
      <c r="AI628" s="1461"/>
    </row>
    <row r="629" spans="35:35">
      <c r="AI629" s="1461"/>
    </row>
    <row r="630" spans="35:35">
      <c r="AI630" s="1461"/>
    </row>
    <row r="631" spans="35:35">
      <c r="AI631" s="1461"/>
    </row>
    <row r="632" spans="35:35">
      <c r="AI632" s="1461"/>
    </row>
    <row r="633" spans="35:35">
      <c r="AI633" s="1461"/>
    </row>
    <row r="634" spans="35:35">
      <c r="AI634" s="1461"/>
    </row>
    <row r="635" spans="35:35">
      <c r="AI635" s="1461"/>
    </row>
    <row r="636" spans="35:35">
      <c r="AI636" s="1461"/>
    </row>
    <row r="637" spans="35:35">
      <c r="AI637" s="1461"/>
    </row>
    <row r="638" spans="35:35">
      <c r="AI638" s="1461"/>
    </row>
    <row r="639" spans="35:35">
      <c r="AI639" s="1461"/>
    </row>
    <row r="640" spans="35:35">
      <c r="AI640" s="1461"/>
    </row>
    <row r="641" spans="35:35">
      <c r="AI641" s="1461"/>
    </row>
    <row r="642" spans="35:35">
      <c r="AI642" s="1461"/>
    </row>
    <row r="643" spans="35:35">
      <c r="AI643" s="1461"/>
    </row>
    <row r="644" spans="35:35">
      <c r="AI644" s="1461"/>
    </row>
    <row r="645" spans="35:35">
      <c r="AI645" s="1461"/>
    </row>
    <row r="646" spans="35:35">
      <c r="AI646" s="1461"/>
    </row>
    <row r="647" spans="35:35">
      <c r="AI647" s="1461"/>
    </row>
    <row r="648" spans="35:35">
      <c r="AI648" s="1461"/>
    </row>
    <row r="649" spans="35:35">
      <c r="AI649" s="1461"/>
    </row>
    <row r="650" spans="35:35">
      <c r="AI650" s="1461"/>
    </row>
    <row r="651" spans="35:35">
      <c r="AI651" s="1461"/>
    </row>
    <row r="652" spans="35:35">
      <c r="AI652" s="1461"/>
    </row>
    <row r="653" spans="35:35">
      <c r="AI653" s="1461"/>
    </row>
    <row r="654" spans="35:35">
      <c r="AI654" s="1461"/>
    </row>
    <row r="655" spans="35:35">
      <c r="AI655" s="1461"/>
    </row>
    <row r="656" spans="35:35">
      <c r="AI656" s="1461"/>
    </row>
    <row r="657" spans="35:35">
      <c r="AI657" s="1461"/>
    </row>
    <row r="658" spans="35:35">
      <c r="AI658" s="1461"/>
    </row>
    <row r="659" spans="35:35">
      <c r="AI659" s="1461"/>
    </row>
    <row r="660" spans="35:35">
      <c r="AI660" s="1461"/>
    </row>
    <row r="661" spans="35:35">
      <c r="AI661" s="1461"/>
    </row>
    <row r="662" spans="35:35">
      <c r="AI662" s="1461"/>
    </row>
    <row r="663" spans="35:35">
      <c r="AI663" s="1461"/>
    </row>
    <row r="664" spans="35:35">
      <c r="AI664" s="1461"/>
    </row>
    <row r="665" spans="35:35">
      <c r="AI665" s="1461"/>
    </row>
    <row r="666" spans="35:35">
      <c r="AI666" s="1461"/>
    </row>
    <row r="667" spans="35:35">
      <c r="AI667" s="1461"/>
    </row>
    <row r="668" spans="35:35">
      <c r="AI668" s="1461"/>
    </row>
    <row r="669" spans="35:35">
      <c r="AI669" s="1461"/>
    </row>
    <row r="670" spans="35:35">
      <c r="AI670" s="1461"/>
    </row>
    <row r="671" spans="35:35">
      <c r="AI671" s="1461"/>
    </row>
    <row r="672" spans="35:35">
      <c r="AI672" s="1461"/>
    </row>
    <row r="673" spans="35:35">
      <c r="AI673" s="1461"/>
    </row>
    <row r="674" spans="35:35">
      <c r="AI674" s="1461"/>
    </row>
    <row r="675" spans="35:35">
      <c r="AI675" s="1461"/>
    </row>
    <row r="676" spans="35:35">
      <c r="AI676" s="1461"/>
    </row>
    <row r="677" spans="35:35">
      <c r="AI677" s="1461"/>
    </row>
    <row r="678" spans="35:35">
      <c r="AI678" s="1461"/>
    </row>
    <row r="679" spans="35:35">
      <c r="AI679" s="1461"/>
    </row>
    <row r="680" spans="35:35">
      <c r="AI680" s="1461"/>
    </row>
    <row r="681" spans="35:35">
      <c r="AI681" s="1461"/>
    </row>
    <row r="682" spans="35:35">
      <c r="AI682" s="1461"/>
    </row>
    <row r="683" spans="35:35">
      <c r="AI683" s="1461"/>
    </row>
    <row r="684" spans="35:35">
      <c r="AI684" s="1461"/>
    </row>
    <row r="685" spans="35:35">
      <c r="AI685" s="1461"/>
    </row>
    <row r="686" spans="35:35">
      <c r="AI686" s="1461"/>
    </row>
    <row r="687" spans="35:35">
      <c r="AI687" s="1461"/>
    </row>
    <row r="688" spans="35:35">
      <c r="AI688" s="1461"/>
    </row>
    <row r="689" spans="35:35">
      <c r="AI689" s="1461"/>
    </row>
    <row r="690" spans="35:35">
      <c r="AI690" s="1461"/>
    </row>
    <row r="691" spans="35:35">
      <c r="AI691" s="1461"/>
    </row>
    <row r="692" spans="35:35">
      <c r="AI692" s="1461"/>
    </row>
    <row r="693" spans="35:35">
      <c r="AI693" s="1461"/>
    </row>
    <row r="694" spans="35:35">
      <c r="AI694" s="1461"/>
    </row>
    <row r="695" spans="35:35">
      <c r="AI695" s="1461"/>
    </row>
    <row r="696" spans="35:35">
      <c r="AI696" s="1461"/>
    </row>
    <row r="697" spans="35:35">
      <c r="AI697" s="1461"/>
    </row>
    <row r="698" spans="35:35">
      <c r="AI698" s="1461"/>
    </row>
    <row r="699" spans="35:35">
      <c r="AI699" s="1461"/>
    </row>
    <row r="700" spans="35:35">
      <c r="AI700" s="1461"/>
    </row>
    <row r="701" spans="35:35">
      <c r="AI701" s="1461"/>
    </row>
    <row r="702" spans="35:35">
      <c r="AI702" s="1461"/>
    </row>
    <row r="703" spans="35:35">
      <c r="AI703" s="1461"/>
    </row>
    <row r="704" spans="35:35">
      <c r="AI704" s="1461"/>
    </row>
    <row r="705" spans="35:35">
      <c r="AI705" s="1461"/>
    </row>
    <row r="706" spans="35:35">
      <c r="AI706" s="1461"/>
    </row>
    <row r="707" spans="35:35">
      <c r="AI707" s="1461"/>
    </row>
    <row r="708" spans="35:35">
      <c r="AI708" s="1461"/>
    </row>
    <row r="709" spans="35:35">
      <c r="AI709" s="1461"/>
    </row>
    <row r="710" spans="35:35">
      <c r="AI710" s="1461"/>
    </row>
    <row r="711" spans="35:35">
      <c r="AI711" s="1461"/>
    </row>
    <row r="712" spans="35:35">
      <c r="AI712" s="1461"/>
    </row>
    <row r="713" spans="35:35">
      <c r="AI713" s="1461"/>
    </row>
    <row r="714" spans="35:35">
      <c r="AI714" s="1461"/>
    </row>
    <row r="715" spans="35:35">
      <c r="AI715" s="1461"/>
    </row>
    <row r="716" spans="35:35">
      <c r="AI716" s="1461"/>
    </row>
    <row r="717" spans="35:35">
      <c r="AI717" s="1461"/>
    </row>
    <row r="718" spans="35:35">
      <c r="AI718" s="1461"/>
    </row>
    <row r="719" spans="35:35">
      <c r="AI719" s="1461"/>
    </row>
    <row r="720" spans="35:35">
      <c r="AI720" s="1461"/>
    </row>
    <row r="721" spans="35:35">
      <c r="AI721" s="1461"/>
    </row>
    <row r="722" spans="35:35">
      <c r="AI722" s="1461"/>
    </row>
    <row r="723" spans="35:35">
      <c r="AI723" s="1461"/>
    </row>
    <row r="724" spans="35:35">
      <c r="AI724" s="1461"/>
    </row>
    <row r="725" spans="35:35">
      <c r="AI725" s="1461"/>
    </row>
    <row r="726" spans="35:35">
      <c r="AI726" s="1461"/>
    </row>
    <row r="727" spans="35:35">
      <c r="AI727" s="1461"/>
    </row>
    <row r="728" spans="35:35">
      <c r="AI728" s="1461"/>
    </row>
    <row r="729" spans="35:35">
      <c r="AI729" s="1461"/>
    </row>
    <row r="730" spans="35:35">
      <c r="AI730" s="1461"/>
    </row>
    <row r="731" spans="35:35">
      <c r="AI731" s="1461"/>
    </row>
    <row r="732" spans="35:35">
      <c r="AI732" s="1461"/>
    </row>
    <row r="733" spans="35:35">
      <c r="AI733" s="1461"/>
    </row>
    <row r="734" spans="35:35">
      <c r="AI734" s="1461"/>
    </row>
    <row r="735" spans="35:35">
      <c r="AI735" s="1461"/>
    </row>
    <row r="736" spans="35:35">
      <c r="AI736" s="1461"/>
    </row>
    <row r="737" spans="35:35">
      <c r="AI737" s="1461"/>
    </row>
    <row r="738" spans="35:35">
      <c r="AI738" s="1461"/>
    </row>
    <row r="739" spans="35:35">
      <c r="AI739" s="1461"/>
    </row>
    <row r="740" spans="35:35">
      <c r="AI740" s="1461"/>
    </row>
    <row r="741" spans="35:35">
      <c r="AI741" s="1461"/>
    </row>
    <row r="742" spans="35:35">
      <c r="AI742" s="1461"/>
    </row>
    <row r="743" spans="35:35">
      <c r="AI743" s="1461"/>
    </row>
    <row r="744" spans="35:35">
      <c r="AI744" s="1461"/>
    </row>
    <row r="745" spans="35:35">
      <c r="AI745" s="1461"/>
    </row>
    <row r="746" spans="35:35">
      <c r="AI746" s="1461"/>
    </row>
    <row r="747" spans="35:35">
      <c r="AI747" s="1461"/>
    </row>
    <row r="748" spans="35:35">
      <c r="AI748" s="1461"/>
    </row>
    <row r="749" spans="35:35">
      <c r="AI749" s="1461"/>
    </row>
    <row r="750" spans="35:35">
      <c r="AI750" s="1461"/>
    </row>
    <row r="751" spans="35:35">
      <c r="AI751" s="1461"/>
    </row>
    <row r="752" spans="35:35">
      <c r="AI752" s="1461"/>
    </row>
    <row r="753" spans="35:35">
      <c r="AI753" s="1461"/>
    </row>
    <row r="754" spans="35:35">
      <c r="AI754" s="1461"/>
    </row>
    <row r="755" spans="35:35">
      <c r="AI755" s="1461"/>
    </row>
    <row r="756" spans="35:35">
      <c r="AI756" s="1461"/>
    </row>
    <row r="757" spans="35:35">
      <c r="AI757" s="1461"/>
    </row>
    <row r="758" spans="35:35">
      <c r="AI758" s="1461"/>
    </row>
    <row r="759" spans="35:35">
      <c r="AI759" s="1461"/>
    </row>
    <row r="760" spans="35:35">
      <c r="AI760" s="1461"/>
    </row>
    <row r="761" spans="35:35">
      <c r="AI761" s="1461"/>
    </row>
    <row r="762" spans="35:35">
      <c r="AI762" s="1461"/>
    </row>
    <row r="763" spans="35:35">
      <c r="AI763" s="1461"/>
    </row>
    <row r="764" spans="35:35">
      <c r="AI764" s="1461"/>
    </row>
    <row r="765" spans="35:35">
      <c r="AI765" s="1461"/>
    </row>
    <row r="766" spans="35:35">
      <c r="AI766" s="1461"/>
    </row>
    <row r="767" spans="35:35">
      <c r="AI767" s="1461"/>
    </row>
    <row r="768" spans="35:35">
      <c r="AI768" s="1461"/>
    </row>
    <row r="769" spans="35:35">
      <c r="AI769" s="1461"/>
    </row>
    <row r="770" spans="35:35">
      <c r="AI770" s="1461"/>
    </row>
    <row r="771" spans="35:35">
      <c r="AI771" s="1461"/>
    </row>
    <row r="772" spans="35:35">
      <c r="AI772" s="1461"/>
    </row>
    <row r="773" spans="35:35">
      <c r="AI773" s="1461"/>
    </row>
    <row r="774" spans="35:35">
      <c r="AI774" s="1461"/>
    </row>
    <row r="775" spans="35:35">
      <c r="AI775" s="1461"/>
    </row>
    <row r="776" spans="35:35">
      <c r="AI776" s="1461"/>
    </row>
    <row r="777" spans="35:35">
      <c r="AI777" s="1461"/>
    </row>
    <row r="778" spans="35:35">
      <c r="AI778" s="1461"/>
    </row>
    <row r="779" spans="35:35">
      <c r="AI779" s="1461"/>
    </row>
    <row r="780" spans="35:35">
      <c r="AI780" s="1461"/>
    </row>
    <row r="781" spans="35:35">
      <c r="AI781" s="1461"/>
    </row>
    <row r="782" spans="35:35">
      <c r="AI782" s="1461"/>
    </row>
    <row r="783" spans="35:35">
      <c r="AI783" s="1461"/>
    </row>
    <row r="784" spans="35:35">
      <c r="AI784" s="1461"/>
    </row>
    <row r="785" spans="35:35">
      <c r="AI785" s="1461"/>
    </row>
    <row r="786" spans="35:35">
      <c r="AI786" s="1461"/>
    </row>
    <row r="787" spans="35:35">
      <c r="AI787" s="1461"/>
    </row>
    <row r="788" spans="35:35">
      <c r="AI788" s="1461"/>
    </row>
    <row r="789" spans="35:35">
      <c r="AI789" s="1461"/>
    </row>
    <row r="790" spans="35:35">
      <c r="AI790" s="1461"/>
    </row>
    <row r="791" spans="35:35">
      <c r="AI791" s="1461"/>
    </row>
    <row r="792" spans="35:35">
      <c r="AI792" s="1461"/>
    </row>
    <row r="793" spans="35:35">
      <c r="AI793" s="1461"/>
    </row>
    <row r="794" spans="35:35">
      <c r="AI794" s="1461"/>
    </row>
    <row r="795" spans="35:35">
      <c r="AI795" s="1461"/>
    </row>
    <row r="796" spans="35:35">
      <c r="AI796" s="1461"/>
    </row>
    <row r="797" spans="35:35">
      <c r="AI797" s="1461"/>
    </row>
    <row r="798" spans="35:35">
      <c r="AI798" s="1461"/>
    </row>
    <row r="799" spans="35:35">
      <c r="AI799" s="1461"/>
    </row>
    <row r="800" spans="35:35">
      <c r="AI800" s="1461"/>
    </row>
    <row r="801" spans="35:35">
      <c r="AI801" s="1461"/>
    </row>
    <row r="802" spans="35:35">
      <c r="AI802" s="1461"/>
    </row>
    <row r="803" spans="35:35">
      <c r="AI803" s="1461"/>
    </row>
    <row r="804" spans="35:35">
      <c r="AI804" s="1461"/>
    </row>
    <row r="805" spans="35:35">
      <c r="AI805" s="1461"/>
    </row>
    <row r="806" spans="35:35">
      <c r="AI806" s="1461"/>
    </row>
    <row r="807" spans="35:35">
      <c r="AI807" s="1461"/>
    </row>
    <row r="808" spans="35:35">
      <c r="AI808" s="1461"/>
    </row>
    <row r="809" spans="35:35">
      <c r="AI809" s="1461"/>
    </row>
    <row r="810" spans="35:35">
      <c r="AI810" s="1461"/>
    </row>
    <row r="811" spans="35:35">
      <c r="AI811" s="1461"/>
    </row>
    <row r="812" spans="35:35">
      <c r="AI812" s="1461"/>
    </row>
    <row r="813" spans="35:35">
      <c r="AI813" s="1461"/>
    </row>
    <row r="814" spans="35:35">
      <c r="AI814" s="1461"/>
    </row>
    <row r="815" spans="35:35">
      <c r="AI815" s="1461"/>
    </row>
    <row r="816" spans="35:35">
      <c r="AI816" s="1461"/>
    </row>
    <row r="817" spans="35:35">
      <c r="AI817" s="1461"/>
    </row>
    <row r="818" spans="35:35">
      <c r="AI818" s="1461"/>
    </row>
    <row r="819" spans="35:35">
      <c r="AI819" s="1461"/>
    </row>
    <row r="820" spans="35:35">
      <c r="AI820" s="1461"/>
    </row>
    <row r="821" spans="35:35">
      <c r="AI821" s="1461"/>
    </row>
    <row r="822" spans="35:35">
      <c r="AI822" s="1461"/>
    </row>
    <row r="823" spans="35:35">
      <c r="AI823" s="1461"/>
    </row>
    <row r="824" spans="35:35">
      <c r="AI824" s="1461"/>
    </row>
    <row r="825" spans="35:35">
      <c r="AI825" s="1461"/>
    </row>
    <row r="826" spans="35:35">
      <c r="AI826" s="1461"/>
    </row>
    <row r="827" spans="35:35">
      <c r="AI827" s="1461"/>
    </row>
    <row r="828" spans="35:35">
      <c r="AI828" s="1461"/>
    </row>
    <row r="829" spans="35:35">
      <c r="AI829" s="1461"/>
    </row>
    <row r="830" spans="35:35">
      <c r="AI830" s="1461"/>
    </row>
    <row r="831" spans="35:35">
      <c r="AI831" s="1461"/>
    </row>
    <row r="832" spans="35:35">
      <c r="AI832" s="1461"/>
    </row>
    <row r="833" spans="35:35">
      <c r="AI833" s="1461"/>
    </row>
    <row r="834" spans="35:35">
      <c r="AI834" s="1461"/>
    </row>
    <row r="835" spans="35:35">
      <c r="AI835" s="1461"/>
    </row>
    <row r="836" spans="35:35">
      <c r="AI836" s="1461"/>
    </row>
    <row r="837" spans="35:35">
      <c r="AI837" s="1461"/>
    </row>
    <row r="838" spans="35:35">
      <c r="AI838" s="1461"/>
    </row>
    <row r="839" spans="35:35">
      <c r="AI839" s="1461"/>
    </row>
    <row r="840" spans="35:35">
      <c r="AI840" s="1461"/>
    </row>
    <row r="841" spans="35:35">
      <c r="AI841" s="1461"/>
    </row>
    <row r="842" spans="35:35">
      <c r="AI842" s="1461"/>
    </row>
    <row r="843" spans="35:35">
      <c r="AI843" s="1461"/>
    </row>
    <row r="844" spans="35:35">
      <c r="AI844" s="1461"/>
    </row>
    <row r="845" spans="35:35">
      <c r="AI845" s="1461"/>
    </row>
    <row r="846" spans="35:35">
      <c r="AI846" s="1461"/>
    </row>
    <row r="847" spans="35:35">
      <c r="AI847" s="1461"/>
    </row>
    <row r="848" spans="35:35">
      <c r="AI848" s="1461"/>
    </row>
    <row r="849" spans="35:35">
      <c r="AI849" s="1461"/>
    </row>
    <row r="850" spans="35:35">
      <c r="AI850" s="1461"/>
    </row>
    <row r="851" spans="35:35">
      <c r="AI851" s="1461"/>
    </row>
    <row r="852" spans="35:35">
      <c r="AI852" s="1461"/>
    </row>
    <row r="853" spans="35:35">
      <c r="AI853" s="1461"/>
    </row>
    <row r="854" spans="35:35">
      <c r="AI854" s="1461"/>
    </row>
    <row r="855" spans="35:35">
      <c r="AI855" s="1461"/>
    </row>
    <row r="856" spans="35:35">
      <c r="AI856" s="1461"/>
    </row>
    <row r="857" spans="35:35">
      <c r="AI857" s="1461"/>
    </row>
    <row r="858" spans="35:35">
      <c r="AI858" s="1461"/>
    </row>
    <row r="859" spans="35:35">
      <c r="AI859" s="1461"/>
    </row>
    <row r="860" spans="35:35">
      <c r="AI860" s="1461"/>
    </row>
    <row r="861" spans="35:35">
      <c r="AI861" s="1461"/>
    </row>
    <row r="862" spans="35:35">
      <c r="AI862" s="1461"/>
    </row>
    <row r="863" spans="35:35">
      <c r="AI863" s="1461"/>
    </row>
    <row r="864" spans="35:35">
      <c r="AI864" s="1461"/>
    </row>
    <row r="865" spans="35:35">
      <c r="AI865" s="1461"/>
    </row>
    <row r="866" spans="35:35">
      <c r="AI866" s="1461"/>
    </row>
    <row r="867" spans="35:35">
      <c r="AI867" s="1461"/>
    </row>
    <row r="868" spans="35:35">
      <c r="AI868" s="1461"/>
    </row>
    <row r="869" spans="35:35">
      <c r="AI869" s="1461"/>
    </row>
    <row r="870" spans="35:35">
      <c r="AI870" s="1461"/>
    </row>
    <row r="871" spans="35:35">
      <c r="AI871" s="1461"/>
    </row>
    <row r="872" spans="35:35">
      <c r="AI872" s="1461"/>
    </row>
    <row r="873" spans="35:35">
      <c r="AI873" s="1461"/>
    </row>
    <row r="874" spans="35:35">
      <c r="AI874" s="1461"/>
    </row>
    <row r="875" spans="35:35">
      <c r="AI875" s="1461"/>
    </row>
    <row r="876" spans="35:35">
      <c r="AI876" s="1461"/>
    </row>
    <row r="877" spans="35:35">
      <c r="AI877" s="1461"/>
    </row>
    <row r="878" spans="35:35">
      <c r="AI878" s="1461"/>
    </row>
    <row r="879" spans="35:35">
      <c r="AI879" s="1461"/>
    </row>
    <row r="880" spans="35:35">
      <c r="AI880" s="1461"/>
    </row>
    <row r="881" spans="35:35">
      <c r="AI881" s="1461"/>
    </row>
    <row r="882" spans="35:35">
      <c r="AI882" s="1461"/>
    </row>
    <row r="883" spans="35:35">
      <c r="AI883" s="1461"/>
    </row>
    <row r="884" spans="35:35">
      <c r="AI884" s="1461"/>
    </row>
    <row r="885" spans="35:35">
      <c r="AI885" s="1461"/>
    </row>
    <row r="886" spans="35:35">
      <c r="AI886" s="1461"/>
    </row>
    <row r="887" spans="35:35">
      <c r="AI887" s="1461"/>
    </row>
    <row r="888" spans="35:35">
      <c r="AI888" s="1461"/>
    </row>
    <row r="889" spans="35:35">
      <c r="AI889" s="1461"/>
    </row>
    <row r="890" spans="35:35">
      <c r="AI890" s="1461"/>
    </row>
    <row r="891" spans="35:35">
      <c r="AI891" s="1461"/>
    </row>
    <row r="892" spans="35:35">
      <c r="AI892" s="1461"/>
    </row>
    <row r="893" spans="35:35">
      <c r="AI893" s="1461"/>
    </row>
    <row r="894" spans="35:35">
      <c r="AI894" s="1461"/>
    </row>
    <row r="895" spans="35:35">
      <c r="AI895" s="1461"/>
    </row>
    <row r="896" spans="35:35">
      <c r="AI896" s="1461"/>
    </row>
    <row r="897" spans="35:35">
      <c r="AI897" s="1461"/>
    </row>
    <row r="898" spans="35:35">
      <c r="AI898" s="1461"/>
    </row>
    <row r="899" spans="35:35">
      <c r="AI899" s="1461"/>
    </row>
    <row r="900" spans="35:35">
      <c r="AI900" s="1461"/>
    </row>
    <row r="901" spans="35:35">
      <c r="AI901" s="1461"/>
    </row>
    <row r="902" spans="35:35">
      <c r="AI902" s="1461"/>
    </row>
    <row r="903" spans="35:35">
      <c r="AI903" s="1461"/>
    </row>
    <row r="904" spans="35:35">
      <c r="AI904" s="1461"/>
    </row>
    <row r="905" spans="35:35">
      <c r="AI905" s="1461"/>
    </row>
    <row r="906" spans="35:35">
      <c r="AI906" s="1461"/>
    </row>
    <row r="907" spans="35:35">
      <c r="AI907" s="1461"/>
    </row>
    <row r="908" spans="35:35">
      <c r="AI908" s="1461"/>
    </row>
    <row r="909" spans="35:35">
      <c r="AI909" s="1461"/>
    </row>
    <row r="910" spans="35:35">
      <c r="AI910" s="1461"/>
    </row>
    <row r="911" spans="35:35">
      <c r="AI911" s="1461"/>
    </row>
    <row r="912" spans="35:35">
      <c r="AI912" s="1461"/>
    </row>
    <row r="913" spans="35:35">
      <c r="AI913" s="1461"/>
    </row>
    <row r="914" spans="35:35">
      <c r="AI914" s="1461"/>
    </row>
    <row r="915" spans="35:35">
      <c r="AI915" s="1461"/>
    </row>
    <row r="916" spans="35:35">
      <c r="AI916" s="1461"/>
    </row>
    <row r="917" spans="35:35">
      <c r="AI917" s="1461"/>
    </row>
    <row r="918" spans="35:35">
      <c r="AI918" s="1461"/>
    </row>
    <row r="919" spans="35:35">
      <c r="AI919" s="1461"/>
    </row>
    <row r="920" spans="35:35">
      <c r="AI920" s="1461"/>
    </row>
    <row r="921" spans="35:35">
      <c r="AI921" s="1461"/>
    </row>
    <row r="922" spans="35:35">
      <c r="AI922" s="1461"/>
    </row>
    <row r="923" spans="35:35">
      <c r="AI923" s="1461"/>
    </row>
    <row r="924" spans="35:35">
      <c r="AI924" s="1461"/>
    </row>
    <row r="925" spans="35:35">
      <c r="AI925" s="1461"/>
    </row>
    <row r="926" spans="35:35">
      <c r="AI926" s="1461"/>
    </row>
    <row r="927" spans="35:35">
      <c r="AI927" s="1461"/>
    </row>
    <row r="928" spans="35:35">
      <c r="AI928" s="1461"/>
    </row>
    <row r="929" spans="35:35">
      <c r="AI929" s="1461"/>
    </row>
    <row r="930" spans="35:35">
      <c r="AI930" s="1461"/>
    </row>
    <row r="931" spans="35:35">
      <c r="AI931" s="1461"/>
    </row>
    <row r="932" spans="35:35">
      <c r="AI932" s="1461"/>
    </row>
    <row r="933" spans="35:35">
      <c r="AI933" s="1461"/>
    </row>
    <row r="934" spans="35:35">
      <c r="AI934" s="1461"/>
    </row>
    <row r="935" spans="35:35">
      <c r="AI935" s="1461"/>
    </row>
    <row r="936" spans="35:35">
      <c r="AI936" s="1461"/>
    </row>
    <row r="937" spans="35:35">
      <c r="AI937" s="1461"/>
    </row>
    <row r="938" spans="35:35">
      <c r="AI938" s="1461"/>
    </row>
    <row r="939" spans="35:35">
      <c r="AI939" s="1461"/>
    </row>
    <row r="940" spans="35:35">
      <c r="AI940" s="1461"/>
    </row>
    <row r="941" spans="35:35">
      <c r="AI941" s="1461"/>
    </row>
    <row r="942" spans="35:35">
      <c r="AI942" s="1461"/>
    </row>
    <row r="943" spans="35:35">
      <c r="AI943" s="1461"/>
    </row>
    <row r="944" spans="35:35">
      <c r="AI944" s="1461"/>
    </row>
    <row r="945" spans="35:35">
      <c r="AI945" s="1461"/>
    </row>
    <row r="946" spans="35:35">
      <c r="AI946" s="1461"/>
    </row>
    <row r="947" spans="35:35">
      <c r="AI947" s="1461"/>
    </row>
    <row r="948" spans="35:35">
      <c r="AI948" s="1461"/>
    </row>
    <row r="949" spans="35:35">
      <c r="AI949" s="1461"/>
    </row>
    <row r="950" spans="35:35">
      <c r="AI950" s="1461"/>
    </row>
    <row r="951" spans="35:35">
      <c r="AI951" s="1461"/>
    </row>
    <row r="952" spans="35:35">
      <c r="AI952" s="1461"/>
    </row>
    <row r="953" spans="35:35">
      <c r="AI953" s="1461"/>
    </row>
    <row r="954" spans="35:35">
      <c r="AI954" s="1461"/>
    </row>
    <row r="955" spans="35:35">
      <c r="AI955" s="1461"/>
    </row>
    <row r="956" spans="35:35">
      <c r="AI956" s="1461"/>
    </row>
    <row r="957" spans="35:35">
      <c r="AI957" s="1461"/>
    </row>
    <row r="958" spans="35:35">
      <c r="AI958" s="1461"/>
    </row>
    <row r="959" spans="35:35">
      <c r="AI959" s="1461"/>
    </row>
    <row r="960" spans="35:35">
      <c r="AI960" s="1461"/>
    </row>
    <row r="961" spans="35:35">
      <c r="AI961" s="1461"/>
    </row>
    <row r="962" spans="35:35">
      <c r="AI962" s="1461"/>
    </row>
    <row r="963" spans="35:35">
      <c r="AI963" s="1461"/>
    </row>
    <row r="964" spans="35:35">
      <c r="AI964" s="1461"/>
    </row>
    <row r="965" spans="35:35">
      <c r="AI965" s="1461"/>
    </row>
    <row r="966" spans="35:35">
      <c r="AI966" s="1461"/>
    </row>
    <row r="967" spans="35:35">
      <c r="AI967" s="1461"/>
    </row>
    <row r="968" spans="35:35">
      <c r="AI968" s="1461"/>
    </row>
    <row r="969" spans="35:35">
      <c r="AI969" s="1461"/>
    </row>
    <row r="970" spans="35:35">
      <c r="AI970" s="1461"/>
    </row>
    <row r="971" spans="35:35">
      <c r="AI971" s="1461"/>
    </row>
    <row r="972" spans="35:35">
      <c r="AI972" s="1461"/>
    </row>
    <row r="973" spans="35:35">
      <c r="AI973" s="1461"/>
    </row>
    <row r="974" spans="35:35">
      <c r="AI974" s="1461"/>
    </row>
    <row r="975" spans="35:35">
      <c r="AI975" s="1461"/>
    </row>
    <row r="976" spans="35:35">
      <c r="AI976" s="1461"/>
    </row>
    <row r="977" spans="35:35">
      <c r="AI977" s="1461"/>
    </row>
    <row r="978" spans="35:35">
      <c r="AI978" s="1461"/>
    </row>
    <row r="979" spans="35:35">
      <c r="AI979" s="1461"/>
    </row>
    <row r="980" spans="35:35">
      <c r="AI980" s="1461"/>
    </row>
    <row r="981" spans="35:35">
      <c r="AI981" s="1461"/>
    </row>
    <row r="982" spans="35:35">
      <c r="AI982" s="1461"/>
    </row>
    <row r="983" spans="35:35">
      <c r="AI983" s="1461"/>
    </row>
    <row r="984" spans="35:35">
      <c r="AI984" s="1461"/>
    </row>
    <row r="985" spans="35:35">
      <c r="AI985" s="1461"/>
    </row>
    <row r="986" spans="35:35">
      <c r="AI986" s="1461"/>
    </row>
    <row r="987" spans="35:35">
      <c r="AI987" s="1461"/>
    </row>
    <row r="988" spans="35:35">
      <c r="AI988" s="1461"/>
    </row>
    <row r="989" spans="35:35">
      <c r="AI989" s="1461"/>
    </row>
    <row r="990" spans="35:35">
      <c r="AI990" s="1461"/>
    </row>
    <row r="991" spans="35:35">
      <c r="AI991" s="1461"/>
    </row>
    <row r="992" spans="35:35">
      <c r="AI992" s="1461"/>
    </row>
    <row r="993" spans="35:35">
      <c r="AI993" s="1461"/>
    </row>
    <row r="994" spans="35:35">
      <c r="AI994" s="1461"/>
    </row>
    <row r="995" spans="35:35">
      <c r="AI995" s="1461"/>
    </row>
    <row r="996" spans="35:35">
      <c r="AI996" s="1461"/>
    </row>
    <row r="997" spans="35:35">
      <c r="AI997" s="1461"/>
    </row>
    <row r="998" spans="35:35">
      <c r="AI998" s="1461"/>
    </row>
    <row r="999" spans="35:35">
      <c r="AI999" s="1461"/>
    </row>
    <row r="1000" spans="35:35">
      <c r="AI1000" s="1461"/>
    </row>
    <row r="1001" spans="35:35">
      <c r="AI1001" s="1461"/>
    </row>
    <row r="1002" spans="35:35">
      <c r="AI1002" s="1461"/>
    </row>
    <row r="1003" spans="35:35">
      <c r="AI1003" s="1461"/>
    </row>
    <row r="1004" spans="35:35">
      <c r="AI1004" s="1461"/>
    </row>
    <row r="1005" spans="35:35">
      <c r="AI1005" s="1461"/>
    </row>
    <row r="1006" spans="35:35">
      <c r="AI1006" s="1461"/>
    </row>
    <row r="1007" spans="35:35">
      <c r="AI1007" s="1461"/>
    </row>
    <row r="1008" spans="35:35">
      <c r="AI1008" s="1461"/>
    </row>
    <row r="1009" spans="35:35">
      <c r="AI1009" s="1461"/>
    </row>
    <row r="1010" spans="35:35">
      <c r="AI1010" s="1461"/>
    </row>
    <row r="1011" spans="35:35">
      <c r="AI1011" s="1461"/>
    </row>
    <row r="1012" spans="35:35">
      <c r="AI1012" s="1461"/>
    </row>
    <row r="1013" spans="35:35">
      <c r="AI1013" s="1461"/>
    </row>
    <row r="1014" spans="35:35">
      <c r="AI1014" s="1461"/>
    </row>
    <row r="1015" spans="35:35">
      <c r="AI1015" s="1461"/>
    </row>
    <row r="1016" spans="35:35">
      <c r="AI1016" s="1461"/>
    </row>
    <row r="1017" spans="35:35">
      <c r="AI1017" s="1461"/>
    </row>
    <row r="1018" spans="35:35">
      <c r="AI1018" s="1461"/>
    </row>
    <row r="1019" spans="35:35">
      <c r="AI1019" s="1461"/>
    </row>
    <row r="1020" spans="35:35">
      <c r="AI1020" s="1461"/>
    </row>
    <row r="1021" spans="35:35">
      <c r="AI1021" s="1461"/>
    </row>
    <row r="1022" spans="35:35">
      <c r="AI1022" s="1461"/>
    </row>
    <row r="1023" spans="35:35">
      <c r="AI1023" s="1461"/>
    </row>
    <row r="1024" spans="35:35">
      <c r="AI1024" s="1461"/>
    </row>
    <row r="1025" spans="35:35">
      <c r="AI1025" s="1461"/>
    </row>
  </sheetData>
  <mergeCells count="18">
    <mergeCell ref="C3:O5"/>
    <mergeCell ref="D7:N9"/>
    <mergeCell ref="C16:P19"/>
    <mergeCell ref="C26:F26"/>
    <mergeCell ref="H26:P26"/>
    <mergeCell ref="J11:M11"/>
    <mergeCell ref="D21:J21"/>
    <mergeCell ref="M21:N21"/>
    <mergeCell ref="D22:J22"/>
    <mergeCell ref="L22:M22"/>
    <mergeCell ref="C29:F29"/>
    <mergeCell ref="H29:O29"/>
    <mergeCell ref="C30:F30"/>
    <mergeCell ref="H30:P30"/>
    <mergeCell ref="C27:F27"/>
    <mergeCell ref="H27:P27"/>
    <mergeCell ref="C28:F28"/>
    <mergeCell ref="H28:O28"/>
  </mergeCells>
  <conditionalFormatting sqref="AI1:AI1025">
    <cfRule type="cellIs" dxfId="27" priority="1" stopIfTrue="1" operator="lessThan">
      <formula>1</formula>
    </cfRule>
  </conditionalFormatting>
  <printOptions horizontalCentered="1" verticalCentered="1"/>
  <pageMargins left="0.75" right="0.5" top="0.5" bottom="0.5" header="0.5" footer="0.5"/>
  <pageSetup paperSize="9" scale="95"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
  <sheetViews>
    <sheetView view="pageBreakPreview" topLeftCell="A4" workbookViewId="0">
      <selection activeCell="Q22" sqref="Q22"/>
    </sheetView>
  </sheetViews>
  <sheetFormatPr defaultColWidth="9" defaultRowHeight="13.2"/>
  <sheetData/>
  <pageMargins left="0.7" right="0.7" top="0.75" bottom="0.75" header="0.3" footer="0.3"/>
  <pageSetup paperSize="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rgb="FF008000"/>
  </sheetPr>
  <dimension ref="A1:L132"/>
  <sheetViews>
    <sheetView view="pageBreakPreview" workbookViewId="0">
      <selection activeCell="B11" sqref="B11:F11"/>
    </sheetView>
  </sheetViews>
  <sheetFormatPr defaultColWidth="9.33203125" defaultRowHeight="13.8"/>
  <cols>
    <col min="1" max="1" width="5.88671875" style="2586" customWidth="1"/>
    <col min="2" max="2" width="30.44140625" style="2587" customWidth="1"/>
    <col min="3" max="3" width="11.6640625" style="2588" customWidth="1"/>
    <col min="4" max="4" width="10.5546875" style="2589" customWidth="1"/>
    <col min="5" max="5" width="12.88671875" style="2589" customWidth="1"/>
    <col min="6" max="6" width="9.88671875" style="2589" customWidth="1"/>
    <col min="7" max="7" width="12.5546875" style="2590" customWidth="1"/>
    <col min="8" max="8" width="27.109375" style="2553" customWidth="1"/>
    <col min="9" max="9" width="10.109375" style="2553" customWidth="1"/>
    <col min="10" max="16384" width="9.33203125" style="2553"/>
  </cols>
  <sheetData>
    <row r="1" spans="1:10" ht="21.9" customHeight="1">
      <c r="A1" s="3509" t="s">
        <v>1211</v>
      </c>
      <c r="B1" s="3509"/>
      <c r="C1" s="3509"/>
      <c r="D1" s="3509"/>
      <c r="E1" s="3509"/>
      <c r="F1" s="3509"/>
      <c r="G1" s="3509"/>
    </row>
    <row r="2" spans="1:10">
      <c r="A2" s="3510" t="str">
        <f>'Input Data'!E1</f>
        <v xml:space="preserve">BT Renewal from Balabadraipally to Danamma Thanda of Gundumal Mandal in Narayanpet District </v>
      </c>
      <c r="B2" s="3510"/>
      <c r="C2" s="3510"/>
      <c r="D2" s="3510"/>
      <c r="E2" s="3510"/>
      <c r="F2" s="3510"/>
      <c r="G2" s="3510"/>
    </row>
    <row r="3" spans="1:10" s="2556" customFormat="1" ht="18" customHeight="1">
      <c r="A3" s="2554" t="s">
        <v>395</v>
      </c>
      <c r="B3" s="2555" t="s">
        <v>554</v>
      </c>
      <c r="C3" s="3511" t="s">
        <v>3</v>
      </c>
      <c r="D3" s="3511"/>
      <c r="E3" s="3511" t="s">
        <v>5</v>
      </c>
      <c r="F3" s="3511"/>
      <c r="G3" s="2555" t="s">
        <v>556</v>
      </c>
    </row>
    <row r="4" spans="1:10" s="2559" customFormat="1" ht="64.5" customHeight="1">
      <c r="A4" s="2557">
        <v>1</v>
      </c>
      <c r="B4" s="3512" t="str">
        <f>'Road Furniture-Data'!D231</f>
        <v>Reinforced cement concrete M15 grade kilometre stone/local stone of standard design as per IRC:8 fixing in position including painting and printing, etc as per drawing and Technical Specification Clause 1703 MORD / 804 MORTH ,including overhead charges &amp; Contractors profit ,but excluding Seignarage charges.</v>
      </c>
      <c r="C4" s="3512"/>
      <c r="D4" s="3512"/>
      <c r="E4" s="3512"/>
      <c r="F4" s="3512"/>
      <c r="G4" s="2558"/>
    </row>
    <row r="5" spans="1:10" s="2559" customFormat="1">
      <c r="A5" s="2560"/>
      <c r="B5" s="2561" t="s">
        <v>1212</v>
      </c>
      <c r="C5" s="2562">
        <f>ROUND('Road Estimate'!F6/1000,0)</f>
        <v>2</v>
      </c>
      <c r="D5" s="2563" t="s">
        <v>710</v>
      </c>
      <c r="E5" s="2564">
        <f>'Road Furniture-Data'!H281</f>
        <v>2691.9102218214284</v>
      </c>
      <c r="F5" s="2565" t="s">
        <v>1213</v>
      </c>
      <c r="G5" s="2566">
        <f>ROUND(+C5*E5,)</f>
        <v>5384</v>
      </c>
    </row>
    <row r="6" spans="1:10">
      <c r="A6" s="2567"/>
      <c r="B6" s="2568" t="s">
        <v>1214</v>
      </c>
      <c r="C6" s="2562">
        <f>ROUND('Input Data'!J5*4,0)</f>
        <v>8</v>
      </c>
      <c r="D6" s="2563" t="s">
        <v>710</v>
      </c>
      <c r="E6" s="2564">
        <f>'Road Furniture-Data'!H306</f>
        <v>746.89364849999993</v>
      </c>
      <c r="F6" s="2565" t="s">
        <v>1213</v>
      </c>
      <c r="G6" s="2566">
        <f>ROUND(+C6*E6,)</f>
        <v>5975</v>
      </c>
      <c r="I6" s="2569"/>
      <c r="J6" s="2569"/>
    </row>
    <row r="7" spans="1:10" ht="156" customHeight="1">
      <c r="A7" s="2570">
        <v>2</v>
      </c>
      <c r="B7" s="3513" t="str">
        <f>'Road Furniture-Data'!D309</f>
        <v>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v>
      </c>
      <c r="C7" s="3513"/>
      <c r="D7" s="3513"/>
      <c r="E7" s="3513"/>
      <c r="F7" s="3513"/>
      <c r="G7" s="2566"/>
    </row>
    <row r="8" spans="1:10">
      <c r="A8" s="2567"/>
      <c r="B8" s="2571" t="s">
        <v>1215</v>
      </c>
      <c r="C8" s="2572">
        <v>2</v>
      </c>
      <c r="D8" s="2563" t="s">
        <v>710</v>
      </c>
      <c r="E8" s="2564">
        <f>'Road Furniture-Data'!H345</f>
        <v>15913.926823734997</v>
      </c>
      <c r="F8" s="2565" t="s">
        <v>1213</v>
      </c>
      <c r="G8" s="2566">
        <f>ROUND(+C8*E8,)</f>
        <v>31828</v>
      </c>
    </row>
    <row r="9" spans="1:10" ht="144" customHeight="1">
      <c r="A9" s="2570">
        <v>3</v>
      </c>
      <c r="B9" s="3513" t="str">
        <f>'Road Furniture-Data'!D167</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v>
      </c>
      <c r="C9" s="3513"/>
      <c r="D9" s="3513"/>
      <c r="E9" s="3513"/>
      <c r="F9" s="3513"/>
      <c r="G9" s="2573"/>
    </row>
    <row r="10" spans="1:10" ht="18.600000000000001" customHeight="1">
      <c r="A10" s="2567"/>
      <c r="B10" s="2571" t="s">
        <v>1216</v>
      </c>
      <c r="C10" s="2572">
        <v>2</v>
      </c>
      <c r="D10" s="2563" t="s">
        <v>710</v>
      </c>
      <c r="E10" s="2564">
        <f>'Road Furniture-Data'!H192</f>
        <v>3001.1832850850005</v>
      </c>
      <c r="F10" s="2565" t="s">
        <v>1213</v>
      </c>
      <c r="G10" s="2566">
        <f>ROUND(+C10*E10,)</f>
        <v>6002</v>
      </c>
    </row>
    <row r="11" spans="1:10" ht="134.4" customHeight="1">
      <c r="A11" s="2570">
        <v>4</v>
      </c>
      <c r="B11" s="3513" t="str">
        <f>'Road Furniture-Data'!D123</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v>
      </c>
      <c r="C11" s="3513"/>
      <c r="D11" s="3513"/>
      <c r="E11" s="3513"/>
      <c r="F11" s="3513"/>
      <c r="G11" s="2573"/>
    </row>
    <row r="12" spans="1:10">
      <c r="A12" s="2567"/>
      <c r="B12" s="2571" t="s">
        <v>1217</v>
      </c>
      <c r="C12" s="2572">
        <v>4</v>
      </c>
      <c r="D12" s="2563" t="s">
        <v>710</v>
      </c>
      <c r="E12" s="2564">
        <f>'Road Furniture-Data'!H160</f>
        <v>2296.2180025699995</v>
      </c>
      <c r="F12" s="2565" t="s">
        <v>1213</v>
      </c>
      <c r="G12" s="2566">
        <f>ROUND(+C12*E12,)</f>
        <v>9185</v>
      </c>
    </row>
    <row r="13" spans="1:10" hidden="1">
      <c r="A13" s="2567"/>
      <c r="B13" s="3514"/>
      <c r="C13" s="3514"/>
      <c r="D13" s="3514"/>
      <c r="E13" s="2564"/>
      <c r="F13" s="2574"/>
      <c r="G13" s="2566"/>
    </row>
    <row r="14" spans="1:10" ht="97.95" hidden="1" customHeight="1">
      <c r="A14" s="2567">
        <v>5</v>
      </c>
      <c r="B14" s="3513" t="s">
        <v>1218</v>
      </c>
      <c r="C14" s="3513"/>
      <c r="D14" s="3513"/>
      <c r="E14" s="3513"/>
      <c r="F14" s="3513"/>
      <c r="G14" s="2566"/>
    </row>
    <row r="15" spans="1:10" hidden="1">
      <c r="A15" s="2567"/>
      <c r="B15" s="2575"/>
      <c r="C15" s="2575">
        <v>0</v>
      </c>
      <c r="D15" s="2575">
        <v>0.1</v>
      </c>
      <c r="E15" s="2564">
        <f>C15*D15</f>
        <v>0</v>
      </c>
      <c r="F15" s="2574"/>
      <c r="G15" s="2566"/>
    </row>
    <row r="16" spans="1:10" hidden="1">
      <c r="A16" s="2567"/>
      <c r="B16" s="2575"/>
      <c r="C16" s="2575"/>
      <c r="D16" s="2575"/>
      <c r="E16" s="2564">
        <f>E15</f>
        <v>0</v>
      </c>
      <c r="F16" s="2574">
        <v>663</v>
      </c>
      <c r="G16" s="2566">
        <f>F16*E16</f>
        <v>0</v>
      </c>
    </row>
    <row r="17" spans="1:12">
      <c r="A17" s="2567"/>
      <c r="B17" s="2576"/>
      <c r="C17" s="2572"/>
      <c r="D17" s="2563"/>
      <c r="E17" s="2577"/>
      <c r="F17" s="2578"/>
      <c r="G17" s="2579"/>
    </row>
    <row r="18" spans="1:12" ht="24" customHeight="1">
      <c r="A18" s="2580"/>
      <c r="B18" s="2581"/>
      <c r="C18" s="2582"/>
      <c r="D18" s="2583"/>
      <c r="E18" s="2584" t="s">
        <v>60</v>
      </c>
      <c r="F18" s="2583" t="s">
        <v>437</v>
      </c>
      <c r="G18" s="2579">
        <f>SUM(G4:G17)</f>
        <v>58374</v>
      </c>
      <c r="H18" s="2585"/>
    </row>
    <row r="19" spans="1:12" ht="17.25" customHeight="1"/>
    <row r="20" spans="1:12" ht="17.25" customHeight="1"/>
    <row r="21" spans="1:12" s="2430" customFormat="1" ht="15.9" customHeight="1">
      <c r="A21" s="2431"/>
      <c r="B21" s="2431" t="s">
        <v>2783</v>
      </c>
      <c r="D21" s="3440" t="s">
        <v>723</v>
      </c>
      <c r="E21" s="3440"/>
      <c r="G21" s="2431"/>
    </row>
    <row r="22" spans="1:12" s="2430" customFormat="1" ht="15.9" customHeight="1">
      <c r="A22" s="2431"/>
      <c r="B22" s="2431" t="str">
        <f>'Pipe data'!D274</f>
        <v>PRSD Maddur</v>
      </c>
      <c r="D22" s="3440" t="str">
        <f>'Pipe data'!E274</f>
        <v>PRSD, Maddur</v>
      </c>
      <c r="E22" s="3440"/>
      <c r="G22" s="2431"/>
    </row>
    <row r="23" spans="1:12" s="2430" customFormat="1" ht="15.75" customHeight="1">
      <c r="A23" s="2431"/>
      <c r="E23" s="2431"/>
      <c r="G23" s="2431"/>
    </row>
    <row r="24" spans="1:12" s="2430" customFormat="1" ht="15.75" customHeight="1">
      <c r="A24" s="2431"/>
      <c r="E24" s="2431"/>
      <c r="G24" s="2431"/>
    </row>
    <row r="25" spans="1:12" s="2430" customFormat="1" ht="15.9" hidden="1" customHeight="1">
      <c r="A25" s="2431"/>
      <c r="B25" s="2431" t="str">
        <f>'Pipe data'!D399</f>
        <v>District Panchayat Raj Engineer,</v>
      </c>
      <c r="D25" s="3440" t="str">
        <f>'Pipe data'!E399</f>
        <v>Superintending Engineer</v>
      </c>
      <c r="E25" s="3440"/>
      <c r="G25" s="2431"/>
    </row>
    <row r="26" spans="1:12" s="2430" customFormat="1" ht="15.9" hidden="1" customHeight="1">
      <c r="A26" s="2591"/>
      <c r="B26" s="2431" t="str">
        <f>'Pipe data'!D400</f>
        <v>PR Division, Narayanpet</v>
      </c>
      <c r="C26" s="2592"/>
      <c r="D26" s="3441" t="str">
        <f>'Pipe data'!E400</f>
        <v>PR, Circle, Vikarabad</v>
      </c>
      <c r="E26" s="3441"/>
      <c r="G26" s="2431"/>
    </row>
    <row r="27" spans="1:12" ht="17.25" hidden="1" customHeight="1"/>
    <row r="28" spans="1:12" ht="17.25" customHeight="1"/>
    <row r="29" spans="1:12" ht="17.25" customHeight="1">
      <c r="B29" s="2587" t="str">
        <f>'1V 1m dia Pipe Culverts'!B44</f>
        <v>District Panchayat Raj Engineer,</v>
      </c>
      <c r="E29" s="2589" t="str">
        <f>'1V 1m dia Pipe Culverts'!H44</f>
        <v>Superintending Engineer</v>
      </c>
    </row>
    <row r="30" spans="1:12" ht="17.25" customHeight="1">
      <c r="B30" s="2587" t="str">
        <f>'1V 1m dia Pipe Culverts'!B45</f>
        <v>PR Division, Narayanpet</v>
      </c>
      <c r="E30" s="2589" t="str">
        <f>'1V 1m dia Pipe Culverts'!H45</f>
        <v>PR, Circle, Vikarabad</v>
      </c>
    </row>
    <row r="32" spans="1:12">
      <c r="B32" s="2593"/>
      <c r="C32" s="2594"/>
      <c r="D32" s="2595"/>
      <c r="E32" s="2596"/>
      <c r="F32" s="2597"/>
      <c r="G32" s="2598"/>
      <c r="H32" s="2597"/>
      <c r="I32" s="2597"/>
      <c r="K32" s="2597"/>
      <c r="L32" s="2597"/>
    </row>
    <row r="33" spans="2:12">
      <c r="B33" s="2593"/>
      <c r="C33" s="2594"/>
      <c r="D33" s="2597"/>
      <c r="E33" s="2596"/>
      <c r="F33" s="2597"/>
      <c r="G33" s="2598"/>
      <c r="H33" s="2597"/>
      <c r="I33" s="2597"/>
      <c r="K33" s="2597"/>
      <c r="L33" s="2597"/>
    </row>
    <row r="37" spans="2:12">
      <c r="B37" s="2599"/>
    </row>
    <row r="38" spans="2:12">
      <c r="B38" s="2599"/>
    </row>
    <row r="93" spans="1:12" s="2587" customFormat="1">
      <c r="A93" s="2556"/>
      <c r="C93" s="2588"/>
      <c r="D93" s="2589"/>
      <c r="E93" s="2589"/>
      <c r="F93" s="2589"/>
      <c r="G93" s="2590"/>
      <c r="H93" s="2553"/>
      <c r="I93" s="2553"/>
      <c r="J93" s="2553"/>
      <c r="K93" s="2553"/>
      <c r="L93" s="2553"/>
    </row>
    <row r="94" spans="1:12" s="2587" customFormat="1">
      <c r="A94" s="2556"/>
      <c r="C94" s="2588"/>
      <c r="D94" s="2589"/>
      <c r="E94" s="2589"/>
      <c r="F94" s="2589"/>
      <c r="G94" s="2590"/>
      <c r="H94" s="2553"/>
      <c r="I94" s="2553"/>
      <c r="J94" s="2553"/>
      <c r="K94" s="2553"/>
      <c r="L94" s="2553"/>
    </row>
    <row r="95" spans="1:12" s="2587" customFormat="1">
      <c r="A95" s="2556"/>
      <c r="C95" s="2588"/>
      <c r="D95" s="2589"/>
      <c r="E95" s="2589"/>
      <c r="F95" s="2589"/>
      <c r="G95" s="2590"/>
      <c r="H95" s="2553"/>
      <c r="I95" s="2553"/>
      <c r="J95" s="2553"/>
      <c r="K95" s="2553"/>
      <c r="L95" s="2553"/>
    </row>
    <row r="96" spans="1:12" s="2587" customFormat="1">
      <c r="A96" s="2556"/>
      <c r="C96" s="2588"/>
      <c r="D96" s="2589"/>
      <c r="E96" s="2589"/>
      <c r="F96" s="2589"/>
      <c r="G96" s="2590"/>
      <c r="H96" s="2553"/>
      <c r="I96" s="2553"/>
      <c r="J96" s="2553"/>
      <c r="K96" s="2553"/>
      <c r="L96" s="2553"/>
    </row>
    <row r="97" spans="1:12" s="2587" customFormat="1">
      <c r="A97" s="2556"/>
      <c r="C97" s="2588"/>
      <c r="D97" s="2589"/>
      <c r="E97" s="2589"/>
      <c r="F97" s="2589"/>
      <c r="G97" s="2590"/>
      <c r="H97" s="2553"/>
      <c r="I97" s="2553"/>
      <c r="J97" s="2553"/>
      <c r="K97" s="2553"/>
      <c r="L97" s="2553"/>
    </row>
    <row r="98" spans="1:12" s="2587" customFormat="1">
      <c r="A98" s="2556"/>
      <c r="C98" s="2588"/>
      <c r="D98" s="2589"/>
      <c r="E98" s="2589"/>
      <c r="F98" s="2589"/>
      <c r="G98" s="2590"/>
      <c r="H98" s="2553"/>
      <c r="I98" s="2553"/>
      <c r="J98" s="2553"/>
      <c r="K98" s="2553"/>
      <c r="L98" s="2553"/>
    </row>
    <row r="99" spans="1:12" s="2587" customFormat="1">
      <c r="A99" s="2556"/>
      <c r="C99" s="2588"/>
      <c r="D99" s="2589"/>
      <c r="E99" s="2589"/>
      <c r="F99" s="2589"/>
      <c r="G99" s="2590"/>
      <c r="H99" s="2553"/>
      <c r="I99" s="2553"/>
      <c r="J99" s="2553"/>
      <c r="K99" s="2553"/>
      <c r="L99" s="2553"/>
    </row>
    <row r="100" spans="1:12" s="2587" customFormat="1">
      <c r="A100" s="2556"/>
      <c r="C100" s="2588"/>
      <c r="D100" s="2589"/>
      <c r="E100" s="2589"/>
      <c r="F100" s="2589"/>
      <c r="G100" s="2590"/>
      <c r="H100" s="2553"/>
      <c r="I100" s="2553"/>
      <c r="J100" s="2553"/>
      <c r="K100" s="2553"/>
      <c r="L100" s="2553"/>
    </row>
    <row r="101" spans="1:12" s="2587" customFormat="1">
      <c r="A101" s="2556"/>
      <c r="C101" s="2588"/>
      <c r="D101" s="2589"/>
      <c r="E101" s="2589"/>
      <c r="F101" s="2589"/>
      <c r="G101" s="2590"/>
      <c r="H101" s="2553"/>
      <c r="I101" s="2553"/>
      <c r="J101" s="2553"/>
      <c r="K101" s="2553"/>
      <c r="L101" s="2553"/>
    </row>
    <row r="102" spans="1:12" s="2587" customFormat="1">
      <c r="A102" s="2556"/>
      <c r="C102" s="2588"/>
      <c r="D102" s="2589"/>
      <c r="E102" s="2589"/>
      <c r="F102" s="2589"/>
      <c r="G102" s="2590"/>
      <c r="H102" s="2553"/>
      <c r="I102" s="2553"/>
      <c r="J102" s="2553"/>
      <c r="K102" s="2553"/>
      <c r="L102" s="2553"/>
    </row>
    <row r="103" spans="1:12" s="2587" customFormat="1">
      <c r="A103" s="2556"/>
      <c r="C103" s="2588"/>
      <c r="D103" s="2589"/>
      <c r="E103" s="2589"/>
      <c r="F103" s="2589"/>
      <c r="G103" s="2590"/>
      <c r="H103" s="2553"/>
      <c r="I103" s="2553"/>
      <c r="J103" s="2553"/>
      <c r="K103" s="2553"/>
      <c r="L103" s="2553"/>
    </row>
    <row r="104" spans="1:12" s="2587" customFormat="1">
      <c r="A104" s="2556"/>
      <c r="C104" s="2588"/>
      <c r="D104" s="2589"/>
      <c r="E104" s="2589"/>
      <c r="F104" s="2589"/>
      <c r="G104" s="2590"/>
      <c r="H104" s="2553"/>
      <c r="I104" s="2553"/>
      <c r="J104" s="2553"/>
      <c r="K104" s="2553"/>
      <c r="L104" s="2553"/>
    </row>
    <row r="105" spans="1:12" s="2587" customFormat="1">
      <c r="A105" s="2556"/>
      <c r="C105" s="2588"/>
      <c r="D105" s="2589"/>
      <c r="E105" s="2589"/>
      <c r="F105" s="2589"/>
      <c r="G105" s="2590"/>
      <c r="H105" s="2553"/>
      <c r="I105" s="2553"/>
      <c r="J105" s="2553"/>
      <c r="K105" s="2553"/>
      <c r="L105" s="2553"/>
    </row>
    <row r="106" spans="1:12" s="2587" customFormat="1">
      <c r="A106" s="2556"/>
      <c r="C106" s="2588"/>
      <c r="D106" s="2589"/>
      <c r="E106" s="2589"/>
      <c r="F106" s="2589"/>
      <c r="G106" s="2590"/>
      <c r="H106" s="2553"/>
      <c r="I106" s="2553"/>
      <c r="J106" s="2553"/>
      <c r="K106" s="2553"/>
      <c r="L106" s="2553"/>
    </row>
    <row r="107" spans="1:12" s="2587" customFormat="1">
      <c r="A107" s="2556"/>
      <c r="C107" s="2588"/>
      <c r="D107" s="2589"/>
      <c r="E107" s="2589"/>
      <c r="F107" s="2589"/>
      <c r="G107" s="2590"/>
      <c r="H107" s="2553"/>
      <c r="I107" s="2553"/>
      <c r="J107" s="2553"/>
      <c r="K107" s="2553"/>
      <c r="L107" s="2553"/>
    </row>
    <row r="108" spans="1:12" s="2587" customFormat="1">
      <c r="A108" s="2556"/>
      <c r="C108" s="2588"/>
      <c r="D108" s="2589"/>
      <c r="E108" s="2589"/>
      <c r="F108" s="2589"/>
      <c r="G108" s="2590"/>
      <c r="H108" s="2553"/>
      <c r="I108" s="2553"/>
      <c r="J108" s="2553"/>
      <c r="K108" s="2553"/>
      <c r="L108" s="2553"/>
    </row>
    <row r="109" spans="1:12" s="2587" customFormat="1">
      <c r="A109" s="2556"/>
      <c r="C109" s="2588"/>
      <c r="D109" s="2589"/>
      <c r="E109" s="2589"/>
      <c r="F109" s="2589"/>
      <c r="G109" s="2590"/>
      <c r="H109" s="2553"/>
      <c r="I109" s="2553"/>
      <c r="J109" s="2553"/>
      <c r="K109" s="2553"/>
      <c r="L109" s="2553"/>
    </row>
    <row r="110" spans="1:12" s="2587" customFormat="1">
      <c r="A110" s="2556"/>
      <c r="C110" s="2588"/>
      <c r="D110" s="2589"/>
      <c r="E110" s="2589"/>
      <c r="F110" s="2589"/>
      <c r="G110" s="2590"/>
      <c r="H110" s="2553"/>
      <c r="I110" s="2553"/>
      <c r="J110" s="2553"/>
      <c r="K110" s="2553"/>
      <c r="L110" s="2553"/>
    </row>
    <row r="111" spans="1:12" s="2587" customFormat="1">
      <c r="A111" s="2556"/>
      <c r="C111" s="2588"/>
      <c r="D111" s="2589"/>
      <c r="E111" s="2589"/>
      <c r="F111" s="2589"/>
      <c r="G111" s="2590"/>
      <c r="H111" s="2553"/>
      <c r="I111" s="2553"/>
      <c r="J111" s="2553"/>
      <c r="K111" s="2553"/>
      <c r="L111" s="2553"/>
    </row>
    <row r="112" spans="1:12" s="2587" customFormat="1">
      <c r="A112" s="2556"/>
      <c r="C112" s="2588"/>
      <c r="D112" s="2589"/>
      <c r="E112" s="2589"/>
      <c r="F112" s="2589"/>
      <c r="G112" s="2590"/>
      <c r="H112" s="2553"/>
      <c r="I112" s="2553"/>
      <c r="J112" s="2553"/>
      <c r="K112" s="2553"/>
      <c r="L112" s="2553"/>
    </row>
    <row r="113" spans="1:12" s="2587" customFormat="1">
      <c r="A113" s="2556"/>
      <c r="C113" s="2588"/>
      <c r="D113" s="2589"/>
      <c r="E113" s="2589"/>
      <c r="F113" s="2589"/>
      <c r="G113" s="2590"/>
      <c r="H113" s="2553"/>
      <c r="I113" s="2553"/>
      <c r="J113" s="2553"/>
      <c r="K113" s="2553"/>
      <c r="L113" s="2553"/>
    </row>
    <row r="114" spans="1:12" s="2587" customFormat="1">
      <c r="A114" s="2556"/>
      <c r="C114" s="2588"/>
      <c r="D114" s="2589"/>
      <c r="E114" s="2589"/>
      <c r="F114" s="2589"/>
      <c r="G114" s="2590"/>
      <c r="H114" s="2553"/>
      <c r="I114" s="2553"/>
      <c r="J114" s="2553"/>
      <c r="K114" s="2553"/>
      <c r="L114" s="2553"/>
    </row>
    <row r="115" spans="1:12" s="2587" customFormat="1">
      <c r="A115" s="2556"/>
      <c r="C115" s="2588"/>
      <c r="D115" s="2589"/>
      <c r="E115" s="2589"/>
      <c r="F115" s="2589"/>
      <c r="G115" s="2590"/>
      <c r="H115" s="2553"/>
      <c r="I115" s="2553"/>
      <c r="J115" s="2553"/>
      <c r="K115" s="2553"/>
      <c r="L115" s="2553"/>
    </row>
    <row r="116" spans="1:12" s="2587" customFormat="1">
      <c r="A116" s="2556"/>
      <c r="C116" s="2588"/>
      <c r="D116" s="2589"/>
      <c r="E116" s="2589"/>
      <c r="F116" s="2589"/>
      <c r="G116" s="2590"/>
      <c r="H116" s="2553"/>
      <c r="I116" s="2553"/>
      <c r="J116" s="2553"/>
      <c r="K116" s="2553"/>
      <c r="L116" s="2553"/>
    </row>
    <row r="117" spans="1:12" s="2587" customFormat="1">
      <c r="A117" s="2556"/>
      <c r="C117" s="2588"/>
      <c r="D117" s="2589"/>
      <c r="E117" s="2589"/>
      <c r="F117" s="2589"/>
      <c r="G117" s="2590"/>
      <c r="H117" s="2553"/>
      <c r="I117" s="2553"/>
      <c r="J117" s="2553"/>
      <c r="K117" s="2553"/>
      <c r="L117" s="2553"/>
    </row>
    <row r="118" spans="1:12" s="2587" customFormat="1">
      <c r="A118" s="2556"/>
      <c r="C118" s="2588"/>
      <c r="D118" s="2589"/>
      <c r="E118" s="2589"/>
      <c r="F118" s="2589"/>
      <c r="G118" s="2590"/>
      <c r="H118" s="2553"/>
      <c r="I118" s="2553"/>
      <c r="J118" s="2553"/>
      <c r="K118" s="2553"/>
      <c r="L118" s="2553"/>
    </row>
    <row r="119" spans="1:12" s="2587" customFormat="1">
      <c r="A119" s="2556"/>
      <c r="C119" s="2588"/>
      <c r="D119" s="2589"/>
      <c r="E119" s="2589"/>
      <c r="F119" s="2589"/>
      <c r="G119" s="2590"/>
      <c r="H119" s="2553"/>
      <c r="I119" s="2553"/>
      <c r="J119" s="2553"/>
      <c r="K119" s="2553"/>
      <c r="L119" s="2553"/>
    </row>
    <row r="120" spans="1:12" s="2587" customFormat="1">
      <c r="A120" s="2556"/>
      <c r="C120" s="2588"/>
      <c r="D120" s="2589"/>
      <c r="E120" s="2589"/>
      <c r="F120" s="2589"/>
      <c r="G120" s="2590"/>
      <c r="H120" s="2553"/>
      <c r="I120" s="2553"/>
      <c r="J120" s="2553"/>
      <c r="K120" s="2553"/>
      <c r="L120" s="2553"/>
    </row>
    <row r="121" spans="1:12" s="2587" customFormat="1">
      <c r="A121" s="2556"/>
      <c r="C121" s="2588"/>
      <c r="D121" s="2589"/>
      <c r="E121" s="2589"/>
      <c r="F121" s="2589"/>
      <c r="G121" s="2590"/>
      <c r="H121" s="2553"/>
      <c r="I121" s="2553"/>
      <c r="J121" s="2553"/>
      <c r="K121" s="2553"/>
      <c r="L121" s="2553"/>
    </row>
    <row r="122" spans="1:12" s="2587" customFormat="1">
      <c r="A122" s="2556"/>
      <c r="C122" s="2588"/>
      <c r="D122" s="2589"/>
      <c r="E122" s="2589"/>
      <c r="F122" s="2589"/>
      <c r="G122" s="2590"/>
      <c r="H122" s="2553"/>
      <c r="I122" s="2553"/>
      <c r="J122" s="2553"/>
      <c r="K122" s="2553"/>
      <c r="L122" s="2553"/>
    </row>
    <row r="123" spans="1:12" s="2587" customFormat="1">
      <c r="A123" s="2556"/>
      <c r="C123" s="2588"/>
      <c r="D123" s="2589"/>
      <c r="E123" s="2589"/>
      <c r="F123" s="2589"/>
      <c r="G123" s="2590"/>
      <c r="H123" s="2553"/>
      <c r="I123" s="2553"/>
      <c r="J123" s="2553"/>
      <c r="K123" s="2553"/>
      <c r="L123" s="2553"/>
    </row>
    <row r="124" spans="1:12" s="2587" customFormat="1">
      <c r="A124" s="2556"/>
      <c r="C124" s="2588"/>
      <c r="D124" s="2589"/>
      <c r="E124" s="2589"/>
      <c r="F124" s="2589"/>
      <c r="G124" s="2590"/>
      <c r="H124" s="2553"/>
      <c r="I124" s="2553"/>
      <c r="J124" s="2553"/>
      <c r="K124" s="2553"/>
      <c r="L124" s="2553"/>
    </row>
    <row r="125" spans="1:12" s="2587" customFormat="1">
      <c r="A125" s="2556"/>
      <c r="C125" s="2588"/>
      <c r="D125" s="2589"/>
      <c r="E125" s="2589"/>
      <c r="F125" s="2589"/>
      <c r="G125" s="2590"/>
      <c r="H125" s="2553"/>
      <c r="I125" s="2553"/>
      <c r="J125" s="2553"/>
      <c r="K125" s="2553"/>
      <c r="L125" s="2553"/>
    </row>
    <row r="126" spans="1:12" s="2587" customFormat="1">
      <c r="A126" s="2556"/>
      <c r="C126" s="2588"/>
      <c r="D126" s="2589"/>
      <c r="E126" s="2589"/>
      <c r="F126" s="2589"/>
      <c r="G126" s="2590"/>
      <c r="H126" s="2553"/>
      <c r="I126" s="2553"/>
      <c r="J126" s="2553"/>
      <c r="K126" s="2553"/>
      <c r="L126" s="2553"/>
    </row>
    <row r="127" spans="1:12" s="2587" customFormat="1">
      <c r="A127" s="2556"/>
      <c r="C127" s="2588"/>
      <c r="D127" s="2589"/>
      <c r="E127" s="2589"/>
      <c r="F127" s="2589"/>
      <c r="G127" s="2590"/>
      <c r="H127" s="2553"/>
      <c r="I127" s="2553"/>
      <c r="J127" s="2553"/>
      <c r="K127" s="2553"/>
      <c r="L127" s="2553"/>
    </row>
    <row r="128" spans="1:12" s="2587" customFormat="1">
      <c r="A128" s="2556"/>
      <c r="C128" s="2588"/>
      <c r="D128" s="2589"/>
      <c r="E128" s="2589"/>
      <c r="F128" s="2589"/>
      <c r="G128" s="2590"/>
      <c r="H128" s="2553"/>
      <c r="I128" s="2553"/>
      <c r="J128" s="2553"/>
      <c r="K128" s="2553"/>
      <c r="L128" s="2553"/>
    </row>
    <row r="129" spans="1:12" s="2587" customFormat="1">
      <c r="A129" s="2556"/>
      <c r="C129" s="2588"/>
      <c r="D129" s="2589"/>
      <c r="E129" s="2589"/>
      <c r="F129" s="2589"/>
      <c r="G129" s="2590"/>
      <c r="H129" s="2553"/>
      <c r="I129" s="2553"/>
      <c r="J129" s="2553"/>
      <c r="K129" s="2553"/>
      <c r="L129" s="2553"/>
    </row>
    <row r="130" spans="1:12" s="2587" customFormat="1">
      <c r="A130" s="2556"/>
      <c r="C130" s="2588"/>
      <c r="D130" s="2589"/>
      <c r="E130" s="2589"/>
      <c r="F130" s="2589"/>
      <c r="G130" s="2590"/>
      <c r="H130" s="2553"/>
      <c r="I130" s="2553"/>
      <c r="J130" s="2553"/>
      <c r="K130" s="2553"/>
      <c r="L130" s="2553"/>
    </row>
    <row r="131" spans="1:12" s="2587" customFormat="1">
      <c r="A131" s="2556"/>
      <c r="C131" s="2588"/>
      <c r="D131" s="2589"/>
      <c r="E131" s="2589"/>
      <c r="F131" s="2589"/>
      <c r="G131" s="2590"/>
      <c r="H131" s="2553"/>
      <c r="I131" s="2553"/>
      <c r="J131" s="2553"/>
      <c r="K131" s="2553"/>
      <c r="L131" s="2553"/>
    </row>
    <row r="132" spans="1:12" s="2587" customFormat="1">
      <c r="A132" s="2556"/>
      <c r="C132" s="2588"/>
      <c r="D132" s="2589"/>
      <c r="E132" s="2589"/>
      <c r="F132" s="2589"/>
      <c r="G132" s="2590"/>
      <c r="H132" s="2553"/>
      <c r="I132" s="2553"/>
      <c r="J132" s="2553"/>
      <c r="K132" s="2553"/>
      <c r="L132" s="2553"/>
    </row>
  </sheetData>
  <protectedRanges>
    <protectedRange sqref="E26 A21:E25 A26:C26" name="Range4"/>
  </protectedRanges>
  <mergeCells count="14">
    <mergeCell ref="D21:E21"/>
    <mergeCell ref="D22:E22"/>
    <mergeCell ref="D25:E25"/>
    <mergeCell ref="D26:E26"/>
    <mergeCell ref="B7:F7"/>
    <mergeCell ref="B9:F9"/>
    <mergeCell ref="B11:F11"/>
    <mergeCell ref="B13:D13"/>
    <mergeCell ref="B14:F14"/>
    <mergeCell ref="A1:G1"/>
    <mergeCell ref="A2:G2"/>
    <mergeCell ref="C3:D3"/>
    <mergeCell ref="E3:F3"/>
    <mergeCell ref="B4:F4"/>
  </mergeCells>
  <pageMargins left="0.5" right="0.25138888888888899" top="0.55486111111111103" bottom="0.30277777777777798" header="0.30277777777777798" footer="0.25138888888888899"/>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N39"/>
  <sheetViews>
    <sheetView view="pageBreakPreview" topLeftCell="A2" zoomScaleNormal="85" workbookViewId="0">
      <selection activeCell="L28" sqref="L28"/>
    </sheetView>
  </sheetViews>
  <sheetFormatPr defaultColWidth="9.109375" defaultRowHeight="13.8"/>
  <cols>
    <col min="1" max="1" width="5.88671875" style="2632" customWidth="1"/>
    <col min="2" max="2" width="34.5546875" style="2600" customWidth="1"/>
    <col min="3" max="3" width="4.6640625" style="2600" customWidth="1"/>
    <col min="4" max="4" width="2.88671875" style="2600" customWidth="1"/>
    <col min="5" max="5" width="5.33203125" style="2600" customWidth="1"/>
    <col min="6" max="6" width="7.44140625" style="2600" customWidth="1"/>
    <col min="7" max="7" width="6.44140625" style="2600" customWidth="1"/>
    <col min="8" max="8" width="5.88671875" style="2600" customWidth="1"/>
    <col min="9" max="9" width="10.44140625" style="2632" customWidth="1"/>
    <col min="10" max="10" width="9.109375" style="2600"/>
    <col min="11" max="11" width="6.5546875" style="2600" customWidth="1"/>
    <col min="12" max="12" width="12.44140625" style="2600" customWidth="1"/>
    <col min="13" max="13" width="9.109375" style="2600"/>
    <col min="14" max="14" width="12.88671875" style="2600"/>
    <col min="15" max="16384" width="9.109375" style="2600"/>
  </cols>
  <sheetData>
    <row r="1" spans="1:12">
      <c r="A1" s="3515" t="s">
        <v>1219</v>
      </c>
      <c r="B1" s="3515"/>
      <c r="C1" s="3515"/>
      <c r="D1" s="3515"/>
      <c r="E1" s="3515"/>
      <c r="F1" s="3515"/>
      <c r="G1" s="3515"/>
      <c r="H1" s="3515"/>
      <c r="I1" s="3515"/>
      <c r="J1" s="3515"/>
      <c r="K1" s="3515"/>
      <c r="L1" s="3515"/>
    </row>
    <row r="2" spans="1:12">
      <c r="A2" s="3516" t="str">
        <f>'Road-furniture '!A2</f>
        <v xml:space="preserve">BT Renewal from Balabadraipally to Danamma Thanda of Gundumal Mandal in Narayanpet District </v>
      </c>
      <c r="B2" s="3516"/>
      <c r="C2" s="3516"/>
      <c r="D2" s="3516"/>
      <c r="E2" s="3516"/>
      <c r="F2" s="3516"/>
      <c r="G2" s="3516"/>
      <c r="H2" s="3516"/>
      <c r="I2" s="3516"/>
      <c r="J2" s="3516"/>
      <c r="K2" s="3516"/>
      <c r="L2" s="3516"/>
    </row>
    <row r="3" spans="1:12">
      <c r="A3" s="3518" t="s">
        <v>395</v>
      </c>
      <c r="B3" s="3517" t="s">
        <v>554</v>
      </c>
      <c r="C3" s="3517" t="s">
        <v>580</v>
      </c>
      <c r="D3" s="3517"/>
      <c r="E3" s="3517"/>
      <c r="F3" s="3517" t="s">
        <v>1220</v>
      </c>
      <c r="G3" s="3517"/>
      <c r="H3" s="3517"/>
      <c r="I3" s="3516" t="s">
        <v>3</v>
      </c>
      <c r="J3" s="3517" t="s">
        <v>5</v>
      </c>
      <c r="K3" s="3517"/>
      <c r="L3" s="3517" t="s">
        <v>556</v>
      </c>
    </row>
    <row r="4" spans="1:12">
      <c r="A4" s="3518"/>
      <c r="B4" s="3517"/>
      <c r="C4" s="3517"/>
      <c r="D4" s="3517"/>
      <c r="E4" s="3517"/>
      <c r="F4" s="2601" t="s">
        <v>180</v>
      </c>
      <c r="G4" s="2601" t="s">
        <v>919</v>
      </c>
      <c r="H4" s="2601" t="s">
        <v>920</v>
      </c>
      <c r="I4" s="3516"/>
      <c r="J4" s="3517"/>
      <c r="K4" s="3517"/>
      <c r="L4" s="3517"/>
    </row>
    <row r="5" spans="1:12">
      <c r="A5" s="2931">
        <v>1</v>
      </c>
      <c r="B5" s="2602">
        <v>2</v>
      </c>
      <c r="C5" s="3518">
        <v>3</v>
      </c>
      <c r="D5" s="3518"/>
      <c r="E5" s="3518"/>
      <c r="F5" s="2602">
        <v>4</v>
      </c>
      <c r="G5" s="2602">
        <v>5</v>
      </c>
      <c r="H5" s="2602">
        <v>6</v>
      </c>
      <c r="I5" s="2602">
        <v>7</v>
      </c>
      <c r="J5" s="3518">
        <v>8</v>
      </c>
      <c r="K5" s="3518"/>
      <c r="L5" s="2602">
        <v>9</v>
      </c>
    </row>
    <row r="6" spans="1:12" ht="47.1" customHeight="1">
      <c r="A6" s="2603">
        <v>1</v>
      </c>
      <c r="B6" s="3519" t="s">
        <v>1221</v>
      </c>
      <c r="C6" s="3519"/>
      <c r="D6" s="3519"/>
      <c r="E6" s="3519"/>
      <c r="F6" s="3519"/>
      <c r="G6" s="3519"/>
      <c r="H6" s="3519"/>
      <c r="I6" s="2604"/>
      <c r="J6" s="2605"/>
      <c r="K6" s="2605"/>
      <c r="L6" s="2603"/>
    </row>
    <row r="7" spans="1:12" ht="43.8" customHeight="1">
      <c r="A7" s="2608" t="s">
        <v>893</v>
      </c>
      <c r="B7" s="2606" t="s">
        <v>1222</v>
      </c>
      <c r="C7" s="2607"/>
      <c r="D7" s="2607"/>
      <c r="E7" s="2607"/>
      <c r="F7" s="2607"/>
      <c r="G7" s="2607"/>
      <c r="H7" s="2607"/>
      <c r="I7" s="2604"/>
      <c r="J7" s="2605"/>
      <c r="K7" s="2605"/>
      <c r="L7" s="2603"/>
    </row>
    <row r="8" spans="1:12" ht="16.5" customHeight="1">
      <c r="A8" s="2608"/>
      <c r="B8" s="2609" t="s">
        <v>1223</v>
      </c>
      <c r="C8" s="2610">
        <v>1</v>
      </c>
      <c r="D8" s="2611" t="s">
        <v>921</v>
      </c>
      <c r="E8" s="2611">
        <v>2</v>
      </c>
      <c r="F8" s="2612">
        <v>6</v>
      </c>
      <c r="G8" s="2613"/>
      <c r="H8" s="2614"/>
      <c r="I8" s="2615">
        <f>C8*E8*F8</f>
        <v>12</v>
      </c>
      <c r="J8" s="2616"/>
      <c r="K8" s="2616"/>
      <c r="L8" s="2603"/>
    </row>
    <row r="9" spans="1:12" ht="28.5" customHeight="1">
      <c r="A9" s="2608" t="s">
        <v>895</v>
      </c>
      <c r="B9" s="2606" t="s">
        <v>1224</v>
      </c>
      <c r="C9" s="2607"/>
      <c r="D9" s="2606"/>
      <c r="E9" s="2606"/>
      <c r="F9" s="2606"/>
      <c r="G9" s="2606"/>
      <c r="H9" s="2607"/>
      <c r="I9" s="2604"/>
      <c r="J9" s="2616"/>
      <c r="K9" s="2616"/>
      <c r="L9" s="2603"/>
    </row>
    <row r="10" spans="1:12" ht="14.25" customHeight="1">
      <c r="A10" s="2608"/>
      <c r="B10" s="2617" t="s">
        <v>1225</v>
      </c>
      <c r="C10" s="2610">
        <v>1</v>
      </c>
      <c r="D10" s="2611" t="s">
        <v>921</v>
      </c>
      <c r="E10" s="2611">
        <v>2</v>
      </c>
      <c r="F10" s="2618">
        <v>5</v>
      </c>
      <c r="G10" s="2613"/>
      <c r="H10" s="2614"/>
      <c r="I10" s="2615">
        <f>C10*E10*F10</f>
        <v>10</v>
      </c>
      <c r="J10" s="2616"/>
      <c r="K10" s="2616"/>
      <c r="L10" s="2603"/>
    </row>
    <row r="11" spans="1:12" hidden="1">
      <c r="A11" s="2608"/>
      <c r="B11" s="2617"/>
      <c r="C11" s="2610"/>
      <c r="D11" s="2611"/>
      <c r="E11" s="2611"/>
      <c r="F11" s="2618"/>
      <c r="G11" s="2613"/>
      <c r="H11" s="2614"/>
      <c r="I11" s="2615"/>
      <c r="J11" s="2616"/>
      <c r="K11" s="2616"/>
      <c r="L11" s="2603"/>
    </row>
    <row r="12" spans="1:12" ht="14.25" customHeight="1">
      <c r="A12" s="2608"/>
      <c r="B12" s="2605"/>
      <c r="C12" s="2607"/>
      <c r="D12" s="2607"/>
      <c r="E12" s="2604"/>
      <c r="F12" s="2607"/>
      <c r="G12" s="2607"/>
      <c r="H12" s="2607"/>
      <c r="I12" s="2603">
        <f>SUM(I8:I11)</f>
        <v>22</v>
      </c>
      <c r="J12" s="2619">
        <v>399</v>
      </c>
      <c r="K12" s="2619" t="s">
        <v>1226</v>
      </c>
      <c r="L12" s="2620">
        <f>ROUND(I12*J12,0)</f>
        <v>8778</v>
      </c>
    </row>
    <row r="13" spans="1:12" ht="14.25" customHeight="1">
      <c r="A13" s="2608"/>
      <c r="B13" s="2621"/>
      <c r="C13" s="2607"/>
      <c r="D13" s="2607"/>
      <c r="E13" s="2604"/>
      <c r="F13" s="2607"/>
      <c r="G13" s="2607"/>
      <c r="H13" s="2607"/>
      <c r="I13" s="2622" t="s">
        <v>710</v>
      </c>
      <c r="J13" s="2619"/>
      <c r="K13" s="2619"/>
      <c r="L13" s="2623"/>
    </row>
    <row r="14" spans="1:12" ht="47.1" customHeight="1">
      <c r="A14" s="2608">
        <v>2</v>
      </c>
      <c r="B14" s="3519" t="s">
        <v>1227</v>
      </c>
      <c r="C14" s="3519"/>
      <c r="D14" s="3519"/>
      <c r="E14" s="3519"/>
      <c r="F14" s="3519"/>
      <c r="G14" s="3519"/>
      <c r="H14" s="3519"/>
      <c r="I14" s="2624"/>
      <c r="J14" s="2604"/>
      <c r="K14" s="2605"/>
      <c r="L14" s="2623"/>
    </row>
    <row r="15" spans="1:12">
      <c r="A15" s="2608" t="s">
        <v>895</v>
      </c>
      <c r="B15" s="2606" t="s">
        <v>1228</v>
      </c>
      <c r="C15" s="2607"/>
      <c r="D15" s="2606"/>
      <c r="E15" s="2606"/>
      <c r="F15" s="2606"/>
      <c r="G15" s="2606"/>
      <c r="H15" s="2607"/>
      <c r="I15" s="2624"/>
      <c r="J15" s="2616"/>
      <c r="K15" s="2616"/>
      <c r="L15" s="2603"/>
    </row>
    <row r="16" spans="1:12">
      <c r="A16" s="2608"/>
      <c r="B16" s="2617" t="s">
        <v>1229</v>
      </c>
      <c r="C16" s="2610">
        <v>1</v>
      </c>
      <c r="D16" s="2611" t="s">
        <v>921</v>
      </c>
      <c r="E16" s="2611">
        <v>2</v>
      </c>
      <c r="F16" s="2618">
        <f>'Road Estimate'!F6</f>
        <v>2070</v>
      </c>
      <c r="G16" s="2613">
        <v>0.1</v>
      </c>
      <c r="H16" s="2614"/>
      <c r="I16" s="2614">
        <f>C16*E16*F16*G16</f>
        <v>414</v>
      </c>
      <c r="J16" s="2616"/>
      <c r="K16" s="2616"/>
      <c r="L16" s="2603"/>
    </row>
    <row r="17" spans="1:14" hidden="1">
      <c r="A17" s="2608"/>
      <c r="B17" s="2617" t="s">
        <v>1230</v>
      </c>
      <c r="C17" s="2610">
        <v>0</v>
      </c>
      <c r="D17" s="2611" t="s">
        <v>921</v>
      </c>
      <c r="E17" s="2611">
        <v>1</v>
      </c>
      <c r="F17" s="2618">
        <f>F16-N17</f>
        <v>1610</v>
      </c>
      <c r="G17" s="2613">
        <v>0.1</v>
      </c>
      <c r="H17" s="2614"/>
      <c r="I17" s="2614">
        <f>C17*E17*F17*G17</f>
        <v>0</v>
      </c>
      <c r="J17" s="2616"/>
      <c r="K17" s="2616"/>
      <c r="L17" s="2603"/>
      <c r="N17" s="2625">
        <f>F16/4.5</f>
        <v>460</v>
      </c>
    </row>
    <row r="18" spans="1:14">
      <c r="A18" s="2608"/>
      <c r="B18" s="2607"/>
      <c r="C18" s="2607"/>
      <c r="D18" s="2607"/>
      <c r="E18" s="2604"/>
      <c r="F18" s="2626"/>
      <c r="G18" s="2627"/>
      <c r="H18" s="2607"/>
      <c r="I18" s="2622">
        <f>SUM(I16:I17)</f>
        <v>414</v>
      </c>
      <c r="J18" s="2619">
        <v>728</v>
      </c>
      <c r="K18" s="2628" t="s">
        <v>1231</v>
      </c>
      <c r="L18" s="2620">
        <f>ROUND(I18*J18,0)</f>
        <v>301392</v>
      </c>
    </row>
    <row r="19" spans="1:14" ht="71.400000000000006" hidden="1" customHeight="1">
      <c r="A19" s="2608">
        <v>3</v>
      </c>
      <c r="B19" s="3519" t="s">
        <v>1232</v>
      </c>
      <c r="C19" s="3519"/>
      <c r="D19" s="3519"/>
      <c r="E19" s="3519"/>
      <c r="F19" s="3519"/>
      <c r="G19" s="3519"/>
      <c r="H19" s="3519"/>
      <c r="I19" s="2624" t="s">
        <v>353</v>
      </c>
      <c r="J19" s="2604"/>
      <c r="K19" s="2605"/>
      <c r="L19" s="2623"/>
    </row>
    <row r="20" spans="1:14" ht="27.6" hidden="1">
      <c r="A20" s="2608"/>
      <c r="B20" s="2609" t="s">
        <v>1233</v>
      </c>
      <c r="C20" s="2610">
        <v>1</v>
      </c>
      <c r="D20" s="2611" t="s">
        <v>921</v>
      </c>
      <c r="E20" s="2611">
        <v>2</v>
      </c>
      <c r="F20" s="2618">
        <v>0</v>
      </c>
      <c r="G20" s="2613"/>
      <c r="H20" s="2614"/>
      <c r="I20" s="2615">
        <f>C20*E20*F20</f>
        <v>0</v>
      </c>
      <c r="J20" s="2616"/>
      <c r="K20" s="2616"/>
      <c r="L20" s="2603"/>
    </row>
    <row r="21" spans="1:14" hidden="1">
      <c r="A21" s="2608"/>
      <c r="B21" s="2606" t="s">
        <v>1234</v>
      </c>
      <c r="C21" s="2607"/>
      <c r="D21" s="2606"/>
      <c r="E21" s="2606"/>
      <c r="F21" s="2606"/>
      <c r="G21" s="2606"/>
      <c r="H21" s="2607"/>
      <c r="I21" s="2624"/>
      <c r="J21" s="2616"/>
      <c r="K21" s="2616"/>
      <c r="L21" s="2603"/>
    </row>
    <row r="22" spans="1:14" hidden="1">
      <c r="A22" s="2608"/>
      <c r="B22" s="2621"/>
      <c r="C22" s="2607"/>
      <c r="D22" s="2607"/>
      <c r="E22" s="2604"/>
      <c r="F22" s="2607"/>
      <c r="G22" s="2607"/>
      <c r="H22" s="2607"/>
      <c r="I22" s="2603">
        <f>SUM(I20:I21)</f>
        <v>0</v>
      </c>
      <c r="J22" s="2619">
        <v>3183</v>
      </c>
      <c r="K22" s="2628" t="s">
        <v>1235</v>
      </c>
      <c r="L22" s="2620">
        <f>ROUND(I22*J22,0)</f>
        <v>0</v>
      </c>
    </row>
    <row r="23" spans="1:14" hidden="1">
      <c r="A23" s="2608"/>
      <c r="B23" s="2621"/>
      <c r="C23" s="2607"/>
      <c r="D23" s="2607"/>
      <c r="E23" s="2604"/>
      <c r="F23" s="2607"/>
      <c r="G23" s="2607"/>
      <c r="H23" s="2607"/>
      <c r="I23" s="2619" t="s">
        <v>628</v>
      </c>
      <c r="J23" s="2619"/>
      <c r="K23" s="2619"/>
      <c r="L23" s="2623"/>
    </row>
    <row r="24" spans="1:14" ht="59.25" customHeight="1">
      <c r="A24" s="2608">
        <v>4</v>
      </c>
      <c r="B24" s="3519" t="s">
        <v>1236</v>
      </c>
      <c r="C24" s="3519"/>
      <c r="D24" s="3519"/>
      <c r="E24" s="3519"/>
      <c r="F24" s="3519"/>
      <c r="G24" s="3519"/>
      <c r="H24" s="3519"/>
      <c r="I24" s="2624"/>
      <c r="J24" s="2604"/>
      <c r="K24" s="2605"/>
      <c r="L24" s="2623"/>
    </row>
    <row r="25" spans="1:14">
      <c r="A25" s="2608"/>
      <c r="B25" s="2609" t="s">
        <v>1237</v>
      </c>
      <c r="C25" s="2610">
        <v>1</v>
      </c>
      <c r="D25" s="2611" t="s">
        <v>921</v>
      </c>
      <c r="E25" s="2611">
        <v>6</v>
      </c>
      <c r="F25" s="2612">
        <v>3.75</v>
      </c>
      <c r="G25" s="2613">
        <v>0.2</v>
      </c>
      <c r="H25" s="2614"/>
      <c r="I25" s="2629">
        <f>C25*E25*F25*G25</f>
        <v>4.5</v>
      </c>
      <c r="J25" s="2616"/>
      <c r="K25" s="2616"/>
      <c r="L25" s="2603"/>
    </row>
    <row r="26" spans="1:14">
      <c r="A26" s="2608"/>
      <c r="B26" s="2621"/>
      <c r="C26" s="2607"/>
      <c r="D26" s="2607"/>
      <c r="E26" s="2604"/>
      <c r="F26" s="2607"/>
      <c r="G26" s="2607"/>
      <c r="H26" s="2607"/>
      <c r="I26" s="2622">
        <f>SUM(I25:I25)</f>
        <v>4.5</v>
      </c>
      <c r="J26" s="2619">
        <v>2107</v>
      </c>
      <c r="K26" s="2619" t="s">
        <v>1238</v>
      </c>
      <c r="L26" s="2620">
        <f>ROUND(I26*J26,0)</f>
        <v>9482</v>
      </c>
    </row>
    <row r="27" spans="1:14">
      <c r="A27" s="2608"/>
      <c r="B27" s="2621"/>
      <c r="C27" s="2607"/>
      <c r="D27" s="2607"/>
      <c r="E27" s="2604"/>
      <c r="F27" s="2607"/>
      <c r="G27" s="2607"/>
      <c r="H27" s="2607"/>
      <c r="I27" s="2619" t="s">
        <v>353</v>
      </c>
      <c r="J27" s="2619"/>
      <c r="K27" s="2619"/>
      <c r="L27" s="2623"/>
    </row>
    <row r="28" spans="1:14">
      <c r="A28" s="2608"/>
      <c r="B28" s="2621"/>
      <c r="C28" s="2607"/>
      <c r="D28" s="2607"/>
      <c r="E28" s="2604"/>
      <c r="F28" s="2607"/>
      <c r="G28" s="2607"/>
      <c r="H28" s="2607"/>
      <c r="I28" s="2622"/>
      <c r="J28" s="2619" t="s">
        <v>1095</v>
      </c>
      <c r="K28" s="2619"/>
      <c r="L28" s="2630">
        <f>SUM(L10:L26)</f>
        <v>319652</v>
      </c>
    </row>
    <row r="33" spans="2:8">
      <c r="B33" s="2600" t="str">
        <f>'Road-furniture '!B21</f>
        <v>Asst Exe Engineer,</v>
      </c>
      <c r="C33" s="2600" t="str">
        <f>'Road-furniture '!D21</f>
        <v>Dy. Exe. Engineer</v>
      </c>
      <c r="H33" s="2631" t="str">
        <f>'Road-furniture '!B29</f>
        <v>District Panchayat Raj Engineer,</v>
      </c>
    </row>
    <row r="34" spans="2:8">
      <c r="B34" s="2600" t="str">
        <f>'Road-furniture '!B22</f>
        <v>PRSD Maddur</v>
      </c>
      <c r="C34" s="2600" t="str">
        <f>'Road-furniture '!D22</f>
        <v>PRSD, Maddur</v>
      </c>
      <c r="H34" s="2631" t="str">
        <f>'Road-furniture '!B30</f>
        <v>PR Division, Narayanpet</v>
      </c>
    </row>
    <row r="38" spans="2:8">
      <c r="H38" s="2631" t="str">
        <f>'Road-furniture '!E29</f>
        <v>Superintending Engineer</v>
      </c>
    </row>
    <row r="39" spans="2:8">
      <c r="H39" s="2631" t="str">
        <f>'Road-furniture '!E30</f>
        <v>PR, Circle, Vikarabad</v>
      </c>
    </row>
  </sheetData>
  <protectedRanges>
    <protectedRange sqref="A20:I21 A25:I25" name="Range3"/>
    <protectedRange sqref="A15:I16" name="Range2"/>
    <protectedRange sqref="A7:I11" name="Range1"/>
  </protectedRanges>
  <mergeCells count="15">
    <mergeCell ref="B6:H6"/>
    <mergeCell ref="B14:H14"/>
    <mergeCell ref="B19:H19"/>
    <mergeCell ref="B24:H24"/>
    <mergeCell ref="A3:A4"/>
    <mergeCell ref="B3:B4"/>
    <mergeCell ref="C3:E4"/>
    <mergeCell ref="A1:L1"/>
    <mergeCell ref="A2:L2"/>
    <mergeCell ref="F3:H3"/>
    <mergeCell ref="C5:E5"/>
    <mergeCell ref="J5:K5"/>
    <mergeCell ref="I3:I4"/>
    <mergeCell ref="L3:L4"/>
    <mergeCell ref="J3:K4"/>
  </mergeCells>
  <pageMargins left="0.23622047244094499" right="0.23622047244094499" top="0.55118110236220497" bottom="0.55118110236220497" header="0.31496062992126" footer="0.31496062992126"/>
  <pageSetup paperSize="9" scale="87"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9" tint="-0.249977111117893"/>
  </sheetPr>
  <dimension ref="A1:L990"/>
  <sheetViews>
    <sheetView view="pageBreakPreview" topLeftCell="A444" zoomScaleNormal="115" workbookViewId="0">
      <selection activeCell="D985" sqref="D985"/>
    </sheetView>
  </sheetViews>
  <sheetFormatPr defaultColWidth="9.109375" defaultRowHeight="13.8"/>
  <cols>
    <col min="1" max="1" width="4.88671875" style="2429" customWidth="1"/>
    <col min="2" max="2" width="11.44140625" style="2374" customWidth="1"/>
    <col min="3" max="3" width="6.44140625" style="2369" customWidth="1"/>
    <col min="4" max="4" width="42.6640625" style="2369" customWidth="1"/>
    <col min="5" max="5" width="11.6640625" style="2408" customWidth="1"/>
    <col min="6" max="6" width="5.5546875" style="2369" customWidth="1"/>
    <col min="7" max="7" width="14.5546875" style="2644" customWidth="1"/>
    <col min="8" max="8" width="14" style="2369" customWidth="1"/>
    <col min="9" max="14" width="9.109375" style="2369" customWidth="1"/>
    <col min="15" max="16384" width="9.109375" style="2369"/>
  </cols>
  <sheetData>
    <row r="1" spans="1:7">
      <c r="A1" s="2645"/>
      <c r="B1" s="3520" t="s">
        <v>2807</v>
      </c>
      <c r="C1" s="3521"/>
      <c r="D1" s="3521"/>
      <c r="E1" s="3521"/>
      <c r="F1" s="3521"/>
      <c r="G1" s="3521"/>
    </row>
    <row r="2" spans="1:7" s="2634" customFormat="1">
      <c r="A2" s="3522" t="s">
        <v>1</v>
      </c>
      <c r="B2" s="3522"/>
      <c r="C2" s="3522"/>
      <c r="D2" s="3538" t="str">
        <f>'Input Data'!E1</f>
        <v xml:space="preserve">BT Renewal from Balabadraipally to Danamma Thanda of Gundumal Mandal in Narayanpet District </v>
      </c>
      <c r="E2" s="3539"/>
      <c r="F2" s="3539"/>
      <c r="G2" s="3539"/>
    </row>
    <row r="3" spans="1:7">
      <c r="A3" s="3523"/>
      <c r="B3" s="3523"/>
      <c r="C3" s="3523"/>
      <c r="D3" s="3540"/>
      <c r="E3" s="3540"/>
      <c r="F3" s="3540"/>
      <c r="G3" s="3540"/>
    </row>
    <row r="4" spans="1:7">
      <c r="A4" s="2646" t="s">
        <v>2</v>
      </c>
      <c r="B4" s="3524" t="s">
        <v>3</v>
      </c>
      <c r="C4" s="3524"/>
      <c r="D4" s="2646" t="s">
        <v>4</v>
      </c>
      <c r="E4" s="2647" t="s">
        <v>5</v>
      </c>
      <c r="F4" s="2648" t="s">
        <v>6</v>
      </c>
      <c r="G4" s="2649" t="s">
        <v>7</v>
      </c>
    </row>
    <row r="5" spans="1:7" s="2635" customFormat="1" ht="84" customHeight="1">
      <c r="A5" s="2650">
        <v>1</v>
      </c>
      <c r="B5" s="3525" t="s">
        <v>1239</v>
      </c>
      <c r="C5" s="3525"/>
      <c r="D5" s="3525"/>
      <c r="E5" s="3525"/>
      <c r="F5" s="3525"/>
      <c r="G5" s="3525"/>
    </row>
    <row r="6" spans="1:7">
      <c r="A6" s="2650"/>
      <c r="B6" s="3526" t="s">
        <v>1240</v>
      </c>
      <c r="C6" s="3526"/>
      <c r="D6" s="3526"/>
      <c r="E6" s="2647"/>
      <c r="F6" s="2648"/>
      <c r="G6" s="2648"/>
    </row>
    <row r="7" spans="1:7">
      <c r="A7" s="2650"/>
      <c r="B7" s="3527" t="s">
        <v>1241</v>
      </c>
      <c r="C7" s="3527"/>
      <c r="D7" s="3527"/>
      <c r="E7" s="2647"/>
      <c r="F7" s="2648"/>
      <c r="G7" s="2648"/>
    </row>
    <row r="8" spans="1:7">
      <c r="A8" s="2650"/>
      <c r="B8" s="2646" t="s">
        <v>36</v>
      </c>
      <c r="C8" s="2651" t="s">
        <v>37</v>
      </c>
      <c r="D8" s="2646"/>
      <c r="E8" s="2647"/>
      <c r="F8" s="2648"/>
      <c r="G8" s="2648"/>
    </row>
    <row r="9" spans="1:7">
      <c r="A9" s="2650"/>
      <c r="B9" s="2652">
        <v>0.16</v>
      </c>
      <c r="C9" s="2653" t="s">
        <v>38</v>
      </c>
      <c r="D9" s="2654" t="s">
        <v>14</v>
      </c>
      <c r="E9" s="2655">
        <f>'SSR-rates'!$K$58</f>
        <v>575</v>
      </c>
      <c r="F9" s="2656" t="s">
        <v>38</v>
      </c>
      <c r="G9" s="2657">
        <f>ROUND(B9*E9,2)</f>
        <v>92</v>
      </c>
    </row>
    <row r="10" spans="1:7">
      <c r="A10" s="2650"/>
      <c r="B10" s="2652">
        <v>4</v>
      </c>
      <c r="C10" s="2653" t="s">
        <v>38</v>
      </c>
      <c r="D10" s="2654" t="s">
        <v>16</v>
      </c>
      <c r="E10" s="2655">
        <f>'SSR-rates'!$K$60</f>
        <v>575</v>
      </c>
      <c r="F10" s="2656" t="s">
        <v>38</v>
      </c>
      <c r="G10" s="2657">
        <f>ROUND(B10*E10,2)</f>
        <v>2300</v>
      </c>
    </row>
    <row r="11" spans="1:7">
      <c r="A11" s="2650"/>
      <c r="B11" s="2658">
        <f>'Input Data'!$D$23</f>
        <v>0</v>
      </c>
      <c r="C11" s="2653"/>
      <c r="D11" s="2659" t="s">
        <v>17</v>
      </c>
      <c r="E11" s="2655">
        <f>SUM(G9:G10)</f>
        <v>2392</v>
      </c>
      <c r="F11" s="2656"/>
      <c r="G11" s="2657">
        <f>B11*E11</f>
        <v>0</v>
      </c>
    </row>
    <row r="12" spans="1:7">
      <c r="A12" s="2650"/>
      <c r="B12" s="2655"/>
      <c r="C12" s="2653"/>
      <c r="D12" s="2654"/>
      <c r="E12" s="2655"/>
      <c r="F12" s="2656"/>
      <c r="G12" s="2657">
        <f>SUM(G9:G11)</f>
        <v>2392</v>
      </c>
    </row>
    <row r="13" spans="1:7">
      <c r="A13" s="2650"/>
      <c r="B13" s="2646" t="s">
        <v>39</v>
      </c>
      <c r="C13" s="2651" t="s">
        <v>40</v>
      </c>
      <c r="D13" s="2659"/>
      <c r="E13" s="2653"/>
      <c r="F13" s="2654"/>
      <c r="G13" s="2660"/>
    </row>
    <row r="14" spans="1:7" ht="27.6">
      <c r="A14" s="2650"/>
      <c r="B14" s="2661">
        <v>10</v>
      </c>
      <c r="C14" s="2662" t="s">
        <v>1242</v>
      </c>
      <c r="D14" s="2663" t="s">
        <v>1243</v>
      </c>
      <c r="E14" s="2661">
        <f>'SSR-rates'!K62</f>
        <v>3164.8</v>
      </c>
      <c r="F14" s="2661"/>
      <c r="G14" s="2664">
        <f>ROUND(B14*E14,2)</f>
        <v>31648</v>
      </c>
    </row>
    <row r="15" spans="1:7">
      <c r="A15" s="2650"/>
      <c r="B15" s="2661">
        <v>1</v>
      </c>
      <c r="C15" s="2662" t="s">
        <v>1242</v>
      </c>
      <c r="D15" s="2663" t="s">
        <v>1244</v>
      </c>
      <c r="E15" s="2661">
        <f>'SSR-rates'!K70</f>
        <v>512</v>
      </c>
      <c r="F15" s="2661"/>
      <c r="G15" s="2664">
        <f>ROUND(B15*E15,2)</f>
        <v>512</v>
      </c>
    </row>
    <row r="16" spans="1:7">
      <c r="A16" s="2650"/>
      <c r="B16" s="2655"/>
      <c r="C16" s="2653"/>
      <c r="D16" s="2654"/>
      <c r="E16" s="2655" t="s">
        <v>60</v>
      </c>
      <c r="F16" s="2655"/>
      <c r="G16" s="2657">
        <f>SUM(G12:G15)</f>
        <v>34552</v>
      </c>
    </row>
    <row r="17" spans="1:8">
      <c r="A17" s="2650"/>
      <c r="B17" s="2646" t="s">
        <v>1245</v>
      </c>
      <c r="C17" s="2665" t="s">
        <v>1246</v>
      </c>
      <c r="D17" s="2654"/>
      <c r="E17" s="2655"/>
      <c r="F17" s="2655"/>
      <c r="G17" s="2657"/>
    </row>
    <row r="18" spans="1:8">
      <c r="A18" s="2650"/>
      <c r="B18" s="2666">
        <f>'Input Data'!$D$24</f>
        <v>0.13614999999999999</v>
      </c>
      <c r="C18" s="2667" t="s">
        <v>1247</v>
      </c>
      <c r="D18" s="2659"/>
      <c r="E18" s="2668">
        <f>G15+G14+G12</f>
        <v>34552</v>
      </c>
      <c r="F18" s="2659"/>
      <c r="G18" s="2657">
        <f>E18*B18</f>
        <v>4704.2547999999997</v>
      </c>
    </row>
    <row r="19" spans="1:8">
      <c r="A19" s="2650"/>
      <c r="B19" s="2666">
        <f>'Input Data'!$E$24</f>
        <v>0</v>
      </c>
      <c r="C19" s="2667" t="s">
        <v>1093</v>
      </c>
      <c r="D19" s="2659"/>
      <c r="E19" s="2669">
        <f>E18+G18</f>
        <v>39256.254800000002</v>
      </c>
      <c r="F19" s="2659"/>
      <c r="G19" s="2657">
        <f>E19*B19</f>
        <v>0</v>
      </c>
    </row>
    <row r="20" spans="1:8">
      <c r="A20" s="2650"/>
      <c r="B20" s="2646" t="s">
        <v>45</v>
      </c>
      <c r="C20" s="2651" t="s">
        <v>46</v>
      </c>
      <c r="D20" s="2659"/>
      <c r="E20" s="2653"/>
      <c r="F20" s="2654"/>
      <c r="G20" s="2670">
        <f>G16+G18+G19</f>
        <v>39256.254800000002</v>
      </c>
    </row>
    <row r="21" spans="1:8">
      <c r="A21" s="2650"/>
      <c r="B21" s="2656"/>
      <c r="C21" s="2651" t="s">
        <v>1248</v>
      </c>
      <c r="D21" s="2654"/>
      <c r="E21" s="2653"/>
      <c r="F21" s="2654"/>
      <c r="G21" s="2671"/>
    </row>
    <row r="22" spans="1:8">
      <c r="A22" s="2650"/>
      <c r="B22" s="2656"/>
      <c r="C22" s="2651" t="s">
        <v>1249</v>
      </c>
      <c r="D22" s="2654"/>
      <c r="E22" s="2653"/>
      <c r="F22" s="2654"/>
      <c r="G22" s="2670">
        <f>ROUND(G20/10000,2)</f>
        <v>3.93</v>
      </c>
      <c r="H22" s="2369" t="s">
        <v>921</v>
      </c>
    </row>
    <row r="23" spans="1:8">
      <c r="A23" s="2650"/>
      <c r="B23" s="2656"/>
      <c r="C23" s="2651"/>
      <c r="D23" s="2654"/>
      <c r="E23" s="2653"/>
      <c r="F23" s="2654"/>
      <c r="G23" s="2670"/>
    </row>
    <row r="24" spans="1:8" s="2407" customFormat="1" ht="60.9" hidden="1" customHeight="1">
      <c r="A24" s="2672">
        <v>2</v>
      </c>
      <c r="B24" s="3528" t="s">
        <v>1250</v>
      </c>
      <c r="C24" s="3528"/>
      <c r="D24" s="3528"/>
      <c r="E24" s="3528"/>
      <c r="F24" s="3528"/>
      <c r="G24" s="3528"/>
    </row>
    <row r="25" spans="1:8" s="2407" customFormat="1" hidden="1">
      <c r="A25" s="2673"/>
      <c r="B25" s="2674"/>
      <c r="C25" s="2674"/>
      <c r="D25" s="2675" t="s">
        <v>1251</v>
      </c>
      <c r="E25" s="2676"/>
      <c r="F25" s="2674"/>
      <c r="G25" s="2677"/>
    </row>
    <row r="26" spans="1:8" s="2407" customFormat="1" hidden="1">
      <c r="A26" s="2673"/>
      <c r="B26" s="2678" t="s">
        <v>1252</v>
      </c>
      <c r="C26" s="2674"/>
      <c r="D26" s="2679"/>
      <c r="E26" s="2676"/>
      <c r="F26" s="2674"/>
      <c r="G26" s="2677"/>
    </row>
    <row r="27" spans="1:8" s="2407" customFormat="1" hidden="1">
      <c r="A27" s="2673"/>
      <c r="B27" s="2674"/>
      <c r="C27" s="2674"/>
      <c r="D27" s="2680" t="s">
        <v>10</v>
      </c>
      <c r="E27" s="2676"/>
      <c r="F27" s="2674"/>
      <c r="G27" s="2677"/>
    </row>
    <row r="28" spans="1:8" s="2407" customFormat="1" hidden="1">
      <c r="A28" s="2673"/>
      <c r="B28" s="2674"/>
      <c r="C28" s="2676"/>
      <c r="D28" s="2680" t="s">
        <v>115</v>
      </c>
      <c r="E28" s="2676"/>
      <c r="F28" s="2674"/>
      <c r="G28" s="2677"/>
    </row>
    <row r="29" spans="1:8" s="2407" customFormat="1" hidden="1">
      <c r="A29" s="2673"/>
      <c r="B29" s="2674"/>
      <c r="C29" s="2681"/>
      <c r="D29" s="2675" t="s">
        <v>12</v>
      </c>
      <c r="E29" s="2676"/>
      <c r="F29" s="2674"/>
      <c r="G29" s="2677"/>
    </row>
    <row r="30" spans="1:8" s="2407" customFormat="1" hidden="1">
      <c r="A30" s="2673"/>
      <c r="B30" s="2682">
        <v>0.01</v>
      </c>
      <c r="C30" s="2674" t="s">
        <v>13</v>
      </c>
      <c r="D30" s="2683" t="s">
        <v>14</v>
      </c>
      <c r="E30" s="2655">
        <f>'SSR-rates'!$K$58</f>
        <v>575</v>
      </c>
      <c r="F30" s="2684">
        <v>1</v>
      </c>
      <c r="G30" s="2685">
        <f>ROUND(B30*E30,2)</f>
        <v>5.75</v>
      </c>
    </row>
    <row r="31" spans="1:8" s="2407" customFormat="1" hidden="1">
      <c r="A31" s="2673"/>
      <c r="B31" s="2682">
        <v>0.3</v>
      </c>
      <c r="C31" s="2674" t="s">
        <v>13</v>
      </c>
      <c r="D31" s="2683" t="s">
        <v>16</v>
      </c>
      <c r="E31" s="2655">
        <f>'SSR-rates'!$K$60</f>
        <v>575</v>
      </c>
      <c r="F31" s="2684">
        <v>1</v>
      </c>
      <c r="G31" s="2685">
        <f>ROUND(B31*E31,2)</f>
        <v>172.5</v>
      </c>
    </row>
    <row r="32" spans="1:8" s="2407" customFormat="1" hidden="1">
      <c r="A32" s="2673"/>
      <c r="B32" s="2658">
        <f>'Input Data'!$D$23</f>
        <v>0</v>
      </c>
      <c r="C32" s="2653"/>
      <c r="D32" s="2659" t="s">
        <v>17</v>
      </c>
      <c r="E32" s="2655">
        <f>SUM(G30:G31)</f>
        <v>178.25</v>
      </c>
      <c r="F32" s="2656"/>
      <c r="G32" s="2664">
        <f>B32*E32</f>
        <v>0</v>
      </c>
    </row>
    <row r="33" spans="1:8" s="2407" customFormat="1" hidden="1">
      <c r="A33" s="2673"/>
      <c r="B33" s="2676"/>
      <c r="C33" s="2676"/>
      <c r="D33" s="2686" t="s">
        <v>18</v>
      </c>
      <c r="E33" s="2676"/>
      <c r="F33" s="2687" t="s">
        <v>19</v>
      </c>
      <c r="G33" s="2688">
        <f>SUM(G30:G32)</f>
        <v>178.25</v>
      </c>
    </row>
    <row r="34" spans="1:8" s="2407" customFormat="1" hidden="1">
      <c r="A34" s="2673"/>
      <c r="B34" s="2676"/>
      <c r="C34" s="2681"/>
      <c r="D34" s="2675" t="s">
        <v>20</v>
      </c>
      <c r="E34" s="2676"/>
      <c r="F34" s="2676"/>
      <c r="G34" s="2685"/>
    </row>
    <row r="35" spans="1:8" s="2407" customFormat="1" hidden="1">
      <c r="A35" s="2673"/>
      <c r="B35" s="2682">
        <v>0.38</v>
      </c>
      <c r="C35" s="2674" t="s">
        <v>23</v>
      </c>
      <c r="D35" s="2683" t="s">
        <v>24</v>
      </c>
      <c r="E35" s="2676">
        <f>'SSR-rates'!$K$70</f>
        <v>512</v>
      </c>
      <c r="F35" s="2676">
        <v>1</v>
      </c>
      <c r="G35" s="2685">
        <f>ROUND(B35*E35,2)</f>
        <v>194.56</v>
      </c>
    </row>
    <row r="36" spans="1:8" s="2407" customFormat="1" hidden="1">
      <c r="A36" s="2673"/>
      <c r="B36" s="2682">
        <v>1.7000000000000001E-2</v>
      </c>
      <c r="C36" s="2674"/>
      <c r="D36" s="2683" t="s">
        <v>1253</v>
      </c>
      <c r="E36" s="2676">
        <f>'SSR-rates'!$K$72</f>
        <v>625</v>
      </c>
      <c r="F36" s="2676">
        <v>1</v>
      </c>
      <c r="G36" s="2685">
        <f>ROUND(B36*E36,2)</f>
        <v>10.63</v>
      </c>
    </row>
    <row r="37" spans="1:8" s="2407" customFormat="1" hidden="1">
      <c r="A37" s="2673"/>
      <c r="B37" s="2676"/>
      <c r="C37" s="2676"/>
      <c r="D37" s="2686" t="s">
        <v>18</v>
      </c>
      <c r="E37" s="2676"/>
      <c r="F37" s="2687" t="s">
        <v>25</v>
      </c>
      <c r="G37" s="2688">
        <f>SUM(G35:G36)</f>
        <v>205.19</v>
      </c>
    </row>
    <row r="38" spans="1:8" s="2407" customFormat="1" hidden="1">
      <c r="A38" s="2673"/>
      <c r="B38" s="2676"/>
      <c r="C38" s="2674"/>
      <c r="D38" s="2675" t="s">
        <v>26</v>
      </c>
      <c r="E38" s="2676"/>
      <c r="F38" s="2676"/>
      <c r="G38" s="2688">
        <f>G33+G37</f>
        <v>383.44</v>
      </c>
    </row>
    <row r="39" spans="1:8" s="2407" customFormat="1" hidden="1">
      <c r="A39" s="2673"/>
      <c r="B39" s="2676"/>
      <c r="C39" s="2657" t="s">
        <v>27</v>
      </c>
      <c r="D39" s="2675" t="s">
        <v>1246</v>
      </c>
      <c r="E39" s="2676"/>
      <c r="F39" s="2676"/>
      <c r="G39" s="2685"/>
    </row>
    <row r="40" spans="1:8" s="2407" customFormat="1" hidden="1">
      <c r="A40" s="2673"/>
      <c r="B40" s="2689">
        <f>'Input Data'!$D$24</f>
        <v>0.13614999999999999</v>
      </c>
      <c r="C40" s="2684"/>
      <c r="D40" s="2675" t="str">
        <f>"Over head charges &amp; CP "&amp;'Input Data'!$D$24*100&amp;"%  on (A) + (B)"</f>
        <v>Over head charges &amp; CP 13.615%  on (A) + (B)</v>
      </c>
      <c r="E40" s="2684">
        <f>G38</f>
        <v>383.44</v>
      </c>
      <c r="F40" s="2690"/>
      <c r="G40" s="2691">
        <f>E40*B40</f>
        <v>52.205355999999995</v>
      </c>
    </row>
    <row r="41" spans="1:8" s="2407" customFormat="1" hidden="1">
      <c r="A41" s="2673"/>
      <c r="B41" s="2684"/>
      <c r="C41" s="2684"/>
      <c r="D41" s="2675"/>
      <c r="E41" s="2684"/>
      <c r="F41" s="2690"/>
      <c r="G41" s="2691"/>
    </row>
    <row r="42" spans="1:8" s="2407" customFormat="1" hidden="1">
      <c r="A42" s="2673"/>
      <c r="B42" s="2684">
        <v>1</v>
      </c>
      <c r="C42" s="2684" t="s">
        <v>31</v>
      </c>
      <c r="D42" s="2686" t="str">
        <f>CONCATENATE("TOTAL Cost for ",B42,"  ",C42,"  =  (A+B+C)",)</f>
        <v>TOTAL Cost for 1  cum  =  (A+B+C)</v>
      </c>
      <c r="E42" s="2684"/>
      <c r="F42" s="2684"/>
      <c r="G42" s="2691">
        <f>SUM(G38:G41)</f>
        <v>435.64535599999999</v>
      </c>
    </row>
    <row r="43" spans="1:8" s="2407" customFormat="1" hidden="1">
      <c r="A43" s="2673"/>
      <c r="B43" s="2684"/>
      <c r="C43" s="2684"/>
      <c r="D43" s="2686" t="str">
        <f>CONCATENATE("Rate per  1  ",C42)</f>
        <v>Rate per  1  cum</v>
      </c>
      <c r="E43" s="2684"/>
      <c r="F43" s="2684"/>
      <c r="G43" s="2685">
        <f>G42/B42</f>
        <v>435.64535599999999</v>
      </c>
    </row>
    <row r="44" spans="1:8" s="2407" customFormat="1" hidden="1">
      <c r="A44" s="2673"/>
      <c r="B44" s="2676"/>
      <c r="C44" s="2676"/>
      <c r="D44" s="2675" t="str">
        <f>D43</f>
        <v>Rate per  1  cum</v>
      </c>
      <c r="E44" s="2684"/>
      <c r="F44" s="2684"/>
      <c r="G44" s="2688">
        <f>ROUND(G43,2)</f>
        <v>435.65</v>
      </c>
      <c r="H44" s="2407" t="s">
        <v>921</v>
      </c>
    </row>
    <row r="45" spans="1:8" s="2407" customFormat="1" hidden="1">
      <c r="A45" s="2673"/>
      <c r="B45" s="2676"/>
      <c r="C45" s="2676"/>
      <c r="D45" s="2675"/>
      <c r="E45" s="2684"/>
      <c r="F45" s="2684"/>
      <c r="G45" s="2688"/>
    </row>
    <row r="46" spans="1:8" s="2407" customFormat="1" ht="45" hidden="1" customHeight="1">
      <c r="A46" s="2650">
        <v>3</v>
      </c>
      <c r="B46" s="3525" t="s">
        <v>1254</v>
      </c>
      <c r="C46" s="3525"/>
      <c r="D46" s="3525"/>
      <c r="E46" s="3525"/>
      <c r="F46" s="3525"/>
      <c r="G46" s="3525"/>
    </row>
    <row r="47" spans="1:8" s="2407" customFormat="1" hidden="1">
      <c r="A47" s="2650"/>
      <c r="B47" s="2692"/>
      <c r="C47" s="2692"/>
      <c r="D47" s="2693" t="s">
        <v>1255</v>
      </c>
      <c r="E47" s="2694"/>
      <c r="F47" s="2692"/>
      <c r="G47" s="2660"/>
    </row>
    <row r="48" spans="1:8" s="2407" customFormat="1" hidden="1">
      <c r="A48" s="2650"/>
      <c r="B48" s="3529" t="s">
        <v>1256</v>
      </c>
      <c r="C48" s="3529"/>
      <c r="D48" s="2651" t="s">
        <v>1257</v>
      </c>
      <c r="E48" s="2647"/>
      <c r="F48" s="2648"/>
      <c r="G48" s="2695"/>
    </row>
    <row r="49" spans="1:8" s="2407" customFormat="1" hidden="1">
      <c r="A49" s="2650"/>
      <c r="B49" s="3529"/>
      <c r="C49" s="3529"/>
      <c r="D49" s="3529"/>
      <c r="E49" s="2647"/>
      <c r="F49" s="2648"/>
      <c r="G49" s="2695"/>
    </row>
    <row r="50" spans="1:8" s="2407" customFormat="1" hidden="1">
      <c r="A50" s="2650"/>
      <c r="B50" s="2646" t="s">
        <v>36</v>
      </c>
      <c r="C50" s="2651" t="s">
        <v>37</v>
      </c>
      <c r="D50" s="2659"/>
      <c r="E50" s="2647"/>
      <c r="F50" s="2648"/>
      <c r="G50" s="2695"/>
    </row>
    <row r="51" spans="1:8" s="2407" customFormat="1" hidden="1">
      <c r="A51" s="2650"/>
      <c r="B51" s="2655">
        <v>0.02</v>
      </c>
      <c r="C51" s="2653" t="s">
        <v>38</v>
      </c>
      <c r="D51" s="2654" t="s">
        <v>14</v>
      </c>
      <c r="E51" s="2655">
        <f>'SSR-rates'!$K$58</f>
        <v>575</v>
      </c>
      <c r="F51" s="2656" t="s">
        <v>38</v>
      </c>
      <c r="G51" s="2657">
        <f>ROUND(B51*E51,2)</f>
        <v>11.5</v>
      </c>
    </row>
    <row r="52" spans="1:8" s="2407" customFormat="1" hidden="1">
      <c r="A52" s="2650"/>
      <c r="B52" s="2655">
        <v>0.6</v>
      </c>
      <c r="C52" s="2653" t="s">
        <v>38</v>
      </c>
      <c r="D52" s="2654" t="s">
        <v>16</v>
      </c>
      <c r="E52" s="2655">
        <f>'SSR-rates'!$K$60</f>
        <v>575</v>
      </c>
      <c r="F52" s="2656" t="s">
        <v>38</v>
      </c>
      <c r="G52" s="2657">
        <f>ROUND(B52*E52,2)</f>
        <v>345</v>
      </c>
    </row>
    <row r="53" spans="1:8" hidden="1">
      <c r="A53" s="2650"/>
      <c r="B53" s="2658">
        <f>'Input Data'!$D$23</f>
        <v>0</v>
      </c>
      <c r="C53" s="2653"/>
      <c r="D53" s="2659" t="s">
        <v>17</v>
      </c>
      <c r="E53" s="2655">
        <f>SUM(G51:G52)</f>
        <v>356.5</v>
      </c>
      <c r="F53" s="2656"/>
      <c r="G53" s="2657">
        <f>B53*E53</f>
        <v>0</v>
      </c>
    </row>
    <row r="54" spans="1:8" s="2407" customFormat="1" hidden="1">
      <c r="A54" s="2650"/>
      <c r="B54" s="2655"/>
      <c r="C54" s="2653"/>
      <c r="D54" s="2654"/>
      <c r="E54" s="2655"/>
      <c r="F54" s="2656"/>
      <c r="G54" s="2670">
        <f>SUM(G51:G53)</f>
        <v>356.5</v>
      </c>
    </row>
    <row r="55" spans="1:8" s="2407" customFormat="1" hidden="1">
      <c r="A55" s="2650"/>
      <c r="B55" s="2646" t="s">
        <v>39</v>
      </c>
      <c r="C55" s="2651" t="s">
        <v>40</v>
      </c>
      <c r="D55" s="2659"/>
      <c r="E55" s="2653"/>
      <c r="F55" s="2654"/>
      <c r="G55" s="2660"/>
    </row>
    <row r="56" spans="1:8" hidden="1">
      <c r="A56" s="2650"/>
      <c r="B56" s="2661">
        <v>0.1</v>
      </c>
      <c r="C56" s="2662" t="s">
        <v>41</v>
      </c>
      <c r="D56" s="2663" t="s">
        <v>1258</v>
      </c>
      <c r="E56" s="2661">
        <f>'SSR-rates'!$K$71</f>
        <v>520</v>
      </c>
      <c r="F56" s="2661" t="s">
        <v>41</v>
      </c>
      <c r="G56" s="2657">
        <f>ROUND(B56*E56,2)</f>
        <v>52</v>
      </c>
    </row>
    <row r="57" spans="1:8" s="2407" customFormat="1" hidden="1">
      <c r="A57" s="2650"/>
      <c r="B57" s="2655"/>
      <c r="C57" s="2653"/>
      <c r="D57" s="2654"/>
      <c r="E57" s="2655"/>
      <c r="F57" s="2655"/>
      <c r="G57" s="2657"/>
    </row>
    <row r="58" spans="1:8" s="2407" customFormat="1" hidden="1">
      <c r="A58" s="2650"/>
      <c r="B58" s="2646" t="s">
        <v>27</v>
      </c>
      <c r="C58" s="2665" t="s">
        <v>1246</v>
      </c>
      <c r="D58" s="2654"/>
      <c r="E58" s="2655"/>
      <c r="F58" s="2655"/>
      <c r="G58" s="2660"/>
    </row>
    <row r="59" spans="1:8" s="2407" customFormat="1" hidden="1">
      <c r="A59" s="2650"/>
      <c r="B59" s="2689">
        <f>'Input Data'!$D$24</f>
        <v>0.13614999999999999</v>
      </c>
      <c r="C59" s="2654" t="str">
        <f>"Over head charges &amp; CP "&amp;'Input Data'!$D$24*100&amp;"%  on (A) + (B)"</f>
        <v>Over head charges &amp; CP 13.615%  on (A) + (B)</v>
      </c>
      <c r="D59" s="2659"/>
      <c r="E59" s="2668">
        <f>G56+G54</f>
        <v>408.5</v>
      </c>
      <c r="F59" s="2659"/>
      <c r="G59" s="2657">
        <f>E59*B59</f>
        <v>55.617274999999999</v>
      </c>
    </row>
    <row r="60" spans="1:8" s="2407" customFormat="1" hidden="1">
      <c r="A60" s="2650"/>
      <c r="B60" s="2646" t="s">
        <v>45</v>
      </c>
      <c r="C60" s="2654" t="s">
        <v>46</v>
      </c>
      <c r="D60" s="2659"/>
      <c r="E60" s="2668"/>
      <c r="F60" s="2659"/>
      <c r="G60" s="2657">
        <f>G54+G56+G57+G59</f>
        <v>464.11727500000001</v>
      </c>
    </row>
    <row r="61" spans="1:8" s="2407" customFormat="1" hidden="1">
      <c r="A61" s="2650"/>
      <c r="B61" s="2656"/>
      <c r="C61" s="2654"/>
      <c r="D61" s="2651" t="s">
        <v>1259</v>
      </c>
      <c r="E61" s="2653"/>
      <c r="F61" s="2654"/>
      <c r="G61" s="2657">
        <f>SUM(G60:G60)</f>
        <v>464.11727500000001</v>
      </c>
    </row>
    <row r="62" spans="1:8" s="2407" customFormat="1" hidden="1">
      <c r="A62" s="2650"/>
      <c r="B62" s="2656"/>
      <c r="C62" s="2659"/>
      <c r="D62" s="2696" t="s">
        <v>1260</v>
      </c>
      <c r="E62" s="2655"/>
      <c r="F62" s="2656"/>
      <c r="G62" s="2670">
        <f>ROUND(G61,2)</f>
        <v>464.12</v>
      </c>
      <c r="H62" s="2407" t="s">
        <v>921</v>
      </c>
    </row>
    <row r="63" spans="1:8" s="2407" customFormat="1" hidden="1">
      <c r="A63" s="2650"/>
      <c r="B63" s="2656"/>
      <c r="C63" s="2659"/>
      <c r="D63" s="2696"/>
      <c r="E63" s="2655"/>
      <c r="F63" s="2656"/>
      <c r="G63" s="2670"/>
    </row>
    <row r="64" spans="1:8" s="2407" customFormat="1" hidden="1">
      <c r="A64" s="2650"/>
      <c r="B64" s="2692"/>
      <c r="C64" s="2692"/>
      <c r="D64" s="2693" t="s">
        <v>1261</v>
      </c>
      <c r="E64" s="2694"/>
      <c r="F64" s="2692"/>
      <c r="G64" s="2660"/>
    </row>
    <row r="65" spans="1:8" s="2407" customFormat="1" hidden="1">
      <c r="A65" s="2650"/>
      <c r="B65" s="3529" t="s">
        <v>1256</v>
      </c>
      <c r="C65" s="3529"/>
      <c r="D65" s="2651" t="s">
        <v>1257</v>
      </c>
      <c r="E65" s="2647"/>
      <c r="F65" s="2648"/>
      <c r="G65" s="2695"/>
    </row>
    <row r="66" spans="1:8" s="2407" customFormat="1" hidden="1">
      <c r="A66" s="2650"/>
      <c r="B66" s="2646" t="s">
        <v>36</v>
      </c>
      <c r="C66" s="2651" t="s">
        <v>37</v>
      </c>
      <c r="D66" s="2659"/>
      <c r="E66" s="2647"/>
      <c r="F66" s="2648"/>
      <c r="G66" s="2695"/>
    </row>
    <row r="67" spans="1:8" s="2407" customFormat="1" hidden="1">
      <c r="A67" s="2650"/>
      <c r="B67" s="2655">
        <v>0.04</v>
      </c>
      <c r="C67" s="2653" t="s">
        <v>38</v>
      </c>
      <c r="D67" s="2654" t="s">
        <v>14</v>
      </c>
      <c r="E67" s="2655">
        <f>'SSR-rates'!$K$58</f>
        <v>575</v>
      </c>
      <c r="F67" s="2656" t="s">
        <v>38</v>
      </c>
      <c r="G67" s="2657">
        <f>ROUND(B67*E67,2)</f>
        <v>23</v>
      </c>
    </row>
    <row r="68" spans="1:8" s="2407" customFormat="1" hidden="1">
      <c r="A68" s="2650"/>
      <c r="B68" s="2655">
        <v>0.9</v>
      </c>
      <c r="C68" s="2653" t="s">
        <v>38</v>
      </c>
      <c r="D68" s="2654" t="s">
        <v>16</v>
      </c>
      <c r="E68" s="2655">
        <f>'SSR-rates'!$K$60</f>
        <v>575</v>
      </c>
      <c r="F68" s="2656" t="s">
        <v>38</v>
      </c>
      <c r="G68" s="2657">
        <f>ROUND(B68*E68,2)</f>
        <v>517.5</v>
      </c>
    </row>
    <row r="69" spans="1:8" hidden="1">
      <c r="A69" s="2650"/>
      <c r="B69" s="2658">
        <f>'Input Data'!$D$23</f>
        <v>0</v>
      </c>
      <c r="C69" s="2653"/>
      <c r="D69" s="2659" t="s">
        <v>17</v>
      </c>
      <c r="E69" s="2655">
        <f>SUM(G67:G68)</f>
        <v>540.5</v>
      </c>
      <c r="F69" s="2656"/>
      <c r="G69" s="2657">
        <f>B69*E69</f>
        <v>0</v>
      </c>
    </row>
    <row r="70" spans="1:8" s="2407" customFormat="1" hidden="1">
      <c r="A70" s="2650"/>
      <c r="B70" s="2655"/>
      <c r="C70" s="2653"/>
      <c r="D70" s="2654"/>
      <c r="E70" s="2655"/>
      <c r="F70" s="2656"/>
      <c r="G70" s="2670">
        <f>SUM(G67:G69)</f>
        <v>540.5</v>
      </c>
    </row>
    <row r="71" spans="1:8" s="2407" customFormat="1" hidden="1">
      <c r="A71" s="2650"/>
      <c r="B71" s="2646" t="s">
        <v>39</v>
      </c>
      <c r="C71" s="2651" t="s">
        <v>40</v>
      </c>
      <c r="D71" s="2659"/>
      <c r="E71" s="2653"/>
      <c r="F71" s="2654"/>
      <c r="G71" s="2660"/>
    </row>
    <row r="72" spans="1:8" hidden="1">
      <c r="A72" s="2650"/>
      <c r="B72" s="2661">
        <v>0.3</v>
      </c>
      <c r="C72" s="2662" t="s">
        <v>41</v>
      </c>
      <c r="D72" s="2663" t="s">
        <v>1258</v>
      </c>
      <c r="E72" s="2661">
        <f>'SSR-rates'!$K$71</f>
        <v>520</v>
      </c>
      <c r="F72" s="2661" t="s">
        <v>41</v>
      </c>
      <c r="G72" s="2657">
        <f>ROUND(B72*E72,2)</f>
        <v>156</v>
      </c>
    </row>
    <row r="73" spans="1:8" s="2407" customFormat="1" hidden="1">
      <c r="A73" s="2650"/>
      <c r="B73" s="2655"/>
      <c r="C73" s="2653"/>
      <c r="D73" s="2654"/>
      <c r="E73" s="2655"/>
      <c r="F73" s="2655"/>
      <c r="G73" s="2657"/>
    </row>
    <row r="74" spans="1:8" s="2407" customFormat="1" hidden="1">
      <c r="A74" s="2650"/>
      <c r="B74" s="2646" t="s">
        <v>27</v>
      </c>
      <c r="C74" s="2665" t="s">
        <v>1246</v>
      </c>
      <c r="D74" s="2654"/>
      <c r="E74" s="2655"/>
      <c r="F74" s="2655"/>
      <c r="G74" s="2660"/>
    </row>
    <row r="75" spans="1:8" s="2407" customFormat="1" hidden="1">
      <c r="A75" s="2650"/>
      <c r="B75" s="2689">
        <f>'Input Data'!$D$24</f>
        <v>0.13614999999999999</v>
      </c>
      <c r="C75" s="2654" t="str">
        <f>"Over head charges &amp; CP "&amp;'Input Data'!$D$24*100&amp;"%  on (A) + (B)"</f>
        <v>Over head charges &amp; CP 13.615%  on (A) + (B)</v>
      </c>
      <c r="D75" s="2659"/>
      <c r="E75" s="2668">
        <f>G72+G70</f>
        <v>696.5</v>
      </c>
      <c r="F75" s="2659"/>
      <c r="G75" s="2657">
        <f>E75*B75</f>
        <v>94.828474999999997</v>
      </c>
    </row>
    <row r="76" spans="1:8" s="2407" customFormat="1" hidden="1">
      <c r="A76" s="2650"/>
      <c r="B76" s="2646" t="s">
        <v>45</v>
      </c>
      <c r="C76" s="2654" t="s">
        <v>46</v>
      </c>
      <c r="D76" s="2659"/>
      <c r="E76" s="2668"/>
      <c r="F76" s="2659"/>
      <c r="G76" s="2657">
        <f>G70+G72+G73+G75</f>
        <v>791.32847500000003</v>
      </c>
    </row>
    <row r="77" spans="1:8" s="2407" customFormat="1" hidden="1">
      <c r="A77" s="2650"/>
      <c r="B77" s="2656"/>
      <c r="C77" s="2654"/>
      <c r="D77" s="2651" t="s">
        <v>1259</v>
      </c>
      <c r="E77" s="2653"/>
      <c r="F77" s="2654"/>
      <c r="G77" s="2657">
        <f>SUM(G76:G76)</f>
        <v>791.32847500000003</v>
      </c>
    </row>
    <row r="78" spans="1:8" s="2407" customFormat="1" hidden="1">
      <c r="A78" s="2650"/>
      <c r="B78" s="2656"/>
      <c r="C78" s="2659"/>
      <c r="D78" s="2696" t="s">
        <v>1260</v>
      </c>
      <c r="E78" s="2655"/>
      <c r="F78" s="2656"/>
      <c r="G78" s="2670">
        <f>ROUND(G77,2)</f>
        <v>791.33</v>
      </c>
      <c r="H78" s="2407" t="s">
        <v>921</v>
      </c>
    </row>
    <row r="79" spans="1:8" s="2407" customFormat="1" hidden="1">
      <c r="A79" s="2650"/>
      <c r="B79" s="2656"/>
      <c r="C79" s="2659"/>
      <c r="D79" s="2696"/>
      <c r="E79" s="2655"/>
      <c r="F79" s="2656"/>
      <c r="G79" s="2670"/>
    </row>
    <row r="80" spans="1:8" s="2407" customFormat="1" hidden="1">
      <c r="A80" s="2650"/>
      <c r="B80" s="2692"/>
      <c r="C80" s="2692"/>
      <c r="D80" s="2693" t="s">
        <v>1262</v>
      </c>
      <c r="E80" s="2694"/>
      <c r="F80" s="2692"/>
      <c r="G80" s="2660"/>
    </row>
    <row r="81" spans="1:8" s="2407" customFormat="1" hidden="1">
      <c r="A81" s="2650"/>
      <c r="B81" s="3529" t="s">
        <v>1256</v>
      </c>
      <c r="C81" s="3529"/>
      <c r="D81" s="2651" t="s">
        <v>1257</v>
      </c>
      <c r="E81" s="2647"/>
      <c r="F81" s="2648"/>
      <c r="G81" s="2695"/>
    </row>
    <row r="82" spans="1:8" s="2407" customFormat="1" hidden="1">
      <c r="A82" s="2650"/>
      <c r="B82" s="3529"/>
      <c r="C82" s="3529"/>
      <c r="D82" s="3529"/>
      <c r="E82" s="2647"/>
      <c r="F82" s="2648"/>
      <c r="G82" s="2695"/>
    </row>
    <row r="83" spans="1:8" s="2407" customFormat="1" hidden="1">
      <c r="A83" s="2650"/>
      <c r="B83" s="2646" t="s">
        <v>36</v>
      </c>
      <c r="C83" s="2651" t="s">
        <v>37</v>
      </c>
      <c r="D83" s="2659"/>
      <c r="E83" s="2647"/>
      <c r="F83" s="2648"/>
      <c r="G83" s="2695"/>
    </row>
    <row r="84" spans="1:8" s="2407" customFormat="1" hidden="1">
      <c r="A84" s="2650"/>
      <c r="B84" s="2655">
        <v>0.08</v>
      </c>
      <c r="C84" s="2653" t="s">
        <v>38</v>
      </c>
      <c r="D84" s="2654" t="s">
        <v>14</v>
      </c>
      <c r="E84" s="2655">
        <f>'SSR-rates'!$K$58</f>
        <v>575</v>
      </c>
      <c r="F84" s="2656" t="s">
        <v>38</v>
      </c>
      <c r="G84" s="2657">
        <f>ROUND(B84*E84,2)</f>
        <v>46</v>
      </c>
    </row>
    <row r="85" spans="1:8" s="2407" customFormat="1" hidden="1">
      <c r="A85" s="2650"/>
      <c r="B85" s="2655">
        <v>2</v>
      </c>
      <c r="C85" s="2653" t="s">
        <v>38</v>
      </c>
      <c r="D85" s="2654" t="s">
        <v>16</v>
      </c>
      <c r="E85" s="2655">
        <f>'SSR-rates'!$K$60</f>
        <v>575</v>
      </c>
      <c r="F85" s="2656" t="s">
        <v>38</v>
      </c>
      <c r="G85" s="2657">
        <f>ROUND(B85*E85,2)</f>
        <v>1150</v>
      </c>
    </row>
    <row r="86" spans="1:8" hidden="1">
      <c r="A86" s="2650"/>
      <c r="B86" s="2658">
        <f>'Input Data'!$D$23</f>
        <v>0</v>
      </c>
      <c r="C86" s="2653"/>
      <c r="D86" s="2659" t="s">
        <v>17</v>
      </c>
      <c r="E86" s="2655">
        <f>SUM(G84:G85)</f>
        <v>1196</v>
      </c>
      <c r="F86" s="2656"/>
      <c r="G86" s="2657">
        <f>B86*E86</f>
        <v>0</v>
      </c>
    </row>
    <row r="87" spans="1:8" s="2407" customFormat="1" hidden="1">
      <c r="A87" s="2650"/>
      <c r="B87" s="2655"/>
      <c r="C87" s="2653"/>
      <c r="D87" s="2654"/>
      <c r="E87" s="2655"/>
      <c r="F87" s="2656"/>
      <c r="G87" s="2670">
        <f>SUM(G84:G86)</f>
        <v>1196</v>
      </c>
    </row>
    <row r="88" spans="1:8" s="2407" customFormat="1" hidden="1">
      <c r="A88" s="2650"/>
      <c r="B88" s="2646" t="s">
        <v>39</v>
      </c>
      <c r="C88" s="2651" t="s">
        <v>40</v>
      </c>
      <c r="D88" s="2659"/>
      <c r="E88" s="2653"/>
      <c r="F88" s="2654"/>
      <c r="G88" s="2660"/>
    </row>
    <row r="89" spans="1:8" hidden="1">
      <c r="A89" s="2650"/>
      <c r="B89" s="2661">
        <v>0.4</v>
      </c>
      <c r="C89" s="2662" t="s">
        <v>41</v>
      </c>
      <c r="D89" s="2663" t="s">
        <v>1258</v>
      </c>
      <c r="E89" s="2661">
        <f>'SSR-rates'!$K$71</f>
        <v>520</v>
      </c>
      <c r="F89" s="2661" t="s">
        <v>41</v>
      </c>
      <c r="G89" s="2657">
        <f>ROUND(B89*E89,2)</f>
        <v>208</v>
      </c>
    </row>
    <row r="90" spans="1:8" s="2407" customFormat="1" hidden="1">
      <c r="A90" s="2650"/>
      <c r="B90" s="2655"/>
      <c r="C90" s="2653"/>
      <c r="D90" s="2654"/>
      <c r="E90" s="2655"/>
      <c r="F90" s="2655"/>
      <c r="G90" s="2657"/>
    </row>
    <row r="91" spans="1:8" s="2407" customFormat="1" hidden="1">
      <c r="A91" s="2650"/>
      <c r="B91" s="2646" t="s">
        <v>27</v>
      </c>
      <c r="C91" s="2665" t="s">
        <v>1246</v>
      </c>
      <c r="D91" s="2654"/>
      <c r="E91" s="2655"/>
      <c r="F91" s="2655"/>
      <c r="G91" s="2660"/>
    </row>
    <row r="92" spans="1:8" s="2407" customFormat="1" hidden="1">
      <c r="A92" s="2650"/>
      <c r="B92" s="2689">
        <f>'Input Data'!$D$24</f>
        <v>0.13614999999999999</v>
      </c>
      <c r="C92" s="2654" t="str">
        <f>"Over head charges &amp; CP "&amp;'Input Data'!$D$24*100&amp;"%  on (A) + (B)"</f>
        <v>Over head charges &amp; CP 13.615%  on (A) + (B)</v>
      </c>
      <c r="D92" s="2659"/>
      <c r="E92" s="2668">
        <f>G89+G87</f>
        <v>1404</v>
      </c>
      <c r="F92" s="2659"/>
      <c r="G92" s="2657">
        <f>E92*B92</f>
        <v>191.15459999999999</v>
      </c>
    </row>
    <row r="93" spans="1:8" s="2407" customFormat="1" hidden="1">
      <c r="A93" s="2650"/>
      <c r="B93" s="2646" t="s">
        <v>45</v>
      </c>
      <c r="C93" s="2654" t="s">
        <v>46</v>
      </c>
      <c r="D93" s="2659"/>
      <c r="E93" s="2668"/>
      <c r="F93" s="2659"/>
      <c r="G93" s="2657">
        <f>G87+G89+G90+G92</f>
        <v>1595.1546000000001</v>
      </c>
    </row>
    <row r="94" spans="1:8" s="2407" customFormat="1" hidden="1">
      <c r="A94" s="2650"/>
      <c r="B94" s="2656"/>
      <c r="C94" s="2654"/>
      <c r="D94" s="2651" t="s">
        <v>1259</v>
      </c>
      <c r="E94" s="2653"/>
      <c r="F94" s="2654"/>
      <c r="G94" s="2657">
        <f>SUM(G93:G93)</f>
        <v>1595.1546000000001</v>
      </c>
    </row>
    <row r="95" spans="1:8" s="2407" customFormat="1" hidden="1">
      <c r="A95" s="2650"/>
      <c r="B95" s="2656"/>
      <c r="C95" s="2659"/>
      <c r="D95" s="2696" t="s">
        <v>1260</v>
      </c>
      <c r="E95" s="2655"/>
      <c r="F95" s="2656"/>
      <c r="G95" s="2670">
        <f>ROUND(G94,2)</f>
        <v>1595.15</v>
      </c>
      <c r="H95" s="2407" t="s">
        <v>921</v>
      </c>
    </row>
    <row r="96" spans="1:8" s="2407" customFormat="1" hidden="1">
      <c r="A96" s="2650"/>
      <c r="B96" s="2656"/>
      <c r="C96" s="2659"/>
      <c r="D96" s="2696"/>
      <c r="E96" s="2655"/>
      <c r="F96" s="2656"/>
      <c r="G96" s="2670"/>
    </row>
    <row r="97" spans="1:7" ht="60" hidden="1" customHeight="1">
      <c r="A97" s="2650">
        <v>4</v>
      </c>
      <c r="B97" s="3525" t="s">
        <v>2793</v>
      </c>
      <c r="C97" s="3525"/>
      <c r="D97" s="3525"/>
      <c r="E97" s="3525"/>
      <c r="F97" s="3525"/>
      <c r="G97" s="3525"/>
    </row>
    <row r="98" spans="1:7" hidden="1">
      <c r="A98" s="2650"/>
      <c r="B98" s="3529" t="s">
        <v>33</v>
      </c>
      <c r="C98" s="3529"/>
      <c r="D98" s="2651" t="s">
        <v>1263</v>
      </c>
      <c r="E98" s="2647"/>
      <c r="F98" s="2648"/>
      <c r="G98" s="2695"/>
    </row>
    <row r="99" spans="1:7" hidden="1">
      <c r="A99" s="2650"/>
      <c r="B99" s="3529" t="s">
        <v>1264</v>
      </c>
      <c r="C99" s="3529"/>
      <c r="D99" s="3529"/>
      <c r="E99" s="2647"/>
      <c r="F99" s="2648"/>
      <c r="G99" s="2695"/>
    </row>
    <row r="100" spans="1:7" hidden="1">
      <c r="A100" s="2650"/>
      <c r="B100" s="2646" t="s">
        <v>36</v>
      </c>
      <c r="C100" s="2651" t="s">
        <v>37</v>
      </c>
      <c r="D100" s="2646"/>
      <c r="E100" s="2647"/>
      <c r="F100" s="2648"/>
      <c r="G100" s="2695"/>
    </row>
    <row r="101" spans="1:7" hidden="1">
      <c r="A101" s="2650"/>
      <c r="B101" s="2655">
        <v>0.08</v>
      </c>
      <c r="C101" s="2653" t="s">
        <v>38</v>
      </c>
      <c r="D101" s="2654" t="s">
        <v>14</v>
      </c>
      <c r="E101" s="2655">
        <f>'SSR-rates'!$K$58</f>
        <v>575</v>
      </c>
      <c r="F101" s="2656" t="s">
        <v>38</v>
      </c>
      <c r="G101" s="2657">
        <f>ROUND(B101*E101,2)</f>
        <v>46</v>
      </c>
    </row>
    <row r="102" spans="1:7" hidden="1">
      <c r="A102" s="2650"/>
      <c r="B102" s="2655">
        <v>2</v>
      </c>
      <c r="C102" s="2653" t="s">
        <v>38</v>
      </c>
      <c r="D102" s="2654" t="s">
        <v>16</v>
      </c>
      <c r="E102" s="2655">
        <f>'SSR-rates'!$K$60</f>
        <v>575</v>
      </c>
      <c r="F102" s="2656" t="s">
        <v>38</v>
      </c>
      <c r="G102" s="2657">
        <f>ROUND(B102*E102,2)</f>
        <v>1150</v>
      </c>
    </row>
    <row r="103" spans="1:7" hidden="1">
      <c r="A103" s="2650"/>
      <c r="B103" s="2658">
        <f>'Input Data'!$D$23</f>
        <v>0</v>
      </c>
      <c r="C103" s="2653"/>
      <c r="D103" s="2659" t="s">
        <v>17</v>
      </c>
      <c r="E103" s="2655">
        <f>SUM(G101:G102)</f>
        <v>1196</v>
      </c>
      <c r="F103" s="2656"/>
      <c r="G103" s="2657">
        <f>B103*E103</f>
        <v>0</v>
      </c>
    </row>
    <row r="104" spans="1:7" hidden="1">
      <c r="A104" s="2650"/>
      <c r="B104" s="2655"/>
      <c r="C104" s="2653"/>
      <c r="D104" s="2654"/>
      <c r="E104" s="2655"/>
      <c r="F104" s="2656"/>
      <c r="G104" s="2657">
        <f>SUM(G101:G103)</f>
        <v>1196</v>
      </c>
    </row>
    <row r="105" spans="1:7" hidden="1">
      <c r="A105" s="2650"/>
      <c r="B105" s="2655"/>
      <c r="C105" s="2653"/>
      <c r="D105" s="2654"/>
      <c r="E105" s="2655"/>
      <c r="F105" s="2656"/>
      <c r="G105" s="2657"/>
    </row>
    <row r="106" spans="1:7" hidden="1">
      <c r="A106" s="2650"/>
      <c r="B106" s="2646" t="s">
        <v>39</v>
      </c>
      <c r="C106" s="2651" t="s">
        <v>40</v>
      </c>
      <c r="D106" s="2659"/>
      <c r="E106" s="2653"/>
      <c r="F106" s="2654"/>
      <c r="G106" s="2660"/>
    </row>
    <row r="107" spans="1:7" hidden="1">
      <c r="A107" s="2650"/>
      <c r="B107" s="2661">
        <v>2</v>
      </c>
      <c r="C107" s="2662" t="s">
        <v>41</v>
      </c>
      <c r="D107" s="2659" t="s">
        <v>1265</v>
      </c>
      <c r="E107" s="2661">
        <f>'SSR-rates'!$K$64</f>
        <v>3557.7</v>
      </c>
      <c r="F107" s="2661" t="s">
        <v>41</v>
      </c>
      <c r="G107" s="2657">
        <f>B107*E107</f>
        <v>7115.4</v>
      </c>
    </row>
    <row r="108" spans="1:7" hidden="1">
      <c r="A108" s="2650"/>
      <c r="B108" s="2646" t="s">
        <v>27</v>
      </c>
      <c r="C108" s="2665" t="s">
        <v>1246</v>
      </c>
      <c r="D108" s="2659"/>
      <c r="E108" s="2655"/>
      <c r="F108" s="2655"/>
      <c r="G108" s="2660"/>
    </row>
    <row r="109" spans="1:7" hidden="1">
      <c r="A109" s="2650"/>
      <c r="B109" s="2666">
        <f>'Input Data'!$D$24</f>
        <v>0.13614999999999999</v>
      </c>
      <c r="C109" s="2651" t="str">
        <f>"Over head charges &amp; CP "&amp;'Input Data'!$D$24*100&amp;"%  on (A) + (B)"</f>
        <v>Over head charges &amp; CP 13.615%  on (A) + (B)</v>
      </c>
      <c r="D109" s="2659"/>
      <c r="E109" s="2668">
        <f>G107+G104</f>
        <v>8311.4</v>
      </c>
      <c r="F109" s="2659"/>
      <c r="G109" s="2657">
        <f>E109*B109</f>
        <v>1131.5971099999999</v>
      </c>
    </row>
    <row r="110" spans="1:7" hidden="1">
      <c r="A110" s="2650"/>
      <c r="B110" s="2646" t="s">
        <v>45</v>
      </c>
      <c r="C110" s="2651" t="s">
        <v>46</v>
      </c>
      <c r="D110" s="2659"/>
      <c r="E110" s="2653"/>
      <c r="F110" s="2654"/>
      <c r="G110" s="2670">
        <f>G104+G107+G109</f>
        <v>9442.9971100000002</v>
      </c>
    </row>
    <row r="111" spans="1:7" hidden="1">
      <c r="A111" s="2650"/>
      <c r="B111" s="2656"/>
      <c r="C111" s="2651" t="s">
        <v>1266</v>
      </c>
      <c r="D111" s="2654"/>
      <c r="E111" s="2653"/>
      <c r="F111" s="2654"/>
      <c r="G111" s="2670">
        <f>SUM(G110:G110)</f>
        <v>9442.9971100000002</v>
      </c>
    </row>
    <row r="112" spans="1:7" hidden="1">
      <c r="A112" s="2650"/>
      <c r="B112" s="2656"/>
      <c r="C112" s="2654" t="s">
        <v>216</v>
      </c>
      <c r="D112" s="2654"/>
      <c r="E112" s="2653"/>
      <c r="F112" s="2654"/>
      <c r="G112" s="2657">
        <f>G111/180</f>
        <v>52.46109505555556</v>
      </c>
    </row>
    <row r="113" spans="1:8" hidden="1">
      <c r="A113" s="2650"/>
      <c r="B113" s="2655"/>
      <c r="C113" s="2653"/>
      <c r="D113" s="2697" t="s">
        <v>217</v>
      </c>
      <c r="E113" s="2657"/>
      <c r="F113" s="2668"/>
      <c r="G113" s="2698">
        <f>ROUNDUP(G112,3)</f>
        <v>52.461999999999996</v>
      </c>
    </row>
    <row r="114" spans="1:8" hidden="1">
      <c r="A114" s="2650"/>
      <c r="B114" s="2655"/>
      <c r="C114" s="2653"/>
      <c r="D114" s="2697"/>
      <c r="E114" s="2657"/>
      <c r="F114" s="2668" t="s">
        <v>1267</v>
      </c>
      <c r="G114" s="2698">
        <f>ROUND(G113,2)</f>
        <v>52.46</v>
      </c>
      <c r="H114" s="2369" t="s">
        <v>921</v>
      </c>
    </row>
    <row r="115" spans="1:8" hidden="1">
      <c r="A115" s="2650"/>
      <c r="B115" s="2655"/>
      <c r="C115" s="2653"/>
      <c r="D115" s="2699"/>
      <c r="E115" s="2657"/>
      <c r="F115" s="2668"/>
      <c r="G115" s="2671" t="s">
        <v>53</v>
      </c>
    </row>
    <row r="116" spans="1:8" hidden="1">
      <c r="A116" s="2650"/>
      <c r="B116" s="2655"/>
      <c r="C116" s="2653"/>
      <c r="D116" s="2699"/>
      <c r="E116" s="2657"/>
      <c r="F116" s="2668"/>
      <c r="G116" s="2671"/>
    </row>
    <row r="117" spans="1:8" ht="96" hidden="1" customHeight="1">
      <c r="A117" s="2700">
        <v>2</v>
      </c>
      <c r="B117" s="3525" t="s">
        <v>1268</v>
      </c>
      <c r="C117" s="3525"/>
      <c r="D117" s="3525"/>
      <c r="E117" s="3525"/>
      <c r="F117" s="3525"/>
      <c r="G117" s="3525"/>
    </row>
    <row r="118" spans="1:8" hidden="1">
      <c r="A118" s="2650"/>
      <c r="B118" s="3529" t="s">
        <v>33</v>
      </c>
      <c r="C118" s="3529"/>
      <c r="D118" s="2651" t="s">
        <v>1263</v>
      </c>
      <c r="E118" s="2647"/>
      <c r="F118" s="2648"/>
      <c r="G118" s="2695"/>
    </row>
    <row r="119" spans="1:8" hidden="1">
      <c r="A119" s="2650"/>
      <c r="B119" s="3529" t="s">
        <v>1264</v>
      </c>
      <c r="C119" s="3529"/>
      <c r="D119" s="3529"/>
      <c r="E119" s="2647"/>
      <c r="F119" s="2648"/>
      <c r="G119" s="2695"/>
    </row>
    <row r="120" spans="1:8" hidden="1">
      <c r="A120" s="2650"/>
      <c r="B120" s="2646" t="s">
        <v>36</v>
      </c>
      <c r="C120" s="2651" t="s">
        <v>37</v>
      </c>
      <c r="D120" s="2646"/>
      <c r="E120" s="2647"/>
      <c r="F120" s="2648"/>
      <c r="G120" s="2695"/>
    </row>
    <row r="121" spans="1:8" hidden="1">
      <c r="A121" s="2650"/>
      <c r="B121" s="2655"/>
      <c r="C121" s="2653" t="s">
        <v>38</v>
      </c>
      <c r="D121" s="2654" t="s">
        <v>14</v>
      </c>
      <c r="E121" s="2655">
        <f>E101</f>
        <v>575</v>
      </c>
      <c r="F121" s="2656" t="s">
        <v>38</v>
      </c>
      <c r="G121" s="2657">
        <f>ROUND(B121*E121,2)</f>
        <v>0</v>
      </c>
    </row>
    <row r="122" spans="1:8" hidden="1">
      <c r="A122" s="2650"/>
      <c r="B122" s="2655">
        <v>2.08</v>
      </c>
      <c r="C122" s="2653" t="s">
        <v>38</v>
      </c>
      <c r="D122" s="2654" t="s">
        <v>16</v>
      </c>
      <c r="E122" s="2655">
        <f>E102</f>
        <v>575</v>
      </c>
      <c r="F122" s="2656" t="s">
        <v>38</v>
      </c>
      <c r="G122" s="2657">
        <f>ROUND(B122*E122,2)</f>
        <v>1196</v>
      </c>
    </row>
    <row r="123" spans="1:8" hidden="1">
      <c r="A123" s="2650"/>
      <c r="B123" s="2658">
        <f>'Input Data'!D23</f>
        <v>0</v>
      </c>
      <c r="C123" s="2653"/>
      <c r="D123" s="2659" t="s">
        <v>1269</v>
      </c>
      <c r="E123" s="2655"/>
      <c r="F123" s="2656"/>
      <c r="G123" s="2657">
        <f>(G121+G122)*B123</f>
        <v>0</v>
      </c>
    </row>
    <row r="124" spans="1:8" hidden="1">
      <c r="A124" s="2650"/>
      <c r="B124" s="2655"/>
      <c r="C124" s="2653"/>
      <c r="D124" s="2654"/>
      <c r="E124" s="2655"/>
      <c r="F124" s="2656"/>
      <c r="G124" s="2657">
        <f>SUM(G121:G123)</f>
        <v>1196</v>
      </c>
    </row>
    <row r="125" spans="1:8" hidden="1">
      <c r="A125" s="2650"/>
      <c r="B125" s="2646" t="s">
        <v>39</v>
      </c>
      <c r="C125" s="2651" t="s">
        <v>40</v>
      </c>
      <c r="D125" s="2659"/>
      <c r="E125" s="2653"/>
      <c r="F125" s="2654"/>
      <c r="G125" s="2660"/>
    </row>
    <row r="126" spans="1:8" hidden="1">
      <c r="A126" s="2650"/>
      <c r="B126" s="2661">
        <v>6</v>
      </c>
      <c r="C126" s="2662" t="s">
        <v>41</v>
      </c>
      <c r="D126" s="2663" t="s">
        <v>1270</v>
      </c>
      <c r="E126" s="2655">
        <f>'SSR-rates'!K62</f>
        <v>3164.8</v>
      </c>
      <c r="F126" s="2661" t="s">
        <v>41</v>
      </c>
      <c r="G126" s="2657">
        <f>ROUND(B126*E126,2)</f>
        <v>18988.8</v>
      </c>
    </row>
    <row r="127" spans="1:8" hidden="1">
      <c r="A127" s="2650"/>
      <c r="B127" s="2655"/>
      <c r="C127" s="2653"/>
      <c r="D127" s="2654"/>
      <c r="E127" s="2655"/>
      <c r="F127" s="2655"/>
      <c r="G127" s="2657">
        <f>SUM(G126:G126)</f>
        <v>18988.8</v>
      </c>
    </row>
    <row r="128" spans="1:8" hidden="1">
      <c r="A128" s="2650"/>
      <c r="B128" s="2646" t="s">
        <v>45</v>
      </c>
      <c r="C128" s="2665" t="s">
        <v>1246</v>
      </c>
      <c r="D128" s="2659"/>
      <c r="E128" s="2668"/>
      <c r="F128" s="2659"/>
      <c r="G128" s="2660"/>
    </row>
    <row r="129" spans="1:8" hidden="1">
      <c r="A129" s="2650"/>
      <c r="B129" s="2666">
        <f>'Input Data'!$D$24</f>
        <v>0.13614999999999999</v>
      </c>
      <c r="C129" s="2651" t="str">
        <f>"Over head charges &amp; CP "&amp;'Input Data'!$D$24*100&amp;"%  on (A) + (B)"</f>
        <v>Over head charges &amp; CP 13.615%  on (A) + (B)</v>
      </c>
      <c r="D129" s="2659"/>
      <c r="E129" s="2668">
        <f>G127+G124</f>
        <v>20184.8</v>
      </c>
      <c r="F129" s="2659"/>
      <c r="G129" s="2657">
        <f>E129*B129</f>
        <v>2748.1605199999999</v>
      </c>
    </row>
    <row r="130" spans="1:8" hidden="1">
      <c r="A130" s="2650"/>
      <c r="B130" s="2666">
        <f>'Input Data'!$E$24</f>
        <v>0</v>
      </c>
      <c r="C130" s="2667" t="s">
        <v>1093</v>
      </c>
      <c r="D130" s="2659"/>
      <c r="E130" s="2669">
        <f>E129+G129</f>
        <v>22932.960520000001</v>
      </c>
      <c r="F130" s="2659"/>
      <c r="G130" s="2657">
        <f>E130*B130</f>
        <v>0</v>
      </c>
    </row>
    <row r="131" spans="1:8" hidden="1">
      <c r="A131" s="2650"/>
      <c r="B131" s="2646" t="s">
        <v>47</v>
      </c>
      <c r="C131" s="2651" t="s">
        <v>89</v>
      </c>
      <c r="D131" s="2659"/>
      <c r="E131" s="2653"/>
      <c r="F131" s="2654"/>
      <c r="G131" s="2670">
        <f>G124+G127+G129+G130</f>
        <v>22932.960520000001</v>
      </c>
    </row>
    <row r="132" spans="1:8" hidden="1">
      <c r="A132" s="2650"/>
      <c r="B132" s="2656"/>
      <c r="C132" s="2651" t="s">
        <v>1271</v>
      </c>
      <c r="D132" s="2654"/>
      <c r="E132" s="2653"/>
      <c r="F132" s="2654"/>
      <c r="G132" s="2670">
        <f>SUM(G131:G131)</f>
        <v>22932.960520000001</v>
      </c>
    </row>
    <row r="133" spans="1:8" hidden="1">
      <c r="A133" s="2650"/>
      <c r="B133" s="2656"/>
      <c r="C133" s="2654" t="s">
        <v>216</v>
      </c>
      <c r="D133" s="2654"/>
      <c r="E133" s="2653"/>
      <c r="F133" s="2654"/>
      <c r="G133" s="2657">
        <f>G132/180</f>
        <v>127.40533622222223</v>
      </c>
    </row>
    <row r="134" spans="1:8" hidden="1">
      <c r="A134" s="2650"/>
      <c r="B134" s="2655"/>
      <c r="C134" s="3530" t="s">
        <v>217</v>
      </c>
      <c r="D134" s="3530"/>
      <c r="E134" s="2657"/>
      <c r="F134" s="2668"/>
      <c r="G134" s="2698">
        <f>ROUND(G133,2)</f>
        <v>127.41</v>
      </c>
      <c r="H134" s="2369" t="s">
        <v>921</v>
      </c>
    </row>
    <row r="135" spans="1:8" hidden="1">
      <c r="A135" s="2650"/>
      <c r="B135" s="2655"/>
      <c r="C135" s="2668"/>
      <c r="D135" s="2699"/>
      <c r="E135" s="2657"/>
      <c r="F135" s="2668"/>
      <c r="G135" s="2671" t="s">
        <v>53</v>
      </c>
    </row>
    <row r="136" spans="1:8" hidden="1">
      <c r="A136" s="2650"/>
      <c r="B136" s="2655"/>
      <c r="C136" s="2668"/>
      <c r="D136" s="2699"/>
      <c r="E136" s="2657"/>
      <c r="F136" s="2668"/>
      <c r="G136" s="2671"/>
    </row>
    <row r="137" spans="1:8" ht="90" hidden="1" customHeight="1">
      <c r="A137" s="2700">
        <v>2</v>
      </c>
      <c r="B137" s="3525" t="s">
        <v>2794</v>
      </c>
      <c r="C137" s="3525"/>
      <c r="D137" s="3525"/>
      <c r="E137" s="3525"/>
      <c r="F137" s="3525"/>
      <c r="G137" s="3525"/>
    </row>
    <row r="138" spans="1:8" hidden="1">
      <c r="A138" s="2650"/>
      <c r="B138" s="3529" t="s">
        <v>33</v>
      </c>
      <c r="C138" s="3529"/>
      <c r="D138" s="2651" t="s">
        <v>206</v>
      </c>
      <c r="E138" s="2647"/>
      <c r="F138" s="2648"/>
      <c r="G138" s="2695"/>
    </row>
    <row r="139" spans="1:8" hidden="1">
      <c r="A139" s="2650"/>
      <c r="B139" s="3529" t="s">
        <v>205</v>
      </c>
      <c r="C139" s="3529"/>
      <c r="D139" s="3529"/>
      <c r="E139" s="2647"/>
      <c r="F139" s="2648"/>
      <c r="G139" s="2695"/>
    </row>
    <row r="140" spans="1:8" hidden="1">
      <c r="A140" s="2650"/>
      <c r="B140" s="2646" t="s">
        <v>36</v>
      </c>
      <c r="C140" s="2651" t="s">
        <v>37</v>
      </c>
      <c r="D140" s="2646"/>
      <c r="E140" s="2647"/>
      <c r="F140" s="2648"/>
      <c r="G140" s="2695"/>
    </row>
    <row r="141" spans="1:8" hidden="1">
      <c r="A141" s="2650"/>
      <c r="B141" s="2655">
        <v>0.02</v>
      </c>
      <c r="C141" s="2653" t="s">
        <v>38</v>
      </c>
      <c r="D141" s="2654" t="s">
        <v>14</v>
      </c>
      <c r="E141" s="2655">
        <f>'SSR-rates'!$K$58</f>
        <v>575</v>
      </c>
      <c r="F141" s="2656" t="s">
        <v>38</v>
      </c>
      <c r="G141" s="2657">
        <f>ROUND(B141*E141,2)</f>
        <v>11.5</v>
      </c>
    </row>
    <row r="142" spans="1:8" hidden="1">
      <c r="A142" s="2650"/>
      <c r="B142" s="2655">
        <v>0.5</v>
      </c>
      <c r="C142" s="2653" t="s">
        <v>38</v>
      </c>
      <c r="D142" s="2654" t="s">
        <v>16</v>
      </c>
      <c r="E142" s="2655">
        <f>'SSR-rates'!$K$60</f>
        <v>575</v>
      </c>
      <c r="F142" s="2656" t="s">
        <v>38</v>
      </c>
      <c r="G142" s="2657">
        <f>ROUND(B142*E142,2)</f>
        <v>287.5</v>
      </c>
    </row>
    <row r="143" spans="1:8" hidden="1">
      <c r="A143" s="2650"/>
      <c r="B143" s="2658">
        <f>'Input Data'!$D$23</f>
        <v>0</v>
      </c>
      <c r="C143" s="2653"/>
      <c r="D143" s="2659" t="s">
        <v>17</v>
      </c>
      <c r="E143" s="2655"/>
      <c r="F143" s="2656"/>
      <c r="G143" s="2657">
        <f>(G141+G142)*B143</f>
        <v>0</v>
      </c>
    </row>
    <row r="144" spans="1:8" hidden="1">
      <c r="A144" s="2650"/>
      <c r="B144" s="2655"/>
      <c r="C144" s="2653"/>
      <c r="D144" s="2654"/>
      <c r="E144" s="2655"/>
      <c r="F144" s="2656"/>
      <c r="G144" s="2657">
        <f>SUM(G141:G143)</f>
        <v>299</v>
      </c>
    </row>
    <row r="145" spans="1:8" hidden="1">
      <c r="A145" s="2650"/>
      <c r="B145" s="2646" t="s">
        <v>39</v>
      </c>
      <c r="C145" s="2651" t="s">
        <v>40</v>
      </c>
      <c r="D145" s="2659"/>
      <c r="E145" s="2653"/>
      <c r="F145" s="2654"/>
      <c r="G145" s="2660"/>
    </row>
    <row r="146" spans="1:8" hidden="1">
      <c r="A146" s="2650"/>
      <c r="B146" s="2661">
        <v>0.5</v>
      </c>
      <c r="C146" s="2662" t="s">
        <v>41</v>
      </c>
      <c r="D146" s="2663" t="s">
        <v>211</v>
      </c>
      <c r="E146" s="2655">
        <f>+'SSR-rates'!K62</f>
        <v>3164.8</v>
      </c>
      <c r="F146" s="2661" t="s">
        <v>41</v>
      </c>
      <c r="G146" s="2657">
        <f>ROUND(B146*E146,2)</f>
        <v>1582.4</v>
      </c>
    </row>
    <row r="147" spans="1:8" ht="27.6" hidden="1">
      <c r="A147" s="2650"/>
      <c r="B147" s="2661">
        <v>4</v>
      </c>
      <c r="C147" s="2662" t="s">
        <v>41</v>
      </c>
      <c r="D147" s="2663" t="s">
        <v>1272</v>
      </c>
      <c r="E147" s="2661">
        <f>+'SSR-rates'!K71</f>
        <v>520</v>
      </c>
      <c r="F147" s="2661" t="s">
        <v>41</v>
      </c>
      <c r="G147" s="2657">
        <f>ROUND(B147*E147,2)</f>
        <v>2080</v>
      </c>
    </row>
    <row r="148" spans="1:8" hidden="1">
      <c r="A148" s="2650"/>
      <c r="B148" s="2655">
        <v>4</v>
      </c>
      <c r="C148" s="2653" t="s">
        <v>41</v>
      </c>
      <c r="D148" s="2654" t="s">
        <v>213</v>
      </c>
      <c r="E148" s="2655">
        <f>'SSR-rates'!$K$69</f>
        <v>769</v>
      </c>
      <c r="F148" s="2655" t="s">
        <v>41</v>
      </c>
      <c r="G148" s="2657">
        <f>ROUND(B148*E148,2)</f>
        <v>3076</v>
      </c>
    </row>
    <row r="149" spans="1:8" hidden="1">
      <c r="A149" s="2650"/>
      <c r="B149" s="2655">
        <v>1</v>
      </c>
      <c r="C149" s="2653" t="s">
        <v>41</v>
      </c>
      <c r="D149" s="2654" t="s">
        <v>214</v>
      </c>
      <c r="E149" s="2655">
        <f>'SSR-rates'!$K$67</f>
        <v>3517.9</v>
      </c>
      <c r="F149" s="2655" t="s">
        <v>41</v>
      </c>
      <c r="G149" s="2657">
        <f>ROUND(B149*E149,2)</f>
        <v>3517.9</v>
      </c>
    </row>
    <row r="150" spans="1:8" hidden="1">
      <c r="A150" s="2650"/>
      <c r="B150" s="2655"/>
      <c r="C150" s="2653"/>
      <c r="D150" s="2654"/>
      <c r="E150" s="2655"/>
      <c r="F150" s="2655"/>
      <c r="G150" s="2657">
        <f>SUM(G146:G149)</f>
        <v>10256.299999999999</v>
      </c>
    </row>
    <row r="151" spans="1:8" hidden="1">
      <c r="A151" s="2650"/>
      <c r="B151" s="2646" t="s">
        <v>27</v>
      </c>
      <c r="C151" s="2651" t="s">
        <v>1273</v>
      </c>
      <c r="D151" s="2659"/>
      <c r="E151" s="2655"/>
      <c r="F151" s="2655"/>
      <c r="G151" s="2657"/>
    </row>
    <row r="152" spans="1:8" hidden="1">
      <c r="A152" s="2650"/>
      <c r="B152" s="2661">
        <v>24</v>
      </c>
      <c r="C152" s="2662" t="s">
        <v>1274</v>
      </c>
      <c r="D152" s="2663" t="s">
        <v>1275</v>
      </c>
      <c r="E152" s="2661">
        <f>IF(lead!$C$63="Y",'SSR-rates'!$K$112,0)</f>
        <v>0</v>
      </c>
      <c r="F152" s="2661" t="s">
        <v>41</v>
      </c>
      <c r="G152" s="2657">
        <f>ROUND(B152*E152,2)</f>
        <v>0</v>
      </c>
    </row>
    <row r="153" spans="1:8" hidden="1">
      <c r="A153" s="2650"/>
      <c r="B153" s="2646" t="s">
        <v>45</v>
      </c>
      <c r="C153" s="2665" t="s">
        <v>1246</v>
      </c>
      <c r="D153" s="2659"/>
      <c r="E153" s="2668"/>
      <c r="F153" s="2659"/>
      <c r="G153" s="2660"/>
    </row>
    <row r="154" spans="1:8" hidden="1">
      <c r="A154" s="2650"/>
      <c r="B154" s="2666">
        <f>'Input Data'!$D$24</f>
        <v>0.13614999999999999</v>
      </c>
      <c r="C154" s="2651" t="str">
        <f>"Over head charges &amp; CP "&amp;'Input Data'!$D$24*100&amp;"%  on (A) + (B)"</f>
        <v>Over head charges &amp; CP 13.615%  on (A) + (B)</v>
      </c>
      <c r="D154" s="2659"/>
      <c r="E154" s="2668">
        <f>G150+G144+G152</f>
        <v>10555.3</v>
      </c>
      <c r="F154" s="2659"/>
      <c r="G154" s="2657">
        <f>E154*B154</f>
        <v>1437.1040949999999</v>
      </c>
    </row>
    <row r="155" spans="1:8" hidden="1">
      <c r="A155" s="2650"/>
      <c r="B155" s="2701">
        <f>'Input Data'!$E$24</f>
        <v>0</v>
      </c>
      <c r="C155" s="2667" t="s">
        <v>1093</v>
      </c>
      <c r="D155" s="2659"/>
      <c r="E155" s="2669">
        <f>E154+G154</f>
        <v>11992.404095</v>
      </c>
      <c r="F155" s="2659"/>
      <c r="G155" s="2657">
        <f>E155*B155</f>
        <v>0</v>
      </c>
    </row>
    <row r="156" spans="1:8" hidden="1">
      <c r="A156" s="2650"/>
      <c r="B156" s="2646" t="s">
        <v>47</v>
      </c>
      <c r="C156" s="2651" t="s">
        <v>89</v>
      </c>
      <c r="D156" s="2659"/>
      <c r="E156" s="2653"/>
      <c r="F156" s="2654"/>
      <c r="G156" s="2670">
        <f>G144+G150+G154+G152+G155</f>
        <v>11992.404095</v>
      </c>
    </row>
    <row r="157" spans="1:8" hidden="1">
      <c r="A157" s="2650"/>
      <c r="B157" s="2656"/>
      <c r="C157" s="2651" t="s">
        <v>1271</v>
      </c>
      <c r="D157" s="2654"/>
      <c r="E157" s="2653"/>
      <c r="F157" s="2654"/>
      <c r="G157" s="2670">
        <f>SUM(G156:G156)</f>
        <v>11992.404095</v>
      </c>
    </row>
    <row r="158" spans="1:8" hidden="1">
      <c r="A158" s="2650"/>
      <c r="B158" s="2656"/>
      <c r="C158" s="2654" t="s">
        <v>216</v>
      </c>
      <c r="D158" s="2654"/>
      <c r="E158" s="2653"/>
      <c r="F158" s="2654"/>
      <c r="G158" s="2657">
        <f>G157/100</f>
        <v>119.92404095000001</v>
      </c>
    </row>
    <row r="159" spans="1:8" hidden="1">
      <c r="A159" s="2650"/>
      <c r="B159" s="2655"/>
      <c r="C159" s="3530" t="s">
        <v>217</v>
      </c>
      <c r="D159" s="3530"/>
      <c r="E159" s="2657"/>
      <c r="F159" s="2668"/>
      <c r="G159" s="2698">
        <f>ROUND(G158,2)</f>
        <v>119.92</v>
      </c>
      <c r="H159" s="2369" t="s">
        <v>921</v>
      </c>
    </row>
    <row r="160" spans="1:8" hidden="1">
      <c r="A160" s="2650"/>
      <c r="B160" s="2655"/>
      <c r="C160" s="2668"/>
      <c r="D160" s="2699"/>
      <c r="E160" s="2657"/>
      <c r="F160" s="2668"/>
      <c r="G160" s="2671" t="s">
        <v>53</v>
      </c>
    </row>
    <row r="161" spans="1:7" ht="114.9" hidden="1" customHeight="1">
      <c r="A161" s="2650">
        <v>3</v>
      </c>
      <c r="B161" s="3525" t="s">
        <v>2795</v>
      </c>
      <c r="C161" s="3525"/>
      <c r="D161" s="3525"/>
      <c r="E161" s="3525"/>
      <c r="F161" s="3525"/>
      <c r="G161" s="3525"/>
    </row>
    <row r="162" spans="1:7" hidden="1">
      <c r="A162" s="2650"/>
      <c r="B162" s="3529" t="s">
        <v>33</v>
      </c>
      <c r="C162" s="3529"/>
      <c r="D162" s="2651" t="s">
        <v>1276</v>
      </c>
      <c r="E162" s="2647"/>
      <c r="F162" s="2648"/>
      <c r="G162" s="2695"/>
    </row>
    <row r="163" spans="1:7" hidden="1">
      <c r="A163" s="2650"/>
      <c r="B163" s="3529" t="s">
        <v>205</v>
      </c>
      <c r="C163" s="3529"/>
      <c r="D163" s="3529"/>
      <c r="E163" s="2647"/>
      <c r="F163" s="2648"/>
      <c r="G163" s="2695"/>
    </row>
    <row r="164" spans="1:7" hidden="1">
      <c r="A164" s="2650"/>
      <c r="B164" s="2646" t="s">
        <v>36</v>
      </c>
      <c r="C164" s="2651" t="s">
        <v>37</v>
      </c>
      <c r="D164" s="2646"/>
      <c r="E164" s="2647"/>
      <c r="F164" s="2648"/>
      <c r="G164" s="2695"/>
    </row>
    <row r="165" spans="1:7" hidden="1">
      <c r="A165" s="2650"/>
      <c r="B165" s="2655">
        <v>0.04</v>
      </c>
      <c r="C165" s="2653" t="s">
        <v>38</v>
      </c>
      <c r="D165" s="2654" t="s">
        <v>14</v>
      </c>
      <c r="E165" s="2655">
        <f>'SSR-rates'!$K$58</f>
        <v>575</v>
      </c>
      <c r="F165" s="2656" t="s">
        <v>38</v>
      </c>
      <c r="G165" s="2657">
        <f>ROUND(B165*E165,2)</f>
        <v>23</v>
      </c>
    </row>
    <row r="166" spans="1:7" hidden="1">
      <c r="A166" s="2650"/>
      <c r="B166" s="2655">
        <v>1</v>
      </c>
      <c r="C166" s="2653" t="s">
        <v>38</v>
      </c>
      <c r="D166" s="2654" t="s">
        <v>16</v>
      </c>
      <c r="E166" s="2655">
        <f>'SSR-rates'!$K$60</f>
        <v>575</v>
      </c>
      <c r="F166" s="2656" t="s">
        <v>38</v>
      </c>
      <c r="G166" s="2657">
        <f>ROUND(B166*E166,2)</f>
        <v>575</v>
      </c>
    </row>
    <row r="167" spans="1:7" hidden="1">
      <c r="A167" s="2650"/>
      <c r="B167" s="2658">
        <f>'Input Data'!D23</f>
        <v>0</v>
      </c>
      <c r="C167" s="2653"/>
      <c r="D167" s="2659" t="s">
        <v>17</v>
      </c>
      <c r="E167" s="2655"/>
      <c r="F167" s="2656"/>
      <c r="G167" s="2657">
        <f>(G165+G166)*B167</f>
        <v>0</v>
      </c>
    </row>
    <row r="168" spans="1:7" hidden="1">
      <c r="A168" s="2650"/>
      <c r="B168" s="2655"/>
      <c r="C168" s="2653"/>
      <c r="D168" s="2654"/>
      <c r="E168" s="2655"/>
      <c r="F168" s="2656"/>
      <c r="G168" s="2670">
        <f>SUM(G165:G167)</f>
        <v>598</v>
      </c>
    </row>
    <row r="169" spans="1:7" hidden="1">
      <c r="A169" s="2650"/>
      <c r="B169" s="2646" t="s">
        <v>39</v>
      </c>
      <c r="C169" s="2651" t="s">
        <v>40</v>
      </c>
      <c r="D169" s="2659"/>
      <c r="E169" s="2653"/>
      <c r="F169" s="2654"/>
      <c r="G169" s="2660"/>
    </row>
    <row r="170" spans="1:7" ht="27.6" hidden="1">
      <c r="A170" s="2650"/>
      <c r="B170" s="2661">
        <v>1.67</v>
      </c>
      <c r="C170" s="2662" t="s">
        <v>41</v>
      </c>
      <c r="D170" s="2663" t="s">
        <v>42</v>
      </c>
      <c r="E170" s="2661">
        <f>'SSR-rates'!$K$64</f>
        <v>3557.7</v>
      </c>
      <c r="F170" s="2661" t="s">
        <v>41</v>
      </c>
      <c r="G170" s="2657">
        <f>B170*E170</f>
        <v>5941.3589999999995</v>
      </c>
    </row>
    <row r="171" spans="1:7" hidden="1">
      <c r="A171" s="2650"/>
      <c r="B171" s="2655">
        <f>'Input Data'!E18*160</f>
        <v>1280</v>
      </c>
      <c r="C171" s="2653" t="s">
        <v>207</v>
      </c>
      <c r="D171" s="2654" t="str">
        <f>"Tipper (for "&amp;'Input Data'!E18&amp;"Kms=160x"&amp;'Input Data'!E18&amp;"="&amp;'Input Data'!E18*160&amp;")"</f>
        <v>Tipper (for 8Kms=160x8=1280)</v>
      </c>
      <c r="E171" s="2655">
        <f>G205</f>
        <v>8</v>
      </c>
      <c r="F171" s="2655" t="s">
        <v>207</v>
      </c>
      <c r="G171" s="2657">
        <f>ROUND(B171*E171,2)</f>
        <v>10240</v>
      </c>
    </row>
    <row r="172" spans="1:7" ht="27.6" hidden="1">
      <c r="A172" s="2650"/>
      <c r="B172" s="2655"/>
      <c r="C172" s="2653"/>
      <c r="D172" s="2663" t="s">
        <v>210</v>
      </c>
      <c r="E172" s="2661"/>
      <c r="F172" s="2655"/>
      <c r="G172" s="2657">
        <f>ROUND(G171*10/100,2)</f>
        <v>1024</v>
      </c>
    </row>
    <row r="173" spans="1:7" hidden="1">
      <c r="A173" s="2650"/>
      <c r="B173" s="2661">
        <v>0.5</v>
      </c>
      <c r="C173" s="2662" t="s">
        <v>41</v>
      </c>
      <c r="D173" s="2663" t="s">
        <v>211</v>
      </c>
      <c r="E173" s="2661">
        <f>'SSR-rates'!$K$62</f>
        <v>3164.8</v>
      </c>
      <c r="F173" s="2661" t="s">
        <v>41</v>
      </c>
      <c r="G173" s="2657">
        <f>ROUND(B173*E173,2)</f>
        <v>1582.4</v>
      </c>
    </row>
    <row r="174" spans="1:7" ht="27.6" hidden="1">
      <c r="A174" s="2650"/>
      <c r="B174" s="2661">
        <v>4</v>
      </c>
      <c r="C174" s="2662" t="s">
        <v>41</v>
      </c>
      <c r="D174" s="2663" t="s">
        <v>1272</v>
      </c>
      <c r="E174" s="2661">
        <f>+'SSR-rates'!K71</f>
        <v>520</v>
      </c>
      <c r="F174" s="2661" t="s">
        <v>41</v>
      </c>
      <c r="G174" s="2657">
        <f>ROUND(B174*E174,2)</f>
        <v>2080</v>
      </c>
    </row>
    <row r="175" spans="1:7" hidden="1">
      <c r="A175" s="2650"/>
      <c r="B175" s="2655">
        <v>4</v>
      </c>
      <c r="C175" s="2653" t="s">
        <v>41</v>
      </c>
      <c r="D175" s="2654" t="s">
        <v>213</v>
      </c>
      <c r="E175" s="2655">
        <f>'SSR-rates'!$K$69</f>
        <v>769</v>
      </c>
      <c r="F175" s="2655" t="s">
        <v>41</v>
      </c>
      <c r="G175" s="2657">
        <f>ROUND(B175*E175,2)</f>
        <v>3076</v>
      </c>
    </row>
    <row r="176" spans="1:7" hidden="1">
      <c r="A176" s="2650"/>
      <c r="B176" s="2655">
        <v>1</v>
      </c>
      <c r="C176" s="2653" t="s">
        <v>41</v>
      </c>
      <c r="D176" s="2654" t="s">
        <v>214</v>
      </c>
      <c r="E176" s="2655">
        <f>'SSR-rates'!$K$67</f>
        <v>3517.9</v>
      </c>
      <c r="F176" s="2655" t="s">
        <v>41</v>
      </c>
      <c r="G176" s="2657">
        <f>ROUND(B176*E176,2)</f>
        <v>3517.9</v>
      </c>
    </row>
    <row r="177" spans="1:8" hidden="1">
      <c r="A177" s="2650"/>
      <c r="B177" s="2656"/>
      <c r="C177" s="2659"/>
      <c r="D177" s="2654"/>
      <c r="E177" s="2655"/>
      <c r="F177" s="2655"/>
      <c r="G177" s="2670">
        <f>SUM(G170:G176)</f>
        <v>27461.659000000003</v>
      </c>
    </row>
    <row r="178" spans="1:8" hidden="1">
      <c r="A178" s="2650"/>
      <c r="B178" s="2646" t="s">
        <v>27</v>
      </c>
      <c r="C178" s="2651" t="s">
        <v>61</v>
      </c>
      <c r="D178" s="2659"/>
      <c r="E178" s="2653"/>
      <c r="F178" s="2654"/>
      <c r="G178" s="2660"/>
    </row>
    <row r="179" spans="1:8" hidden="1">
      <c r="A179" s="2650"/>
      <c r="B179" s="2661">
        <v>24</v>
      </c>
      <c r="C179" s="2662" t="s">
        <v>1274</v>
      </c>
      <c r="D179" s="2663" t="s">
        <v>1275</v>
      </c>
      <c r="E179" s="2661">
        <f>IF(lead!$C$63="Y",'SSR-rates'!$K$112,0)</f>
        <v>0</v>
      </c>
      <c r="F179" s="2661" t="s">
        <v>41</v>
      </c>
      <c r="G179" s="2657">
        <f>ROUND(B179*E179,2)</f>
        <v>0</v>
      </c>
    </row>
    <row r="180" spans="1:8" hidden="1">
      <c r="A180" s="2650"/>
      <c r="B180" s="2661">
        <v>100</v>
      </c>
      <c r="C180" s="2662" t="s">
        <v>73</v>
      </c>
      <c r="D180" s="2663" t="s">
        <v>1277</v>
      </c>
      <c r="E180" s="2661">
        <v>0</v>
      </c>
      <c r="F180" s="2661" t="s">
        <v>41</v>
      </c>
      <c r="G180" s="2657">
        <f>ROUND(B180*E180,2)</f>
        <v>0</v>
      </c>
    </row>
    <row r="181" spans="1:8" hidden="1">
      <c r="A181" s="2650"/>
      <c r="B181" s="2661"/>
      <c r="C181" s="2662"/>
      <c r="D181" s="2663"/>
      <c r="E181" s="2661"/>
      <c r="F181" s="2661"/>
      <c r="G181" s="2657">
        <f>SUM(G179:G180)</f>
        <v>0</v>
      </c>
    </row>
    <row r="182" spans="1:8" hidden="1">
      <c r="A182" s="2650"/>
      <c r="B182" s="2646" t="s">
        <v>27</v>
      </c>
      <c r="C182" s="2665" t="s">
        <v>1246</v>
      </c>
      <c r="D182" s="2659"/>
      <c r="E182" s="2668"/>
      <c r="F182" s="2659"/>
      <c r="G182" s="2660"/>
    </row>
    <row r="183" spans="1:8" hidden="1">
      <c r="A183" s="2650"/>
      <c r="B183" s="2666">
        <f>'Input Data'!$D$24</f>
        <v>0.13614999999999999</v>
      </c>
      <c r="C183" s="2651" t="str">
        <f>"Over head charges &amp; CP "&amp;'Input Data'!$D$24*100&amp;"%  on (A) + (B)"</f>
        <v>Over head charges &amp; CP 13.615%  on (A) + (B)</v>
      </c>
      <c r="D183" s="2659"/>
      <c r="E183" s="2668">
        <f>G177+G168+G181</f>
        <v>28059.659000000003</v>
      </c>
      <c r="F183" s="2659"/>
      <c r="G183" s="2670">
        <f>B183*E183</f>
        <v>3820.3225728500001</v>
      </c>
    </row>
    <row r="184" spans="1:8" hidden="1">
      <c r="A184" s="2650"/>
      <c r="B184" s="2701">
        <f>'Input Data'!$E$24</f>
        <v>0</v>
      </c>
      <c r="C184" s="2667" t="s">
        <v>1093</v>
      </c>
      <c r="D184" s="2659"/>
      <c r="E184" s="2669">
        <f>E183+G183</f>
        <v>31879.981572850003</v>
      </c>
      <c r="F184" s="2659"/>
      <c r="G184" s="2657">
        <f>E184*B184</f>
        <v>0</v>
      </c>
    </row>
    <row r="185" spans="1:8" hidden="1">
      <c r="A185" s="2650"/>
      <c r="B185" s="2646" t="s">
        <v>45</v>
      </c>
      <c r="C185" s="2651" t="s">
        <v>46</v>
      </c>
      <c r="D185" s="2659"/>
      <c r="E185" s="2653"/>
      <c r="F185" s="2654"/>
      <c r="G185" s="2670">
        <f>G168+G177+G183+G181+G184</f>
        <v>31879.981572850003</v>
      </c>
    </row>
    <row r="186" spans="1:8" hidden="1">
      <c r="A186" s="2650"/>
      <c r="B186" s="2656"/>
      <c r="C186" s="2651" t="s">
        <v>1278</v>
      </c>
      <c r="D186" s="2654"/>
      <c r="E186" s="2653"/>
      <c r="F186" s="2654"/>
      <c r="G186" s="2670">
        <f>SUM(G185:G185)</f>
        <v>31879.981572850003</v>
      </c>
    </row>
    <row r="187" spans="1:8" hidden="1">
      <c r="A187" s="2650"/>
      <c r="B187" s="2656"/>
      <c r="C187" s="2654" t="s">
        <v>216</v>
      </c>
      <c r="D187" s="2654"/>
      <c r="E187" s="2653"/>
      <c r="F187" s="2654"/>
      <c r="G187" s="2657">
        <f>G186/100</f>
        <v>318.79981572850005</v>
      </c>
    </row>
    <row r="188" spans="1:8" hidden="1">
      <c r="A188" s="2650"/>
      <c r="B188" s="2655"/>
      <c r="C188" s="2668"/>
      <c r="D188" s="2697" t="s">
        <v>217</v>
      </c>
      <c r="E188" s="2657"/>
      <c r="F188" s="2668"/>
      <c r="G188" s="2698">
        <f>ROUND(G187,2)</f>
        <v>318.8</v>
      </c>
      <c r="H188" s="2369" t="s">
        <v>921</v>
      </c>
    </row>
    <row r="189" spans="1:8" hidden="1">
      <c r="A189" s="2650"/>
      <c r="B189" s="2655"/>
      <c r="C189" s="2668"/>
      <c r="D189" s="2699"/>
      <c r="E189" s="2657"/>
      <c r="F189" s="2668"/>
      <c r="G189" s="2671" t="s">
        <v>53</v>
      </c>
    </row>
    <row r="190" spans="1:8" s="2407" customFormat="1" hidden="1">
      <c r="A190" s="2650"/>
      <c r="B190" s="2655"/>
      <c r="C190" s="2668"/>
      <c r="D190" s="2699"/>
      <c r="E190" s="2657"/>
      <c r="F190" s="2668"/>
      <c r="G190" s="2671"/>
    </row>
    <row r="191" spans="1:8" s="2407" customFormat="1" hidden="1">
      <c r="A191" s="2650"/>
      <c r="B191" s="2655"/>
      <c r="C191" s="2668"/>
      <c r="D191" s="2699"/>
      <c r="E191" s="2657"/>
      <c r="F191" s="2668"/>
      <c r="G191" s="2671"/>
    </row>
    <row r="192" spans="1:8" hidden="1">
      <c r="A192" s="2646"/>
      <c r="B192" s="2654" t="s">
        <v>1279</v>
      </c>
      <c r="C192" s="2659"/>
      <c r="D192" s="2659"/>
      <c r="E192" s="2668"/>
      <c r="F192" s="2659"/>
      <c r="G192" s="2702"/>
    </row>
    <row r="193" spans="1:8" hidden="1">
      <c r="A193" s="2703"/>
      <c r="B193" s="2703" t="s">
        <v>1280</v>
      </c>
      <c r="C193" s="2703"/>
      <c r="D193" s="2703"/>
      <c r="E193" s="2703"/>
      <c r="F193" s="2703"/>
      <c r="G193" s="2703"/>
    </row>
    <row r="194" spans="1:8" hidden="1">
      <c r="A194" s="2703"/>
      <c r="B194" s="3531" t="s">
        <v>1281</v>
      </c>
      <c r="C194" s="3531"/>
      <c r="D194" s="3531"/>
      <c r="E194" s="3531"/>
      <c r="F194" s="3531"/>
      <c r="G194" s="3531"/>
    </row>
    <row r="195" spans="1:8" hidden="1">
      <c r="A195" s="2703"/>
      <c r="B195" s="2703" t="s">
        <v>1282</v>
      </c>
      <c r="C195" s="2703"/>
      <c r="D195" s="2663" t="s">
        <v>1283</v>
      </c>
      <c r="E195" s="2703"/>
      <c r="F195" s="2703"/>
      <c r="G195" s="2703"/>
    </row>
    <row r="196" spans="1:8" ht="27.6" hidden="1">
      <c r="A196" s="2703"/>
      <c r="B196" s="2703"/>
      <c r="C196" s="2703"/>
      <c r="D196" s="2663" t="s">
        <v>1284</v>
      </c>
      <c r="E196" s="2703"/>
      <c r="F196" s="2703"/>
      <c r="G196" s="2703"/>
    </row>
    <row r="197" spans="1:8" hidden="1">
      <c r="A197" s="2704"/>
      <c r="B197" s="2704" t="s">
        <v>1285</v>
      </c>
      <c r="C197" s="2704"/>
      <c r="D197" s="2663"/>
      <c r="E197" s="2704"/>
      <c r="F197" s="2704"/>
      <c r="G197" s="2704"/>
    </row>
    <row r="198" spans="1:8" hidden="1">
      <c r="A198" s="2703"/>
      <c r="B198" s="2703"/>
      <c r="C198" s="2703"/>
      <c r="D198" s="2663" t="s">
        <v>1286</v>
      </c>
      <c r="E198" s="2703"/>
      <c r="F198" s="2703"/>
      <c r="G198" s="2703"/>
    </row>
    <row r="199" spans="1:8" hidden="1">
      <c r="A199" s="2703"/>
      <c r="B199" s="2703"/>
      <c r="C199" s="2703"/>
      <c r="D199" s="2663" t="s">
        <v>1287</v>
      </c>
      <c r="E199" s="2703"/>
      <c r="F199" s="2703"/>
      <c r="G199" s="2703"/>
    </row>
    <row r="200" spans="1:8" hidden="1">
      <c r="A200" s="2703"/>
      <c r="B200" s="2703" t="s">
        <v>1288</v>
      </c>
      <c r="C200" s="2703"/>
      <c r="D200" s="2663"/>
      <c r="E200" s="2703"/>
      <c r="F200" s="2703"/>
      <c r="G200" s="2703"/>
    </row>
    <row r="201" spans="1:8" hidden="1">
      <c r="A201" s="2703"/>
      <c r="B201" s="2703"/>
      <c r="C201" s="2703" t="s">
        <v>1289</v>
      </c>
      <c r="D201" s="2663"/>
      <c r="E201" s="2703"/>
      <c r="F201" s="2703"/>
      <c r="G201" s="2703"/>
    </row>
    <row r="202" spans="1:8" hidden="1">
      <c r="A202" s="2703"/>
      <c r="B202" s="2703">
        <v>0.4</v>
      </c>
      <c r="C202" s="2703" t="s">
        <v>1290</v>
      </c>
      <c r="D202" s="2663" t="s">
        <v>1291</v>
      </c>
      <c r="E202" s="2705">
        <f>'SSR-rates'!K90</f>
        <v>1250.0999999999999</v>
      </c>
      <c r="F202" s="2703" t="s">
        <v>23</v>
      </c>
      <c r="G202" s="2703">
        <f>ROUND(B202*E202,2)</f>
        <v>500.04</v>
      </c>
    </row>
    <row r="203" spans="1:8" hidden="1">
      <c r="A203" s="2703"/>
      <c r="B203" s="2703">
        <v>0.28999999999999998</v>
      </c>
      <c r="C203" s="2703" t="s">
        <v>1290</v>
      </c>
      <c r="D203" s="2663" t="s">
        <v>1292</v>
      </c>
      <c r="E203" s="2705">
        <f>'SSR-rates'!K90</f>
        <v>1250.0999999999999</v>
      </c>
      <c r="F203" s="2703" t="s">
        <v>23</v>
      </c>
      <c r="G203" s="2703">
        <f>ROUND(B203*E203,2)</f>
        <v>362.53</v>
      </c>
    </row>
    <row r="204" spans="1:8" hidden="1">
      <c r="A204" s="2703"/>
      <c r="B204" s="2703"/>
      <c r="C204" s="2703"/>
      <c r="D204" s="2663" t="s">
        <v>1293</v>
      </c>
      <c r="E204" s="2703"/>
      <c r="F204" s="2703"/>
      <c r="G204" s="2703">
        <f>SUM(G202:G203)</f>
        <v>862.56999999999994</v>
      </c>
    </row>
    <row r="205" spans="1:8" hidden="1">
      <c r="A205" s="2703"/>
      <c r="B205" s="2703"/>
      <c r="C205" s="2703"/>
      <c r="D205" s="2663" t="s">
        <v>1294</v>
      </c>
      <c r="E205" s="2703"/>
      <c r="F205" s="2704" t="s">
        <v>437</v>
      </c>
      <c r="G205" s="2706">
        <v>8</v>
      </c>
      <c r="H205" s="2636" t="s">
        <v>1295</v>
      </c>
    </row>
    <row r="206" spans="1:8" ht="54" hidden="1" customHeight="1">
      <c r="A206" s="2650">
        <v>7</v>
      </c>
      <c r="B206" s="3525" t="s">
        <v>1296</v>
      </c>
      <c r="C206" s="3525"/>
      <c r="D206" s="3525"/>
      <c r="E206" s="3525"/>
      <c r="F206" s="3525"/>
      <c r="G206" s="3525"/>
    </row>
    <row r="207" spans="1:8" hidden="1">
      <c r="A207" s="2650"/>
      <c r="B207" s="2655" t="s">
        <v>10</v>
      </c>
      <c r="C207" s="2659"/>
      <c r="D207" s="2651" t="s">
        <v>1297</v>
      </c>
      <c r="E207" s="2653"/>
      <c r="F207" s="2654"/>
      <c r="G207" s="2707"/>
    </row>
    <row r="208" spans="1:8" hidden="1">
      <c r="A208" s="2650"/>
      <c r="B208" s="2653" t="s">
        <v>1298</v>
      </c>
      <c r="C208" s="2659"/>
      <c r="D208" s="2654"/>
      <c r="E208" s="2653"/>
      <c r="F208" s="2654"/>
      <c r="G208" s="2707"/>
    </row>
    <row r="209" spans="1:9" hidden="1">
      <c r="A209" s="2650"/>
      <c r="B209" s="2646" t="s">
        <v>36</v>
      </c>
      <c r="C209" s="2651" t="s">
        <v>37</v>
      </c>
      <c r="D209" s="2646"/>
      <c r="E209" s="2647"/>
      <c r="F209" s="2648"/>
      <c r="G209" s="2708"/>
    </row>
    <row r="210" spans="1:9" s="2637" customFormat="1" hidden="1">
      <c r="A210" s="2650"/>
      <c r="B210" s="2655">
        <v>0.12</v>
      </c>
      <c r="C210" s="2653" t="s">
        <v>38</v>
      </c>
      <c r="D210" s="2654" t="s">
        <v>14</v>
      </c>
      <c r="E210" s="2655">
        <f>'SSR-rates'!$K$58</f>
        <v>575</v>
      </c>
      <c r="F210" s="2656" t="s">
        <v>38</v>
      </c>
      <c r="G210" s="2657">
        <f>ROUND(B210*E210,2)</f>
        <v>69</v>
      </c>
    </row>
    <row r="211" spans="1:9" s="2637" customFormat="1" hidden="1">
      <c r="A211" s="2650"/>
      <c r="B211" s="2655">
        <v>3</v>
      </c>
      <c r="C211" s="2653" t="s">
        <v>38</v>
      </c>
      <c r="D211" s="2654" t="s">
        <v>16</v>
      </c>
      <c r="E211" s="2655">
        <f>'SSR-rates'!$K$60</f>
        <v>575</v>
      </c>
      <c r="F211" s="2656" t="s">
        <v>38</v>
      </c>
      <c r="G211" s="2657">
        <f>ROUND(B211*E211,2)</f>
        <v>1725</v>
      </c>
    </row>
    <row r="212" spans="1:9" s="2637" customFormat="1" hidden="1">
      <c r="A212" s="2650"/>
      <c r="B212" s="2658">
        <f>'Input Data'!$D$23</f>
        <v>0</v>
      </c>
      <c r="C212" s="2653"/>
      <c r="D212" s="2659" t="s">
        <v>17</v>
      </c>
      <c r="E212" s="2655"/>
      <c r="F212" s="2656"/>
      <c r="G212" s="2657">
        <f>(G210+G211)*B212</f>
        <v>0</v>
      </c>
    </row>
    <row r="213" spans="1:9" s="2637" customFormat="1" hidden="1">
      <c r="A213" s="2650"/>
      <c r="B213" s="2656"/>
      <c r="C213" s="2654"/>
      <c r="D213" s="2654" t="s">
        <v>60</v>
      </c>
      <c r="E213" s="2653"/>
      <c r="F213" s="2654"/>
      <c r="G213" s="2670">
        <f>SUM(G210:G212)</f>
        <v>1794</v>
      </c>
    </row>
    <row r="214" spans="1:9" s="2637" customFormat="1" hidden="1">
      <c r="A214" s="2650"/>
      <c r="B214" s="2646" t="s">
        <v>39</v>
      </c>
      <c r="C214" s="2651" t="s">
        <v>40</v>
      </c>
      <c r="D214" s="2659"/>
      <c r="E214" s="2653"/>
      <c r="F214" s="2654"/>
      <c r="G214" s="2657"/>
    </row>
    <row r="215" spans="1:9" s="2637" customFormat="1" ht="27.6" hidden="1">
      <c r="A215" s="2650"/>
      <c r="B215" s="2655">
        <v>9</v>
      </c>
      <c r="C215" s="2653" t="s">
        <v>41</v>
      </c>
      <c r="D215" s="2663" t="s">
        <v>1299</v>
      </c>
      <c r="E215" s="2661">
        <f>'SSR-rates'!K72</f>
        <v>625</v>
      </c>
      <c r="F215" s="2655" t="s">
        <v>41</v>
      </c>
      <c r="G215" s="2657">
        <f>ROUND(B215*E215,2)</f>
        <v>5625</v>
      </c>
    </row>
    <row r="216" spans="1:9" s="2637" customFormat="1" ht="27.6" hidden="1">
      <c r="A216" s="2650"/>
      <c r="B216" s="2655">
        <v>24</v>
      </c>
      <c r="C216" s="2653" t="s">
        <v>41</v>
      </c>
      <c r="D216" s="2663" t="s">
        <v>1272</v>
      </c>
      <c r="E216" s="2655">
        <f>'SSR-rates'!$K$71</f>
        <v>520</v>
      </c>
      <c r="F216" s="2655" t="s">
        <v>41</v>
      </c>
      <c r="G216" s="2657">
        <f>ROUND(B216*E216,2)</f>
        <v>12480</v>
      </c>
      <c r="I216" s="2637">
        <f>600/25</f>
        <v>24</v>
      </c>
    </row>
    <row r="217" spans="1:9" s="2637" customFormat="1" hidden="1">
      <c r="A217" s="2650"/>
      <c r="B217" s="2655">
        <v>7.5</v>
      </c>
      <c r="C217" s="2653" t="s">
        <v>41</v>
      </c>
      <c r="D217" s="2654" t="s">
        <v>214</v>
      </c>
      <c r="E217" s="2655">
        <f>'SSR-rates'!$K$67</f>
        <v>3517.9</v>
      </c>
      <c r="F217" s="2655" t="s">
        <v>41</v>
      </c>
      <c r="G217" s="2657">
        <f>ROUND(B217*E217,2)</f>
        <v>26384.25</v>
      </c>
    </row>
    <row r="218" spans="1:9" s="2637" customFormat="1" hidden="1">
      <c r="A218" s="2650"/>
      <c r="B218" s="2655">
        <v>4</v>
      </c>
      <c r="C218" s="2653" t="s">
        <v>41</v>
      </c>
      <c r="D218" s="2654" t="s">
        <v>213</v>
      </c>
      <c r="E218" s="2655">
        <f>'SSR-rates'!$K$69</f>
        <v>769</v>
      </c>
      <c r="F218" s="2655" t="s">
        <v>41</v>
      </c>
      <c r="G218" s="2657">
        <f>ROUND(B218*E218,2)</f>
        <v>3076</v>
      </c>
    </row>
    <row r="219" spans="1:9" s="2637" customFormat="1" hidden="1">
      <c r="A219" s="2650"/>
      <c r="B219" s="2656"/>
      <c r="C219" s="2654"/>
      <c r="D219" s="2654" t="s">
        <v>60</v>
      </c>
      <c r="E219" s="2653"/>
      <c r="F219" s="2654"/>
      <c r="G219" s="2670">
        <f>SUM(G215:G218)</f>
        <v>47565.25</v>
      </c>
    </row>
    <row r="220" spans="1:9" s="2637" customFormat="1" hidden="1">
      <c r="A220" s="2650"/>
      <c r="B220" s="2646" t="s">
        <v>27</v>
      </c>
      <c r="C220" s="2665" t="s">
        <v>1246</v>
      </c>
      <c r="D220" s="2654"/>
      <c r="E220" s="2653"/>
      <c r="F220" s="2654"/>
      <c r="G220" s="2670"/>
    </row>
    <row r="221" spans="1:9" s="2637" customFormat="1" hidden="1">
      <c r="A221" s="2650"/>
      <c r="B221" s="2689">
        <f>'Input Data'!$D$24</f>
        <v>0.13614999999999999</v>
      </c>
      <c r="C221" s="2653"/>
      <c r="D221" s="2668" t="str">
        <f>"Over head charges &amp; CP "&amp;'Input Data'!$D$24*100&amp;"%  on (A) + (B)"</f>
        <v>Over head charges &amp; CP 13.615%  on (A) + (B)</v>
      </c>
      <c r="E221" s="2653">
        <f>G219+G213</f>
        <v>49359.25</v>
      </c>
      <c r="F221" s="2654"/>
      <c r="G221" s="2657">
        <f>B221*E221</f>
        <v>6720.2618874999998</v>
      </c>
    </row>
    <row r="222" spans="1:9" s="2637" customFormat="1" hidden="1">
      <c r="A222" s="2650"/>
      <c r="B222" s="2646" t="s">
        <v>45</v>
      </c>
      <c r="C222" s="2651" t="s">
        <v>46</v>
      </c>
      <c r="D222" s="2659"/>
      <c r="E222" s="2653"/>
      <c r="F222" s="2654"/>
      <c r="G222" s="2670">
        <f>G213+G219+G221</f>
        <v>56079.511887499997</v>
      </c>
    </row>
    <row r="223" spans="1:9" s="2637" customFormat="1" hidden="1">
      <c r="A223" s="2650"/>
      <c r="B223" s="2656"/>
      <c r="C223" s="2659"/>
      <c r="D223" s="2651" t="s">
        <v>1300</v>
      </c>
      <c r="E223" s="2653"/>
      <c r="F223" s="2654"/>
      <c r="G223" s="2670">
        <f>SUM(G222)</f>
        <v>56079.511887499997</v>
      </c>
    </row>
    <row r="224" spans="1:9" s="2637" customFormat="1" hidden="1">
      <c r="A224" s="2650"/>
      <c r="B224" s="2656"/>
      <c r="C224" s="2654"/>
      <c r="D224" s="2651" t="s">
        <v>217</v>
      </c>
      <c r="E224" s="2653"/>
      <c r="F224" s="2654"/>
      <c r="G224" s="2657">
        <f>ROUND(G223/600,2)</f>
        <v>93.47</v>
      </c>
    </row>
    <row r="225" spans="1:8" s="2637" customFormat="1" hidden="1">
      <c r="A225" s="2650"/>
      <c r="B225" s="2656"/>
      <c r="C225" s="2654"/>
      <c r="D225" s="2651" t="s">
        <v>52</v>
      </c>
      <c r="E225" s="2653"/>
      <c r="F225" s="2654"/>
      <c r="G225" s="2670">
        <f>ROUND(G224,2)</f>
        <v>93.47</v>
      </c>
      <c r="H225" s="2637" t="s">
        <v>921</v>
      </c>
    </row>
    <row r="226" spans="1:8" s="2637" customFormat="1" hidden="1">
      <c r="A226" s="2650"/>
      <c r="B226" s="2656"/>
      <c r="C226" s="2654"/>
      <c r="D226" s="2654"/>
      <c r="E226" s="2653"/>
      <c r="F226" s="2654"/>
      <c r="G226" s="2708" t="s">
        <v>53</v>
      </c>
    </row>
    <row r="227" spans="1:8" s="2637" customFormat="1" hidden="1">
      <c r="A227" s="2650"/>
      <c r="B227" s="2656"/>
      <c r="C227" s="2654"/>
      <c r="D227" s="2654"/>
      <c r="E227" s="2653"/>
      <c r="F227" s="2654"/>
      <c r="G227" s="2709"/>
    </row>
    <row r="228" spans="1:8" s="2635" customFormat="1" ht="64.2" customHeight="1">
      <c r="A228" s="2700">
        <v>4</v>
      </c>
      <c r="B228" s="3525" t="s">
        <v>1301</v>
      </c>
      <c r="C228" s="3525"/>
      <c r="D228" s="3525"/>
      <c r="E228" s="3525"/>
      <c r="F228" s="3525"/>
      <c r="G228" s="3525"/>
    </row>
    <row r="229" spans="1:8">
      <c r="A229" s="2650"/>
      <c r="B229" s="3529" t="s">
        <v>33</v>
      </c>
      <c r="C229" s="3529"/>
      <c r="D229" s="2651" t="s">
        <v>1276</v>
      </c>
      <c r="E229" s="2647"/>
      <c r="F229" s="2648"/>
      <c r="G229" s="2695"/>
    </row>
    <row r="230" spans="1:8">
      <c r="A230" s="2650"/>
      <c r="B230" s="3529" t="s">
        <v>205</v>
      </c>
      <c r="C230" s="3529"/>
      <c r="D230" s="3529"/>
      <c r="E230" s="2647"/>
      <c r="F230" s="2648"/>
      <c r="G230" s="2695"/>
    </row>
    <row r="231" spans="1:8">
      <c r="A231" s="2650"/>
      <c r="B231" s="2646" t="s">
        <v>36</v>
      </c>
      <c r="C231" s="2651" t="s">
        <v>37</v>
      </c>
      <c r="D231" s="2646"/>
      <c r="E231" s="2647"/>
      <c r="F231" s="2648"/>
      <c r="G231" s="2695"/>
    </row>
    <row r="232" spans="1:8">
      <c r="A232" s="2650"/>
      <c r="B232" s="2655">
        <v>0.04</v>
      </c>
      <c r="C232" s="2653" t="s">
        <v>38</v>
      </c>
      <c r="D232" s="2654" t="s">
        <v>14</v>
      </c>
      <c r="E232" s="2655">
        <f>'SSR-rates'!$K$58</f>
        <v>575</v>
      </c>
      <c r="F232" s="2656" t="s">
        <v>38</v>
      </c>
      <c r="G232" s="2657">
        <f>ROUND(B232*E232,2)</f>
        <v>23</v>
      </c>
    </row>
    <row r="233" spans="1:8">
      <c r="A233" s="2650"/>
      <c r="B233" s="2655">
        <v>1</v>
      </c>
      <c r="C233" s="2653" t="s">
        <v>38</v>
      </c>
      <c r="D233" s="2654" t="s">
        <v>16</v>
      </c>
      <c r="E233" s="2655">
        <f>'SSR-rates'!$K$60</f>
        <v>575</v>
      </c>
      <c r="F233" s="2656" t="s">
        <v>38</v>
      </c>
      <c r="G233" s="2657">
        <f>ROUND(B233*E233,2)</f>
        <v>575</v>
      </c>
    </row>
    <row r="234" spans="1:8">
      <c r="A234" s="2650"/>
      <c r="B234" s="2658">
        <f>'Input Data'!$D$23</f>
        <v>0</v>
      </c>
      <c r="C234" s="2653"/>
      <c r="D234" s="2659" t="s">
        <v>17</v>
      </c>
      <c r="E234" s="2655"/>
      <c r="F234" s="2656"/>
      <c r="G234" s="2657">
        <f>(G232+G233)*B234</f>
        <v>0</v>
      </c>
    </row>
    <row r="235" spans="1:8">
      <c r="A235" s="2650"/>
      <c r="B235" s="2655"/>
      <c r="C235" s="2653"/>
      <c r="D235" s="2654"/>
      <c r="E235" s="2655"/>
      <c r="F235" s="2656"/>
      <c r="G235" s="2657">
        <f>SUM(G232:G234)</f>
        <v>598</v>
      </c>
    </row>
    <row r="236" spans="1:8">
      <c r="A236" s="2650"/>
      <c r="B236" s="2646" t="s">
        <v>39</v>
      </c>
      <c r="C236" s="2651" t="s">
        <v>40</v>
      </c>
      <c r="D236" s="2659"/>
      <c r="E236" s="2653"/>
      <c r="F236" s="2654"/>
      <c r="G236" s="2660"/>
    </row>
    <row r="237" spans="1:8" ht="27.6">
      <c r="A237" s="2650"/>
      <c r="B237" s="2661">
        <v>1.67</v>
      </c>
      <c r="C237" s="2662" t="s">
        <v>31</v>
      </c>
      <c r="D237" s="2663" t="s">
        <v>42</v>
      </c>
      <c r="E237" s="2661">
        <f>'SSR-rates'!$K$64</f>
        <v>3557.7</v>
      </c>
      <c r="F237" s="2661" t="s">
        <v>31</v>
      </c>
      <c r="G237" s="2657">
        <f>ROUND(B237*E237,2)</f>
        <v>5941.36</v>
      </c>
    </row>
    <row r="238" spans="1:8">
      <c r="A238" s="2650"/>
      <c r="B238" s="2655">
        <f>175*'Input Data'!E19</f>
        <v>875</v>
      </c>
      <c r="C238" s="2653" t="s">
        <v>207</v>
      </c>
      <c r="D238" s="2654" t="str">
        <f>"Tipper (for "&amp;'Input Data'!E19&amp;"Kms=175x"&amp;'Input Data'!E19&amp;"="&amp;'Input Data'!E19*175&amp;")"</f>
        <v>Tipper (for 5Kms=175x5=875)</v>
      </c>
      <c r="E238" s="2655">
        <f>G205</f>
        <v>8</v>
      </c>
      <c r="F238" s="2655" t="s">
        <v>207</v>
      </c>
      <c r="G238" s="2657">
        <f>ROUND(B238*E238,2)</f>
        <v>7000</v>
      </c>
    </row>
    <row r="239" spans="1:8" ht="27.6">
      <c r="A239" s="2650"/>
      <c r="B239" s="2655"/>
      <c r="C239" s="2653"/>
      <c r="D239" s="2663" t="s">
        <v>210</v>
      </c>
      <c r="E239" s="2661"/>
      <c r="F239" s="2655"/>
      <c r="G239" s="2657">
        <f>ROUND(G238*10/100,2)</f>
        <v>700</v>
      </c>
    </row>
    <row r="240" spans="1:8">
      <c r="A240" s="2650"/>
      <c r="B240" s="2661">
        <v>0.5</v>
      </c>
      <c r="C240" s="2662" t="s">
        <v>41</v>
      </c>
      <c r="D240" s="2663" t="s">
        <v>211</v>
      </c>
      <c r="E240" s="2661">
        <f>'SSR-rates'!$K$62</f>
        <v>3164.8</v>
      </c>
      <c r="F240" s="2661" t="s">
        <v>41</v>
      </c>
      <c r="G240" s="2657">
        <f>ROUND(B240*E240,2)</f>
        <v>1582.4</v>
      </c>
    </row>
    <row r="241" spans="1:8" ht="27.6">
      <c r="A241" s="2650"/>
      <c r="B241" s="2661">
        <v>4</v>
      </c>
      <c r="C241" s="2662" t="s">
        <v>41</v>
      </c>
      <c r="D241" s="2663" t="s">
        <v>1272</v>
      </c>
      <c r="E241" s="2661">
        <f>+'SSR-rates'!K71</f>
        <v>520</v>
      </c>
      <c r="F241" s="2661" t="s">
        <v>41</v>
      </c>
      <c r="G241" s="2657">
        <f>ROUND(B241*E241,2)</f>
        <v>2080</v>
      </c>
    </row>
    <row r="242" spans="1:8">
      <c r="A242" s="2650"/>
      <c r="B242" s="2655">
        <v>4</v>
      </c>
      <c r="C242" s="2653" t="s">
        <v>41</v>
      </c>
      <c r="D242" s="2654" t="s">
        <v>213</v>
      </c>
      <c r="E242" s="2655">
        <f>'SSR-rates'!$K$69</f>
        <v>769</v>
      </c>
      <c r="F242" s="2655" t="s">
        <v>41</v>
      </c>
      <c r="G242" s="2657">
        <f>ROUND(B242*E242,2)</f>
        <v>3076</v>
      </c>
    </row>
    <row r="243" spans="1:8">
      <c r="A243" s="2650"/>
      <c r="B243" s="2655">
        <v>1.25</v>
      </c>
      <c r="C243" s="2653" t="s">
        <v>41</v>
      </c>
      <c r="D243" s="2654" t="s">
        <v>214</v>
      </c>
      <c r="E243" s="2655">
        <f>'SSR-rates'!$K$67</f>
        <v>3517.9</v>
      </c>
      <c r="F243" s="2655" t="s">
        <v>41</v>
      </c>
      <c r="G243" s="2657">
        <f>ROUND(B243*E243,2)</f>
        <v>4397.38</v>
      </c>
    </row>
    <row r="244" spans="1:8">
      <c r="A244" s="2650"/>
      <c r="B244" s="2656"/>
      <c r="C244" s="2659"/>
      <c r="D244" s="2654"/>
      <c r="E244" s="2655"/>
      <c r="F244" s="2655"/>
      <c r="G244" s="2670">
        <f>SUM(G237:G243)</f>
        <v>24777.140000000003</v>
      </c>
    </row>
    <row r="245" spans="1:8">
      <c r="A245" s="2650"/>
      <c r="B245" s="2646" t="s">
        <v>27</v>
      </c>
      <c r="C245" s="2651" t="s">
        <v>61</v>
      </c>
      <c r="D245" s="2659"/>
      <c r="E245" s="2653"/>
      <c r="F245" s="2654"/>
      <c r="G245" s="2660"/>
    </row>
    <row r="246" spans="1:8">
      <c r="A246" s="2650"/>
      <c r="B246" s="2661">
        <v>24</v>
      </c>
      <c r="C246" s="2662" t="s">
        <v>1274</v>
      </c>
      <c r="D246" s="2663" t="s">
        <v>1275</v>
      </c>
      <c r="E246" s="2661">
        <f>IF(lead!$C$63="Y",'SSR-rates'!$K$112,0)</f>
        <v>0</v>
      </c>
      <c r="F246" s="2661" t="s">
        <v>41</v>
      </c>
      <c r="G246" s="2657">
        <f>ROUND(B246*E246,2)</f>
        <v>0</v>
      </c>
    </row>
    <row r="247" spans="1:8">
      <c r="A247" s="2650"/>
      <c r="B247" s="2646" t="s">
        <v>45</v>
      </c>
      <c r="C247" s="2665" t="s">
        <v>1246</v>
      </c>
      <c r="D247" s="2659"/>
      <c r="E247" s="2668"/>
      <c r="F247" s="2659"/>
      <c r="G247" s="2660"/>
    </row>
    <row r="248" spans="1:8">
      <c r="A248" s="2650"/>
      <c r="B248" s="2666">
        <f>'Input Data'!$D$24</f>
        <v>0.13614999999999999</v>
      </c>
      <c r="C248" s="2651" t="str">
        <f>"Over head charges &amp; CP "&amp;'Input Data'!$D$24*100&amp;"%  on (A) + (B)"</f>
        <v>Over head charges &amp; CP 13.615%  on (A) + (B)</v>
      </c>
      <c r="D248" s="2659"/>
      <c r="E248" s="2668">
        <f>G244+G235+G246</f>
        <v>25375.140000000003</v>
      </c>
      <c r="F248" s="2659"/>
      <c r="G248" s="2670">
        <f>B248*E248</f>
        <v>3454.8253110000001</v>
      </c>
    </row>
    <row r="249" spans="1:8">
      <c r="A249" s="2650"/>
      <c r="B249" s="2701">
        <f>'Input Data'!$E$24</f>
        <v>0</v>
      </c>
      <c r="C249" s="2667" t="s">
        <v>1093</v>
      </c>
      <c r="D249" s="2659"/>
      <c r="E249" s="2669">
        <f>E248+G248</f>
        <v>28829.965311000004</v>
      </c>
      <c r="F249" s="2659"/>
      <c r="G249" s="2657">
        <f>E249*B249</f>
        <v>0</v>
      </c>
    </row>
    <row r="250" spans="1:8">
      <c r="A250" s="2650"/>
      <c r="B250" s="2646" t="s">
        <v>47</v>
      </c>
      <c r="C250" s="2651" t="s">
        <v>89</v>
      </c>
      <c r="D250" s="2659"/>
      <c r="E250" s="2653"/>
      <c r="F250" s="2654"/>
      <c r="G250" s="2670">
        <f>G235+G244+G248+G246+G249</f>
        <v>28829.965311000004</v>
      </c>
    </row>
    <row r="251" spans="1:8">
      <c r="A251" s="2650"/>
      <c r="B251" s="2656"/>
      <c r="C251" s="2651" t="s">
        <v>1278</v>
      </c>
      <c r="D251" s="2654"/>
      <c r="E251" s="2653"/>
      <c r="F251" s="2654"/>
      <c r="G251" s="2670">
        <f>SUM(G250:G250)</f>
        <v>28829.965311000004</v>
      </c>
    </row>
    <row r="252" spans="1:8">
      <c r="A252" s="2650"/>
      <c r="B252" s="2656"/>
      <c r="C252" s="2654" t="s">
        <v>216</v>
      </c>
      <c r="D252" s="2654"/>
      <c r="E252" s="2653"/>
      <c r="F252" s="2654"/>
      <c r="G252" s="2657">
        <f>G251/100</f>
        <v>288.29965311000001</v>
      </c>
    </row>
    <row r="253" spans="1:8">
      <c r="A253" s="2650"/>
      <c r="B253" s="2655"/>
      <c r="C253" s="2668"/>
      <c r="D253" s="2697" t="s">
        <v>217</v>
      </c>
      <c r="E253" s="2657"/>
      <c r="F253" s="2668"/>
      <c r="G253" s="2698">
        <f>ROUND(G252,2)</f>
        <v>288.3</v>
      </c>
      <c r="H253" s="2369" t="s">
        <v>921</v>
      </c>
    </row>
    <row r="254" spans="1:8">
      <c r="A254" s="2650"/>
      <c r="B254" s="2655"/>
      <c r="C254" s="2668"/>
      <c r="D254" s="2699"/>
      <c r="E254" s="2657"/>
      <c r="F254" s="2668"/>
      <c r="G254" s="2671" t="s">
        <v>53</v>
      </c>
    </row>
    <row r="255" spans="1:8" ht="45" hidden="1" customHeight="1">
      <c r="A255" s="2650">
        <v>5</v>
      </c>
      <c r="B255" s="3532" t="s">
        <v>2796</v>
      </c>
      <c r="C255" s="3532"/>
      <c r="D255" s="3532"/>
      <c r="E255" s="3532"/>
      <c r="F255" s="3532"/>
      <c r="G255" s="3532"/>
    </row>
    <row r="256" spans="1:8" hidden="1">
      <c r="A256" s="2650"/>
      <c r="B256" s="2655" t="s">
        <v>1100</v>
      </c>
      <c r="C256" s="2654"/>
      <c r="D256" s="2651" t="s">
        <v>1302</v>
      </c>
      <c r="E256" s="2653"/>
      <c r="F256" s="2654"/>
      <c r="G256" s="2659"/>
    </row>
    <row r="257" spans="1:7" hidden="1">
      <c r="A257" s="2650"/>
      <c r="B257" s="2653" t="s">
        <v>1101</v>
      </c>
      <c r="C257" s="2654"/>
      <c r="D257" s="2654"/>
      <c r="E257" s="2653"/>
      <c r="F257" s="2654"/>
      <c r="G257" s="2659"/>
    </row>
    <row r="258" spans="1:7" hidden="1">
      <c r="A258" s="2650"/>
      <c r="B258" s="2646" t="s">
        <v>36</v>
      </c>
      <c r="C258" s="2651" t="s">
        <v>37</v>
      </c>
      <c r="D258" s="2646"/>
      <c r="E258" s="2647"/>
      <c r="F258" s="2648"/>
      <c r="G258" s="2648"/>
    </row>
    <row r="259" spans="1:7" hidden="1">
      <c r="A259" s="2650"/>
      <c r="B259" s="2655">
        <v>0.2</v>
      </c>
      <c r="C259" s="2653" t="s">
        <v>38</v>
      </c>
      <c r="D259" s="2654" t="s">
        <v>14</v>
      </c>
      <c r="E259" s="2655">
        <f>'SSR-rates'!$K$58</f>
        <v>575</v>
      </c>
      <c r="F259" s="2656" t="s">
        <v>38</v>
      </c>
      <c r="G259" s="2657">
        <f>ROUND(B259*E259,2)</f>
        <v>115</v>
      </c>
    </row>
    <row r="260" spans="1:7" hidden="1">
      <c r="A260" s="2650"/>
      <c r="B260" s="2655">
        <v>5</v>
      </c>
      <c r="C260" s="2653" t="s">
        <v>38</v>
      </c>
      <c r="D260" s="2654" t="s">
        <v>1303</v>
      </c>
      <c r="E260" s="2655">
        <f>'SSR-rates'!$K$60</f>
        <v>575</v>
      </c>
      <c r="F260" s="2656" t="s">
        <v>38</v>
      </c>
      <c r="G260" s="2657">
        <f>ROUND(B260*E260,2)</f>
        <v>2875</v>
      </c>
    </row>
    <row r="261" spans="1:7" hidden="1">
      <c r="A261" s="2650"/>
      <c r="B261" s="2658">
        <f>'Input Data'!$D$23</f>
        <v>0</v>
      </c>
      <c r="C261" s="2653"/>
      <c r="D261" s="2659" t="s">
        <v>17</v>
      </c>
      <c r="E261" s="2655"/>
      <c r="F261" s="2656"/>
      <c r="G261" s="2657">
        <f>(G259+G260)*B261</f>
        <v>0</v>
      </c>
    </row>
    <row r="262" spans="1:7" hidden="1">
      <c r="A262" s="2650"/>
      <c r="B262" s="2656"/>
      <c r="C262" s="2654"/>
      <c r="D262" s="2654" t="s">
        <v>85</v>
      </c>
      <c r="E262" s="2653"/>
      <c r="F262" s="2654"/>
      <c r="G262" s="2670">
        <f>SUM(G259:G261)</f>
        <v>2990</v>
      </c>
    </row>
    <row r="263" spans="1:7" hidden="1">
      <c r="A263" s="2650"/>
      <c r="B263" s="2646" t="s">
        <v>39</v>
      </c>
      <c r="C263" s="2651" t="s">
        <v>40</v>
      </c>
      <c r="D263" s="2659"/>
      <c r="E263" s="2653"/>
      <c r="F263" s="2654"/>
      <c r="G263" s="2660"/>
    </row>
    <row r="264" spans="1:7" hidden="1">
      <c r="A264" s="2650"/>
      <c r="B264" s="2655">
        <v>1.67</v>
      </c>
      <c r="C264" s="2653" t="s">
        <v>41</v>
      </c>
      <c r="D264" s="2654" t="s">
        <v>24</v>
      </c>
      <c r="E264" s="2655">
        <f>'SSR-rates'!K71</f>
        <v>520</v>
      </c>
      <c r="F264" s="2655" t="s">
        <v>41</v>
      </c>
      <c r="G264" s="2657">
        <f t="shared" ref="G264" si="0">ROUND(B264*E264,2)</f>
        <v>868.4</v>
      </c>
    </row>
    <row r="265" spans="1:7" hidden="1">
      <c r="A265" s="2650"/>
      <c r="B265" s="2656"/>
      <c r="C265" s="2654"/>
      <c r="D265" s="2654"/>
      <c r="E265" s="2653"/>
      <c r="F265" s="2654"/>
      <c r="G265" s="2670">
        <f>SUM(G264:G264)</f>
        <v>868.4</v>
      </c>
    </row>
    <row r="266" spans="1:7" hidden="1">
      <c r="A266" s="2650"/>
      <c r="B266" s="2646" t="s">
        <v>27</v>
      </c>
      <c r="C266" s="2665" t="s">
        <v>1246</v>
      </c>
      <c r="D266" s="2654"/>
      <c r="E266" s="2653"/>
      <c r="F266" s="2654"/>
      <c r="G266" s="2670"/>
    </row>
    <row r="267" spans="1:7" hidden="1">
      <c r="A267" s="2650"/>
      <c r="B267" s="2689">
        <f>'Input Data'!$D$24</f>
        <v>0.13614999999999999</v>
      </c>
      <c r="C267" s="2653"/>
      <c r="D267" s="2710" t="str">
        <f>"Over head charges &amp; CP "&amp;'Input Data'!$D$24*100&amp;"%  on (A) + (B)"</f>
        <v>Over head charges &amp; CP 13.615%  on (A) + (B)</v>
      </c>
      <c r="E267" s="2655">
        <f>G265+G262</f>
        <v>3858.4</v>
      </c>
      <c r="F267" s="2654"/>
      <c r="G267" s="2657">
        <f>E267*B267</f>
        <v>525.32115999999996</v>
      </c>
    </row>
    <row r="268" spans="1:7" hidden="1">
      <c r="A268" s="2650"/>
      <c r="B268" s="2656"/>
      <c r="C268" s="2654"/>
      <c r="D268" s="2654" t="s">
        <v>1304</v>
      </c>
      <c r="E268" s="2653"/>
      <c r="F268" s="2654"/>
      <c r="G268" s="2657">
        <f>G262+G265+G267</f>
        <v>4383.7211600000001</v>
      </c>
    </row>
    <row r="269" spans="1:7" hidden="1">
      <c r="A269" s="2650"/>
      <c r="B269" s="2656"/>
      <c r="C269" s="2654"/>
      <c r="D269" s="2654" t="s">
        <v>1305</v>
      </c>
      <c r="E269" s="2653"/>
      <c r="F269" s="2654"/>
      <c r="G269" s="2657">
        <f>ROUND(G268/100,2)</f>
        <v>43.84</v>
      </c>
    </row>
    <row r="270" spans="1:7" hidden="1">
      <c r="A270" s="2650"/>
      <c r="B270" s="2655"/>
      <c r="C270" s="2653"/>
      <c r="D270" s="2668" t="s">
        <v>52</v>
      </c>
      <c r="E270" s="2657"/>
      <c r="F270" s="2668"/>
      <c r="G270" s="2698">
        <f>ROUND(G269,2)</f>
        <v>43.84</v>
      </c>
    </row>
    <row r="271" spans="1:7" hidden="1">
      <c r="A271" s="2650"/>
      <c r="B271" s="2656"/>
      <c r="C271" s="2654"/>
      <c r="D271" s="2654"/>
      <c r="E271" s="2653"/>
      <c r="F271" s="2654"/>
      <c r="G271" s="2671" t="s">
        <v>137</v>
      </c>
    </row>
    <row r="272" spans="1:7" s="2635" customFormat="1" ht="44.1" customHeight="1">
      <c r="A272" s="2650">
        <v>5</v>
      </c>
      <c r="B272" s="3532" t="s">
        <v>2797</v>
      </c>
      <c r="C272" s="3532"/>
      <c r="D272" s="3532"/>
      <c r="E272" s="3532"/>
      <c r="F272" s="3532"/>
      <c r="G272" s="3532"/>
    </row>
    <row r="273" spans="1:7">
      <c r="A273" s="2650"/>
      <c r="B273" s="2655" t="s">
        <v>1100</v>
      </c>
      <c r="C273" s="2654"/>
      <c r="D273" s="2651" t="s">
        <v>1302</v>
      </c>
      <c r="E273" s="2653"/>
      <c r="F273" s="2654"/>
      <c r="G273" s="2659"/>
    </row>
    <row r="274" spans="1:7">
      <c r="A274" s="2650"/>
      <c r="B274" s="2653" t="s">
        <v>1101</v>
      </c>
      <c r="C274" s="2654"/>
      <c r="D274" s="2654"/>
      <c r="E274" s="2653"/>
      <c r="F274" s="2654"/>
      <c r="G274" s="2659"/>
    </row>
    <row r="275" spans="1:7">
      <c r="A275" s="2650"/>
      <c r="B275" s="2646" t="s">
        <v>36</v>
      </c>
      <c r="C275" s="2651" t="s">
        <v>37</v>
      </c>
      <c r="D275" s="2646"/>
      <c r="E275" s="2647"/>
      <c r="F275" s="2648"/>
      <c r="G275" s="2648"/>
    </row>
    <row r="276" spans="1:7">
      <c r="A276" s="2650"/>
      <c r="B276" s="2655">
        <v>0.01</v>
      </c>
      <c r="C276" s="2653" t="s">
        <v>38</v>
      </c>
      <c r="D276" s="2654" t="s">
        <v>14</v>
      </c>
      <c r="E276" s="2655">
        <f>'SSR-rates'!$K$58</f>
        <v>575</v>
      </c>
      <c r="F276" s="2656" t="s">
        <v>38</v>
      </c>
      <c r="G276" s="2657">
        <f>ROUND(B276*E276,2)</f>
        <v>5.75</v>
      </c>
    </row>
    <row r="277" spans="1:7">
      <c r="A277" s="2650"/>
      <c r="B277" s="2655">
        <v>0.25</v>
      </c>
      <c r="C277" s="2653" t="s">
        <v>38</v>
      </c>
      <c r="D277" s="2654" t="s">
        <v>59</v>
      </c>
      <c r="E277" s="2655">
        <f>'SSR-rates'!$K$60</f>
        <v>575</v>
      </c>
      <c r="F277" s="2656" t="s">
        <v>38</v>
      </c>
      <c r="G277" s="2657">
        <f>ROUND(B277*E277,2)</f>
        <v>143.75</v>
      </c>
    </row>
    <row r="278" spans="1:7">
      <c r="A278" s="2650"/>
      <c r="B278" s="2658">
        <f>'Input Data'!$D$23</f>
        <v>0</v>
      </c>
      <c r="C278" s="2653"/>
      <c r="D278" s="2659" t="s">
        <v>17</v>
      </c>
      <c r="E278" s="2655"/>
      <c r="F278" s="2656"/>
      <c r="G278" s="2657">
        <f>(G276+G277)*B278</f>
        <v>0</v>
      </c>
    </row>
    <row r="279" spans="1:7">
      <c r="A279" s="2650"/>
      <c r="B279" s="2656"/>
      <c r="C279" s="2654"/>
      <c r="D279" s="2654" t="s">
        <v>85</v>
      </c>
      <c r="E279" s="2653"/>
      <c r="F279" s="2654"/>
      <c r="G279" s="2670">
        <f>SUM(G276:G278)</f>
        <v>149.5</v>
      </c>
    </row>
    <row r="280" spans="1:7">
      <c r="A280" s="2650"/>
      <c r="B280" s="2646" t="s">
        <v>39</v>
      </c>
      <c r="C280" s="2651" t="s">
        <v>40</v>
      </c>
      <c r="D280" s="2659"/>
      <c r="E280" s="2653"/>
      <c r="F280" s="2654"/>
      <c r="G280" s="2660"/>
    </row>
    <row r="281" spans="1:7">
      <c r="A281" s="2650"/>
      <c r="B281" s="2655">
        <v>0.08</v>
      </c>
      <c r="C281" s="2653" t="s">
        <v>41</v>
      </c>
      <c r="D281" s="2654" t="s">
        <v>1299</v>
      </c>
      <c r="E281" s="2655">
        <f>'SSR-rates'!$K$72</f>
        <v>625</v>
      </c>
      <c r="F281" s="2655" t="s">
        <v>41</v>
      </c>
      <c r="G281" s="2657">
        <f>ROUND(B281*E281,2)</f>
        <v>50</v>
      </c>
    </row>
    <row r="282" spans="1:7" ht="27.6">
      <c r="A282" s="2650"/>
      <c r="B282" s="2655">
        <v>0.2</v>
      </c>
      <c r="C282" s="2653" t="s">
        <v>41</v>
      </c>
      <c r="D282" s="2711" t="s">
        <v>1306</v>
      </c>
      <c r="E282" s="2655">
        <f>'SSR-rates'!$K$65</f>
        <v>2028</v>
      </c>
      <c r="F282" s="2655" t="s">
        <v>41</v>
      </c>
      <c r="G282" s="2657">
        <f>ROUND(B282*E282,2)</f>
        <v>405.6</v>
      </c>
    </row>
    <row r="283" spans="1:7">
      <c r="A283" s="2650"/>
      <c r="B283" s="2655">
        <v>0.23</v>
      </c>
      <c r="C283" s="2653" t="s">
        <v>41</v>
      </c>
      <c r="D283" s="2659" t="s">
        <v>1307</v>
      </c>
      <c r="E283" s="2655">
        <f>'SSR-rates'!$K$66</f>
        <v>1280.4000000000001</v>
      </c>
      <c r="F283" s="2655" t="s">
        <v>41</v>
      </c>
      <c r="G283" s="2657">
        <f>ROUND(B283*E283,2)</f>
        <v>294.49</v>
      </c>
    </row>
    <row r="284" spans="1:7">
      <c r="A284" s="2650"/>
      <c r="B284" s="2656"/>
      <c r="C284" s="2654"/>
      <c r="D284" s="2654"/>
      <c r="E284" s="2653"/>
      <c r="F284" s="2654"/>
      <c r="G284" s="2670">
        <f>SUM(G281:G283)</f>
        <v>750.09</v>
      </c>
    </row>
    <row r="285" spans="1:7">
      <c r="A285" s="2650"/>
      <c r="B285" s="2646" t="s">
        <v>27</v>
      </c>
      <c r="C285" s="2665" t="s">
        <v>1246</v>
      </c>
      <c r="D285" s="2654"/>
      <c r="E285" s="2653"/>
      <c r="F285" s="2654"/>
      <c r="G285" s="2670"/>
    </row>
    <row r="286" spans="1:7">
      <c r="A286" s="2650"/>
      <c r="B286" s="2689">
        <f>'Input Data'!$D$24</f>
        <v>0.13614999999999999</v>
      </c>
      <c r="C286" s="2653"/>
      <c r="D286" s="2710" t="str">
        <f>"Over head charges &amp; CP "&amp;'Input Data'!$D$24*100&amp;"%  on (A) + (B)"</f>
        <v>Over head charges &amp; CP 13.615%  on (A) + (B)</v>
      </c>
      <c r="E286" s="2655">
        <f>G284+G279</f>
        <v>899.59</v>
      </c>
      <c r="F286" s="2654"/>
      <c r="G286" s="2657">
        <f>E286*B286</f>
        <v>122.4791785</v>
      </c>
    </row>
    <row r="287" spans="1:7">
      <c r="A287" s="2650"/>
      <c r="B287" s="2701">
        <f>'Input Data'!$E$24</f>
        <v>0</v>
      </c>
      <c r="C287" s="2667" t="s">
        <v>1093</v>
      </c>
      <c r="D287" s="2659"/>
      <c r="E287" s="2669">
        <f>E286+G286</f>
        <v>1022.0691785</v>
      </c>
      <c r="F287" s="2659"/>
      <c r="G287" s="2657">
        <f>E287*B287</f>
        <v>0</v>
      </c>
    </row>
    <row r="288" spans="1:7">
      <c r="A288" s="2650"/>
      <c r="B288" s="2656"/>
      <c r="C288" s="2654"/>
      <c r="D288" s="2654" t="s">
        <v>1304</v>
      </c>
      <c r="E288" s="2653"/>
      <c r="F288" s="2654"/>
      <c r="G288" s="2657">
        <f>G279+G284+G286+G287</f>
        <v>1022.0691785</v>
      </c>
    </row>
    <row r="289" spans="1:8">
      <c r="A289" s="2650"/>
      <c r="B289" s="2656"/>
      <c r="C289" s="2654"/>
      <c r="D289" s="2654" t="s">
        <v>1305</v>
      </c>
      <c r="E289" s="2653"/>
      <c r="F289" s="2654"/>
      <c r="G289" s="2657">
        <f>ROUND(G288/100,2)</f>
        <v>10.220000000000001</v>
      </c>
    </row>
    <row r="290" spans="1:8">
      <c r="A290" s="2650"/>
      <c r="B290" s="2655"/>
      <c r="C290" s="2653"/>
      <c r="D290" s="2668" t="s">
        <v>52</v>
      </c>
      <c r="E290" s="2657"/>
      <c r="F290" s="2668"/>
      <c r="G290" s="2698">
        <f>ROUND(G289,2)</f>
        <v>10.220000000000001</v>
      </c>
      <c r="H290" s="2369" t="s">
        <v>921</v>
      </c>
    </row>
    <row r="291" spans="1:8">
      <c r="A291" s="2650"/>
      <c r="B291" s="2656"/>
      <c r="C291" s="2654"/>
      <c r="D291" s="2654"/>
      <c r="E291" s="2653"/>
      <c r="F291" s="2654"/>
      <c r="G291" s="2671" t="s">
        <v>137</v>
      </c>
    </row>
    <row r="292" spans="1:8">
      <c r="A292" s="2650"/>
      <c r="B292" s="2656"/>
      <c r="C292" s="2654"/>
      <c r="D292" s="2654"/>
      <c r="E292" s="2653"/>
      <c r="F292" s="2654"/>
      <c r="G292" s="2671"/>
    </row>
    <row r="293" spans="1:8" hidden="1">
      <c r="A293" s="2646">
        <v>5</v>
      </c>
      <c r="B293" s="3533" t="s">
        <v>1308</v>
      </c>
      <c r="C293" s="3533"/>
      <c r="D293" s="3533"/>
      <c r="E293" s="3533"/>
      <c r="F293" s="3533"/>
      <c r="G293" s="3533"/>
    </row>
    <row r="294" spans="1:8" hidden="1">
      <c r="A294" s="2650"/>
      <c r="B294" s="3533" t="s">
        <v>1309</v>
      </c>
      <c r="C294" s="3533"/>
      <c r="D294" s="3533"/>
      <c r="E294" s="3533"/>
      <c r="F294" s="3533"/>
      <c r="G294" s="3533"/>
    </row>
    <row r="295" spans="1:8" ht="123" hidden="1" customHeight="1">
      <c r="A295" s="2650"/>
      <c r="B295" s="3525" t="s">
        <v>2798</v>
      </c>
      <c r="C295" s="3525"/>
      <c r="D295" s="3525"/>
      <c r="E295" s="3525"/>
      <c r="F295" s="3525"/>
      <c r="G295" s="3525"/>
    </row>
    <row r="296" spans="1:8" hidden="1">
      <c r="A296" s="2650"/>
      <c r="B296" s="2712" t="s">
        <v>10</v>
      </c>
      <c r="C296" s="2659"/>
      <c r="D296" s="2651" t="s">
        <v>1310</v>
      </c>
      <c r="E296" s="2653"/>
      <c r="F296" s="2654"/>
      <c r="G296" s="2707"/>
    </row>
    <row r="297" spans="1:8" hidden="1">
      <c r="A297" s="2650"/>
      <c r="B297" s="2665" t="s">
        <v>1311</v>
      </c>
      <c r="C297" s="2659"/>
      <c r="D297" s="2654"/>
      <c r="E297" s="2653"/>
      <c r="F297" s="2654"/>
      <c r="G297" s="2707"/>
    </row>
    <row r="298" spans="1:8" hidden="1">
      <c r="A298" s="2650"/>
      <c r="B298" s="2646" t="s">
        <v>36</v>
      </c>
      <c r="C298" s="2651" t="s">
        <v>37</v>
      </c>
      <c r="D298" s="2646"/>
      <c r="E298" s="2647"/>
      <c r="F298" s="2648"/>
      <c r="G298" s="2708"/>
    </row>
    <row r="299" spans="1:8" hidden="1">
      <c r="A299" s="2650"/>
      <c r="B299" s="2655">
        <v>0.48</v>
      </c>
      <c r="C299" s="2653" t="s">
        <v>38</v>
      </c>
      <c r="D299" s="2654" t="s">
        <v>14</v>
      </c>
      <c r="E299" s="2655">
        <f>'SSR-rates'!$K$58</f>
        <v>575</v>
      </c>
      <c r="F299" s="2656" t="s">
        <v>38</v>
      </c>
      <c r="G299" s="2657">
        <f>ROUND(B299*E299,2)</f>
        <v>276</v>
      </c>
    </row>
    <row r="300" spans="1:8" hidden="1">
      <c r="A300" s="2650"/>
      <c r="B300" s="2655">
        <v>2</v>
      </c>
      <c r="C300" s="2653" t="s">
        <v>38</v>
      </c>
      <c r="D300" s="2654" t="s">
        <v>15</v>
      </c>
      <c r="E300" s="2655">
        <f>'SSR-rates'!$K$59</f>
        <v>575</v>
      </c>
      <c r="F300" s="2656" t="s">
        <v>38</v>
      </c>
      <c r="G300" s="2657">
        <f>ROUND(B300*E300,2)</f>
        <v>1150</v>
      </c>
    </row>
    <row r="301" spans="1:8" hidden="1">
      <c r="A301" s="2650"/>
      <c r="B301" s="2655">
        <v>10</v>
      </c>
      <c r="C301" s="2653" t="s">
        <v>38</v>
      </c>
      <c r="D301" s="2654" t="s">
        <v>16</v>
      </c>
      <c r="E301" s="2655">
        <f>'SSR-rates'!$K$60</f>
        <v>575</v>
      </c>
      <c r="F301" s="2656" t="s">
        <v>38</v>
      </c>
      <c r="G301" s="2657">
        <f>ROUND(B301*E301,2)</f>
        <v>5750</v>
      </c>
    </row>
    <row r="302" spans="1:8" hidden="1">
      <c r="A302" s="2650"/>
      <c r="B302" s="2658">
        <f>'Input Data'!$D$23</f>
        <v>0</v>
      </c>
      <c r="C302" s="2653"/>
      <c r="D302" s="2659" t="s">
        <v>17</v>
      </c>
      <c r="E302" s="2655"/>
      <c r="F302" s="2656"/>
      <c r="G302" s="2657">
        <f>(G300+G301+G299)*B302</f>
        <v>0</v>
      </c>
    </row>
    <row r="303" spans="1:8" hidden="1">
      <c r="A303" s="2650"/>
      <c r="B303" s="2656"/>
      <c r="C303" s="2654"/>
      <c r="D303" s="2654" t="s">
        <v>60</v>
      </c>
      <c r="E303" s="2653"/>
      <c r="F303" s="2654"/>
      <c r="G303" s="2670">
        <f>SUM(G299:G302)</f>
        <v>7176</v>
      </c>
    </row>
    <row r="304" spans="1:8" hidden="1">
      <c r="A304" s="2650"/>
      <c r="B304" s="2646" t="s">
        <v>39</v>
      </c>
      <c r="C304" s="2651" t="s">
        <v>40</v>
      </c>
      <c r="D304" s="2659"/>
      <c r="E304" s="2653"/>
      <c r="F304" s="2654"/>
      <c r="G304" s="2657"/>
    </row>
    <row r="305" spans="1:7" ht="27.6" hidden="1">
      <c r="A305" s="2650"/>
      <c r="B305" s="2655">
        <v>12</v>
      </c>
      <c r="C305" s="2653" t="s">
        <v>41</v>
      </c>
      <c r="D305" s="2663" t="s">
        <v>1272</v>
      </c>
      <c r="E305" s="2655">
        <f>'SSR-rates'!$K$71</f>
        <v>520</v>
      </c>
      <c r="F305" s="2655" t="s">
        <v>41</v>
      </c>
      <c r="G305" s="2657">
        <f>ROUND(B305*E305,2)</f>
        <v>6240</v>
      </c>
    </row>
    <row r="306" spans="1:7" hidden="1">
      <c r="A306" s="2650"/>
      <c r="B306" s="2655">
        <v>12</v>
      </c>
      <c r="C306" s="2653" t="s">
        <v>41</v>
      </c>
      <c r="D306" s="2654" t="s">
        <v>1312</v>
      </c>
      <c r="E306" s="2655">
        <f>'SSR-rates'!$K$71</f>
        <v>520</v>
      </c>
      <c r="F306" s="2655" t="s">
        <v>41</v>
      </c>
      <c r="G306" s="2657">
        <f>ROUND(B306*E306,2)</f>
        <v>6240</v>
      </c>
    </row>
    <row r="307" spans="1:7" hidden="1">
      <c r="A307" s="2650"/>
      <c r="B307" s="2655">
        <v>6</v>
      </c>
      <c r="C307" s="2653" t="s">
        <v>41</v>
      </c>
      <c r="D307" s="2654" t="s">
        <v>214</v>
      </c>
      <c r="E307" s="2655">
        <f>'SSR-rates'!$K$67</f>
        <v>3517.9</v>
      </c>
      <c r="F307" s="2655" t="s">
        <v>41</v>
      </c>
      <c r="G307" s="2657">
        <f>ROUND(B307*E307,2)</f>
        <v>21107.4</v>
      </c>
    </row>
    <row r="308" spans="1:7" hidden="1">
      <c r="A308" s="2650"/>
      <c r="B308" s="2655">
        <v>3</v>
      </c>
      <c r="C308" s="2653" t="s">
        <v>41</v>
      </c>
      <c r="D308" s="2654" t="s">
        <v>213</v>
      </c>
      <c r="E308" s="2655">
        <f>'SSR-rates'!$K$69</f>
        <v>769</v>
      </c>
      <c r="F308" s="2655" t="s">
        <v>41</v>
      </c>
      <c r="G308" s="2657">
        <f>ROUND(B308*E308,2)</f>
        <v>2307</v>
      </c>
    </row>
    <row r="309" spans="1:7" hidden="1">
      <c r="A309" s="2650"/>
      <c r="B309" s="2656"/>
      <c r="C309" s="2654"/>
      <c r="D309" s="2654" t="s">
        <v>60</v>
      </c>
      <c r="E309" s="2653"/>
      <c r="F309" s="2654"/>
      <c r="G309" s="2670">
        <f>SUM(G305:G308)</f>
        <v>35894.400000000001</v>
      </c>
    </row>
    <row r="310" spans="1:7" hidden="1">
      <c r="A310" s="2650"/>
      <c r="B310" s="2646" t="s">
        <v>27</v>
      </c>
      <c r="C310" s="2651" t="s">
        <v>61</v>
      </c>
      <c r="D310" s="2654"/>
      <c r="E310" s="2653"/>
      <c r="F310" s="2654"/>
      <c r="G310" s="2707"/>
    </row>
    <row r="311" spans="1:7" ht="27.6" hidden="1">
      <c r="A311" s="2650"/>
      <c r="B311" s="2656"/>
      <c r="C311" s="2654"/>
      <c r="D311" s="2663" t="s">
        <v>2799</v>
      </c>
      <c r="E311" s="2662"/>
      <c r="F311" s="2654"/>
      <c r="G311" s="2707"/>
    </row>
    <row r="312" spans="1:7" ht="41.4" hidden="1">
      <c r="A312" s="2650"/>
      <c r="B312" s="2655">
        <v>134.4</v>
      </c>
      <c r="C312" s="2653" t="s">
        <v>31</v>
      </c>
      <c r="D312" s="2663" t="s">
        <v>1313</v>
      </c>
      <c r="E312" s="2655">
        <f>AVERAGE(lead!$J$4:$J$9)</f>
        <v>1831.1770984611776</v>
      </c>
      <c r="F312" s="2656" t="s">
        <v>73</v>
      </c>
      <c r="G312" s="2657">
        <f>ROUND(B312*E312,2)</f>
        <v>246110.2</v>
      </c>
    </row>
    <row r="313" spans="1:7" ht="41.4" hidden="1">
      <c r="A313" s="2650"/>
      <c r="B313" s="2655">
        <v>182.4</v>
      </c>
      <c r="C313" s="2653" t="s">
        <v>31</v>
      </c>
      <c r="D313" s="2663" t="s">
        <v>1314</v>
      </c>
      <c r="E313" s="2655">
        <f>AVERAGE(lead!$J$9:$J$11)</f>
        <v>1736.5520984611776</v>
      </c>
      <c r="F313" s="2656" t="s">
        <v>73</v>
      </c>
      <c r="G313" s="2657">
        <f>ROUND(B313*E313,2)</f>
        <v>316747.09999999998</v>
      </c>
    </row>
    <row r="314" spans="1:7" ht="27.6" hidden="1">
      <c r="A314" s="2650"/>
      <c r="B314" s="2655">
        <v>67.2</v>
      </c>
      <c r="C314" s="2653" t="s">
        <v>31</v>
      </c>
      <c r="D314" s="2663" t="s">
        <v>1315</v>
      </c>
      <c r="E314" s="2655">
        <f>lead!$J$12</f>
        <v>1684.4687651278443</v>
      </c>
      <c r="F314" s="2656" t="s">
        <v>73</v>
      </c>
      <c r="G314" s="2657">
        <f>ROUND(B314*E314,2)</f>
        <v>113196.3</v>
      </c>
    </row>
    <row r="315" spans="1:7" hidden="1">
      <c r="A315" s="2650"/>
      <c r="B315" s="2661">
        <v>18</v>
      </c>
      <c r="C315" s="2662" t="s">
        <v>1274</v>
      </c>
      <c r="D315" s="2663" t="s">
        <v>1275</v>
      </c>
      <c r="E315" s="2661">
        <f>IF(lead!$C$63="Y",'SSR-rates'!$K$112,0)</f>
        <v>0</v>
      </c>
      <c r="F315" s="2661" t="s">
        <v>41</v>
      </c>
      <c r="G315" s="2657">
        <f>ROUND(B315*E315,2)</f>
        <v>0</v>
      </c>
    </row>
    <row r="316" spans="1:7" hidden="1">
      <c r="A316" s="2650"/>
      <c r="B316" s="2712">
        <f>SUM(B312:B314)</f>
        <v>384</v>
      </c>
      <c r="C316" s="2653"/>
      <c r="D316" s="2663"/>
      <c r="E316" s="2655"/>
      <c r="F316" s="2656"/>
      <c r="G316" s="2707"/>
    </row>
    <row r="317" spans="1:7" hidden="1">
      <c r="A317" s="2650"/>
      <c r="B317" s="2656"/>
      <c r="C317" s="2654"/>
      <c r="D317" s="2654" t="s">
        <v>60</v>
      </c>
      <c r="E317" s="2653"/>
      <c r="F317" s="2654"/>
      <c r="G317" s="2670">
        <f>SUM(G312:G316)</f>
        <v>676053.60000000009</v>
      </c>
    </row>
    <row r="318" spans="1:7" hidden="1">
      <c r="A318" s="2650"/>
      <c r="B318" s="2646" t="s">
        <v>45</v>
      </c>
      <c r="C318" s="2651" t="s">
        <v>1246</v>
      </c>
      <c r="D318" s="2654"/>
      <c r="E318" s="2653"/>
      <c r="F318" s="2654"/>
      <c r="G318" s="2670"/>
    </row>
    <row r="319" spans="1:7" ht="27.6" hidden="1">
      <c r="A319" s="2650"/>
      <c r="B319" s="2689">
        <f>'Input Data'!$D$24</f>
        <v>0.13614999999999999</v>
      </c>
      <c r="C319" s="2653"/>
      <c r="D319" s="2710" t="str">
        <f>"Over head charges &amp; CP "&amp;'Input Data'!$D$24*100&amp;"%  on (A) + (B)+(C)"</f>
        <v>Over head charges &amp; CP 13.615%  on (A) + (B)+(C)</v>
      </c>
      <c r="E319" s="2657">
        <f>G317+G309+G303</f>
        <v>719124.00000000012</v>
      </c>
      <c r="F319" s="2654"/>
      <c r="G319" s="2657">
        <f>B319*E319</f>
        <v>97908.732600000018</v>
      </c>
    </row>
    <row r="320" spans="1:7" hidden="1">
      <c r="A320" s="2650"/>
      <c r="B320" s="2701">
        <f>'Input Data'!$E$24</f>
        <v>0</v>
      </c>
      <c r="C320" s="2667" t="s">
        <v>1093</v>
      </c>
      <c r="D320" s="2659"/>
      <c r="E320" s="2669">
        <f>E319+G319</f>
        <v>817032.7326000001</v>
      </c>
      <c r="F320" s="2659"/>
      <c r="G320" s="2657">
        <f>E320*B320</f>
        <v>0</v>
      </c>
    </row>
    <row r="321" spans="1:10" hidden="1">
      <c r="A321" s="2650"/>
      <c r="B321" s="2646" t="s">
        <v>47</v>
      </c>
      <c r="C321" s="2651" t="s">
        <v>89</v>
      </c>
      <c r="D321" s="2659"/>
      <c r="E321" s="2653"/>
      <c r="F321" s="2654"/>
      <c r="G321" s="2670">
        <f>G303+G309+G317+G319+G320</f>
        <v>817032.7326000001</v>
      </c>
    </row>
    <row r="322" spans="1:10" hidden="1">
      <c r="A322" s="2650"/>
      <c r="B322" s="2656"/>
      <c r="C322" s="2659"/>
      <c r="D322" s="2651" t="s">
        <v>1316</v>
      </c>
      <c r="E322" s="2653"/>
      <c r="F322" s="2654"/>
      <c r="G322" s="2670">
        <f>SUM(G321)</f>
        <v>817032.7326000001</v>
      </c>
    </row>
    <row r="323" spans="1:10" hidden="1">
      <c r="A323" s="2650"/>
      <c r="B323" s="2656"/>
      <c r="C323" s="2654"/>
      <c r="D323" s="2651" t="s">
        <v>217</v>
      </c>
      <c r="E323" s="2653"/>
      <c r="F323" s="2654"/>
      <c r="G323" s="2657">
        <f>ROUND(G322/300,2)</f>
        <v>2723.44</v>
      </c>
    </row>
    <row r="324" spans="1:10" hidden="1">
      <c r="A324" s="2650"/>
      <c r="B324" s="2656"/>
      <c r="C324" s="2654"/>
      <c r="D324" s="2651" t="s">
        <v>52</v>
      </c>
      <c r="E324" s="2653"/>
      <c r="F324" s="2654"/>
      <c r="G324" s="2670">
        <f>ROUND(G323,2)</f>
        <v>2723.44</v>
      </c>
      <c r="H324" s="2369" t="s">
        <v>921</v>
      </c>
      <c r="J324" s="2408"/>
    </row>
    <row r="325" spans="1:10" hidden="1">
      <c r="A325" s="2650"/>
      <c r="B325" s="2656"/>
      <c r="C325" s="2654"/>
      <c r="D325" s="2654"/>
      <c r="E325" s="2653"/>
      <c r="F325" s="2654"/>
      <c r="G325" s="2708" t="s">
        <v>53</v>
      </c>
    </row>
    <row r="326" spans="1:10" hidden="1">
      <c r="A326" s="2646">
        <f>A293+1</f>
        <v>6</v>
      </c>
      <c r="B326" s="2651" t="s">
        <v>1317</v>
      </c>
      <c r="C326" s="2654"/>
      <c r="D326" s="2654"/>
      <c r="E326" s="2653"/>
      <c r="F326" s="2654"/>
      <c r="G326" s="2708"/>
    </row>
    <row r="327" spans="1:10" hidden="1">
      <c r="A327" s="2650"/>
      <c r="B327" s="3525" t="s">
        <v>1318</v>
      </c>
      <c r="C327" s="3525"/>
      <c r="D327" s="3525"/>
      <c r="E327" s="3525"/>
      <c r="F327" s="3525"/>
      <c r="G327" s="3525"/>
    </row>
    <row r="328" spans="1:10" hidden="1">
      <c r="A328" s="2650"/>
      <c r="B328" s="2651" t="s">
        <v>1319</v>
      </c>
      <c r="C328" s="2692"/>
      <c r="D328" s="2651" t="s">
        <v>1320</v>
      </c>
      <c r="E328" s="2694"/>
      <c r="F328" s="2692"/>
      <c r="G328" s="2660"/>
    </row>
    <row r="329" spans="1:10" hidden="1">
      <c r="A329" s="2650"/>
      <c r="B329" s="2712" t="s">
        <v>10</v>
      </c>
      <c r="C329" s="2659"/>
      <c r="D329" s="2654"/>
      <c r="E329" s="2653"/>
      <c r="F329" s="2654"/>
      <c r="G329" s="2707"/>
    </row>
    <row r="330" spans="1:10" hidden="1">
      <c r="A330" s="2650"/>
      <c r="B330" s="2665" t="s">
        <v>1321</v>
      </c>
      <c r="C330" s="2659"/>
      <c r="D330" s="2654"/>
      <c r="E330" s="2653"/>
      <c r="F330" s="2654"/>
      <c r="G330" s="2707"/>
    </row>
    <row r="331" spans="1:10" hidden="1">
      <c r="A331" s="2650"/>
      <c r="B331" s="2646" t="s">
        <v>36</v>
      </c>
      <c r="C331" s="2651" t="s">
        <v>37</v>
      </c>
      <c r="D331" s="2646"/>
      <c r="E331" s="2647"/>
      <c r="F331" s="2648"/>
      <c r="G331" s="2708"/>
    </row>
    <row r="332" spans="1:10" hidden="1">
      <c r="A332" s="2650"/>
      <c r="B332" s="2655">
        <v>0.68</v>
      </c>
      <c r="C332" s="2653" t="s">
        <v>38</v>
      </c>
      <c r="D332" s="2654" t="s">
        <v>14</v>
      </c>
      <c r="E332" s="2655">
        <f>'SSR-rates'!$K$58</f>
        <v>575</v>
      </c>
      <c r="F332" s="2656" t="s">
        <v>38</v>
      </c>
      <c r="G332" s="2657">
        <f>ROUND(B332*E332,2)</f>
        <v>391</v>
      </c>
    </row>
    <row r="333" spans="1:10" hidden="1">
      <c r="A333" s="2650"/>
      <c r="B333" s="2655">
        <v>2</v>
      </c>
      <c r="C333" s="2653" t="s">
        <v>38</v>
      </c>
      <c r="D333" s="2654" t="s">
        <v>15</v>
      </c>
      <c r="E333" s="2655">
        <f>'SSR-rates'!$K$59</f>
        <v>575</v>
      </c>
      <c r="F333" s="2656" t="s">
        <v>38</v>
      </c>
      <c r="G333" s="2657">
        <f>ROUND(B333*E333,2)</f>
        <v>1150</v>
      </c>
    </row>
    <row r="334" spans="1:10" hidden="1">
      <c r="A334" s="2650"/>
      <c r="B334" s="2655">
        <v>15</v>
      </c>
      <c r="C334" s="2653" t="s">
        <v>38</v>
      </c>
      <c r="D334" s="2654" t="s">
        <v>59</v>
      </c>
      <c r="E334" s="2655">
        <f>'SSR-rates'!$K$60</f>
        <v>575</v>
      </c>
      <c r="F334" s="2656" t="s">
        <v>38</v>
      </c>
      <c r="G334" s="2657">
        <f>ROUND(B334*E334,2)</f>
        <v>8625</v>
      </c>
    </row>
    <row r="335" spans="1:10" hidden="1">
      <c r="A335" s="2650"/>
      <c r="B335" s="2658">
        <f>'Input Data'!$D$23</f>
        <v>0</v>
      </c>
      <c r="C335" s="2653"/>
      <c r="D335" s="2659" t="s">
        <v>17</v>
      </c>
      <c r="E335" s="2655"/>
      <c r="F335" s="2656"/>
      <c r="G335" s="2657">
        <f>(G333+G334+G332)*B335</f>
        <v>0</v>
      </c>
    </row>
    <row r="336" spans="1:10" hidden="1">
      <c r="A336" s="2650"/>
      <c r="B336" s="2656"/>
      <c r="C336" s="2654"/>
      <c r="D336" s="2654" t="s">
        <v>60</v>
      </c>
      <c r="E336" s="2653"/>
      <c r="F336" s="2654"/>
      <c r="G336" s="2670">
        <f>SUM(G332:G335)</f>
        <v>10166</v>
      </c>
    </row>
    <row r="337" spans="1:7" hidden="1">
      <c r="A337" s="2650"/>
      <c r="B337" s="2646" t="s">
        <v>39</v>
      </c>
      <c r="C337" s="2651" t="s">
        <v>40</v>
      </c>
      <c r="D337" s="2659"/>
      <c r="E337" s="2653"/>
      <c r="F337" s="2654"/>
      <c r="G337" s="2657"/>
    </row>
    <row r="338" spans="1:7" ht="27.6" hidden="1">
      <c r="A338" s="2650"/>
      <c r="B338" s="2655">
        <v>14.4</v>
      </c>
      <c r="C338" s="2653" t="s">
        <v>41</v>
      </c>
      <c r="D338" s="2663" t="s">
        <v>1272</v>
      </c>
      <c r="E338" s="2655">
        <f>'SSR-rates'!$K$71</f>
        <v>520</v>
      </c>
      <c r="F338" s="2655" t="s">
        <v>41</v>
      </c>
      <c r="G338" s="2657">
        <f>ROUND(B338*E338,2)</f>
        <v>7488</v>
      </c>
    </row>
    <row r="339" spans="1:7" hidden="1">
      <c r="A339" s="2650"/>
      <c r="B339" s="2655">
        <v>6</v>
      </c>
      <c r="C339" s="2653" t="s">
        <v>41</v>
      </c>
      <c r="D339" s="2654" t="s">
        <v>1322</v>
      </c>
      <c r="E339" s="2655">
        <f>'SSR-rates'!$K$67</f>
        <v>3517.9</v>
      </c>
      <c r="F339" s="2655" t="s">
        <v>41</v>
      </c>
      <c r="G339" s="2657">
        <f>ROUND(B339*E339,2)</f>
        <v>21107.4</v>
      </c>
    </row>
    <row r="340" spans="1:7" hidden="1">
      <c r="A340" s="2650"/>
      <c r="B340" s="2655">
        <v>24</v>
      </c>
      <c r="C340" s="2653" t="s">
        <v>41</v>
      </c>
      <c r="D340" s="2654" t="s">
        <v>70</v>
      </c>
      <c r="E340" s="2655">
        <f>'SSR-rates'!$K$69</f>
        <v>769</v>
      </c>
      <c r="F340" s="2655" t="s">
        <v>41</v>
      </c>
      <c r="G340" s="2657">
        <f>ROUND(B340*E340,2)</f>
        <v>18456</v>
      </c>
    </row>
    <row r="341" spans="1:7" hidden="1">
      <c r="A341" s="2650"/>
      <c r="B341" s="2656"/>
      <c r="C341" s="2654"/>
      <c r="D341" s="2654" t="s">
        <v>60</v>
      </c>
      <c r="E341" s="2653"/>
      <c r="F341" s="2654"/>
      <c r="G341" s="2670">
        <f>SUM(G338:G340)</f>
        <v>47051.4</v>
      </c>
    </row>
    <row r="342" spans="1:7" hidden="1">
      <c r="A342" s="2650"/>
      <c r="B342" s="2656"/>
      <c r="C342" s="2654"/>
      <c r="D342" s="2651" t="s">
        <v>1323</v>
      </c>
      <c r="E342" s="2653"/>
      <c r="F342" s="2654"/>
      <c r="G342" s="2670"/>
    </row>
    <row r="343" spans="1:7" hidden="1">
      <c r="A343" s="2650"/>
      <c r="B343" s="2646" t="s">
        <v>27</v>
      </c>
      <c r="C343" s="2651" t="s">
        <v>61</v>
      </c>
      <c r="D343" s="2654"/>
      <c r="E343" s="2653"/>
      <c r="F343" s="2654"/>
      <c r="G343" s="2707"/>
    </row>
    <row r="344" spans="1:7" hidden="1">
      <c r="A344" s="2650"/>
      <c r="B344" s="2646"/>
      <c r="C344" s="2651"/>
      <c r="D344" s="2651" t="s">
        <v>1324</v>
      </c>
      <c r="E344" s="2653"/>
      <c r="F344" s="2654"/>
      <c r="G344" s="2707"/>
    </row>
    <row r="345" spans="1:7" ht="55.2" hidden="1">
      <c r="A345" s="2650"/>
      <c r="B345" s="2655"/>
      <c r="C345" s="2653"/>
      <c r="D345" s="2663" t="s">
        <v>1325</v>
      </c>
      <c r="E345" s="2661"/>
      <c r="F345" s="2656"/>
      <c r="G345" s="2707"/>
    </row>
    <row r="346" spans="1:7" hidden="1">
      <c r="A346" s="2650"/>
      <c r="B346" s="2655">
        <v>217.8</v>
      </c>
      <c r="C346" s="2653" t="s">
        <v>31</v>
      </c>
      <c r="D346" s="2663" t="s">
        <v>1326</v>
      </c>
      <c r="E346" s="2661">
        <f>(lead!$J$22)</f>
        <v>1503.2187651278443</v>
      </c>
      <c r="F346" s="2656" t="s">
        <v>73</v>
      </c>
      <c r="G346" s="2657">
        <f>B346*E346</f>
        <v>327401.04704484454</v>
      </c>
    </row>
    <row r="347" spans="1:7" hidden="1">
      <c r="A347" s="2650"/>
      <c r="B347" s="2655">
        <v>152.46</v>
      </c>
      <c r="C347" s="2653" t="s">
        <v>31</v>
      </c>
      <c r="D347" s="2663" t="s">
        <v>1327</v>
      </c>
      <c r="E347" s="2661">
        <f>lead!$J$21</f>
        <v>1641.9687651278443</v>
      </c>
      <c r="F347" s="2656" t="s">
        <v>73</v>
      </c>
      <c r="G347" s="2657">
        <f>B347*E347</f>
        <v>250334.55793139117</v>
      </c>
    </row>
    <row r="348" spans="1:7" ht="27.6" hidden="1">
      <c r="A348" s="2650"/>
      <c r="B348" s="2655">
        <v>47.92</v>
      </c>
      <c r="C348" s="2653" t="s">
        <v>31</v>
      </c>
      <c r="D348" s="2663" t="s">
        <v>1328</v>
      </c>
      <c r="E348" s="2661">
        <f>lead!$J$20</f>
        <v>1732.2187651278443</v>
      </c>
      <c r="F348" s="2656" t="s">
        <v>73</v>
      </c>
      <c r="G348" s="2657">
        <f>B348*E348</f>
        <v>83007.9232249263</v>
      </c>
    </row>
    <row r="349" spans="1:7" ht="27.6" hidden="1">
      <c r="A349" s="2650"/>
      <c r="B349" s="2655">
        <v>17.420000000000002</v>
      </c>
      <c r="C349" s="2653" t="s">
        <v>31</v>
      </c>
      <c r="D349" s="2663" t="s">
        <v>1329</v>
      </c>
      <c r="E349" s="2661">
        <f>(lead!$J$7)</f>
        <v>2031.2187651278443</v>
      </c>
      <c r="F349" s="2656" t="s">
        <v>73</v>
      </c>
      <c r="G349" s="2657">
        <f>B349*E349</f>
        <v>35383.830888527053</v>
      </c>
    </row>
    <row r="350" spans="1:7" hidden="1">
      <c r="A350" s="2650"/>
      <c r="B350" s="2655"/>
      <c r="C350" s="2653"/>
      <c r="D350" s="2651" t="s">
        <v>1330</v>
      </c>
      <c r="E350" s="2661"/>
      <c r="F350" s="2656"/>
      <c r="G350" s="2657"/>
    </row>
    <row r="351" spans="1:7" ht="27.6" hidden="1">
      <c r="A351" s="2650"/>
      <c r="B351" s="2655">
        <v>96.01</v>
      </c>
      <c r="C351" s="2653" t="s">
        <v>31</v>
      </c>
      <c r="D351" s="2713" t="s">
        <v>1331</v>
      </c>
      <c r="E351" s="2661">
        <f>(lead!$J$9)</f>
        <v>1780.2187651278443</v>
      </c>
      <c r="F351" s="2656" t="s">
        <v>73</v>
      </c>
      <c r="G351" s="2657">
        <f>B351*E351</f>
        <v>170918.80363992436</v>
      </c>
    </row>
    <row r="352" spans="1:7" hidden="1">
      <c r="A352" s="2650"/>
      <c r="B352" s="2655"/>
      <c r="C352" s="2653"/>
      <c r="D352" s="2713" t="s">
        <v>1332</v>
      </c>
      <c r="E352" s="2661"/>
      <c r="F352" s="2656"/>
      <c r="G352" s="2657"/>
    </row>
    <row r="353" spans="1:8" ht="27.6" hidden="1">
      <c r="A353" s="2650"/>
      <c r="B353" s="2655">
        <v>28.8</v>
      </c>
      <c r="C353" s="2653" t="s">
        <v>31</v>
      </c>
      <c r="D353" s="2713" t="s">
        <v>1333</v>
      </c>
      <c r="E353" s="2661">
        <f>(lead!$J$34)</f>
        <v>219.2847335299036</v>
      </c>
      <c r="F353" s="2656" t="s">
        <v>73</v>
      </c>
      <c r="G353" s="2657">
        <f>B353*E353</f>
        <v>6315.4003256612241</v>
      </c>
    </row>
    <row r="354" spans="1:8" hidden="1">
      <c r="A354" s="2650"/>
      <c r="B354" s="2661">
        <v>144</v>
      </c>
      <c r="C354" s="2662" t="s">
        <v>1274</v>
      </c>
      <c r="D354" s="2663" t="s">
        <v>1275</v>
      </c>
      <c r="E354" s="2661">
        <f>IF(lead!$C$63="Y",'SSR-rates'!$K$112,0)</f>
        <v>0</v>
      </c>
      <c r="F354" s="2661" t="s">
        <v>41</v>
      </c>
      <c r="G354" s="2657">
        <f>ROUND(B354*E354,2)</f>
        <v>0</v>
      </c>
    </row>
    <row r="355" spans="1:8" hidden="1">
      <c r="A355" s="2650"/>
      <c r="B355" s="2712">
        <f>SUM(B346:B353)</f>
        <v>560.41</v>
      </c>
      <c r="C355" s="2653"/>
      <c r="D355" s="2663"/>
      <c r="E355" s="2655"/>
      <c r="F355" s="2656"/>
      <c r="G355" s="2707"/>
    </row>
    <row r="356" spans="1:8" hidden="1">
      <c r="A356" s="2650"/>
      <c r="B356" s="2656"/>
      <c r="C356" s="2654"/>
      <c r="D356" s="2654" t="s">
        <v>60</v>
      </c>
      <c r="E356" s="2653"/>
      <c r="F356" s="2654"/>
      <c r="G356" s="2670">
        <f>SUM(G346:G355)</f>
        <v>873361.56305527466</v>
      </c>
    </row>
    <row r="357" spans="1:8" hidden="1">
      <c r="A357" s="2650"/>
      <c r="B357" s="2646" t="s">
        <v>45</v>
      </c>
      <c r="C357" s="2651" t="s">
        <v>1246</v>
      </c>
      <c r="D357" s="2654"/>
      <c r="E357" s="2653"/>
      <c r="F357" s="2654"/>
      <c r="G357" s="2670"/>
    </row>
    <row r="358" spans="1:8" hidden="1">
      <c r="A358" s="2650"/>
      <c r="B358" s="2689">
        <f>'Input Data'!$D$24</f>
        <v>0.13614999999999999</v>
      </c>
      <c r="C358" s="2653"/>
      <c r="D358" s="2668" t="str">
        <f>"Over head charges &amp; CP  "&amp;'Input Data'!$D$24*100&amp;"%  on (A) + (B)+(C)"</f>
        <v>Over head charges &amp; CP  13.615%  on (A) + (B)+(C)</v>
      </c>
      <c r="E358" s="2653">
        <f>G356+G341+G336</f>
        <v>930578.96305527468</v>
      </c>
      <c r="F358" s="2654"/>
      <c r="G358" s="2657">
        <f>B358*E358</f>
        <v>126698.32581997564</v>
      </c>
    </row>
    <row r="359" spans="1:8" hidden="1">
      <c r="A359" s="2650"/>
      <c r="B359" s="2646" t="s">
        <v>47</v>
      </c>
      <c r="C359" s="2651" t="s">
        <v>89</v>
      </c>
      <c r="D359" s="2659"/>
      <c r="E359" s="2653"/>
      <c r="F359" s="2654"/>
      <c r="G359" s="2670">
        <f>G336+G341+G356+G358</f>
        <v>1057277.2888752504</v>
      </c>
    </row>
    <row r="360" spans="1:8" hidden="1">
      <c r="A360" s="2650"/>
      <c r="B360" s="2656"/>
      <c r="C360" s="2659"/>
      <c r="D360" s="2651" t="s">
        <v>1334</v>
      </c>
      <c r="E360" s="2653"/>
      <c r="F360" s="2654"/>
      <c r="G360" s="2670">
        <f>SUM(G359)</f>
        <v>1057277.2888752504</v>
      </c>
    </row>
    <row r="361" spans="1:8" hidden="1">
      <c r="A361" s="2650"/>
      <c r="B361" s="2656"/>
      <c r="C361" s="2654"/>
      <c r="D361" s="2651" t="s">
        <v>217</v>
      </c>
      <c r="E361" s="2653"/>
      <c r="F361" s="2654"/>
      <c r="G361" s="2657">
        <f>ROUND(G360/360,2)</f>
        <v>2936.88</v>
      </c>
    </row>
    <row r="362" spans="1:8" hidden="1">
      <c r="A362" s="2650"/>
      <c r="B362" s="2656"/>
      <c r="C362" s="2654"/>
      <c r="D362" s="2651" t="s">
        <v>52</v>
      </c>
      <c r="E362" s="2653"/>
      <c r="F362" s="2654"/>
      <c r="G362" s="2670">
        <f>ROUND(G361,2)</f>
        <v>2936.88</v>
      </c>
      <c r="H362" s="2369" t="s">
        <v>921</v>
      </c>
    </row>
    <row r="363" spans="1:8" hidden="1">
      <c r="A363" s="2650"/>
      <c r="B363" s="2656"/>
      <c r="C363" s="2654"/>
      <c r="D363" s="2654"/>
      <c r="E363" s="2653"/>
      <c r="F363" s="2654"/>
      <c r="G363" s="2708" t="s">
        <v>53</v>
      </c>
    </row>
    <row r="364" spans="1:8" hidden="1">
      <c r="A364" s="2650"/>
      <c r="B364" s="2656"/>
      <c r="C364" s="2654"/>
      <c r="D364" s="2654"/>
      <c r="E364" s="2653"/>
      <c r="F364" s="2654"/>
      <c r="G364" s="2708"/>
    </row>
    <row r="365" spans="1:8" hidden="1">
      <c r="A365" s="2650">
        <f>A326+1</f>
        <v>7</v>
      </c>
      <c r="B365" s="2651" t="s">
        <v>1335</v>
      </c>
      <c r="C365" s="2654"/>
      <c r="D365" s="2654"/>
      <c r="E365" s="2653"/>
      <c r="F365" s="2654"/>
      <c r="G365" s="2709"/>
    </row>
    <row r="366" spans="1:8" hidden="1">
      <c r="A366" s="2650"/>
      <c r="B366" s="3525" t="s">
        <v>1336</v>
      </c>
      <c r="C366" s="3525"/>
      <c r="D366" s="3525"/>
      <c r="E366" s="3525"/>
      <c r="F366" s="3525"/>
      <c r="G366" s="3525"/>
    </row>
    <row r="367" spans="1:8" hidden="1">
      <c r="A367" s="2650"/>
      <c r="B367" s="2654" t="s">
        <v>1319</v>
      </c>
      <c r="C367" s="2692"/>
      <c r="D367" s="2651"/>
      <c r="E367" s="2665" t="s">
        <v>1320</v>
      </c>
      <c r="F367" s="2692"/>
      <c r="G367" s="2660"/>
    </row>
    <row r="368" spans="1:8" hidden="1">
      <c r="A368" s="2650"/>
      <c r="B368" s="2712" t="s">
        <v>10</v>
      </c>
      <c r="C368" s="2659"/>
      <c r="D368" s="2654"/>
      <c r="E368" s="2653"/>
      <c r="F368" s="2654"/>
      <c r="G368" s="2707"/>
    </row>
    <row r="369" spans="1:7" hidden="1">
      <c r="A369" s="2650"/>
      <c r="B369" s="2665" t="s">
        <v>1321</v>
      </c>
      <c r="C369" s="2659"/>
      <c r="D369" s="2654"/>
      <c r="E369" s="2653"/>
      <c r="F369" s="2654"/>
      <c r="G369" s="2707"/>
    </row>
    <row r="370" spans="1:7" hidden="1">
      <c r="A370" s="2650"/>
      <c r="B370" s="2646" t="s">
        <v>36</v>
      </c>
      <c r="C370" s="2651" t="s">
        <v>37</v>
      </c>
      <c r="D370" s="2646"/>
      <c r="E370" s="2647"/>
      <c r="F370" s="2648"/>
      <c r="G370" s="2708"/>
    </row>
    <row r="371" spans="1:7" hidden="1">
      <c r="A371" s="2650"/>
      <c r="B371" s="2655">
        <v>0.68</v>
      </c>
      <c r="C371" s="2653" t="s">
        <v>38</v>
      </c>
      <c r="D371" s="2654" t="s">
        <v>14</v>
      </c>
      <c r="E371" s="2655">
        <f>'SSR-rates'!$K$58</f>
        <v>575</v>
      </c>
      <c r="F371" s="2656" t="s">
        <v>38</v>
      </c>
      <c r="G371" s="2657">
        <f>ROUND(B371*E371,2)</f>
        <v>391</v>
      </c>
    </row>
    <row r="372" spans="1:7" hidden="1">
      <c r="A372" s="2650"/>
      <c r="B372" s="2655">
        <v>2</v>
      </c>
      <c r="C372" s="2653" t="s">
        <v>38</v>
      </c>
      <c r="D372" s="2654" t="s">
        <v>15</v>
      </c>
      <c r="E372" s="2655">
        <f>'SSR-rates'!$K$59</f>
        <v>575</v>
      </c>
      <c r="F372" s="2656" t="s">
        <v>38</v>
      </c>
      <c r="G372" s="2657">
        <f>ROUND(B372*E372,2)</f>
        <v>1150</v>
      </c>
    </row>
    <row r="373" spans="1:7" hidden="1">
      <c r="A373" s="2650"/>
      <c r="B373" s="2655">
        <v>15</v>
      </c>
      <c r="C373" s="2653" t="s">
        <v>38</v>
      </c>
      <c r="D373" s="2654" t="s">
        <v>59</v>
      </c>
      <c r="E373" s="2655">
        <f>'SSR-rates'!$K$60</f>
        <v>575</v>
      </c>
      <c r="F373" s="2656" t="s">
        <v>38</v>
      </c>
      <c r="G373" s="2657">
        <f>ROUND(B373*E373,2)</f>
        <v>8625</v>
      </c>
    </row>
    <row r="374" spans="1:7" hidden="1">
      <c r="A374" s="2650"/>
      <c r="B374" s="2658">
        <f>'Input Data'!$D$23</f>
        <v>0</v>
      </c>
      <c r="C374" s="2653"/>
      <c r="D374" s="2659" t="s">
        <v>17</v>
      </c>
      <c r="E374" s="2655"/>
      <c r="F374" s="2656"/>
      <c r="G374" s="2657">
        <f>(G372+G373+G371)*B374</f>
        <v>0</v>
      </c>
    </row>
    <row r="375" spans="1:7" hidden="1">
      <c r="A375" s="2650"/>
      <c r="B375" s="2656"/>
      <c r="C375" s="2654"/>
      <c r="D375" s="2654" t="s">
        <v>60</v>
      </c>
      <c r="E375" s="2653"/>
      <c r="F375" s="2654"/>
      <c r="G375" s="2670">
        <f>SUM(G371:G374)</f>
        <v>10166</v>
      </c>
    </row>
    <row r="376" spans="1:7" hidden="1">
      <c r="A376" s="2650"/>
      <c r="B376" s="2646" t="s">
        <v>39</v>
      </c>
      <c r="C376" s="2651" t="s">
        <v>40</v>
      </c>
      <c r="D376" s="2659"/>
      <c r="E376" s="2653"/>
      <c r="F376" s="2654"/>
      <c r="G376" s="2657"/>
    </row>
    <row r="377" spans="1:7" ht="27.6" hidden="1">
      <c r="A377" s="2650"/>
      <c r="B377" s="2655">
        <v>14.4</v>
      </c>
      <c r="C377" s="2653" t="s">
        <v>41</v>
      </c>
      <c r="D377" s="2663" t="s">
        <v>1272</v>
      </c>
      <c r="E377" s="2655">
        <f>'SSR-rates'!$K$71</f>
        <v>520</v>
      </c>
      <c r="F377" s="2655" t="s">
        <v>41</v>
      </c>
      <c r="G377" s="2657">
        <f>ROUND(B377*E377,2)</f>
        <v>7488</v>
      </c>
    </row>
    <row r="378" spans="1:7" hidden="1">
      <c r="A378" s="2650"/>
      <c r="B378" s="2655">
        <v>6</v>
      </c>
      <c r="C378" s="2653" t="s">
        <v>41</v>
      </c>
      <c r="D378" s="2654" t="s">
        <v>1322</v>
      </c>
      <c r="E378" s="2655">
        <f>'SSR-rates'!$K$67</f>
        <v>3517.9</v>
      </c>
      <c r="F378" s="2655" t="s">
        <v>41</v>
      </c>
      <c r="G378" s="2657">
        <f>ROUND(B378*E378,2)</f>
        <v>21107.4</v>
      </c>
    </row>
    <row r="379" spans="1:7" hidden="1">
      <c r="A379" s="2650"/>
      <c r="B379" s="2655">
        <v>24</v>
      </c>
      <c r="C379" s="2653" t="s">
        <v>41</v>
      </c>
      <c r="D379" s="2654" t="s">
        <v>70</v>
      </c>
      <c r="E379" s="2655">
        <f>'SSR-rates'!$K$69</f>
        <v>769</v>
      </c>
      <c r="F379" s="2655" t="s">
        <v>41</v>
      </c>
      <c r="G379" s="2657">
        <f>ROUND(B379*E379,2)</f>
        <v>18456</v>
      </c>
    </row>
    <row r="380" spans="1:7" hidden="1">
      <c r="A380" s="2650"/>
      <c r="B380" s="2656"/>
      <c r="C380" s="2654"/>
      <c r="D380" s="2654" t="s">
        <v>60</v>
      </c>
      <c r="E380" s="2653"/>
      <c r="F380" s="2654"/>
      <c r="G380" s="2670">
        <f>SUM(G377:G379)</f>
        <v>47051.4</v>
      </c>
    </row>
    <row r="381" spans="1:7" hidden="1">
      <c r="A381" s="2650"/>
      <c r="B381" s="2656"/>
      <c r="C381" s="2654"/>
      <c r="D381" s="2651" t="s">
        <v>1337</v>
      </c>
      <c r="E381" s="2653"/>
      <c r="F381" s="2654"/>
      <c r="G381" s="2670"/>
    </row>
    <row r="382" spans="1:7" hidden="1">
      <c r="A382" s="2650"/>
      <c r="B382" s="2646" t="s">
        <v>27</v>
      </c>
      <c r="C382" s="2651" t="s">
        <v>61</v>
      </c>
      <c r="D382" s="2654"/>
      <c r="E382" s="2653"/>
      <c r="F382" s="2654"/>
      <c r="G382" s="2707"/>
    </row>
    <row r="383" spans="1:7" hidden="1">
      <c r="A383" s="2650"/>
      <c r="B383" s="2646"/>
      <c r="C383" s="2651"/>
      <c r="D383" s="2651" t="s">
        <v>1324</v>
      </c>
      <c r="E383" s="2653"/>
      <c r="F383" s="2654"/>
      <c r="G383" s="2707"/>
    </row>
    <row r="384" spans="1:7" ht="41.4" hidden="1">
      <c r="A384" s="2650"/>
      <c r="B384" s="2655"/>
      <c r="C384" s="2653"/>
      <c r="D384" s="2663" t="s">
        <v>1338</v>
      </c>
      <c r="E384" s="2661"/>
      <c r="F384" s="2656"/>
      <c r="G384" s="2707"/>
    </row>
    <row r="385" spans="1:8" ht="27.6" hidden="1">
      <c r="A385" s="2650"/>
      <c r="B385" s="2655">
        <v>357.19</v>
      </c>
      <c r="C385" s="2653" t="s">
        <v>31</v>
      </c>
      <c r="D385" s="2663" t="s">
        <v>1339</v>
      </c>
      <c r="E385" s="2661">
        <f>(lead!$J$5)</f>
        <v>1732.2187651278443</v>
      </c>
      <c r="F385" s="2656" t="s">
        <v>73</v>
      </c>
      <c r="G385" s="2657">
        <f>B385*E385</f>
        <v>618731.22071601474</v>
      </c>
    </row>
    <row r="386" spans="1:8" ht="27.6" hidden="1">
      <c r="A386" s="2650"/>
      <c r="B386" s="2655">
        <v>78.41</v>
      </c>
      <c r="C386" s="2653" t="s">
        <v>31</v>
      </c>
      <c r="D386" s="2663" t="s">
        <v>1340</v>
      </c>
      <c r="E386" s="2661">
        <f>(lead!$J$7)</f>
        <v>2031.2187651278443</v>
      </c>
      <c r="F386" s="2656" t="s">
        <v>73</v>
      </c>
      <c r="G386" s="2657">
        <f>B386*E386</f>
        <v>159267.86337367428</v>
      </c>
    </row>
    <row r="387" spans="1:8" hidden="1">
      <c r="A387" s="2650"/>
      <c r="B387" s="2655"/>
      <c r="C387" s="2653"/>
      <c r="D387" s="2651" t="s">
        <v>1330</v>
      </c>
      <c r="E387" s="2661"/>
      <c r="F387" s="2656"/>
      <c r="G387" s="2657"/>
    </row>
    <row r="388" spans="1:8" ht="27.6" hidden="1">
      <c r="A388" s="2650"/>
      <c r="B388" s="2655">
        <v>86.4</v>
      </c>
      <c r="C388" s="2653" t="s">
        <v>31</v>
      </c>
      <c r="D388" s="2713" t="s">
        <v>1341</v>
      </c>
      <c r="E388" s="2661">
        <f>(lead!$J$9)</f>
        <v>1780.2187651278443</v>
      </c>
      <c r="F388" s="2656" t="s">
        <v>73</v>
      </c>
      <c r="G388" s="2657">
        <f>B388*E388</f>
        <v>153810.90130704577</v>
      </c>
    </row>
    <row r="389" spans="1:8" hidden="1">
      <c r="A389" s="2650"/>
      <c r="B389" s="2655"/>
      <c r="C389" s="2653"/>
      <c r="D389" s="2713" t="s">
        <v>1332</v>
      </c>
      <c r="E389" s="2661"/>
      <c r="F389" s="2656"/>
      <c r="G389" s="2657"/>
    </row>
    <row r="390" spans="1:8" ht="27.6" hidden="1">
      <c r="A390" s="2650"/>
      <c r="B390" s="2655">
        <v>0</v>
      </c>
      <c r="C390" s="2653" t="s">
        <v>31</v>
      </c>
      <c r="D390" s="2713" t="s">
        <v>1333</v>
      </c>
      <c r="E390" s="2661">
        <f>(lead!$J$34)</f>
        <v>219.2847335299036</v>
      </c>
      <c r="F390" s="2656" t="s">
        <v>73</v>
      </c>
      <c r="G390" s="2657">
        <f>B390*E390</f>
        <v>0</v>
      </c>
    </row>
    <row r="391" spans="1:8" hidden="1">
      <c r="A391" s="2650"/>
      <c r="B391" s="2655">
        <v>144</v>
      </c>
      <c r="C391" s="2653" t="s">
        <v>1274</v>
      </c>
      <c r="D391" s="2713" t="s">
        <v>1342</v>
      </c>
      <c r="E391" s="2661">
        <f>IF(lead!$C$63="Y",'SSR-rates'!$K$112,0)</f>
        <v>0</v>
      </c>
      <c r="F391" s="2661" t="s">
        <v>41</v>
      </c>
      <c r="G391" s="2657">
        <f>ROUND(B391*E391,2)</f>
        <v>0</v>
      </c>
    </row>
    <row r="392" spans="1:8" hidden="1">
      <c r="A392" s="2650"/>
      <c r="B392" s="2656"/>
      <c r="C392" s="2654"/>
      <c r="D392" s="2654" t="s">
        <v>60</v>
      </c>
      <c r="E392" s="2653"/>
      <c r="F392" s="2654"/>
      <c r="G392" s="2670">
        <f>SUM(G385:G391)</f>
        <v>931809.98539673467</v>
      </c>
    </row>
    <row r="393" spans="1:8" hidden="1">
      <c r="A393" s="2650"/>
      <c r="B393" s="2646" t="s">
        <v>45</v>
      </c>
      <c r="C393" s="2651" t="s">
        <v>1246</v>
      </c>
      <c r="D393" s="2654"/>
      <c r="E393" s="2653"/>
      <c r="F393" s="2654"/>
      <c r="G393" s="2670"/>
    </row>
    <row r="394" spans="1:8" ht="27.6" hidden="1">
      <c r="A394" s="2650"/>
      <c r="B394" s="2689">
        <f>'Input Data'!$D$24</f>
        <v>0.13614999999999999</v>
      </c>
      <c r="C394" s="2653"/>
      <c r="D394" s="2710" t="str">
        <f>"Over head charges &amp; CP "&amp;'Input Data'!$D$24*100&amp;"%  on (A) + (B)+(C)"</f>
        <v>Over head charges &amp; CP 13.615%  on (A) + (B)+(C)</v>
      </c>
      <c r="E394" s="2653">
        <f>G392+G380+G375</f>
        <v>989027.38539673469</v>
      </c>
      <c r="F394" s="2654"/>
      <c r="G394" s="2657">
        <f>B394*E394</f>
        <v>134656.07852176542</v>
      </c>
    </row>
    <row r="395" spans="1:8" hidden="1">
      <c r="A395" s="2650"/>
      <c r="B395" s="2646" t="s">
        <v>47</v>
      </c>
      <c r="C395" s="2651" t="s">
        <v>89</v>
      </c>
      <c r="D395" s="2659"/>
      <c r="E395" s="2653"/>
      <c r="F395" s="2654"/>
      <c r="G395" s="2670">
        <f>G375+G380+G392+G394</f>
        <v>1123683.4639185001</v>
      </c>
    </row>
    <row r="396" spans="1:8" hidden="1">
      <c r="A396" s="2650"/>
      <c r="B396" s="2656"/>
      <c r="C396" s="2659"/>
      <c r="D396" s="2651" t="s">
        <v>1334</v>
      </c>
      <c r="E396" s="2653"/>
      <c r="F396" s="2654"/>
      <c r="G396" s="2670">
        <f>SUM(G395)</f>
        <v>1123683.4639185001</v>
      </c>
    </row>
    <row r="397" spans="1:8" hidden="1">
      <c r="A397" s="2650"/>
      <c r="B397" s="2656"/>
      <c r="C397" s="2654"/>
      <c r="D397" s="2651" t="s">
        <v>217</v>
      </c>
      <c r="E397" s="2653"/>
      <c r="F397" s="2654"/>
      <c r="G397" s="2657">
        <f>ROUND(G396/360,2)</f>
        <v>3121.34</v>
      </c>
    </row>
    <row r="398" spans="1:8" hidden="1">
      <c r="A398" s="2650"/>
      <c r="B398" s="2656"/>
      <c r="C398" s="2654"/>
      <c r="D398" s="2651" t="s">
        <v>52</v>
      </c>
      <c r="E398" s="2653"/>
      <c r="F398" s="2654"/>
      <c r="G398" s="2670">
        <f>ROUND(G397,2)</f>
        <v>3121.34</v>
      </c>
      <c r="H398" s="2369" t="s">
        <v>921</v>
      </c>
    </row>
    <row r="399" spans="1:8" hidden="1">
      <c r="A399" s="2650"/>
      <c r="B399" s="2656"/>
      <c r="C399" s="2654"/>
      <c r="D399" s="2654"/>
      <c r="E399" s="2653"/>
      <c r="F399" s="2654"/>
      <c r="G399" s="2708" t="s">
        <v>53</v>
      </c>
    </row>
    <row r="400" spans="1:8" s="2635" customFormat="1" ht="100.2" customHeight="1">
      <c r="A400" s="2650">
        <v>6</v>
      </c>
      <c r="B400" s="3525" t="s">
        <v>2800</v>
      </c>
      <c r="C400" s="3525"/>
      <c r="D400" s="3525"/>
      <c r="E400" s="3525"/>
      <c r="F400" s="3525"/>
      <c r="G400" s="3525"/>
    </row>
    <row r="401" spans="1:7">
      <c r="A401" s="2650"/>
      <c r="B401" s="2646" t="s">
        <v>10</v>
      </c>
      <c r="C401" s="2654"/>
      <c r="D401" s="2651" t="s">
        <v>1343</v>
      </c>
      <c r="E401" s="2653"/>
      <c r="F401" s="2654"/>
      <c r="G401" s="2660"/>
    </row>
    <row r="402" spans="1:7">
      <c r="A402" s="2650"/>
      <c r="B402" s="2651" t="s">
        <v>1344</v>
      </c>
      <c r="C402" s="2654"/>
      <c r="D402" s="2654"/>
      <c r="E402" s="2653"/>
      <c r="F402" s="2654"/>
      <c r="G402" s="2660"/>
    </row>
    <row r="403" spans="1:7">
      <c r="A403" s="2650"/>
      <c r="B403" s="2714" t="s">
        <v>36</v>
      </c>
      <c r="C403" s="2715" t="s">
        <v>37</v>
      </c>
      <c r="D403" s="2659"/>
      <c r="E403" s="2653"/>
      <c r="F403" s="2654"/>
      <c r="G403" s="2660"/>
    </row>
    <row r="404" spans="1:7">
      <c r="A404" s="2650"/>
      <c r="B404" s="2655">
        <v>0.48</v>
      </c>
      <c r="C404" s="2653" t="s">
        <v>1345</v>
      </c>
      <c r="D404" s="2654" t="s">
        <v>14</v>
      </c>
      <c r="E404" s="2655">
        <f>'SSR-rates'!$K$58</f>
        <v>575</v>
      </c>
      <c r="F404" s="2655" t="s">
        <v>38</v>
      </c>
      <c r="G404" s="2657">
        <f>ROUND(B404*E404,2)</f>
        <v>276</v>
      </c>
    </row>
    <row r="405" spans="1:7">
      <c r="A405" s="2650"/>
      <c r="B405" s="2655">
        <v>2</v>
      </c>
      <c r="C405" s="2653" t="s">
        <v>1345</v>
      </c>
      <c r="D405" s="2654" t="s">
        <v>15</v>
      </c>
      <c r="E405" s="2655">
        <f>'SSR-rates'!$K$59</f>
        <v>575</v>
      </c>
      <c r="F405" s="2655" t="s">
        <v>38</v>
      </c>
      <c r="G405" s="2657">
        <f>ROUND(B405*E405,2)</f>
        <v>1150</v>
      </c>
    </row>
    <row r="406" spans="1:7">
      <c r="A406" s="2650"/>
      <c r="B406" s="2655">
        <v>10</v>
      </c>
      <c r="C406" s="2653" t="s">
        <v>1345</v>
      </c>
      <c r="D406" s="2654" t="s">
        <v>312</v>
      </c>
      <c r="E406" s="2655">
        <f>'SSR-rates'!$K$60</f>
        <v>575</v>
      </c>
      <c r="F406" s="2655" t="s">
        <v>38</v>
      </c>
      <c r="G406" s="2657">
        <f>ROUND(B406*E406,2)</f>
        <v>5750</v>
      </c>
    </row>
    <row r="407" spans="1:7">
      <c r="A407" s="2650"/>
      <c r="B407" s="2658">
        <f>'Input Data'!$D$23</f>
        <v>0</v>
      </c>
      <c r="C407" s="2653"/>
      <c r="D407" s="2659" t="s">
        <v>17</v>
      </c>
      <c r="E407" s="2655"/>
      <c r="F407" s="2656"/>
      <c r="G407" s="2657">
        <f>(G405+G406+G404)*B407</f>
        <v>0</v>
      </c>
    </row>
    <row r="408" spans="1:7" s="2636" customFormat="1">
      <c r="A408" s="2650"/>
      <c r="B408" s="2712"/>
      <c r="C408" s="2712"/>
      <c r="D408" s="2651" t="s">
        <v>60</v>
      </c>
      <c r="E408" s="2712"/>
      <c r="F408" s="2651"/>
      <c r="G408" s="2670">
        <f>SUM(G404:G407)</f>
        <v>7176</v>
      </c>
    </row>
    <row r="409" spans="1:7">
      <c r="A409" s="2650"/>
      <c r="B409" s="2714" t="s">
        <v>39</v>
      </c>
      <c r="C409" s="2715" t="s">
        <v>40</v>
      </c>
      <c r="D409" s="2659"/>
      <c r="E409" s="2655"/>
      <c r="F409" s="2654"/>
      <c r="G409" s="2660"/>
    </row>
    <row r="410" spans="1:7">
      <c r="A410" s="2650"/>
      <c r="B410" s="2655">
        <v>8.25</v>
      </c>
      <c r="C410" s="2653" t="s">
        <v>41</v>
      </c>
      <c r="D410" s="2654" t="s">
        <v>1346</v>
      </c>
      <c r="E410" s="2655">
        <f>'SSR-rates'!$K$74</f>
        <v>2028</v>
      </c>
      <c r="F410" s="2655" t="s">
        <v>41</v>
      </c>
      <c r="G410" s="2657">
        <f t="shared" ref="G410:G415" si="1">ROUND(B410*E410,2)</f>
        <v>16731</v>
      </c>
    </row>
    <row r="411" spans="1:7">
      <c r="A411" s="2650"/>
      <c r="B411" s="2655">
        <v>6</v>
      </c>
      <c r="C411" s="2653" t="s">
        <v>41</v>
      </c>
      <c r="D411" s="2654" t="s">
        <v>1347</v>
      </c>
      <c r="E411" s="2655">
        <f>'SSR-rates'!$K$86</f>
        <v>1626</v>
      </c>
      <c r="F411" s="2655" t="s">
        <v>41</v>
      </c>
      <c r="G411" s="2657">
        <f t="shared" si="1"/>
        <v>9756</v>
      </c>
    </row>
    <row r="412" spans="1:7">
      <c r="A412" s="2650"/>
      <c r="B412" s="2655">
        <v>6</v>
      </c>
      <c r="C412" s="2653" t="s">
        <v>41</v>
      </c>
      <c r="D412" s="2654" t="s">
        <v>1348</v>
      </c>
      <c r="E412" s="2655">
        <f>'SSR-rates'!$K$65</f>
        <v>2028</v>
      </c>
      <c r="F412" s="2655" t="s">
        <v>41</v>
      </c>
      <c r="G412" s="2657">
        <f t="shared" si="1"/>
        <v>12168</v>
      </c>
    </row>
    <row r="413" spans="1:7">
      <c r="A413" s="2650"/>
      <c r="B413" s="2655">
        <v>6</v>
      </c>
      <c r="C413" s="2653" t="s">
        <v>41</v>
      </c>
      <c r="D413" s="2654" t="s">
        <v>1349</v>
      </c>
      <c r="E413" s="2655">
        <f>'SSR-rates'!$K$80</f>
        <v>2771</v>
      </c>
      <c r="F413" s="2655" t="s">
        <v>41</v>
      </c>
      <c r="G413" s="2657">
        <f t="shared" si="1"/>
        <v>16626</v>
      </c>
    </row>
    <row r="414" spans="1:7">
      <c r="A414" s="2650"/>
      <c r="B414" s="2655">
        <v>3.9</v>
      </c>
      <c r="C414" s="2653" t="s">
        <v>41</v>
      </c>
      <c r="D414" s="2654" t="s">
        <v>1350</v>
      </c>
      <c r="E414" s="2655">
        <f>'SSR-rates'!$K$67</f>
        <v>3517.9</v>
      </c>
      <c r="F414" s="2655" t="s">
        <v>41</v>
      </c>
      <c r="G414" s="2657">
        <f t="shared" si="1"/>
        <v>13719.81</v>
      </c>
    </row>
    <row r="415" spans="1:7">
      <c r="A415" s="2650"/>
      <c r="B415" s="2655">
        <v>3</v>
      </c>
      <c r="C415" s="2653" t="s">
        <v>41</v>
      </c>
      <c r="D415" s="2654" t="s">
        <v>1351</v>
      </c>
      <c r="E415" s="2655">
        <f>'SSR-rates'!$K$69</f>
        <v>769</v>
      </c>
      <c r="F415" s="2655" t="s">
        <v>41</v>
      </c>
      <c r="G415" s="2657">
        <f t="shared" si="1"/>
        <v>2307</v>
      </c>
    </row>
    <row r="416" spans="1:7">
      <c r="A416" s="2650"/>
      <c r="B416" s="2656"/>
      <c r="C416" s="2654"/>
      <c r="D416" s="2654" t="s">
        <v>60</v>
      </c>
      <c r="E416" s="2655"/>
      <c r="F416" s="2654"/>
      <c r="G416" s="2670">
        <f>SUM(G410:G415)</f>
        <v>71307.81</v>
      </c>
    </row>
    <row r="417" spans="1:8">
      <c r="A417" s="2650"/>
      <c r="B417" s="2714" t="s">
        <v>27</v>
      </c>
      <c r="C417" s="2715" t="s">
        <v>61</v>
      </c>
      <c r="D417" s="2659"/>
      <c r="E417" s="2655"/>
      <c r="F417" s="2654"/>
      <c r="G417" s="2660"/>
    </row>
    <row r="418" spans="1:8" ht="27.6">
      <c r="A418" s="2650"/>
      <c r="B418" s="2655">
        <v>89.1</v>
      </c>
      <c r="C418" s="2653" t="s">
        <v>31</v>
      </c>
      <c r="D418" s="2663" t="s">
        <v>1352</v>
      </c>
      <c r="E418" s="2655">
        <f>(lead!J5+lead!J6+lead!J7)/3</f>
        <v>1894.8854317945109</v>
      </c>
      <c r="F418" s="2656" t="s">
        <v>31</v>
      </c>
      <c r="G418" s="2657">
        <f>ROUND(B418*E418,2)</f>
        <v>168834.29</v>
      </c>
    </row>
    <row r="419" spans="1:8">
      <c r="A419" s="2650"/>
      <c r="B419" s="2655"/>
      <c r="C419" s="2653"/>
      <c r="D419" s="2654" t="s">
        <v>1353</v>
      </c>
      <c r="E419" s="2655"/>
      <c r="F419" s="2656"/>
      <c r="G419" s="2657"/>
    </row>
    <row r="420" spans="1:8" ht="27.6">
      <c r="A420" s="2650"/>
      <c r="B420" s="2655">
        <v>118.8</v>
      </c>
      <c r="C420" s="2653" t="s">
        <v>31</v>
      </c>
      <c r="D420" s="2663" t="s">
        <v>1354</v>
      </c>
      <c r="E420" s="2655">
        <f>(lead!J7+lead!J8+lead!J9+lead!J10+lead!J11)/5</f>
        <v>1824.2187651278443</v>
      </c>
      <c r="F420" s="2656" t="s">
        <v>31</v>
      </c>
      <c r="G420" s="2657">
        <f>ROUND(B420*E420,2)</f>
        <v>216717.19</v>
      </c>
    </row>
    <row r="421" spans="1:8">
      <c r="A421" s="2650"/>
      <c r="B421" s="2655"/>
      <c r="C421" s="2653"/>
      <c r="D421" s="2654" t="s">
        <v>1355</v>
      </c>
      <c r="E421" s="2655"/>
      <c r="F421" s="2656"/>
      <c r="G421" s="2657"/>
    </row>
    <row r="422" spans="1:8" ht="27.6">
      <c r="A422" s="2650"/>
      <c r="B422" s="2655">
        <v>89.1</v>
      </c>
      <c r="C422" s="2653" t="s">
        <v>31</v>
      </c>
      <c r="D422" s="2716" t="s">
        <v>1356</v>
      </c>
      <c r="E422" s="2655">
        <f>lead!J12</f>
        <v>1684.4687651278443</v>
      </c>
      <c r="F422" s="2656" t="s">
        <v>31</v>
      </c>
      <c r="G422" s="2657">
        <f>ROUND(B422*E422,2)</f>
        <v>150086.17000000001</v>
      </c>
    </row>
    <row r="423" spans="1:8">
      <c r="A423" s="2650"/>
      <c r="B423" s="2661">
        <v>18</v>
      </c>
      <c r="C423" s="2662" t="s">
        <v>1274</v>
      </c>
      <c r="D423" s="2663" t="s">
        <v>1275</v>
      </c>
      <c r="E423" s="2661">
        <f>IF(lead!$C$63="Y",'SSR-rates'!$K$112,0)</f>
        <v>0</v>
      </c>
      <c r="F423" s="2661" t="s">
        <v>41</v>
      </c>
      <c r="G423" s="2657">
        <f>ROUND(B423*E423,2)</f>
        <v>0</v>
      </c>
    </row>
    <row r="424" spans="1:8">
      <c r="A424" s="2650"/>
      <c r="B424" s="2655"/>
      <c r="C424" s="2653"/>
      <c r="D424" s="2654" t="s">
        <v>60</v>
      </c>
      <c r="E424" s="2653"/>
      <c r="F424" s="2654"/>
      <c r="G424" s="2670">
        <f>SUM(G418:G423)</f>
        <v>535637.65</v>
      </c>
    </row>
    <row r="425" spans="1:8">
      <c r="A425" s="2650"/>
      <c r="B425" s="2646" t="s">
        <v>45</v>
      </c>
      <c r="C425" s="2651" t="s">
        <v>1246</v>
      </c>
      <c r="D425" s="2654"/>
      <c r="E425" s="2653"/>
      <c r="F425" s="2654"/>
      <c r="G425" s="2670"/>
    </row>
    <row r="426" spans="1:8">
      <c r="A426" s="2650"/>
      <c r="B426" s="2689">
        <f>'Input Data'!$D$24</f>
        <v>0.13614999999999999</v>
      </c>
      <c r="C426" s="2653"/>
      <c r="D426" s="2668" t="str">
        <f>"Over head charges &amp; CP "&amp;'Input Data'!$D$24*100&amp;"%  on (A) + (B)+(C)"</f>
        <v>Over head charges &amp; CP 13.615%  on (A) + (B)+(C)</v>
      </c>
      <c r="E426" s="2657">
        <f>G424+G416+G408</f>
        <v>614121.46</v>
      </c>
      <c r="F426" s="2654"/>
      <c r="G426" s="2657">
        <f>E426*B426</f>
        <v>83612.636778999993</v>
      </c>
    </row>
    <row r="427" spans="1:8">
      <c r="A427" s="2650"/>
      <c r="B427" s="2701">
        <f>'Input Data'!$E$24</f>
        <v>0</v>
      </c>
      <c r="C427" s="2667" t="s">
        <v>1093</v>
      </c>
      <c r="D427" s="2659"/>
      <c r="E427" s="2669">
        <f>E426+G426</f>
        <v>697734.09677900001</v>
      </c>
      <c r="F427" s="2659"/>
      <c r="G427" s="2657">
        <f>E427*B427</f>
        <v>0</v>
      </c>
    </row>
    <row r="428" spans="1:8">
      <c r="A428" s="2650"/>
      <c r="B428" s="2646" t="s">
        <v>47</v>
      </c>
      <c r="C428" s="2651" t="s">
        <v>89</v>
      </c>
      <c r="D428" s="2659"/>
      <c r="E428" s="2653"/>
      <c r="F428" s="2654"/>
      <c r="G428" s="2670">
        <f>G408+G416+G424+G426+G427</f>
        <v>697734.09677900001</v>
      </c>
    </row>
    <row r="429" spans="1:8">
      <c r="A429" s="2650"/>
      <c r="B429" s="2655"/>
      <c r="C429" s="2653"/>
      <c r="D429" s="2654" t="s">
        <v>1357</v>
      </c>
      <c r="E429" s="2653"/>
      <c r="F429" s="2654"/>
      <c r="G429" s="2670">
        <f>SUM(G428)</f>
        <v>697734.09677900001</v>
      </c>
    </row>
    <row r="430" spans="1:8">
      <c r="A430" s="2650"/>
      <c r="B430" s="2656"/>
      <c r="C430" s="2654"/>
      <c r="D430" s="2654" t="s">
        <v>217</v>
      </c>
      <c r="E430" s="2653"/>
      <c r="F430" s="2654"/>
      <c r="G430" s="2657">
        <f>G429/225</f>
        <v>3101.0404301288891</v>
      </c>
    </row>
    <row r="431" spans="1:8">
      <c r="A431" s="2650"/>
      <c r="B431" s="2656"/>
      <c r="C431" s="2654"/>
      <c r="D431" s="2651" t="s">
        <v>1358</v>
      </c>
      <c r="E431" s="2653"/>
      <c r="F431" s="2654"/>
      <c r="G431" s="2698">
        <f>ROUND(G430,2)</f>
        <v>3101.04</v>
      </c>
      <c r="H431" s="2369" t="s">
        <v>921</v>
      </c>
    </row>
    <row r="432" spans="1:8">
      <c r="A432" s="2650"/>
      <c r="B432" s="2656"/>
      <c r="C432" s="2654"/>
      <c r="D432" s="2654"/>
      <c r="E432" s="2653"/>
      <c r="F432" s="2654"/>
      <c r="G432" s="2670" t="s">
        <v>1359</v>
      </c>
    </row>
    <row r="433" spans="1:8" s="2638" customFormat="1" ht="63.9" customHeight="1">
      <c r="A433" s="2650">
        <f>A400+1</f>
        <v>7</v>
      </c>
      <c r="B433" s="3525" t="s">
        <v>2801</v>
      </c>
      <c r="C433" s="3525"/>
      <c r="D433" s="3525"/>
      <c r="E433" s="3525"/>
      <c r="F433" s="3525"/>
      <c r="G433" s="3525"/>
    </row>
    <row r="434" spans="1:8" s="2407" customFormat="1">
      <c r="A434" s="2650"/>
      <c r="B434" s="2656" t="s">
        <v>1360</v>
      </c>
      <c r="C434" s="2659"/>
      <c r="D434" s="2651" t="s">
        <v>1361</v>
      </c>
      <c r="E434" s="2668"/>
      <c r="F434" s="2659"/>
      <c r="G434" s="2660"/>
    </row>
    <row r="435" spans="1:8" s="2407" customFormat="1">
      <c r="A435" s="2650"/>
      <c r="B435" s="2654" t="s">
        <v>1362</v>
      </c>
      <c r="C435" s="2659"/>
      <c r="D435" s="2659"/>
      <c r="E435" s="2668"/>
      <c r="F435" s="2659"/>
      <c r="G435" s="2660"/>
    </row>
    <row r="436" spans="1:8">
      <c r="A436" s="2650"/>
      <c r="B436" s="2714" t="s">
        <v>36</v>
      </c>
      <c r="C436" s="2717" t="s">
        <v>37</v>
      </c>
      <c r="D436" s="2659"/>
      <c r="E436" s="2668"/>
      <c r="F436" s="2659"/>
      <c r="G436" s="2660"/>
    </row>
    <row r="437" spans="1:8">
      <c r="A437" s="2650"/>
      <c r="B437" s="2655">
        <v>0.08</v>
      </c>
      <c r="C437" s="2653" t="s">
        <v>106</v>
      </c>
      <c r="D437" s="2659" t="s">
        <v>14</v>
      </c>
      <c r="E437" s="2655">
        <f>'SSR-rates'!$K$58</f>
        <v>575</v>
      </c>
      <c r="F437" s="2655" t="s">
        <v>38</v>
      </c>
      <c r="G437" s="2657">
        <f>ROUND(B437*E437,2)</f>
        <v>46</v>
      </c>
    </row>
    <row r="438" spans="1:8">
      <c r="A438" s="2650"/>
      <c r="B438" s="2655">
        <v>2</v>
      </c>
      <c r="C438" s="2653" t="s">
        <v>106</v>
      </c>
      <c r="D438" s="2659" t="s">
        <v>59</v>
      </c>
      <c r="E438" s="2655">
        <f>'SSR-rates'!$K$60</f>
        <v>575</v>
      </c>
      <c r="F438" s="2655" t="s">
        <v>38</v>
      </c>
      <c r="G438" s="2657">
        <f>ROUND(B438*E438,2)</f>
        <v>1150</v>
      </c>
    </row>
    <row r="439" spans="1:8">
      <c r="A439" s="2650"/>
      <c r="B439" s="2658">
        <f>'Input Data'!$D$23</f>
        <v>0</v>
      </c>
      <c r="C439" s="2653"/>
      <c r="D439" s="2659" t="s">
        <v>17</v>
      </c>
      <c r="E439" s="2655"/>
      <c r="F439" s="2656"/>
      <c r="G439" s="2657">
        <f>(G437+G438)*B439</f>
        <v>0</v>
      </c>
    </row>
    <row r="440" spans="1:8">
      <c r="A440" s="2650"/>
      <c r="B440" s="2655"/>
      <c r="C440" s="2655"/>
      <c r="D440" s="2659" t="s">
        <v>60</v>
      </c>
      <c r="E440" s="2655"/>
      <c r="F440" s="2655"/>
      <c r="G440" s="2657">
        <f>SUM(G437:G439)</f>
        <v>1196</v>
      </c>
    </row>
    <row r="441" spans="1:8">
      <c r="A441" s="2650"/>
      <c r="B441" s="2714" t="s">
        <v>39</v>
      </c>
      <c r="C441" s="2717" t="s">
        <v>40</v>
      </c>
      <c r="D441" s="2659"/>
      <c r="E441" s="2655"/>
      <c r="F441" s="2655"/>
      <c r="G441" s="2657"/>
    </row>
    <row r="442" spans="1:8">
      <c r="A442" s="2650"/>
      <c r="B442" s="2655">
        <v>2.8</v>
      </c>
      <c r="C442" s="2653" t="s">
        <v>41</v>
      </c>
      <c r="D442" s="2716" t="s">
        <v>1363</v>
      </c>
      <c r="E442" s="2655">
        <f>'SSR-rates'!$K$75</f>
        <v>440</v>
      </c>
      <c r="F442" s="2655" t="s">
        <v>41</v>
      </c>
      <c r="G442" s="2657">
        <f>ROUND(B442*E442,2)</f>
        <v>1232</v>
      </c>
    </row>
    <row r="443" spans="1:8">
      <c r="A443" s="2650"/>
      <c r="B443" s="2655">
        <v>2.8</v>
      </c>
      <c r="C443" s="2653" t="s">
        <v>41</v>
      </c>
      <c r="D443" s="2659" t="s">
        <v>1114</v>
      </c>
      <c r="E443" s="2655">
        <f>'SSR-rates'!$K$73</f>
        <v>727.6</v>
      </c>
      <c r="F443" s="2655" t="s">
        <v>41</v>
      </c>
      <c r="G443" s="2657">
        <f>ROUND(B443*E443,2)</f>
        <v>2037.28</v>
      </c>
    </row>
    <row r="444" spans="1:8">
      <c r="A444" s="2650"/>
      <c r="B444" s="2655">
        <v>2</v>
      </c>
      <c r="C444" s="2653" t="s">
        <v>41</v>
      </c>
      <c r="D444" s="2716" t="s">
        <v>1364</v>
      </c>
      <c r="E444" s="2655">
        <f>'SSR-rates'!K77</f>
        <v>1059</v>
      </c>
      <c r="F444" s="2655" t="s">
        <v>41</v>
      </c>
      <c r="G444" s="2657">
        <f>ROUND(B444*E444,2)</f>
        <v>2118</v>
      </c>
    </row>
    <row r="445" spans="1:8">
      <c r="A445" s="2650"/>
      <c r="B445" s="2655"/>
      <c r="C445" s="2655"/>
      <c r="D445" s="2659" t="s">
        <v>60</v>
      </c>
      <c r="E445" s="2655"/>
      <c r="F445" s="2655"/>
      <c r="G445" s="2657">
        <f>SUM(G442:G444)</f>
        <v>5387.28</v>
      </c>
    </row>
    <row r="446" spans="1:8">
      <c r="A446" s="2650"/>
      <c r="B446" s="2714" t="s">
        <v>27</v>
      </c>
      <c r="C446" s="2659" t="s">
        <v>61</v>
      </c>
      <c r="D446" s="2659"/>
      <c r="E446" s="2655"/>
      <c r="F446" s="2655"/>
      <c r="G446" s="2657"/>
    </row>
    <row r="447" spans="1:8">
      <c r="A447" s="2650"/>
      <c r="B447" s="2718">
        <v>0.96250000000000002</v>
      </c>
      <c r="C447" s="2653" t="s">
        <v>66</v>
      </c>
      <c r="D447" s="2692" t="s">
        <v>1365</v>
      </c>
      <c r="E447" s="2712">
        <f>Emution_RS</f>
        <v>46449.645337323418</v>
      </c>
      <c r="F447" s="2655" t="s">
        <v>66</v>
      </c>
      <c r="G447" s="2657">
        <f>ROUND(B447*E447,2)</f>
        <v>44707.78</v>
      </c>
      <c r="H447" s="2369">
        <f>0.275*3500</f>
        <v>962.50000000000011</v>
      </c>
    </row>
    <row r="448" spans="1:8">
      <c r="A448" s="2650"/>
      <c r="B448" s="2655"/>
      <c r="C448" s="2653"/>
      <c r="D448" s="2659" t="s">
        <v>60</v>
      </c>
      <c r="E448" s="2655"/>
      <c r="F448" s="2655"/>
      <c r="G448" s="2657">
        <f>SUM(G447)</f>
        <v>44707.78</v>
      </c>
    </row>
    <row r="449" spans="1:8">
      <c r="A449" s="2650"/>
      <c r="B449" s="2646" t="s">
        <v>45</v>
      </c>
      <c r="C449" s="2651" t="s">
        <v>1246</v>
      </c>
      <c r="D449" s="2654"/>
      <c r="E449" s="2653"/>
      <c r="F449" s="2654"/>
      <c r="G449" s="2670"/>
    </row>
    <row r="450" spans="1:8">
      <c r="A450" s="2650"/>
      <c r="B450" s="2689">
        <f>'Input Data'!$D$24</f>
        <v>0.13614999999999999</v>
      </c>
      <c r="C450" s="2653" t="str">
        <f>"Over head charges &amp; CP  "&amp;'Input Data'!$D$24*100&amp;"%  on (A) + (B)+(C)"</f>
        <v>Over head charges &amp; CP  13.615%  on (A) + (B)+(C)</v>
      </c>
      <c r="D450" s="2668"/>
      <c r="E450" s="2657">
        <f>G448+G445+G440</f>
        <v>51291.06</v>
      </c>
      <c r="F450" s="2654"/>
      <c r="G450" s="2657">
        <f>E450*B450</f>
        <v>6983.277818999999</v>
      </c>
    </row>
    <row r="451" spans="1:8">
      <c r="A451" s="2650"/>
      <c r="B451" s="2701">
        <f>'Input Data'!$E$24</f>
        <v>0</v>
      </c>
      <c r="C451" s="2667" t="s">
        <v>1093</v>
      </c>
      <c r="D451" s="2659"/>
      <c r="E451" s="2669">
        <f>E450+G450</f>
        <v>58274.337818999993</v>
      </c>
      <c r="F451" s="2659"/>
      <c r="G451" s="2657">
        <f>E451*B451</f>
        <v>0</v>
      </c>
    </row>
    <row r="452" spans="1:8">
      <c r="A452" s="2650"/>
      <c r="B452" s="2646" t="s">
        <v>47</v>
      </c>
      <c r="C452" s="2654" t="s">
        <v>89</v>
      </c>
      <c r="D452" s="2659"/>
      <c r="E452" s="2653"/>
      <c r="F452" s="2654"/>
      <c r="G452" s="2670">
        <f>G440+G445+G448+G450+G451</f>
        <v>58274.337818999993</v>
      </c>
    </row>
    <row r="453" spans="1:8">
      <c r="A453" s="2650"/>
      <c r="B453" s="2655"/>
      <c r="C453" s="2653"/>
      <c r="D453" s="2659" t="s">
        <v>1366</v>
      </c>
      <c r="E453" s="2655"/>
      <c r="F453" s="2655"/>
      <c r="G453" s="2670">
        <f>SUM(G452:G452)</f>
        <v>58274.337818999993</v>
      </c>
    </row>
    <row r="454" spans="1:8">
      <c r="A454" s="2650"/>
      <c r="B454" s="2655"/>
      <c r="C454" s="2653"/>
      <c r="D454" s="2659" t="s">
        <v>1305</v>
      </c>
      <c r="E454" s="2655"/>
      <c r="F454" s="2655"/>
      <c r="G454" s="2657">
        <f>ROUND(G453/3500,2)</f>
        <v>16.649999999999999</v>
      </c>
    </row>
    <row r="455" spans="1:8">
      <c r="A455" s="2650"/>
      <c r="B455" s="2656"/>
      <c r="C455" s="2659"/>
      <c r="D455" s="2659" t="s">
        <v>52</v>
      </c>
      <c r="E455" s="2655"/>
      <c r="F455" s="2655"/>
      <c r="G455" s="2698">
        <f>ROUND(G454,2)</f>
        <v>16.649999999999999</v>
      </c>
      <c r="H455" s="2369" t="s">
        <v>921</v>
      </c>
    </row>
    <row r="456" spans="1:8">
      <c r="A456" s="2650"/>
      <c r="B456" s="2656"/>
      <c r="C456" s="2659"/>
      <c r="D456" s="2659"/>
      <c r="E456" s="2668"/>
      <c r="F456" s="2659"/>
      <c r="G456" s="2671" t="s">
        <v>137</v>
      </c>
    </row>
    <row r="457" spans="1:8" ht="68.099999999999994" hidden="1" customHeight="1">
      <c r="A457" s="2650">
        <f>A433+1</f>
        <v>8</v>
      </c>
      <c r="B457" s="3525" t="s">
        <v>2802</v>
      </c>
      <c r="C457" s="3525"/>
      <c r="D457" s="3525"/>
      <c r="E457" s="3525"/>
      <c r="F457" s="3525"/>
      <c r="G457" s="3525"/>
      <c r="H457" s="2407"/>
    </row>
    <row r="458" spans="1:8" hidden="1">
      <c r="A458" s="2650"/>
      <c r="B458" s="2656" t="s">
        <v>1360</v>
      </c>
      <c r="C458" s="2659"/>
      <c r="D458" s="2651" t="s">
        <v>1361</v>
      </c>
      <c r="E458" s="2668"/>
      <c r="F458" s="2659"/>
      <c r="G458" s="2660"/>
      <c r="H458" s="2407"/>
    </row>
    <row r="459" spans="1:8" hidden="1">
      <c r="A459" s="2650"/>
      <c r="B459" s="2654" t="s">
        <v>1362</v>
      </c>
      <c r="C459" s="2659"/>
      <c r="D459" s="2659"/>
      <c r="E459" s="2668"/>
      <c r="F459" s="2659"/>
      <c r="G459" s="2660"/>
      <c r="H459" s="2407"/>
    </row>
    <row r="460" spans="1:8" hidden="1">
      <c r="A460" s="2650"/>
      <c r="B460" s="2714" t="s">
        <v>36</v>
      </c>
      <c r="C460" s="2717" t="s">
        <v>37</v>
      </c>
      <c r="D460" s="2659"/>
      <c r="E460" s="2668"/>
      <c r="F460" s="2659"/>
      <c r="G460" s="2660"/>
    </row>
    <row r="461" spans="1:8" hidden="1">
      <c r="A461" s="2650"/>
      <c r="B461" s="2655">
        <v>0.08</v>
      </c>
      <c r="C461" s="2653" t="s">
        <v>106</v>
      </c>
      <c r="D461" s="2659" t="s">
        <v>14</v>
      </c>
      <c r="E461" s="2655">
        <f>'SSR-rates'!$K$58</f>
        <v>575</v>
      </c>
      <c r="F461" s="2655" t="s">
        <v>38</v>
      </c>
      <c r="G461" s="2657">
        <f>ROUND(B461*E461,2)</f>
        <v>46</v>
      </c>
    </row>
    <row r="462" spans="1:8" hidden="1">
      <c r="A462" s="2650"/>
      <c r="B462" s="2655">
        <v>2</v>
      </c>
      <c r="C462" s="2653" t="s">
        <v>106</v>
      </c>
      <c r="D462" s="2659" t="s">
        <v>59</v>
      </c>
      <c r="E462" s="2655">
        <f>'SSR-rates'!$K$60</f>
        <v>575</v>
      </c>
      <c r="F462" s="2655" t="s">
        <v>38</v>
      </c>
      <c r="G462" s="2657">
        <f>ROUND(B462*E462,2)</f>
        <v>1150</v>
      </c>
    </row>
    <row r="463" spans="1:8" hidden="1">
      <c r="A463" s="2650"/>
      <c r="B463" s="2658">
        <f>'Input Data'!$D$23</f>
        <v>0</v>
      </c>
      <c r="C463" s="2653"/>
      <c r="D463" s="2659" t="s">
        <v>17</v>
      </c>
      <c r="E463" s="2655"/>
      <c r="F463" s="2656"/>
      <c r="G463" s="2657">
        <f>(G461+G462)*B463</f>
        <v>0</v>
      </c>
    </row>
    <row r="464" spans="1:8" hidden="1">
      <c r="A464" s="2650"/>
      <c r="B464" s="2655"/>
      <c r="C464" s="2655"/>
      <c r="D464" s="2659" t="s">
        <v>60</v>
      </c>
      <c r="E464" s="2655"/>
      <c r="F464" s="2655"/>
      <c r="G464" s="2657">
        <f>SUM(G461:G463)</f>
        <v>1196</v>
      </c>
    </row>
    <row r="465" spans="1:8" hidden="1">
      <c r="A465" s="2650"/>
      <c r="B465" s="2714" t="s">
        <v>39</v>
      </c>
      <c r="C465" s="2717" t="s">
        <v>40</v>
      </c>
      <c r="D465" s="2659"/>
      <c r="E465" s="2655"/>
      <c r="F465" s="2655"/>
      <c r="G465" s="2657"/>
    </row>
    <row r="466" spans="1:8" hidden="1">
      <c r="A466" s="2650"/>
      <c r="B466" s="2655">
        <v>2.8</v>
      </c>
      <c r="C466" s="2653" t="s">
        <v>41</v>
      </c>
      <c r="D466" s="2716" t="s">
        <v>1363</v>
      </c>
      <c r="E466" s="2655">
        <f>'SSR-rates'!$K$75</f>
        <v>440</v>
      </c>
      <c r="F466" s="2655" t="s">
        <v>41</v>
      </c>
      <c r="G466" s="2657">
        <f>ROUND(B466*E466,2)</f>
        <v>1232</v>
      </c>
    </row>
    <row r="467" spans="1:8" hidden="1">
      <c r="A467" s="2650"/>
      <c r="B467" s="2655">
        <v>2.8</v>
      </c>
      <c r="C467" s="2653" t="s">
        <v>41</v>
      </c>
      <c r="D467" s="2659" t="s">
        <v>1114</v>
      </c>
      <c r="E467" s="2655">
        <f>'SSR-rates'!$K$73</f>
        <v>727.6</v>
      </c>
      <c r="F467" s="2655" t="s">
        <v>41</v>
      </c>
      <c r="G467" s="2657">
        <f>ROUND(B467*E467,2)</f>
        <v>2037.28</v>
      </c>
    </row>
    <row r="468" spans="1:8" hidden="1">
      <c r="A468" s="2650"/>
      <c r="B468" s="2655">
        <v>2</v>
      </c>
      <c r="C468" s="2653" t="s">
        <v>41</v>
      </c>
      <c r="D468" s="2716" t="s">
        <v>1364</v>
      </c>
      <c r="E468" s="2655">
        <f>'SSR-rates'!$K$77</f>
        <v>1059</v>
      </c>
      <c r="F468" s="2655" t="s">
        <v>41</v>
      </c>
      <c r="G468" s="2657">
        <f>ROUND(B468*E468,2)</f>
        <v>2118</v>
      </c>
    </row>
    <row r="469" spans="1:8" hidden="1">
      <c r="A469" s="2650"/>
      <c r="B469" s="2655"/>
      <c r="C469" s="2655"/>
      <c r="D469" s="2659" t="s">
        <v>60</v>
      </c>
      <c r="E469" s="2655"/>
      <c r="F469" s="2655"/>
      <c r="G469" s="2657">
        <f>SUM(G466:G468)</f>
        <v>5387.28</v>
      </c>
    </row>
    <row r="470" spans="1:8" hidden="1">
      <c r="A470" s="2650"/>
      <c r="B470" s="2714" t="s">
        <v>27</v>
      </c>
      <c r="C470" s="2659" t="s">
        <v>61</v>
      </c>
      <c r="D470" s="2659"/>
      <c r="E470" s="2655"/>
      <c r="F470" s="2655"/>
      <c r="G470" s="2657"/>
    </row>
    <row r="471" spans="1:8" hidden="1">
      <c r="A471" s="2650"/>
      <c r="B471" s="2719">
        <v>0.7</v>
      </c>
      <c r="C471" s="2653" t="s">
        <v>66</v>
      </c>
      <c r="D471" s="2692" t="s">
        <v>1367</v>
      </c>
      <c r="E471" s="2712">
        <f>Emution_RS</f>
        <v>46449.645337323418</v>
      </c>
      <c r="F471" s="2655" t="s">
        <v>66</v>
      </c>
      <c r="G471" s="2657">
        <f>ROUND(B471*E471,2)</f>
        <v>32514.75</v>
      </c>
      <c r="H471" s="2369">
        <f>0.2*3500</f>
        <v>700</v>
      </c>
    </row>
    <row r="472" spans="1:8" hidden="1">
      <c r="A472" s="2650"/>
      <c r="B472" s="2661"/>
      <c r="C472" s="2662"/>
      <c r="D472" s="2663"/>
      <c r="E472" s="2661"/>
      <c r="F472" s="2661"/>
      <c r="G472" s="2657"/>
    </row>
    <row r="473" spans="1:8" hidden="1">
      <c r="A473" s="2650"/>
      <c r="B473" s="2655"/>
      <c r="C473" s="2653"/>
      <c r="D473" s="2659" t="s">
        <v>60</v>
      </c>
      <c r="E473" s="2655"/>
      <c r="F473" s="2655"/>
      <c r="G473" s="2657">
        <f>SUM(G471:G472)</f>
        <v>32514.75</v>
      </c>
    </row>
    <row r="474" spans="1:8" hidden="1">
      <c r="A474" s="2650"/>
      <c r="B474" s="2646" t="s">
        <v>45</v>
      </c>
      <c r="C474" s="2651" t="s">
        <v>1246</v>
      </c>
      <c r="D474" s="2654"/>
      <c r="E474" s="2653"/>
      <c r="F474" s="2654"/>
      <c r="G474" s="2670"/>
    </row>
    <row r="475" spans="1:8" hidden="1">
      <c r="A475" s="2650"/>
      <c r="B475" s="2689">
        <f>'Input Data'!$D$24</f>
        <v>0.13614999999999999</v>
      </c>
      <c r="C475" s="2653" t="str">
        <f>"Over head charges &amp; CP  "&amp;'Input Data'!$D$24*100&amp;"%  on (A) + (B)+(C)"</f>
        <v>Over head charges &amp; CP  13.615%  on (A) + (B)+(C)</v>
      </c>
      <c r="D475" s="2668"/>
      <c r="E475" s="2653">
        <f>G473+G469+G464</f>
        <v>39098.03</v>
      </c>
      <c r="F475" s="2654"/>
      <c r="G475" s="2657">
        <f>E475*B475</f>
        <v>5323.1967844999999</v>
      </c>
    </row>
    <row r="476" spans="1:8" hidden="1">
      <c r="A476" s="2650"/>
      <c r="B476" s="2646" t="s">
        <v>47</v>
      </c>
      <c r="C476" s="2654" t="s">
        <v>89</v>
      </c>
      <c r="D476" s="2659"/>
      <c r="E476" s="2653"/>
      <c r="F476" s="2654"/>
      <c r="G476" s="2670">
        <f>G464+G469+G473+G475</f>
        <v>44421.226784500002</v>
      </c>
    </row>
    <row r="477" spans="1:8" hidden="1">
      <c r="A477" s="2650"/>
      <c r="B477" s="2655"/>
      <c r="C477" s="2653"/>
      <c r="D477" s="2659" t="s">
        <v>1366</v>
      </c>
      <c r="E477" s="2655"/>
      <c r="F477" s="2655"/>
      <c r="G477" s="2670">
        <f>SUM(G476:G476)</f>
        <v>44421.226784500002</v>
      </c>
    </row>
    <row r="478" spans="1:8" hidden="1">
      <c r="A478" s="2650"/>
      <c r="B478" s="2655"/>
      <c r="C478" s="2653"/>
      <c r="D478" s="2659" t="s">
        <v>1305</v>
      </c>
      <c r="E478" s="2655"/>
      <c r="F478" s="2655"/>
      <c r="G478" s="2657">
        <f>ROUND(G477/3500,2)</f>
        <v>12.69</v>
      </c>
    </row>
    <row r="479" spans="1:8" hidden="1">
      <c r="A479" s="2650"/>
      <c r="B479" s="2656"/>
      <c r="C479" s="2659"/>
      <c r="D479" s="2659" t="s">
        <v>52</v>
      </c>
      <c r="E479" s="2655"/>
      <c r="F479" s="2655"/>
      <c r="G479" s="2698">
        <f>ROUND(G478,2)</f>
        <v>12.69</v>
      </c>
      <c r="H479" s="2369" t="s">
        <v>921</v>
      </c>
    </row>
    <row r="480" spans="1:8" hidden="1">
      <c r="A480" s="2650"/>
      <c r="B480" s="2656"/>
      <c r="C480" s="2659"/>
      <c r="D480" s="2659"/>
      <c r="E480" s="2668"/>
      <c r="F480" s="2659"/>
      <c r="G480" s="2671" t="s">
        <v>137</v>
      </c>
    </row>
    <row r="481" spans="1:8" s="2635" customFormat="1" ht="88.8" customHeight="1">
      <c r="A481" s="2650">
        <f>A457+1</f>
        <v>9</v>
      </c>
      <c r="B481" s="3525" t="s">
        <v>1368</v>
      </c>
      <c r="C481" s="3525"/>
      <c r="D481" s="3525"/>
      <c r="E481" s="3525"/>
      <c r="F481" s="3525"/>
      <c r="G481" s="3525"/>
    </row>
    <row r="482" spans="1:8">
      <c r="A482" s="2650"/>
      <c r="B482" s="2656" t="s">
        <v>1360</v>
      </c>
      <c r="C482" s="2659"/>
      <c r="D482" s="2651" t="s">
        <v>1369</v>
      </c>
      <c r="E482" s="2668"/>
      <c r="F482" s="2659"/>
      <c r="G482" s="2660"/>
    </row>
    <row r="483" spans="1:8">
      <c r="A483" s="2650"/>
      <c r="B483" s="2654" t="s">
        <v>1362</v>
      </c>
      <c r="C483" s="2659"/>
      <c r="D483" s="2659"/>
      <c r="E483" s="2668"/>
      <c r="F483" s="2659"/>
      <c r="G483" s="2660"/>
    </row>
    <row r="484" spans="1:8">
      <c r="A484" s="2650"/>
      <c r="B484" s="2714" t="s">
        <v>36</v>
      </c>
      <c r="C484" s="2717" t="s">
        <v>37</v>
      </c>
      <c r="D484" s="2659"/>
      <c r="E484" s="2668"/>
      <c r="F484" s="2659"/>
      <c r="G484" s="2660"/>
    </row>
    <row r="485" spans="1:8">
      <c r="A485" s="2650"/>
      <c r="B485" s="2655">
        <v>0.08</v>
      </c>
      <c r="C485" s="2653" t="s">
        <v>106</v>
      </c>
      <c r="D485" s="2659" t="s">
        <v>14</v>
      </c>
      <c r="E485" s="2655">
        <f>'SSR-rates'!$K$58</f>
        <v>575</v>
      </c>
      <c r="F485" s="2655" t="s">
        <v>38</v>
      </c>
      <c r="G485" s="2657">
        <f>ROUND(B485*E485,2)</f>
        <v>46</v>
      </c>
    </row>
    <row r="486" spans="1:8">
      <c r="A486" s="2650"/>
      <c r="B486" s="2655">
        <v>2</v>
      </c>
      <c r="C486" s="2653" t="s">
        <v>106</v>
      </c>
      <c r="D486" s="2659" t="s">
        <v>59</v>
      </c>
      <c r="E486" s="2655">
        <f>'SSR-rates'!$K$60</f>
        <v>575</v>
      </c>
      <c r="F486" s="2655" t="s">
        <v>38</v>
      </c>
      <c r="G486" s="2657">
        <f>ROUND(B486*E486,2)</f>
        <v>1150</v>
      </c>
    </row>
    <row r="487" spans="1:8">
      <c r="A487" s="2650"/>
      <c r="B487" s="2658">
        <f>'Input Data'!$D$23</f>
        <v>0</v>
      </c>
      <c r="C487" s="2653"/>
      <c r="D487" s="2659" t="s">
        <v>17</v>
      </c>
      <c r="E487" s="2655"/>
      <c r="F487" s="2656"/>
      <c r="G487" s="2657">
        <f>(G485+G486)*B487</f>
        <v>0</v>
      </c>
    </row>
    <row r="488" spans="1:8">
      <c r="A488" s="2650"/>
      <c r="B488" s="2655"/>
      <c r="C488" s="2655"/>
      <c r="D488" s="2659" t="s">
        <v>60</v>
      </c>
      <c r="E488" s="2655"/>
      <c r="F488" s="2655"/>
      <c r="G488" s="2670">
        <f>SUM(G485:G487)</f>
        <v>1196</v>
      </c>
    </row>
    <row r="489" spans="1:8">
      <c r="A489" s="2650"/>
      <c r="B489" s="2714" t="s">
        <v>39</v>
      </c>
      <c r="C489" s="2717" t="s">
        <v>40</v>
      </c>
      <c r="D489" s="2659"/>
      <c r="E489" s="2655"/>
      <c r="F489" s="2655"/>
      <c r="G489" s="2657"/>
    </row>
    <row r="490" spans="1:8">
      <c r="A490" s="2650"/>
      <c r="B490" s="2655">
        <v>2.8</v>
      </c>
      <c r="C490" s="2653" t="s">
        <v>41</v>
      </c>
      <c r="D490" s="2716" t="s">
        <v>1363</v>
      </c>
      <c r="E490" s="2655">
        <f>'SSR-rates'!K75</f>
        <v>440</v>
      </c>
      <c r="F490" s="2655" t="s">
        <v>41</v>
      </c>
      <c r="G490" s="2657">
        <f>ROUND(B490*E490,2)</f>
        <v>1232</v>
      </c>
    </row>
    <row r="491" spans="1:8">
      <c r="A491" s="2650"/>
      <c r="B491" s="2655">
        <v>2.8</v>
      </c>
      <c r="C491" s="2653" t="s">
        <v>41</v>
      </c>
      <c r="D491" s="2659" t="s">
        <v>1114</v>
      </c>
      <c r="E491" s="2655">
        <f>'SSR-rates'!K73</f>
        <v>727.6</v>
      </c>
      <c r="F491" s="2655" t="s">
        <v>41</v>
      </c>
      <c r="G491" s="2657">
        <f>ROUND(B491*E491,2)</f>
        <v>2037.28</v>
      </c>
    </row>
    <row r="492" spans="1:8">
      <c r="A492" s="2650"/>
      <c r="B492" s="2655">
        <v>1</v>
      </c>
      <c r="C492" s="2653" t="s">
        <v>41</v>
      </c>
      <c r="D492" s="2659" t="s">
        <v>1370</v>
      </c>
      <c r="E492" s="2655">
        <f>'SSR-rates'!$K$69</f>
        <v>769</v>
      </c>
      <c r="F492" s="2655" t="s">
        <v>41</v>
      </c>
      <c r="G492" s="2657">
        <f>ROUND(B492*E492,2)</f>
        <v>769</v>
      </c>
    </row>
    <row r="493" spans="1:8">
      <c r="A493" s="2650"/>
      <c r="B493" s="2655">
        <v>2</v>
      </c>
      <c r="C493" s="2653" t="s">
        <v>41</v>
      </c>
      <c r="D493" s="2716" t="s">
        <v>1371</v>
      </c>
      <c r="E493" s="2655">
        <f>'SSR-rates'!K76</f>
        <v>1846</v>
      </c>
      <c r="F493" s="2655" t="s">
        <v>41</v>
      </c>
      <c r="G493" s="2657">
        <f>ROUND(B493*E493,2)</f>
        <v>3692</v>
      </c>
    </row>
    <row r="494" spans="1:8">
      <c r="A494" s="2650"/>
      <c r="B494" s="2655"/>
      <c r="C494" s="2655"/>
      <c r="D494" s="2659" t="s">
        <v>60</v>
      </c>
      <c r="E494" s="2655"/>
      <c r="F494" s="2655"/>
      <c r="G494" s="2670">
        <f>SUM(G490:G493)</f>
        <v>7730.28</v>
      </c>
    </row>
    <row r="495" spans="1:8">
      <c r="A495" s="2650"/>
      <c r="B495" s="2714" t="s">
        <v>27</v>
      </c>
      <c r="C495" s="2696" t="s">
        <v>61</v>
      </c>
      <c r="D495" s="2659"/>
      <c r="E495" s="2655"/>
      <c r="F495" s="2655"/>
      <c r="G495" s="2657"/>
    </row>
    <row r="496" spans="1:8">
      <c r="A496" s="2650"/>
      <c r="B496" s="2719">
        <v>2.1</v>
      </c>
      <c r="C496" s="2653" t="s">
        <v>66</v>
      </c>
      <c r="D496" s="2692" t="s">
        <v>1372</v>
      </c>
      <c r="E496" s="2712">
        <f>Emultion_SS</f>
        <v>79415.645337323411</v>
      </c>
      <c r="F496" s="2655" t="s">
        <v>66</v>
      </c>
      <c r="G496" s="2657">
        <f>ROUND(B496*E496,2)</f>
        <v>166772.85999999999</v>
      </c>
      <c r="H496" s="2408">
        <f>3500*0.6</f>
        <v>2100</v>
      </c>
    </row>
    <row r="497" spans="1:8">
      <c r="A497" s="2650"/>
      <c r="B497" s="2661">
        <v>6</v>
      </c>
      <c r="C497" s="2662" t="s">
        <v>1274</v>
      </c>
      <c r="D497" s="2663" t="s">
        <v>1275</v>
      </c>
      <c r="E497" s="2661">
        <f>IF(lead!$C$63="Y",'SSR-rates'!$K$112,0)</f>
        <v>0</v>
      </c>
      <c r="F497" s="2661" t="s">
        <v>41</v>
      </c>
      <c r="G497" s="2657">
        <f>ROUND(B497*E497,2)</f>
        <v>0</v>
      </c>
      <c r="H497" s="2408"/>
    </row>
    <row r="498" spans="1:8">
      <c r="A498" s="2650"/>
      <c r="B498" s="2655"/>
      <c r="C498" s="2653"/>
      <c r="D498" s="2659" t="s">
        <v>60</v>
      </c>
      <c r="E498" s="2655"/>
      <c r="F498" s="2655"/>
      <c r="G498" s="2657">
        <f>SUM(G496:G497)</f>
        <v>166772.85999999999</v>
      </c>
    </row>
    <row r="499" spans="1:8">
      <c r="A499" s="2650"/>
      <c r="B499" s="2646" t="s">
        <v>45</v>
      </c>
      <c r="C499" s="2651" t="s">
        <v>1246</v>
      </c>
      <c r="D499" s="2654"/>
      <c r="E499" s="2653"/>
      <c r="F499" s="2654"/>
      <c r="G499" s="2670"/>
    </row>
    <row r="500" spans="1:8">
      <c r="A500" s="2650"/>
      <c r="B500" s="2689">
        <f>'Input Data'!$D$24</f>
        <v>0.13614999999999999</v>
      </c>
      <c r="C500" s="2653"/>
      <c r="D500" s="2668" t="str">
        <f>"Over head charges &amp; CP "&amp;'Input Data'!$D$24*100&amp;"%  on (A) + (B)+(C)"</f>
        <v>Over head charges &amp; CP 13.615%  on (A) + (B)+(C)</v>
      </c>
      <c r="E500" s="2657">
        <f>G498+G494+G488</f>
        <v>175699.13999999998</v>
      </c>
      <c r="F500" s="2654"/>
      <c r="G500" s="2657">
        <f>E500*B500</f>
        <v>23921.437910999997</v>
      </c>
    </row>
    <row r="501" spans="1:8">
      <c r="A501" s="2650"/>
      <c r="B501" s="2701">
        <f>'Input Data'!$E$24</f>
        <v>0</v>
      </c>
      <c r="C501" s="2667" t="s">
        <v>1093</v>
      </c>
      <c r="D501" s="2659"/>
      <c r="E501" s="2669">
        <f>E500+G500</f>
        <v>199620.57791099997</v>
      </c>
      <c r="F501" s="2659"/>
      <c r="G501" s="2657">
        <f>E501*B501</f>
        <v>0</v>
      </c>
    </row>
    <row r="502" spans="1:8">
      <c r="A502" s="2650"/>
      <c r="B502" s="2646" t="s">
        <v>47</v>
      </c>
      <c r="C502" s="2651" t="s">
        <v>89</v>
      </c>
      <c r="D502" s="2659"/>
      <c r="E502" s="2653"/>
      <c r="F502" s="2654"/>
      <c r="G502" s="2670">
        <f>G488+G494+G498+G500+G501</f>
        <v>199620.57791099997</v>
      </c>
    </row>
    <row r="503" spans="1:8">
      <c r="A503" s="2650"/>
      <c r="B503" s="2655"/>
      <c r="C503" s="2653"/>
      <c r="D503" s="2696" t="s">
        <v>1366</v>
      </c>
      <c r="E503" s="2655"/>
      <c r="F503" s="2655"/>
      <c r="G503" s="2670">
        <f>SUM(G502:G502)</f>
        <v>199620.57791099997</v>
      </c>
    </row>
    <row r="504" spans="1:8">
      <c r="A504" s="2650"/>
      <c r="B504" s="2655"/>
      <c r="C504" s="2653"/>
      <c r="D504" s="2659" t="s">
        <v>1305</v>
      </c>
      <c r="E504" s="2655"/>
      <c r="F504" s="2655"/>
      <c r="G504" s="2657">
        <f>ROUND(G503/3500,2)</f>
        <v>57.03</v>
      </c>
    </row>
    <row r="505" spans="1:8">
      <c r="A505" s="2650"/>
      <c r="B505" s="2656"/>
      <c r="C505" s="2659"/>
      <c r="D505" s="2659" t="s">
        <v>52</v>
      </c>
      <c r="E505" s="2655"/>
      <c r="F505" s="2655"/>
      <c r="G505" s="2698">
        <f>ROUND(G504,2)</f>
        <v>57.03</v>
      </c>
      <c r="H505" s="2369" t="s">
        <v>921</v>
      </c>
    </row>
    <row r="506" spans="1:8">
      <c r="A506" s="2650"/>
      <c r="B506" s="2656"/>
      <c r="C506" s="2659"/>
      <c r="D506" s="2659"/>
      <c r="E506" s="2668"/>
      <c r="F506" s="2659"/>
      <c r="G506" s="2671" t="s">
        <v>137</v>
      </c>
    </row>
    <row r="507" spans="1:8" s="2637" customFormat="1" hidden="1">
      <c r="A507" s="2650">
        <f>A481+1</f>
        <v>10</v>
      </c>
      <c r="B507" s="3535" t="s">
        <v>1373</v>
      </c>
      <c r="C507" s="3535"/>
      <c r="D507" s="3535"/>
      <c r="E507" s="3535"/>
      <c r="F507" s="3535"/>
      <c r="G507" s="3535"/>
    </row>
    <row r="508" spans="1:8" s="2637" customFormat="1" ht="138" hidden="1" customHeight="1">
      <c r="A508" s="2650"/>
      <c r="B508" s="3525" t="s">
        <v>1374</v>
      </c>
      <c r="C508" s="3525"/>
      <c r="D508" s="3525"/>
      <c r="E508" s="3525"/>
      <c r="F508" s="3525"/>
      <c r="G508" s="3525"/>
    </row>
    <row r="509" spans="1:8" s="2637" customFormat="1" hidden="1">
      <c r="A509" s="2650"/>
      <c r="B509" s="2656"/>
      <c r="C509" s="2667" t="s">
        <v>10</v>
      </c>
      <c r="D509" s="2654"/>
      <c r="E509" s="2665" t="s">
        <v>1375</v>
      </c>
      <c r="F509" s="2656"/>
      <c r="G509" s="2660"/>
    </row>
    <row r="510" spans="1:8" s="2637" customFormat="1" hidden="1">
      <c r="A510" s="2650"/>
      <c r="B510" s="2656"/>
      <c r="C510" s="2654" t="s">
        <v>1376</v>
      </c>
      <c r="D510" s="2654"/>
      <c r="E510" s="2655"/>
      <c r="F510" s="2656"/>
      <c r="G510" s="2720"/>
    </row>
    <row r="511" spans="1:8" s="2637" customFormat="1" hidden="1">
      <c r="A511" s="2650"/>
      <c r="B511" s="3525" t="s">
        <v>1377</v>
      </c>
      <c r="C511" s="3525"/>
      <c r="D511" s="3525"/>
      <c r="E511" s="3525"/>
      <c r="F511" s="3525"/>
      <c r="G511" s="3525"/>
    </row>
    <row r="512" spans="1:8" s="2637" customFormat="1" hidden="1">
      <c r="A512" s="2650"/>
      <c r="B512" s="2656"/>
      <c r="C512" s="2650" t="s">
        <v>36</v>
      </c>
      <c r="D512" s="2651" t="s">
        <v>37</v>
      </c>
      <c r="E512" s="2655"/>
      <c r="F512" s="2656"/>
      <c r="G512" s="2660"/>
    </row>
    <row r="513" spans="1:7" s="2637" customFormat="1" hidden="1">
      <c r="A513" s="2650"/>
      <c r="B513" s="2655">
        <v>0.84</v>
      </c>
      <c r="C513" s="2721" t="s">
        <v>1345</v>
      </c>
      <c r="D513" s="2654" t="s">
        <v>14</v>
      </c>
      <c r="E513" s="2655">
        <f>'SSR-rates'!$K$58</f>
        <v>575</v>
      </c>
      <c r="F513" s="2655" t="s">
        <v>1345</v>
      </c>
      <c r="G513" s="2657">
        <f>ROUND(B513*E513,2)</f>
        <v>483</v>
      </c>
    </row>
    <row r="514" spans="1:7" s="2637" customFormat="1" ht="27.6" hidden="1">
      <c r="A514" s="2650"/>
      <c r="B514" s="2655">
        <v>16</v>
      </c>
      <c r="C514" s="2721" t="s">
        <v>1345</v>
      </c>
      <c r="D514" s="2663" t="s">
        <v>1378</v>
      </c>
      <c r="E514" s="2655">
        <f>'SSR-rates'!$K$60</f>
        <v>575</v>
      </c>
      <c r="F514" s="2655" t="s">
        <v>1345</v>
      </c>
      <c r="G514" s="2657">
        <f>ROUND(B514*E514,2)</f>
        <v>9200</v>
      </c>
    </row>
    <row r="515" spans="1:7" s="2637" customFormat="1" hidden="1">
      <c r="A515" s="2650"/>
      <c r="B515" s="2655">
        <v>5</v>
      </c>
      <c r="C515" s="2721" t="s">
        <v>1345</v>
      </c>
      <c r="D515" s="2659" t="s">
        <v>1379</v>
      </c>
      <c r="E515" s="2655">
        <f>'SSR-rates'!$K$59</f>
        <v>575</v>
      </c>
      <c r="F515" s="2655" t="s">
        <v>1345</v>
      </c>
      <c r="G515" s="2657">
        <f>ROUND(B515*E515,2)</f>
        <v>2875</v>
      </c>
    </row>
    <row r="516" spans="1:7" s="2637" customFormat="1" hidden="1">
      <c r="A516" s="2650"/>
      <c r="B516" s="2658">
        <f>'Input Data'!$D$23</f>
        <v>0</v>
      </c>
      <c r="C516" s="2653"/>
      <c r="D516" s="2659" t="s">
        <v>17</v>
      </c>
      <c r="E516" s="2655">
        <f>SUM(G513:G515)</f>
        <v>12558</v>
      </c>
      <c r="F516" s="2656"/>
      <c r="G516" s="2657">
        <f>B516*E516</f>
        <v>0</v>
      </c>
    </row>
    <row r="517" spans="1:7" s="2637" customFormat="1" hidden="1">
      <c r="A517" s="2650"/>
      <c r="B517" s="2655"/>
      <c r="C517" s="2721"/>
      <c r="D517" s="2654" t="s">
        <v>60</v>
      </c>
      <c r="E517" s="2655"/>
      <c r="F517" s="2656"/>
      <c r="G517" s="2670">
        <f>SUM(G513:G516)</f>
        <v>12558</v>
      </c>
    </row>
    <row r="518" spans="1:7" s="2637" customFormat="1" hidden="1">
      <c r="A518" s="2650"/>
      <c r="B518" s="2656"/>
      <c r="C518" s="2650" t="s">
        <v>39</v>
      </c>
      <c r="D518" s="2651" t="s">
        <v>40</v>
      </c>
      <c r="E518" s="2655"/>
      <c r="F518" s="2656"/>
      <c r="G518" s="2660"/>
    </row>
    <row r="519" spans="1:7" s="2637" customFormat="1" hidden="1">
      <c r="A519" s="2650"/>
      <c r="B519" s="2655">
        <v>4</v>
      </c>
      <c r="C519" s="2655" t="s">
        <v>41</v>
      </c>
      <c r="D519" s="2654" t="s">
        <v>1380</v>
      </c>
      <c r="E519" s="2655">
        <f>'SSR-rates'!$P$78</f>
        <v>33344</v>
      </c>
      <c r="F519" s="2655" t="s">
        <v>41</v>
      </c>
      <c r="G519" s="2657">
        <f>ROUND(B519*E519,2)</f>
        <v>133376</v>
      </c>
    </row>
    <row r="520" spans="1:7" s="2637" customFormat="1" hidden="1">
      <c r="A520" s="2650"/>
      <c r="B520" s="2655">
        <v>4</v>
      </c>
      <c r="C520" s="2655" t="s">
        <v>41</v>
      </c>
      <c r="D520" s="2654" t="s">
        <v>1381</v>
      </c>
      <c r="E520" s="2655">
        <f>'SSR-rates'!$K$85</f>
        <v>2279</v>
      </c>
      <c r="F520" s="2655" t="s">
        <v>41</v>
      </c>
      <c r="G520" s="2657">
        <f>ROUND(B520*E520,2)</f>
        <v>9116</v>
      </c>
    </row>
    <row r="521" spans="1:7" s="2637" customFormat="1" hidden="1">
      <c r="A521" s="2650"/>
      <c r="B521" s="2655">
        <v>4</v>
      </c>
      <c r="C521" s="2655" t="s">
        <v>41</v>
      </c>
      <c r="D521" s="2654" t="s">
        <v>1382</v>
      </c>
      <c r="E521" s="2655">
        <f>'SSR-rates'!$K$65</f>
        <v>2028</v>
      </c>
      <c r="F521" s="2655" t="s">
        <v>41</v>
      </c>
      <c r="G521" s="2657">
        <f>ROUND(B521*E521,2)</f>
        <v>8112</v>
      </c>
    </row>
    <row r="522" spans="1:7" s="2637" customFormat="1" hidden="1">
      <c r="A522" s="2650"/>
      <c r="B522" s="2655" t="s">
        <v>1383</v>
      </c>
      <c r="C522" s="2655" t="s">
        <v>1384</v>
      </c>
      <c r="D522" s="2663" t="s">
        <v>1385</v>
      </c>
      <c r="E522" s="2655">
        <v>0</v>
      </c>
      <c r="F522" s="2655" t="s">
        <v>1384</v>
      </c>
      <c r="G522" s="2657">
        <v>0</v>
      </c>
    </row>
    <row r="523" spans="1:7" s="2637" customFormat="1" ht="27.6" hidden="1">
      <c r="A523" s="2650"/>
      <c r="B523" s="2655"/>
      <c r="C523" s="2655"/>
      <c r="D523" s="2663" t="s">
        <v>1386</v>
      </c>
      <c r="E523" s="2655"/>
      <c r="F523" s="2655"/>
      <c r="G523" s="2657">
        <v>0</v>
      </c>
    </row>
    <row r="524" spans="1:7" s="2637" customFormat="1" hidden="1">
      <c r="A524" s="2650"/>
      <c r="B524" s="2655">
        <v>4</v>
      </c>
      <c r="C524" s="2655" t="s">
        <v>41</v>
      </c>
      <c r="D524" s="2663" t="s">
        <v>1387</v>
      </c>
      <c r="E524" s="2655">
        <f>+'SSR-rates'!K80</f>
        <v>2771</v>
      </c>
      <c r="F524" s="2655" t="s">
        <v>41</v>
      </c>
      <c r="G524" s="2657">
        <f>ROUND(B524*E524,2)</f>
        <v>11084</v>
      </c>
    </row>
    <row r="525" spans="1:7" s="2637" customFormat="1" ht="27.6" hidden="1">
      <c r="A525" s="2650"/>
      <c r="B525" s="2655">
        <v>4</v>
      </c>
      <c r="C525" s="2655" t="s">
        <v>41</v>
      </c>
      <c r="D525" s="2663" t="s">
        <v>1388</v>
      </c>
      <c r="E525" s="2661">
        <f>'SSR-rates'!$K$68</f>
        <v>1749.6</v>
      </c>
      <c r="F525" s="2661" t="s">
        <v>41</v>
      </c>
      <c r="G525" s="2664">
        <f>ROUND(B525*E525,2)</f>
        <v>6998.4</v>
      </c>
    </row>
    <row r="526" spans="1:7" s="2637" customFormat="1" hidden="1">
      <c r="A526" s="2650"/>
      <c r="B526" s="2655"/>
      <c r="C526" s="2721"/>
      <c r="D526" s="2654" t="s">
        <v>60</v>
      </c>
      <c r="E526" s="2655"/>
      <c r="F526" s="2656"/>
      <c r="G526" s="2670">
        <f>SUM(G519:G525)</f>
        <v>168686.4</v>
      </c>
    </row>
    <row r="527" spans="1:7" s="2637" customFormat="1" hidden="1">
      <c r="A527" s="2650"/>
      <c r="B527" s="2656"/>
      <c r="C527" s="2650" t="s">
        <v>27</v>
      </c>
      <c r="D527" s="2651" t="s">
        <v>61</v>
      </c>
      <c r="E527" s="2655"/>
      <c r="F527" s="2656"/>
      <c r="G527" s="2660"/>
    </row>
    <row r="528" spans="1:7" s="2637" customFormat="1" hidden="1">
      <c r="A528" s="2650"/>
      <c r="B528" s="2719">
        <v>14.97</v>
      </c>
      <c r="C528" s="2655" t="s">
        <v>66</v>
      </c>
      <c r="D528" s="2663" t="s">
        <v>1389</v>
      </c>
      <c r="E528" s="2712">
        <f>BT_Rate_60_70</f>
        <v>49114.645337323418</v>
      </c>
      <c r="F528" s="2656" t="s">
        <v>66</v>
      </c>
      <c r="G528" s="2664">
        <f>ROUND(B528*E528,2)</f>
        <v>735246.24</v>
      </c>
    </row>
    <row r="529" spans="1:8" s="2637" customFormat="1" ht="27.6" hidden="1">
      <c r="A529" s="2650"/>
      <c r="B529" s="2655">
        <v>276.75</v>
      </c>
      <c r="C529" s="2655" t="s">
        <v>31</v>
      </c>
      <c r="D529" s="2663" t="s">
        <v>1390</v>
      </c>
      <c r="E529" s="2661">
        <f>(lead!$J$10+lead!$J$8+lead!$J$9)/3</f>
        <v>1794.5520984611776</v>
      </c>
      <c r="F529" s="2656" t="s">
        <v>31</v>
      </c>
      <c r="G529" s="2664">
        <f>ROUND(B529*E529,2)</f>
        <v>496642.29</v>
      </c>
    </row>
    <row r="530" spans="1:8" s="2637" customFormat="1" hidden="1">
      <c r="A530" s="2650"/>
      <c r="B530" s="2655"/>
      <c r="C530" s="2721"/>
      <c r="D530" s="2654" t="s">
        <v>60</v>
      </c>
      <c r="E530" s="2655"/>
      <c r="F530" s="2656"/>
      <c r="G530" s="2670">
        <f>SUM(G528:G529)</f>
        <v>1231888.53</v>
      </c>
    </row>
    <row r="531" spans="1:8" s="2637" customFormat="1" hidden="1">
      <c r="A531" s="2650"/>
      <c r="B531" s="2646" t="s">
        <v>45</v>
      </c>
      <c r="C531" s="2651" t="s">
        <v>1246</v>
      </c>
      <c r="D531" s="2654"/>
      <c r="E531" s="2655"/>
      <c r="F531" s="2656"/>
      <c r="G531" s="2657"/>
    </row>
    <row r="532" spans="1:8" s="2637" customFormat="1" ht="27.6" hidden="1">
      <c r="A532" s="2650"/>
      <c r="B532" s="2689">
        <f>'Input Data'!$D$24</f>
        <v>0.13614999999999999</v>
      </c>
      <c r="C532" s="2722"/>
      <c r="D532" s="2723" t="str">
        <f>"Over head charges &amp; CP  "&amp;'Input Data'!$D$24*100&amp;"%  on (A) + (B)+(C)"</f>
        <v>Over head charges &amp; CP  13.615%  on (A) + (B)+(C)</v>
      </c>
      <c r="E532" s="2655">
        <f>$G$517+$G$526+$G$530</f>
        <v>1413132.93</v>
      </c>
      <c r="F532" s="2656"/>
      <c r="G532" s="2657">
        <f>E532*B532</f>
        <v>192398.04841949997</v>
      </c>
    </row>
    <row r="533" spans="1:8" s="2637" customFormat="1" hidden="1">
      <c r="A533" s="2650"/>
      <c r="B533" s="2646" t="s">
        <v>47</v>
      </c>
      <c r="C533" s="2651" t="s">
        <v>89</v>
      </c>
      <c r="D533" s="2654"/>
      <c r="E533" s="2655"/>
      <c r="F533" s="2656"/>
      <c r="G533" s="2670">
        <f>G517+G526+G530+G532</f>
        <v>1605530.9784194999</v>
      </c>
    </row>
    <row r="534" spans="1:8" s="2637" customFormat="1" hidden="1">
      <c r="A534" s="2650"/>
      <c r="B534" s="2655"/>
      <c r="C534" s="2721"/>
      <c r="D534" s="2654" t="s">
        <v>1391</v>
      </c>
      <c r="E534" s="2655"/>
      <c r="F534" s="2655"/>
      <c r="G534" s="2724">
        <f>SUM(G533:G533)</f>
        <v>1605530.9784194999</v>
      </c>
    </row>
    <row r="535" spans="1:8" s="2637" customFormat="1" hidden="1">
      <c r="A535" s="2650"/>
      <c r="B535" s="2655"/>
      <c r="C535" s="2721"/>
      <c r="D535" s="2654" t="s">
        <v>1392</v>
      </c>
      <c r="E535" s="2655"/>
      <c r="F535" s="2655"/>
      <c r="G535" s="2657">
        <f>ROUND(G534/10250,2)</f>
        <v>156.63999999999999</v>
      </c>
    </row>
    <row r="536" spans="1:8" s="2637" customFormat="1" hidden="1">
      <c r="A536" s="2650"/>
      <c r="B536" s="2655"/>
      <c r="C536" s="2725"/>
      <c r="D536" s="2651" t="s">
        <v>52</v>
      </c>
      <c r="E536" s="2655"/>
      <c r="F536" s="2655"/>
      <c r="G536" s="2698">
        <f>ROUND(G535,2)</f>
        <v>156.63999999999999</v>
      </c>
      <c r="H536" s="2637" t="s">
        <v>921</v>
      </c>
    </row>
    <row r="537" spans="1:8" s="2637" customFormat="1" hidden="1">
      <c r="A537" s="2650"/>
      <c r="B537" s="2655"/>
      <c r="C537" s="2725"/>
      <c r="D537" s="2654"/>
      <c r="E537" s="2655"/>
      <c r="F537" s="2655"/>
      <c r="G537" s="2698" t="s">
        <v>137</v>
      </c>
    </row>
    <row r="538" spans="1:8" s="2637" customFormat="1" hidden="1">
      <c r="A538" s="2650" t="s">
        <v>1393</v>
      </c>
      <c r="B538" s="2655"/>
      <c r="C538" s="2725"/>
      <c r="D538" s="2654"/>
      <c r="E538" s="2655"/>
      <c r="F538" s="2655"/>
      <c r="G538" s="2698"/>
    </row>
    <row r="539" spans="1:8" s="2637" customFormat="1" hidden="1">
      <c r="A539" s="2650">
        <v>15</v>
      </c>
      <c r="B539" s="2651" t="s">
        <v>1394</v>
      </c>
      <c r="C539" s="2726"/>
      <c r="D539" s="2654"/>
      <c r="E539" s="2655"/>
      <c r="F539" s="2656"/>
      <c r="G539" s="2671"/>
    </row>
    <row r="540" spans="1:8" s="2637" customFormat="1" hidden="1">
      <c r="A540" s="2650"/>
      <c r="B540" s="3534" t="s">
        <v>1395</v>
      </c>
      <c r="C540" s="3534"/>
      <c r="D540" s="3534"/>
      <c r="E540" s="3534"/>
      <c r="F540" s="3534"/>
      <c r="G540" s="3534"/>
    </row>
    <row r="541" spans="1:8" s="2637" customFormat="1" hidden="1">
      <c r="A541" s="2650"/>
      <c r="B541" s="2727"/>
      <c r="C541" s="2713"/>
      <c r="D541" s="2720" t="s">
        <v>1100</v>
      </c>
      <c r="E541" s="2665" t="s">
        <v>1396</v>
      </c>
      <c r="F541" s="2713"/>
      <c r="G541" s="2713"/>
    </row>
    <row r="542" spans="1:8" s="2637" customFormat="1" hidden="1">
      <c r="A542" s="2650"/>
      <c r="B542" s="2656"/>
      <c r="C542" s="2726"/>
      <c r="D542" s="2663" t="s">
        <v>1397</v>
      </c>
      <c r="E542" s="2655"/>
      <c r="F542" s="2656"/>
      <c r="G542" s="2671"/>
    </row>
    <row r="543" spans="1:8" s="2637" customFormat="1" hidden="1">
      <c r="A543" s="2650"/>
      <c r="B543" s="2656"/>
      <c r="C543" s="2726" t="s">
        <v>36</v>
      </c>
      <c r="D543" s="2728" t="s">
        <v>37</v>
      </c>
      <c r="E543" s="2655"/>
      <c r="F543" s="2656"/>
      <c r="G543" s="2671"/>
    </row>
    <row r="544" spans="1:8" s="2637" customFormat="1" hidden="1">
      <c r="A544" s="2650"/>
      <c r="B544" s="2655">
        <v>0.24</v>
      </c>
      <c r="C544" s="2655" t="s">
        <v>38</v>
      </c>
      <c r="D544" s="2663" t="s">
        <v>1398</v>
      </c>
      <c r="E544" s="2655">
        <f>'SSR-rates'!$K$58</f>
        <v>575</v>
      </c>
      <c r="F544" s="2655" t="s">
        <v>1345</v>
      </c>
      <c r="G544" s="2657">
        <f>ROUND(B544*E544,2)</f>
        <v>138</v>
      </c>
    </row>
    <row r="545" spans="1:8" s="2637" customFormat="1" hidden="1">
      <c r="A545" s="2650"/>
      <c r="B545" s="2655">
        <v>6</v>
      </c>
      <c r="C545" s="2655" t="s">
        <v>38</v>
      </c>
      <c r="D545" s="2663" t="s">
        <v>1399</v>
      </c>
      <c r="E545" s="2655">
        <f>'SSR-rates'!$K$60</f>
        <v>575</v>
      </c>
      <c r="F545" s="2656" t="s">
        <v>38</v>
      </c>
      <c r="G545" s="2657">
        <f>ROUND(B545*E545,2)</f>
        <v>3450</v>
      </c>
    </row>
    <row r="546" spans="1:8" s="2637" customFormat="1" hidden="1">
      <c r="A546" s="2650"/>
      <c r="B546" s="2658">
        <f>'Input Data'!$D$23</f>
        <v>0</v>
      </c>
      <c r="C546" s="2653"/>
      <c r="D546" s="2659" t="s">
        <v>17</v>
      </c>
      <c r="E546" s="2655">
        <f>SUM(G543:G545)</f>
        <v>3588</v>
      </c>
      <c r="F546" s="2656"/>
      <c r="G546" s="2657">
        <f>B546*E546</f>
        <v>0</v>
      </c>
    </row>
    <row r="547" spans="1:8" s="2637" customFormat="1" hidden="1">
      <c r="A547" s="2650"/>
      <c r="B547" s="2658"/>
      <c r="C547" s="2655"/>
      <c r="D547" s="2663" t="s">
        <v>60</v>
      </c>
      <c r="E547" s="2655"/>
      <c r="F547" s="2656"/>
      <c r="G547" s="2670">
        <f>SUM(G544:G546)</f>
        <v>3588</v>
      </c>
    </row>
    <row r="548" spans="1:8" s="2637" customFormat="1" hidden="1">
      <c r="A548" s="2650"/>
      <c r="B548" s="2655"/>
      <c r="C548" s="2655" t="s">
        <v>39</v>
      </c>
      <c r="D548" s="2728" t="s">
        <v>40</v>
      </c>
      <c r="E548" s="2655"/>
      <c r="F548" s="2656"/>
      <c r="G548" s="2671"/>
    </row>
    <row r="549" spans="1:8" s="2637" customFormat="1" hidden="1">
      <c r="A549" s="2650"/>
      <c r="B549" s="2655">
        <v>6</v>
      </c>
      <c r="C549" s="2655" t="s">
        <v>23</v>
      </c>
      <c r="D549" s="2663" t="s">
        <v>1400</v>
      </c>
      <c r="E549" s="2661">
        <f>'SSR-rates'!$K$81</f>
        <v>3163</v>
      </c>
      <c r="F549" s="2655" t="s">
        <v>41</v>
      </c>
      <c r="G549" s="2657">
        <f>ROUND(B549*E549,2)</f>
        <v>18978</v>
      </c>
    </row>
    <row r="550" spans="1:8" s="2637" customFormat="1" hidden="1">
      <c r="A550" s="2650"/>
      <c r="B550" s="2655">
        <v>6</v>
      </c>
      <c r="C550" s="2655" t="s">
        <v>23</v>
      </c>
      <c r="D550" s="2653" t="s">
        <v>1401</v>
      </c>
      <c r="E550" s="2655">
        <f>'SSR-rates'!$K$66</f>
        <v>1280.4000000000001</v>
      </c>
      <c r="F550" s="2655" t="s">
        <v>41</v>
      </c>
      <c r="G550" s="2657">
        <f>ROUND(B550*E550,2)</f>
        <v>7682.4</v>
      </c>
    </row>
    <row r="551" spans="1:8" s="2637" customFormat="1" hidden="1">
      <c r="A551" s="2650"/>
      <c r="B551" s="2655">
        <v>6</v>
      </c>
      <c r="C551" s="2655" t="s">
        <v>23</v>
      </c>
      <c r="D551" s="2663" t="s">
        <v>1402</v>
      </c>
      <c r="E551" s="2655">
        <f>'SSR-rates'!$K$65</f>
        <v>2028</v>
      </c>
      <c r="F551" s="2655" t="s">
        <v>41</v>
      </c>
      <c r="G551" s="2657">
        <f>ROUND(B551*E551,2)</f>
        <v>12168</v>
      </c>
    </row>
    <row r="552" spans="1:8" s="2637" customFormat="1" ht="27.6" hidden="1">
      <c r="A552" s="2650"/>
      <c r="B552" s="2655">
        <v>6</v>
      </c>
      <c r="C552" s="2655" t="s">
        <v>23</v>
      </c>
      <c r="D552" s="2663" t="s">
        <v>1403</v>
      </c>
      <c r="E552" s="2655">
        <f>'SSR-rates'!$K$76</f>
        <v>1846</v>
      </c>
      <c r="F552" s="2655" t="s">
        <v>41</v>
      </c>
      <c r="G552" s="2657">
        <f>ROUND(B552*E552,2)</f>
        <v>11076</v>
      </c>
    </row>
    <row r="553" spans="1:8" s="2637" customFormat="1" hidden="1">
      <c r="A553" s="2650"/>
      <c r="B553" s="2655">
        <v>6</v>
      </c>
      <c r="C553" s="2655" t="s">
        <v>23</v>
      </c>
      <c r="D553" s="2663" t="s">
        <v>1404</v>
      </c>
      <c r="E553" s="2655">
        <f>'SSR-rates'!$K$68</f>
        <v>1749.6</v>
      </c>
      <c r="F553" s="2655" t="s">
        <v>41</v>
      </c>
      <c r="G553" s="2657">
        <f>ROUND(B553*E553,2)</f>
        <v>10497.6</v>
      </c>
    </row>
    <row r="554" spans="1:8" s="2637" customFormat="1" hidden="1">
      <c r="A554" s="2650"/>
      <c r="B554" s="2655"/>
      <c r="C554" s="2655"/>
      <c r="D554" s="2663" t="s">
        <v>60</v>
      </c>
      <c r="E554" s="2655"/>
      <c r="F554" s="2655"/>
      <c r="G554" s="2670">
        <f>SUM(G549:G553)</f>
        <v>60402</v>
      </c>
    </row>
    <row r="555" spans="1:8" s="2637" customFormat="1" hidden="1">
      <c r="A555" s="2650"/>
      <c r="B555" s="2655"/>
      <c r="C555" s="2655" t="s">
        <v>27</v>
      </c>
      <c r="D555" s="2728" t="s">
        <v>1405</v>
      </c>
      <c r="E555" s="2655"/>
      <c r="F555" s="2656"/>
      <c r="G555" s="2657"/>
    </row>
    <row r="556" spans="1:8" s="2637" customFormat="1" hidden="1">
      <c r="A556" s="2650"/>
      <c r="B556" s="2655">
        <v>10.050000000000001</v>
      </c>
      <c r="C556" s="2655" t="s">
        <v>1406</v>
      </c>
      <c r="D556" s="2663" t="s">
        <v>1407</v>
      </c>
      <c r="E556" s="2661">
        <f>lead!$J$40</f>
        <v>49114.645337323418</v>
      </c>
      <c r="F556" s="2655" t="s">
        <v>1406</v>
      </c>
      <c r="G556" s="2657">
        <f>ROUND(B556*E556,2)</f>
        <v>493602.19</v>
      </c>
    </row>
    <row r="557" spans="1:8" s="2637" customFormat="1" ht="41.4" hidden="1">
      <c r="A557" s="2650"/>
      <c r="B557" s="2655">
        <v>92.25</v>
      </c>
      <c r="C557" s="2655" t="s">
        <v>31</v>
      </c>
      <c r="D557" s="2663" t="s">
        <v>1408</v>
      </c>
      <c r="E557" s="2661">
        <f>(lead!$J$9+lead!$J$10+lead!$J$11)/3</f>
        <v>1736.5520984611776</v>
      </c>
      <c r="F557" s="2655" t="s">
        <v>31</v>
      </c>
      <c r="G557" s="2657">
        <f>ROUND(B557*E557,2)</f>
        <v>160196.93</v>
      </c>
      <c r="H557" s="2637">
        <f>0.98*10250</f>
        <v>10045</v>
      </c>
    </row>
    <row r="558" spans="1:8" s="2637" customFormat="1" hidden="1">
      <c r="A558" s="2650"/>
      <c r="B558" s="2655"/>
      <c r="C558" s="2655"/>
      <c r="D558" s="2663"/>
      <c r="E558" s="2661"/>
      <c r="F558" s="2655"/>
      <c r="G558" s="2670">
        <f>SUM(G556:G557)</f>
        <v>653799.12</v>
      </c>
    </row>
    <row r="559" spans="1:8" s="2637" customFormat="1" hidden="1">
      <c r="A559" s="2650"/>
      <c r="B559" s="2646" t="s">
        <v>45</v>
      </c>
      <c r="C559" s="2651" t="s">
        <v>1092</v>
      </c>
      <c r="D559" s="2654"/>
      <c r="E559" s="2655"/>
      <c r="F559" s="2656"/>
      <c r="G559" s="2657"/>
    </row>
    <row r="560" spans="1:8" s="2637" customFormat="1" hidden="1">
      <c r="A560" s="2650"/>
      <c r="B560" s="2689">
        <f>'Input Data'!$D$24</f>
        <v>0.13614999999999999</v>
      </c>
      <c r="C560" s="2722"/>
      <c r="D560" s="2729" t="str">
        <f>"Over head charges &amp; CP  "&amp;'Input Data'!$D$24*100&amp;"%  on (A) + (B)+(C)"</f>
        <v>Over head charges &amp; CP  13.615%  on (A) + (B)+(C)</v>
      </c>
      <c r="E560" s="2655">
        <f>$G$547+$G$554+$G$558</f>
        <v>717789.12</v>
      </c>
      <c r="F560" s="2656"/>
      <c r="G560" s="2657">
        <f>E560*B560</f>
        <v>97726.988687999998</v>
      </c>
    </row>
    <row r="561" spans="1:8" s="2637" customFormat="1" hidden="1">
      <c r="A561" s="2650"/>
      <c r="B561" s="2646" t="s">
        <v>47</v>
      </c>
      <c r="C561" s="2651" t="s">
        <v>89</v>
      </c>
      <c r="D561" s="2654"/>
      <c r="E561" s="2655"/>
      <c r="F561" s="2656"/>
      <c r="G561" s="2670">
        <f>G547+G554+G558+G560</f>
        <v>815516.10868800001</v>
      </c>
    </row>
    <row r="562" spans="1:8" s="2637" customFormat="1" hidden="1">
      <c r="A562" s="2650"/>
      <c r="B562" s="2655"/>
      <c r="C562" s="2721"/>
      <c r="D562" s="2654" t="s">
        <v>1391</v>
      </c>
      <c r="E562" s="2655"/>
      <c r="F562" s="2655"/>
      <c r="G562" s="2724">
        <f>SUM(G561:G561)</f>
        <v>815516.10868800001</v>
      </c>
    </row>
    <row r="563" spans="1:8" s="2637" customFormat="1" hidden="1">
      <c r="A563" s="2650"/>
      <c r="B563" s="2655"/>
      <c r="C563" s="2721"/>
      <c r="D563" s="2654" t="s">
        <v>1392</v>
      </c>
      <c r="E563" s="2655"/>
      <c r="F563" s="2655"/>
      <c r="G563" s="2657">
        <f>ROUND(G562/10250,2)</f>
        <v>79.56</v>
      </c>
    </row>
    <row r="564" spans="1:8" s="2637" customFormat="1" hidden="1">
      <c r="A564" s="2650"/>
      <c r="B564" s="2655"/>
      <c r="C564" s="2725"/>
      <c r="D564" s="2651" t="s">
        <v>52</v>
      </c>
      <c r="E564" s="2655"/>
      <c r="F564" s="2655"/>
      <c r="G564" s="2698">
        <f>ROUND(G563,2)</f>
        <v>79.56</v>
      </c>
      <c r="H564" s="2637" t="s">
        <v>921</v>
      </c>
    </row>
    <row r="565" spans="1:8" s="2637" customFormat="1" hidden="1">
      <c r="A565" s="2650"/>
      <c r="B565" s="2655"/>
      <c r="C565" s="2725"/>
      <c r="D565" s="2654"/>
      <c r="E565" s="2655"/>
      <c r="F565" s="2655"/>
      <c r="G565" s="2698" t="s">
        <v>137</v>
      </c>
    </row>
    <row r="566" spans="1:8" s="2637" customFormat="1" hidden="1">
      <c r="A566" s="2650">
        <f>A507+1</f>
        <v>11</v>
      </c>
      <c r="B566" s="2696" t="s">
        <v>1409</v>
      </c>
      <c r="C566" s="2726"/>
      <c r="D566" s="2654"/>
      <c r="E566" s="2655"/>
      <c r="F566" s="2656"/>
      <c r="G566" s="2671"/>
    </row>
    <row r="567" spans="1:8" s="2637" customFormat="1" hidden="1">
      <c r="A567" s="2650"/>
      <c r="B567" s="3534" t="s">
        <v>1410</v>
      </c>
      <c r="C567" s="3534"/>
      <c r="D567" s="3534"/>
      <c r="E567" s="3534"/>
      <c r="F567" s="3534"/>
      <c r="G567" s="3534"/>
    </row>
    <row r="568" spans="1:8" s="2637" customFormat="1" hidden="1">
      <c r="A568" s="2650"/>
      <c r="B568" s="2727"/>
      <c r="C568" s="2713"/>
      <c r="D568" s="2720" t="s">
        <v>1100</v>
      </c>
      <c r="E568" s="2665" t="s">
        <v>1396</v>
      </c>
      <c r="F568" s="2713"/>
      <c r="G568" s="2713"/>
    </row>
    <row r="569" spans="1:8" s="2637" customFormat="1" hidden="1">
      <c r="A569" s="2650"/>
      <c r="B569" s="2656"/>
      <c r="C569" s="2726"/>
      <c r="D569" s="2663" t="s">
        <v>1411</v>
      </c>
      <c r="E569" s="2655"/>
      <c r="F569" s="2656"/>
      <c r="G569" s="2671"/>
    </row>
    <row r="570" spans="1:8" s="2637" customFormat="1" hidden="1">
      <c r="A570" s="2650"/>
      <c r="B570" s="2656"/>
      <c r="C570" s="2726" t="s">
        <v>36</v>
      </c>
      <c r="D570" s="2728" t="s">
        <v>37</v>
      </c>
      <c r="E570" s="2655"/>
      <c r="F570" s="2656"/>
      <c r="G570" s="2671"/>
    </row>
    <row r="571" spans="1:8" s="2637" customFormat="1" hidden="1">
      <c r="A571" s="2650"/>
      <c r="B571" s="2655">
        <v>0.16</v>
      </c>
      <c r="C571" s="2655" t="s">
        <v>38</v>
      </c>
      <c r="D571" s="2663" t="s">
        <v>1398</v>
      </c>
      <c r="E571" s="2655">
        <f>'SSR-rates'!$K$58</f>
        <v>575</v>
      </c>
      <c r="F571" s="2655" t="s">
        <v>1345</v>
      </c>
      <c r="G571" s="2657">
        <f>ROUND(B571*E571,2)</f>
        <v>92</v>
      </c>
    </row>
    <row r="572" spans="1:8" s="2637" customFormat="1" hidden="1">
      <c r="A572" s="2650"/>
      <c r="B572" s="2655">
        <v>4</v>
      </c>
      <c r="C572" s="2655" t="s">
        <v>38</v>
      </c>
      <c r="D572" s="2663" t="s">
        <v>1399</v>
      </c>
      <c r="E572" s="2655">
        <f>'SSR-rates'!$K$60</f>
        <v>575</v>
      </c>
      <c r="F572" s="2656" t="s">
        <v>38</v>
      </c>
      <c r="G572" s="2657">
        <f>ROUND(B572*E572,2)</f>
        <v>2300</v>
      </c>
    </row>
    <row r="573" spans="1:8" s="2637" customFormat="1" hidden="1">
      <c r="A573" s="2650"/>
      <c r="B573" s="2658">
        <f>'Input Data'!$D$23</f>
        <v>0</v>
      </c>
      <c r="C573" s="2653"/>
      <c r="D573" s="2659" t="s">
        <v>17</v>
      </c>
      <c r="E573" s="2655">
        <f>SUM(G571:G572)</f>
        <v>2392</v>
      </c>
      <c r="F573" s="2656"/>
      <c r="G573" s="2657">
        <f>B573*E573</f>
        <v>0</v>
      </c>
    </row>
    <row r="574" spans="1:8" s="2637" customFormat="1" hidden="1">
      <c r="A574" s="2650"/>
      <c r="B574" s="2658"/>
      <c r="C574" s="2655"/>
      <c r="D574" s="2663" t="s">
        <v>60</v>
      </c>
      <c r="E574" s="2655"/>
      <c r="F574" s="2656"/>
      <c r="G574" s="2670">
        <f>SUM(G571:G573)</f>
        <v>2392</v>
      </c>
    </row>
    <row r="575" spans="1:8" s="2637" customFormat="1" hidden="1">
      <c r="A575" s="2650"/>
      <c r="B575" s="2655"/>
      <c r="C575" s="2655" t="s">
        <v>39</v>
      </c>
      <c r="D575" s="2728" t="s">
        <v>40</v>
      </c>
      <c r="E575" s="2655"/>
      <c r="F575" s="2656"/>
      <c r="G575" s="2671"/>
    </row>
    <row r="576" spans="1:8" s="2637" customFormat="1" hidden="1">
      <c r="A576" s="2650"/>
      <c r="B576" s="2655">
        <v>2</v>
      </c>
      <c r="C576" s="2655" t="s">
        <v>23</v>
      </c>
      <c r="D576" s="2654" t="s">
        <v>1380</v>
      </c>
      <c r="E576" s="2655">
        <f>'SSR-rates'!$P$78</f>
        <v>33344</v>
      </c>
      <c r="F576" s="2655" t="s">
        <v>41</v>
      </c>
      <c r="G576" s="2657">
        <f>ROUND(B576*E576,2)</f>
        <v>66688</v>
      </c>
    </row>
    <row r="577" spans="1:7" s="2637" customFormat="1" hidden="1">
      <c r="A577" s="2650"/>
      <c r="B577" s="2655">
        <v>2</v>
      </c>
      <c r="C577" s="2655" t="s">
        <v>23</v>
      </c>
      <c r="D577" s="2663" t="s">
        <v>1412</v>
      </c>
      <c r="E577" s="2655">
        <f>'SSR-rates'!$K$85</f>
        <v>2279</v>
      </c>
      <c r="F577" s="2655" t="s">
        <v>41</v>
      </c>
      <c r="G577" s="2657">
        <f>ROUND(B577*E577,2)</f>
        <v>4558</v>
      </c>
    </row>
    <row r="578" spans="1:7" s="2637" customFormat="1" hidden="1">
      <c r="A578" s="2650"/>
      <c r="B578" s="2655">
        <v>2</v>
      </c>
      <c r="C578" s="2655" t="s">
        <v>23</v>
      </c>
      <c r="D578" s="2663" t="s">
        <v>1413</v>
      </c>
      <c r="E578" s="2655">
        <f>'SSR-rates'!$K$65</f>
        <v>2028</v>
      </c>
      <c r="F578" s="2655" t="s">
        <v>41</v>
      </c>
      <c r="G578" s="2657">
        <f>ROUND(B578*E578,2)</f>
        <v>4056</v>
      </c>
    </row>
    <row r="579" spans="1:7" s="2637" customFormat="1" ht="27.6" hidden="1">
      <c r="A579" s="2650"/>
      <c r="B579" s="2655" t="s">
        <v>1414</v>
      </c>
      <c r="C579" s="2661" t="s">
        <v>1088</v>
      </c>
      <c r="D579" s="2663" t="s">
        <v>1415</v>
      </c>
      <c r="E579" s="2655">
        <v>0</v>
      </c>
      <c r="F579" s="2655" t="s">
        <v>41</v>
      </c>
      <c r="G579" s="2657">
        <v>0</v>
      </c>
    </row>
    <row r="580" spans="1:7" s="2637" customFormat="1" ht="27.6" hidden="1">
      <c r="A580" s="2650"/>
      <c r="B580" s="2655"/>
      <c r="C580" s="2655"/>
      <c r="D580" s="2663" t="s">
        <v>1386</v>
      </c>
      <c r="E580" s="2655">
        <v>0</v>
      </c>
      <c r="F580" s="2655" t="s">
        <v>41</v>
      </c>
      <c r="G580" s="2657">
        <f>ROUND(B580*E580,2)</f>
        <v>0</v>
      </c>
    </row>
    <row r="581" spans="1:7" s="2637" customFormat="1" hidden="1">
      <c r="A581" s="2650"/>
      <c r="B581" s="2655">
        <v>2</v>
      </c>
      <c r="C581" s="2655" t="s">
        <v>23</v>
      </c>
      <c r="D581" s="2663" t="s">
        <v>1416</v>
      </c>
      <c r="E581" s="2655">
        <f>'SSR-rates'!$K$80</f>
        <v>2771</v>
      </c>
      <c r="F581" s="2655" t="s">
        <v>41</v>
      </c>
      <c r="G581" s="2657">
        <f>ROUND(B581*E581,2)</f>
        <v>5542</v>
      </c>
    </row>
    <row r="582" spans="1:7" s="2637" customFormat="1" hidden="1">
      <c r="A582" s="2650"/>
      <c r="B582" s="2655">
        <v>2</v>
      </c>
      <c r="C582" s="2655" t="s">
        <v>23</v>
      </c>
      <c r="D582" s="2663" t="s">
        <v>1417</v>
      </c>
      <c r="E582" s="2655">
        <f>'SSR-rates'!$K$68</f>
        <v>1749.6</v>
      </c>
      <c r="F582" s="2655" t="s">
        <v>41</v>
      </c>
      <c r="G582" s="2657">
        <f>ROUND(B582*E582,2)</f>
        <v>3499.2</v>
      </c>
    </row>
    <row r="583" spans="1:7" s="2637" customFormat="1" hidden="1">
      <c r="A583" s="2650"/>
      <c r="B583" s="2655"/>
      <c r="C583" s="2655"/>
      <c r="D583" s="2663" t="s">
        <v>60</v>
      </c>
      <c r="E583" s="2655"/>
      <c r="F583" s="2655"/>
      <c r="G583" s="2670">
        <f>SUM(G576:G582)</f>
        <v>84343.2</v>
      </c>
    </row>
    <row r="584" spans="1:7" s="2637" customFormat="1" hidden="1">
      <c r="A584" s="2650"/>
      <c r="B584" s="2655"/>
      <c r="C584" s="2655" t="s">
        <v>27</v>
      </c>
      <c r="D584" s="2728" t="s">
        <v>1405</v>
      </c>
      <c r="E584" s="2655"/>
      <c r="F584" s="2656"/>
      <c r="G584" s="2657"/>
    </row>
    <row r="585" spans="1:7" s="2637" customFormat="1" hidden="1">
      <c r="A585" s="2650"/>
      <c r="B585" s="2655">
        <v>5.34</v>
      </c>
      <c r="C585" s="2655" t="s">
        <v>1406</v>
      </c>
      <c r="D585" s="2663" t="s">
        <v>1418</v>
      </c>
      <c r="E585" s="2712">
        <f>BT_Rate_60_70</f>
        <v>49114.645337323418</v>
      </c>
      <c r="F585" s="2655" t="s">
        <v>1406</v>
      </c>
      <c r="G585" s="2657">
        <f>ROUND(B585*E585,2)</f>
        <v>262272.21000000002</v>
      </c>
    </row>
    <row r="586" spans="1:7" s="2637" customFormat="1" ht="41.4" hidden="1">
      <c r="A586" s="2650"/>
      <c r="B586" s="2655">
        <v>47.16</v>
      </c>
      <c r="C586" s="2655" t="s">
        <v>31</v>
      </c>
      <c r="D586" s="2663" t="s">
        <v>1419</v>
      </c>
      <c r="E586" s="2661">
        <f>(lead!$J$9+lead!$J$10+lead!$J$11)/3</f>
        <v>1736.5520984611776</v>
      </c>
      <c r="F586" s="2655" t="s">
        <v>31</v>
      </c>
      <c r="G586" s="2657">
        <f>ROUND(B586*E586,2)</f>
        <v>81895.8</v>
      </c>
    </row>
    <row r="587" spans="1:7" s="2637" customFormat="1" hidden="1">
      <c r="A587" s="2650"/>
      <c r="B587" s="2655"/>
      <c r="C587" s="2655"/>
      <c r="D587" s="2663"/>
      <c r="E587" s="2661"/>
      <c r="F587" s="2655"/>
      <c r="G587" s="2670">
        <f>SUM(G585:G586)</f>
        <v>344168.01</v>
      </c>
    </row>
    <row r="588" spans="1:7" s="2637" customFormat="1" hidden="1">
      <c r="A588" s="2650"/>
      <c r="B588" s="2646" t="s">
        <v>45</v>
      </c>
      <c r="C588" s="2651" t="s">
        <v>1092</v>
      </c>
      <c r="D588" s="2654"/>
      <c r="E588" s="2655"/>
      <c r="F588" s="2656"/>
      <c r="G588" s="2657"/>
    </row>
    <row r="589" spans="1:7" s="2637" customFormat="1" hidden="1">
      <c r="A589" s="2650"/>
      <c r="B589" s="2689">
        <f>'Input Data'!$D$24</f>
        <v>0.13614999999999999</v>
      </c>
      <c r="C589" s="2722"/>
      <c r="D589" s="2729" t="str">
        <f>"Over head charges &amp; CP  "&amp;'Input Data'!$D$24*100&amp;"%  on (A) + (B)+(C)"</f>
        <v>Over head charges &amp; CP  13.615%  on (A) + (B)+(C)</v>
      </c>
      <c r="E589" s="2655">
        <f>$G$574+$G$583+$G$587</f>
        <v>430903.21</v>
      </c>
      <c r="F589" s="2656"/>
      <c r="G589" s="2657">
        <f>E589*B589</f>
        <v>58667.472041499997</v>
      </c>
    </row>
    <row r="590" spans="1:7" s="2637" customFormat="1" hidden="1">
      <c r="A590" s="2650"/>
      <c r="B590" s="2646" t="s">
        <v>47</v>
      </c>
      <c r="C590" s="2651" t="s">
        <v>89</v>
      </c>
      <c r="D590" s="2654"/>
      <c r="E590" s="2655"/>
      <c r="F590" s="2656"/>
      <c r="G590" s="2670">
        <f>G574+G583+G587+G589</f>
        <v>489570.6820415</v>
      </c>
    </row>
    <row r="591" spans="1:7" s="2637" customFormat="1" hidden="1">
      <c r="A591" s="2650"/>
      <c r="B591" s="2655"/>
      <c r="C591" s="2721"/>
      <c r="D591" s="2654" t="s">
        <v>1420</v>
      </c>
      <c r="E591" s="2655"/>
      <c r="F591" s="2655"/>
      <c r="G591" s="2724">
        <f>SUM(G590:G590)</f>
        <v>489570.6820415</v>
      </c>
    </row>
    <row r="592" spans="1:7" s="2637" customFormat="1" hidden="1">
      <c r="A592" s="2650"/>
      <c r="B592" s="2655"/>
      <c r="C592" s="2721"/>
      <c r="D592" s="2654" t="s">
        <v>1392</v>
      </c>
      <c r="E592" s="2655"/>
      <c r="F592" s="2655"/>
      <c r="G592" s="2657">
        <f>ROUND(G591/7858,2)</f>
        <v>62.3</v>
      </c>
    </row>
    <row r="593" spans="1:7" s="2637" customFormat="1" hidden="1">
      <c r="A593" s="2650"/>
      <c r="B593" s="2655"/>
      <c r="C593" s="2725"/>
      <c r="D593" s="2651" t="s">
        <v>52</v>
      </c>
      <c r="E593" s="2655"/>
      <c r="F593" s="2655"/>
      <c r="G593" s="2698">
        <f>ROUND(G592,2)</f>
        <v>62.3</v>
      </c>
    </row>
    <row r="594" spans="1:7" s="2637" customFormat="1" hidden="1">
      <c r="A594" s="2650" t="s">
        <v>1393</v>
      </c>
      <c r="B594" s="2655"/>
      <c r="C594" s="2725"/>
      <c r="D594" s="2654"/>
      <c r="E594" s="2655"/>
      <c r="F594" s="2655"/>
      <c r="G594" s="2698" t="s">
        <v>137</v>
      </c>
    </row>
    <row r="595" spans="1:7" s="2637" customFormat="1" ht="192" hidden="1" customHeight="1">
      <c r="A595" s="2650">
        <v>10</v>
      </c>
      <c r="B595" s="3525" t="s">
        <v>2803</v>
      </c>
      <c r="C595" s="3525"/>
      <c r="D595" s="3525"/>
      <c r="E595" s="3525"/>
      <c r="F595" s="3525"/>
      <c r="G595" s="3525"/>
    </row>
    <row r="596" spans="1:7" s="2637" customFormat="1" hidden="1">
      <c r="A596" s="2650"/>
      <c r="B596" s="2656"/>
      <c r="C596" s="2726"/>
      <c r="D596" s="2663" t="s">
        <v>10</v>
      </c>
      <c r="E596" s="2655"/>
      <c r="F596" s="2656"/>
      <c r="G596" s="2671"/>
    </row>
    <row r="597" spans="1:7" s="2637" customFormat="1" hidden="1">
      <c r="A597" s="2650"/>
      <c r="B597" s="2656"/>
      <c r="C597" s="2726"/>
      <c r="D597" s="2663" t="s">
        <v>1421</v>
      </c>
      <c r="E597" s="2655"/>
      <c r="F597" s="2656"/>
      <c r="G597" s="2671"/>
    </row>
    <row r="598" spans="1:7" s="2637" customFormat="1" hidden="1">
      <c r="A598" s="2650"/>
      <c r="B598" s="2656"/>
      <c r="C598" s="2726"/>
      <c r="D598" s="2663" t="s">
        <v>1422</v>
      </c>
      <c r="E598" s="2655"/>
      <c r="F598" s="2656"/>
      <c r="G598" s="2671"/>
    </row>
    <row r="599" spans="1:7" s="2637" customFormat="1" hidden="1">
      <c r="A599" s="2650"/>
      <c r="B599" s="2656"/>
      <c r="C599" s="2726" t="s">
        <v>36</v>
      </c>
      <c r="D599" s="2728" t="s">
        <v>37</v>
      </c>
      <c r="E599" s="2655"/>
      <c r="F599" s="2655"/>
      <c r="G599" s="2657"/>
    </row>
    <row r="600" spans="1:7" s="2639" customFormat="1" hidden="1">
      <c r="A600" s="2650"/>
      <c r="B600" s="2655">
        <v>5</v>
      </c>
      <c r="C600" s="2655" t="s">
        <v>38</v>
      </c>
      <c r="D600" s="2663" t="s">
        <v>1423</v>
      </c>
      <c r="E600" s="2655">
        <f>'SSR-rates'!$K$53</f>
        <v>645</v>
      </c>
      <c r="F600" s="2655" t="s">
        <v>1345</v>
      </c>
      <c r="G600" s="2657">
        <f t="shared" ref="G600:G607" si="2">ROUND(B600*E600,2)</f>
        <v>3225</v>
      </c>
    </row>
    <row r="601" spans="1:7" s="2639" customFormat="1" hidden="1">
      <c r="A601" s="2650"/>
      <c r="B601" s="2655">
        <v>5</v>
      </c>
      <c r="C601" s="2655" t="s">
        <v>38</v>
      </c>
      <c r="D601" s="2663" t="s">
        <v>1424</v>
      </c>
      <c r="E601" s="2655">
        <f>'SSR-rates'!$K$54</f>
        <v>615</v>
      </c>
      <c r="F601" s="2655" t="s">
        <v>1345</v>
      </c>
      <c r="G601" s="2657">
        <f t="shared" si="2"/>
        <v>3075</v>
      </c>
    </row>
    <row r="602" spans="1:7" s="2639" customFormat="1" hidden="1">
      <c r="A602" s="2650"/>
      <c r="B602" s="2655">
        <v>150</v>
      </c>
      <c r="C602" s="2655" t="s">
        <v>38</v>
      </c>
      <c r="D602" s="2663" t="s">
        <v>1425</v>
      </c>
      <c r="E602" s="2655">
        <f>'SSR-rates'!$K$60</f>
        <v>575</v>
      </c>
      <c r="F602" s="2655" t="s">
        <v>1345</v>
      </c>
      <c r="G602" s="2657">
        <f t="shared" si="2"/>
        <v>86250</v>
      </c>
    </row>
    <row r="603" spans="1:7" s="2639" customFormat="1" hidden="1">
      <c r="A603" s="2650"/>
      <c r="B603" s="2655">
        <v>6</v>
      </c>
      <c r="C603" s="2655" t="s">
        <v>38</v>
      </c>
      <c r="D603" s="2663" t="s">
        <v>1426</v>
      </c>
      <c r="E603" s="2655">
        <f>'SSR-rates'!$K$59</f>
        <v>575</v>
      </c>
      <c r="F603" s="2655" t="s">
        <v>1345</v>
      </c>
      <c r="G603" s="2657">
        <f t="shared" si="2"/>
        <v>3450</v>
      </c>
    </row>
    <row r="604" spans="1:7" s="2639" customFormat="1" hidden="1">
      <c r="A604" s="2650"/>
      <c r="B604" s="2655">
        <v>2</v>
      </c>
      <c r="C604" s="2655" t="s">
        <v>38</v>
      </c>
      <c r="D604" s="2663" t="s">
        <v>1427</v>
      </c>
      <c r="E604" s="2655">
        <f>'SSR-rates'!$K$55</f>
        <v>1095</v>
      </c>
      <c r="F604" s="2655" t="s">
        <v>1345</v>
      </c>
      <c r="G604" s="2657">
        <f t="shared" si="2"/>
        <v>2190</v>
      </c>
    </row>
    <row r="605" spans="1:7" s="2639" customFormat="1" hidden="1">
      <c r="A605" s="2650"/>
      <c r="B605" s="2655">
        <v>6</v>
      </c>
      <c r="C605" s="2655" t="s">
        <v>38</v>
      </c>
      <c r="D605" s="2663" t="s">
        <v>1428</v>
      </c>
      <c r="E605" s="2655">
        <f>('SSR-rates'!$K$59+'SSR-rates'!$K$60)/2</f>
        <v>575</v>
      </c>
      <c r="F605" s="2655" t="s">
        <v>1345</v>
      </c>
      <c r="G605" s="2657">
        <f t="shared" si="2"/>
        <v>3450</v>
      </c>
    </row>
    <row r="606" spans="1:7" s="2639" customFormat="1" ht="41.4" hidden="1">
      <c r="A606" s="2650"/>
      <c r="B606" s="2655">
        <v>1</v>
      </c>
      <c r="C606" s="2655" t="s">
        <v>38</v>
      </c>
      <c r="D606" s="2663" t="s">
        <v>1429</v>
      </c>
      <c r="E606" s="2655">
        <f>'SSR-rates'!$K$56</f>
        <v>640</v>
      </c>
      <c r="F606" s="2655" t="s">
        <v>1345</v>
      </c>
      <c r="G606" s="2657">
        <f t="shared" si="2"/>
        <v>640</v>
      </c>
    </row>
    <row r="607" spans="1:7" s="2637" customFormat="1" hidden="1">
      <c r="A607" s="2650"/>
      <c r="B607" s="2658">
        <f>'Input Data'!$D$23</f>
        <v>0</v>
      </c>
      <c r="C607" s="2655"/>
      <c r="D607" s="2663" t="s">
        <v>1430</v>
      </c>
      <c r="E607" s="2655">
        <f>SUM(G599:G606)</f>
        <v>102280</v>
      </c>
      <c r="F607" s="2656"/>
      <c r="G607" s="2657">
        <f t="shared" si="2"/>
        <v>0</v>
      </c>
    </row>
    <row r="608" spans="1:7" s="2637" customFormat="1" hidden="1">
      <c r="A608" s="2650"/>
      <c r="B608" s="2658"/>
      <c r="C608" s="2655"/>
      <c r="D608" s="2663" t="s">
        <v>60</v>
      </c>
      <c r="E608" s="2655"/>
      <c r="F608" s="2656"/>
      <c r="G608" s="2670">
        <f>SUM(G600:G607)</f>
        <v>102280</v>
      </c>
    </row>
    <row r="609" spans="1:12" s="2637" customFormat="1" hidden="1">
      <c r="A609" s="2650"/>
      <c r="B609" s="2655"/>
      <c r="C609" s="2655" t="s">
        <v>39</v>
      </c>
      <c r="D609" s="2728" t="s">
        <v>40</v>
      </c>
      <c r="E609" s="2655"/>
      <c r="F609" s="2656"/>
      <c r="G609" s="2657"/>
    </row>
    <row r="610" spans="1:12" s="2637" customFormat="1" ht="41.4" hidden="1">
      <c r="A610" s="2650"/>
      <c r="B610" s="2655">
        <v>36</v>
      </c>
      <c r="C610" s="2655" t="s">
        <v>1431</v>
      </c>
      <c r="D610" s="2663" t="s">
        <v>1432</v>
      </c>
      <c r="E610" s="2655">
        <f>'SSR-rates'!$K$88</f>
        <v>697.9</v>
      </c>
      <c r="F610" s="2656"/>
      <c r="G610" s="2657">
        <f t="shared" ref="G610:G615" si="3">ROUND(B610*E610,2)</f>
        <v>25124.400000000001</v>
      </c>
    </row>
    <row r="611" spans="1:12" s="2637" customFormat="1" hidden="1">
      <c r="A611" s="2650"/>
      <c r="B611" s="2655">
        <v>9</v>
      </c>
      <c r="C611" s="2655" t="s">
        <v>1431</v>
      </c>
      <c r="D611" s="2663" t="s">
        <v>1433</v>
      </c>
      <c r="E611" s="2655">
        <v>246.1</v>
      </c>
      <c r="F611" s="2656"/>
      <c r="G611" s="2657">
        <f t="shared" si="3"/>
        <v>2214.9</v>
      </c>
    </row>
    <row r="612" spans="1:12" s="2637" customFormat="1" hidden="1">
      <c r="A612" s="2650"/>
      <c r="B612" s="2655">
        <v>9</v>
      </c>
      <c r="C612" s="2655" t="s">
        <v>1431</v>
      </c>
      <c r="D612" s="2663" t="s">
        <v>1434</v>
      </c>
      <c r="E612" s="2655"/>
      <c r="F612" s="2656"/>
      <c r="G612" s="2657">
        <f t="shared" si="3"/>
        <v>0</v>
      </c>
    </row>
    <row r="613" spans="1:12" s="2637" customFormat="1" hidden="1">
      <c r="A613" s="2650"/>
      <c r="B613" s="2655">
        <v>9</v>
      </c>
      <c r="C613" s="2655" t="s">
        <v>1431</v>
      </c>
      <c r="D613" s="2663" t="s">
        <v>1435</v>
      </c>
      <c r="E613" s="2655">
        <f>+'SSR-rates'!$K$91</f>
        <v>59</v>
      </c>
      <c r="F613" s="2656"/>
      <c r="G613" s="2657">
        <f t="shared" si="3"/>
        <v>531</v>
      </c>
    </row>
    <row r="614" spans="1:12" s="2637" customFormat="1" hidden="1">
      <c r="A614" s="2650"/>
      <c r="B614" s="2655">
        <v>5</v>
      </c>
      <c r="C614" s="2655" t="s">
        <v>1431</v>
      </c>
      <c r="D614" s="2663" t="s">
        <v>1436</v>
      </c>
      <c r="E614" s="2655">
        <f>'SSR-rates'!$K$69</f>
        <v>769</v>
      </c>
      <c r="F614" s="2656"/>
      <c r="G614" s="2657">
        <f t="shared" si="3"/>
        <v>3845</v>
      </c>
    </row>
    <row r="615" spans="1:12" s="2637" customFormat="1" hidden="1">
      <c r="A615" s="2650"/>
      <c r="B615" s="2655">
        <v>2</v>
      </c>
      <c r="C615" s="2655" t="s">
        <v>1431</v>
      </c>
      <c r="D615" s="2663" t="s">
        <v>1437</v>
      </c>
      <c r="E615" s="2655">
        <f>'SSR-rates'!$K$73</f>
        <v>727.6</v>
      </c>
      <c r="F615" s="2656"/>
      <c r="G615" s="2657">
        <f t="shared" si="3"/>
        <v>1455.2</v>
      </c>
    </row>
    <row r="616" spans="1:12" s="2637" customFormat="1" hidden="1">
      <c r="A616" s="2650"/>
      <c r="B616" s="2655">
        <v>90</v>
      </c>
      <c r="C616" s="2655" t="s">
        <v>1438</v>
      </c>
      <c r="D616" s="2663" t="s">
        <v>1439</v>
      </c>
      <c r="E616" s="2655">
        <v>55</v>
      </c>
      <c r="F616" s="2656"/>
      <c r="G616" s="2657">
        <f>E616*B616</f>
        <v>4950</v>
      </c>
    </row>
    <row r="617" spans="1:12" s="2637" customFormat="1" hidden="1">
      <c r="A617" s="2650"/>
      <c r="B617" s="2655"/>
      <c r="C617" s="2655"/>
      <c r="D617" s="2663" t="s">
        <v>60</v>
      </c>
      <c r="E617" s="2655"/>
      <c r="F617" s="2656"/>
      <c r="G617" s="2670">
        <f>SUM(G610:G616)</f>
        <v>38120.5</v>
      </c>
      <c r="J617" s="2637">
        <f>75*350</f>
        <v>26250</v>
      </c>
    </row>
    <row r="618" spans="1:12" s="2637" customFormat="1" hidden="1">
      <c r="A618" s="2650"/>
      <c r="B618" s="2655"/>
      <c r="C618" s="2655" t="s">
        <v>27</v>
      </c>
      <c r="D618" s="2728" t="s">
        <v>61</v>
      </c>
      <c r="E618" s="2655"/>
      <c r="F618" s="2656"/>
      <c r="G618" s="2657"/>
      <c r="J618" s="2637">
        <f>+J617*0.5%</f>
        <v>131.25</v>
      </c>
      <c r="K618" s="2637">
        <v>122</v>
      </c>
      <c r="L618" s="2637">
        <f>K618/J618</f>
        <v>0.92952380952380953</v>
      </c>
    </row>
    <row r="619" spans="1:12" s="2637" customFormat="1" ht="41.4" hidden="1">
      <c r="A619" s="2650"/>
      <c r="B619" s="2655"/>
      <c r="C619" s="2655"/>
      <c r="D619" s="2663" t="s">
        <v>1440</v>
      </c>
      <c r="E619" s="2655"/>
      <c r="F619" s="2656"/>
      <c r="G619" s="2657"/>
      <c r="J619" s="2637">
        <f>J617*0.4%</f>
        <v>105</v>
      </c>
      <c r="K619" s="2637">
        <f>J619*L618</f>
        <v>97.6</v>
      </c>
    </row>
    <row r="620" spans="1:12" s="2637" customFormat="1" hidden="1">
      <c r="A620" s="2650"/>
      <c r="B620" s="2655">
        <v>22.95</v>
      </c>
      <c r="C620" s="2655" t="s">
        <v>73</v>
      </c>
      <c r="D620" s="2663" t="s">
        <v>517</v>
      </c>
      <c r="E620" s="2661">
        <f>lead!$J$16</f>
        <v>2031.2187651278443</v>
      </c>
      <c r="F620" s="2655" t="s">
        <v>73</v>
      </c>
      <c r="G620" s="2657">
        <f t="shared" ref="G620:G625" si="4">ROUND(B620*E620,2)</f>
        <v>46616.47</v>
      </c>
      <c r="H620" s="2637">
        <v>22.95</v>
      </c>
    </row>
    <row r="621" spans="1:12" s="2637" customFormat="1" hidden="1">
      <c r="A621" s="2650"/>
      <c r="B621" s="2655">
        <v>44.55</v>
      </c>
      <c r="C621" s="2655" t="s">
        <v>73</v>
      </c>
      <c r="D621" s="2663" t="s">
        <v>1441</v>
      </c>
      <c r="E621" s="2661">
        <f>lead!$J$18</f>
        <v>1780.2187651278443</v>
      </c>
      <c r="F621" s="2655" t="s">
        <v>73</v>
      </c>
      <c r="G621" s="2657">
        <f t="shared" si="4"/>
        <v>79308.75</v>
      </c>
      <c r="H621" s="2637">
        <v>44.55</v>
      </c>
    </row>
    <row r="622" spans="1:12" s="2637" customFormat="1" ht="27.6" hidden="1">
      <c r="A622" s="2650"/>
      <c r="B622" s="2655">
        <f>33.75/2</f>
        <v>16.875</v>
      </c>
      <c r="C622" s="2655" t="s">
        <v>31</v>
      </c>
      <c r="D622" s="2730" t="s">
        <v>1442</v>
      </c>
      <c r="E622" s="2661">
        <f>lead!$J$31</f>
        <v>1850.9213132068826</v>
      </c>
      <c r="F622" s="2655" t="s">
        <v>31</v>
      </c>
      <c r="G622" s="2657">
        <f t="shared" si="4"/>
        <v>31234.3</v>
      </c>
    </row>
    <row r="623" spans="1:12" s="2637" customFormat="1" hidden="1">
      <c r="A623" s="2650"/>
      <c r="B623" s="2655">
        <f>33.75/2</f>
        <v>16.875</v>
      </c>
      <c r="C623" s="2655" t="s">
        <v>31</v>
      </c>
      <c r="D623" s="2730" t="s">
        <v>1443</v>
      </c>
      <c r="E623" s="2661">
        <f>lead!$J$33</f>
        <v>1473.2187651278443</v>
      </c>
      <c r="F623" s="2655" t="s">
        <v>31</v>
      </c>
      <c r="G623" s="2657">
        <f t="shared" si="4"/>
        <v>24860.57</v>
      </c>
    </row>
    <row r="624" spans="1:12" s="2637" customFormat="1" hidden="1">
      <c r="A624" s="2650"/>
      <c r="B624" s="2655">
        <v>26.25</v>
      </c>
      <c r="C624" s="2655" t="s">
        <v>1406</v>
      </c>
      <c r="D624" s="2663" t="s">
        <v>1444</v>
      </c>
      <c r="E624" s="2661">
        <f>lead!$J$36</f>
        <v>5000</v>
      </c>
      <c r="F624" s="2655" t="s">
        <v>1406</v>
      </c>
      <c r="G624" s="2657">
        <f t="shared" si="4"/>
        <v>131250</v>
      </c>
      <c r="H624" s="2640">
        <f>0.35*75</f>
        <v>26.25</v>
      </c>
    </row>
    <row r="625" spans="1:9" s="2637" customFormat="1" hidden="1">
      <c r="A625" s="2650"/>
      <c r="B625" s="2655">
        <v>412.5</v>
      </c>
      <c r="C625" s="2655" t="s">
        <v>923</v>
      </c>
      <c r="D625" s="2663" t="s">
        <v>1445</v>
      </c>
      <c r="E625" s="2655">
        <f>'SSR-rates'!$K$39</f>
        <v>19</v>
      </c>
      <c r="F625" s="2655" t="s">
        <v>923</v>
      </c>
      <c r="G625" s="2657">
        <f t="shared" si="4"/>
        <v>7837.5</v>
      </c>
    </row>
    <row r="626" spans="1:9" s="2637" customFormat="1" ht="55.2" hidden="1">
      <c r="A626" s="2650"/>
      <c r="B626" s="2655"/>
      <c r="C626" s="2655"/>
      <c r="D626" s="2663" t="s">
        <v>1446</v>
      </c>
      <c r="E626" s="2655"/>
      <c r="F626" s="2655"/>
      <c r="G626" s="2657"/>
      <c r="H626" s="2641" t="e">
        <f>#REF!</f>
        <v>#REF!</v>
      </c>
    </row>
    <row r="627" spans="1:9" s="2637" customFormat="1" ht="27.6" hidden="1">
      <c r="A627" s="2650"/>
      <c r="B627" s="2655">
        <v>161.91</v>
      </c>
      <c r="C627" s="2655" t="s">
        <v>191</v>
      </c>
      <c r="D627" s="2663" t="s">
        <v>1447</v>
      </c>
      <c r="E627" s="2661">
        <f>lead!$J$38/1000</f>
        <v>60</v>
      </c>
      <c r="F627" s="2655" t="s">
        <v>191</v>
      </c>
      <c r="G627" s="2657">
        <f t="shared" ref="G627:G635" si="5">ROUND(B627*E627,2)</f>
        <v>9714.6</v>
      </c>
    </row>
    <row r="628" spans="1:9" s="2637" customFormat="1" ht="27.6" hidden="1">
      <c r="A628" s="2650"/>
      <c r="B628" s="2719">
        <v>5.0000000000000001E-3</v>
      </c>
      <c r="C628" s="2655" t="s">
        <v>1406</v>
      </c>
      <c r="D628" s="2663" t="s">
        <v>1448</v>
      </c>
      <c r="E628" s="2712">
        <f>BT_Rate_60_70</f>
        <v>49114.645337323418</v>
      </c>
      <c r="F628" s="2655" t="s">
        <v>1406</v>
      </c>
      <c r="G628" s="2657">
        <f t="shared" si="5"/>
        <v>245.57</v>
      </c>
    </row>
    <row r="629" spans="1:9" s="2637" customFormat="1" ht="27.6" hidden="1">
      <c r="A629" s="2650"/>
      <c r="B629" s="2655">
        <v>19</v>
      </c>
      <c r="C629" s="2655" t="s">
        <v>1449</v>
      </c>
      <c r="D629" s="2663" t="s">
        <v>1450</v>
      </c>
      <c r="E629" s="2655">
        <f>'SSR-rates'!$K$40</f>
        <v>73</v>
      </c>
      <c r="F629" s="2655" t="s">
        <v>1449</v>
      </c>
      <c r="G629" s="2657">
        <f t="shared" si="5"/>
        <v>1387</v>
      </c>
    </row>
    <row r="630" spans="1:9" s="2637" customFormat="1" ht="27.6" hidden="1">
      <c r="A630" s="2650"/>
      <c r="B630" s="2655">
        <v>90</v>
      </c>
      <c r="C630" s="2655" t="s">
        <v>1451</v>
      </c>
      <c r="D630" s="2663" t="s">
        <v>1452</v>
      </c>
      <c r="E630" s="2655">
        <f>'SSR-rates'!$K$41</f>
        <v>9</v>
      </c>
      <c r="F630" s="2655" t="s">
        <v>1451</v>
      </c>
      <c r="G630" s="2657">
        <f t="shared" si="5"/>
        <v>810</v>
      </c>
    </row>
    <row r="631" spans="1:9" s="2637" customFormat="1" ht="55.2" hidden="1">
      <c r="A631" s="2650"/>
      <c r="B631" s="2655">
        <v>90</v>
      </c>
      <c r="C631" s="2655" t="s">
        <v>1451</v>
      </c>
      <c r="D631" s="2663" t="s">
        <v>1453</v>
      </c>
      <c r="E631" s="2655">
        <f>'SSR-rates'!$K$42</f>
        <v>11</v>
      </c>
      <c r="F631" s="2655" t="s">
        <v>1451</v>
      </c>
      <c r="G631" s="2657">
        <f t="shared" si="5"/>
        <v>990</v>
      </c>
    </row>
    <row r="632" spans="1:9" s="2637" customFormat="1" ht="41.4" hidden="1">
      <c r="A632" s="2650"/>
      <c r="B632" s="2655">
        <v>483</v>
      </c>
      <c r="C632" s="2655" t="s">
        <v>580</v>
      </c>
      <c r="D632" s="2663" t="s">
        <v>1454</v>
      </c>
      <c r="E632" s="2655">
        <v>0.5</v>
      </c>
      <c r="F632" s="2655" t="s">
        <v>580</v>
      </c>
      <c r="G632" s="2657">
        <f t="shared" si="5"/>
        <v>241.5</v>
      </c>
      <c r="I632" s="2407"/>
    </row>
    <row r="633" spans="1:9" s="2637" customFormat="1" hidden="1">
      <c r="A633" s="2650"/>
      <c r="B633" s="2655">
        <v>97.6</v>
      </c>
      <c r="C633" s="2655" t="s">
        <v>1449</v>
      </c>
      <c r="D633" s="2663" t="s">
        <v>1455</v>
      </c>
      <c r="E633" s="2655">
        <f>'SSR-rates'!$K$44</f>
        <v>70</v>
      </c>
      <c r="F633" s="2655" t="s">
        <v>1449</v>
      </c>
      <c r="G633" s="2657">
        <f t="shared" si="5"/>
        <v>6832</v>
      </c>
    </row>
    <row r="634" spans="1:9" s="2637" customFormat="1" hidden="1">
      <c r="A634" s="2650"/>
      <c r="B634" s="2655">
        <v>18</v>
      </c>
      <c r="C634" s="2655" t="s">
        <v>1456</v>
      </c>
      <c r="D634" s="2663" t="s">
        <v>1457</v>
      </c>
      <c r="E634" s="2661">
        <f>IF(lead!$C$63="Y",'SSR-rates'!$K$112,0)</f>
        <v>0</v>
      </c>
      <c r="F634" s="2661" t="s">
        <v>41</v>
      </c>
      <c r="G634" s="2657">
        <f t="shared" si="5"/>
        <v>0</v>
      </c>
    </row>
    <row r="635" spans="1:9" s="2637" customFormat="1" hidden="1">
      <c r="A635" s="2650"/>
      <c r="B635" s="2655">
        <v>3</v>
      </c>
      <c r="C635" s="2655" t="s">
        <v>923</v>
      </c>
      <c r="D635" s="2663" t="s">
        <v>1458</v>
      </c>
      <c r="E635" s="2655">
        <f>'SSR-rates'!$K$43</f>
        <v>650</v>
      </c>
      <c r="F635" s="2655" t="s">
        <v>923</v>
      </c>
      <c r="G635" s="2657">
        <f t="shared" si="5"/>
        <v>1950</v>
      </c>
    </row>
    <row r="636" spans="1:9" s="2637" customFormat="1" hidden="1">
      <c r="A636" s="2650"/>
      <c r="B636" s="2656"/>
      <c r="C636" s="2726"/>
      <c r="D636" s="2663" t="s">
        <v>1459</v>
      </c>
      <c r="E636" s="2655"/>
      <c r="F636" s="2656"/>
      <c r="G636" s="2657"/>
    </row>
    <row r="637" spans="1:9" s="2637" customFormat="1" hidden="1">
      <c r="A637" s="2650"/>
      <c r="B637" s="2656"/>
      <c r="C637" s="2726"/>
      <c r="D637" s="2663" t="s">
        <v>60</v>
      </c>
      <c r="E637" s="2655"/>
      <c r="F637" s="2656"/>
      <c r="G637" s="2670">
        <f>SUM(G620:G636)</f>
        <v>343278.25999999995</v>
      </c>
    </row>
    <row r="638" spans="1:9" s="2637" customFormat="1" hidden="1">
      <c r="A638" s="2650"/>
      <c r="B638" s="2656"/>
      <c r="C638" s="2726"/>
      <c r="D638" s="2663"/>
      <c r="E638" s="2655"/>
      <c r="F638" s="2656"/>
      <c r="G638" s="2670">
        <f>G637+G617+G608</f>
        <v>483678.75999999995</v>
      </c>
    </row>
    <row r="639" spans="1:9" s="2637" customFormat="1" hidden="1">
      <c r="A639" s="2650"/>
      <c r="B639" s="2656" t="s">
        <v>45</v>
      </c>
      <c r="C639" s="2726"/>
      <c r="D639" s="2663" t="s">
        <v>1460</v>
      </c>
      <c r="E639" s="2655"/>
      <c r="F639" s="2656"/>
      <c r="G639" s="2670">
        <f>G638*3%</f>
        <v>14510.362799999997</v>
      </c>
    </row>
    <row r="640" spans="1:9" s="2637" customFormat="1" hidden="1">
      <c r="A640" s="2650"/>
      <c r="B640" s="2646" t="s">
        <v>47</v>
      </c>
      <c r="C640" s="2651" t="s">
        <v>1092</v>
      </c>
      <c r="D640" s="2654"/>
      <c r="E640" s="2655"/>
      <c r="F640" s="2656"/>
      <c r="G640" s="2657"/>
    </row>
    <row r="641" spans="1:7" s="2637" customFormat="1" ht="27.6" hidden="1">
      <c r="A641" s="2650"/>
      <c r="B641" s="2689">
        <f>'Input Data'!$D$24</f>
        <v>0.13614999999999999</v>
      </c>
      <c r="C641" s="2722"/>
      <c r="D641" s="2723" t="str">
        <f>"Over head charges &amp; CP  "&amp;'Input Data'!$D$24*100&amp;"%  on (A) + (B)+(C)"</f>
        <v>Over head charges &amp; CP  13.615%  on (A) + (B)+(C)</v>
      </c>
      <c r="E641" s="2655">
        <f>G638+G639</f>
        <v>498189.12279999995</v>
      </c>
      <c r="F641" s="2656"/>
      <c r="G641" s="2657">
        <f>E641*B641</f>
        <v>67828.449069219991</v>
      </c>
    </row>
    <row r="642" spans="1:7" hidden="1">
      <c r="A642" s="2650"/>
      <c r="B642" s="2701">
        <f>'Input Data'!$E$24</f>
        <v>0</v>
      </c>
      <c r="C642" s="2667" t="s">
        <v>1093</v>
      </c>
      <c r="D642" s="2659"/>
      <c r="E642" s="2669">
        <f>E641+G641</f>
        <v>566017.57186921989</v>
      </c>
      <c r="F642" s="2659"/>
      <c r="G642" s="2657">
        <f>E642*B642</f>
        <v>0</v>
      </c>
    </row>
    <row r="643" spans="1:7" s="2637" customFormat="1" hidden="1">
      <c r="A643" s="2650"/>
      <c r="B643" s="2646" t="s">
        <v>76</v>
      </c>
      <c r="C643" s="2651" t="s">
        <v>77</v>
      </c>
      <c r="D643" s="2654"/>
      <c r="E643" s="2655"/>
      <c r="F643" s="2656"/>
      <c r="G643" s="2670">
        <f>SUM(G638:G642)</f>
        <v>566017.57186921989</v>
      </c>
    </row>
    <row r="644" spans="1:7" s="2637" customFormat="1" hidden="1">
      <c r="A644" s="2650"/>
      <c r="B644" s="2655"/>
      <c r="C644" s="2721"/>
      <c r="D644" s="2654" t="s">
        <v>1461</v>
      </c>
      <c r="E644" s="2655"/>
      <c r="F644" s="2655"/>
      <c r="G644" s="2724">
        <f>SUM(G643:G643)</f>
        <v>566017.57186921989</v>
      </c>
    </row>
    <row r="645" spans="1:7" s="2637" customFormat="1" hidden="1">
      <c r="A645" s="2650"/>
      <c r="B645" s="2655"/>
      <c r="C645" s="2721"/>
      <c r="D645" s="2654" t="s">
        <v>1462</v>
      </c>
      <c r="E645" s="2655"/>
      <c r="F645" s="2655"/>
      <c r="G645" s="2657">
        <f>ROUND(G644/75,2)</f>
        <v>7546.9</v>
      </c>
    </row>
    <row r="646" spans="1:7" s="2637" customFormat="1" hidden="1">
      <c r="A646" s="2650"/>
      <c r="B646" s="2655"/>
      <c r="C646" s="2725"/>
      <c r="D646" s="2651" t="s">
        <v>52</v>
      </c>
      <c r="E646" s="2655"/>
      <c r="F646" s="2655"/>
      <c r="G646" s="2698">
        <f>ROUND(G645,2)</f>
        <v>7546.9</v>
      </c>
    </row>
    <row r="647" spans="1:7" s="2637" customFormat="1" hidden="1">
      <c r="A647" s="2650" t="s">
        <v>1393</v>
      </c>
      <c r="B647" s="2655"/>
      <c r="C647" s="2725"/>
      <c r="D647" s="2654"/>
      <c r="E647" s="2655"/>
      <c r="F647" s="2655"/>
      <c r="G647" s="2698" t="s">
        <v>53</v>
      </c>
    </row>
    <row r="648" spans="1:7" s="2637" customFormat="1" ht="83.1" hidden="1" customHeight="1">
      <c r="A648" s="2731">
        <v>16</v>
      </c>
      <c r="B648" s="3543" t="s">
        <v>1463</v>
      </c>
      <c r="C648" s="3544"/>
      <c r="D648" s="3544"/>
      <c r="E648" s="3544"/>
      <c r="F648" s="3544"/>
      <c r="G648" s="3544"/>
    </row>
    <row r="649" spans="1:7" s="2637" customFormat="1" hidden="1">
      <c r="A649" s="2731"/>
      <c r="B649" s="2732"/>
      <c r="C649" s="2733" t="s">
        <v>130</v>
      </c>
      <c r="D649" s="2734"/>
      <c r="E649" s="2735"/>
      <c r="F649" s="2732"/>
      <c r="G649" s="2736"/>
    </row>
    <row r="650" spans="1:7" s="2637" customFormat="1" hidden="1">
      <c r="A650" s="2731"/>
      <c r="B650" s="2732"/>
      <c r="C650" s="2733"/>
      <c r="D650" s="2737" t="s">
        <v>1464</v>
      </c>
      <c r="E650" s="2735"/>
      <c r="F650" s="2732"/>
      <c r="G650" s="2736"/>
    </row>
    <row r="651" spans="1:7" s="2637" customFormat="1" hidden="1">
      <c r="A651" s="2731"/>
      <c r="B651" s="2732"/>
      <c r="C651" s="2738" t="s">
        <v>1465</v>
      </c>
      <c r="D651" s="2734"/>
      <c r="E651" s="2739"/>
      <c r="F651" s="2732"/>
      <c r="G651" s="2720"/>
    </row>
    <row r="652" spans="1:7" s="2637" customFormat="1" hidden="1">
      <c r="A652" s="2731"/>
      <c r="B652" s="2732"/>
      <c r="C652" s="2740" t="s">
        <v>36</v>
      </c>
      <c r="D652" s="2741" t="s">
        <v>37</v>
      </c>
      <c r="E652" s="2735"/>
      <c r="F652" s="2732"/>
      <c r="G652" s="2736"/>
    </row>
    <row r="653" spans="1:7" s="2637" customFormat="1" hidden="1">
      <c r="A653" s="2731"/>
      <c r="B653" s="2735">
        <v>0.44</v>
      </c>
      <c r="C653" s="2742" t="s">
        <v>1345</v>
      </c>
      <c r="D653" s="2734" t="s">
        <v>14</v>
      </c>
      <c r="E653" s="2655">
        <f>'SSR-rates'!$K$58</f>
        <v>575</v>
      </c>
      <c r="F653" s="2735" t="s">
        <v>38</v>
      </c>
      <c r="G653" s="2743">
        <f>ROUND(B653*E653,2)</f>
        <v>253</v>
      </c>
    </row>
    <row r="654" spans="1:7" s="2637" customFormat="1" ht="55.2" hidden="1">
      <c r="A654" s="2731"/>
      <c r="B654" s="2735">
        <v>9</v>
      </c>
      <c r="C654" s="2722" t="s">
        <v>1345</v>
      </c>
      <c r="D654" s="2744" t="s">
        <v>1466</v>
      </c>
      <c r="E654" s="2655">
        <f>'SSR-rates'!$K$60</f>
        <v>575</v>
      </c>
      <c r="F654" s="2735" t="s">
        <v>38</v>
      </c>
      <c r="G654" s="2743">
        <f>ROUND(B654*E654,2)</f>
        <v>5175</v>
      </c>
    </row>
    <row r="655" spans="1:7" s="2637" customFormat="1" hidden="1">
      <c r="A655" s="2731"/>
      <c r="B655" s="2735">
        <v>2</v>
      </c>
      <c r="C655" s="2722" t="s">
        <v>1345</v>
      </c>
      <c r="D655" s="2744" t="s">
        <v>1467</v>
      </c>
      <c r="E655" s="2655">
        <f>'SSR-rates'!$K$59</f>
        <v>575</v>
      </c>
      <c r="F655" s="2735" t="s">
        <v>38</v>
      </c>
      <c r="G655" s="2743">
        <f>ROUND(B655*E655,2)</f>
        <v>1150</v>
      </c>
    </row>
    <row r="656" spans="1:7" s="2637" customFormat="1" hidden="1">
      <c r="A656" s="2650"/>
      <c r="B656" s="2658">
        <f>'Input Data'!$D$23</f>
        <v>0</v>
      </c>
      <c r="C656" s="2653"/>
      <c r="D656" s="2659" t="s">
        <v>17</v>
      </c>
      <c r="E656" s="2655"/>
      <c r="F656" s="2656"/>
      <c r="G656" s="2657">
        <f>(G654+G655+G653)*B656</f>
        <v>0</v>
      </c>
    </row>
    <row r="657" spans="1:7" s="2407" customFormat="1" hidden="1">
      <c r="A657" s="2731"/>
      <c r="B657" s="2735"/>
      <c r="C657" s="2742"/>
      <c r="D657" s="2734" t="s">
        <v>60</v>
      </c>
      <c r="E657" s="2735"/>
      <c r="F657" s="2735"/>
      <c r="G657" s="2724">
        <f>SUM(G653:G656,)</f>
        <v>6578</v>
      </c>
    </row>
    <row r="658" spans="1:7" s="2407" customFormat="1" hidden="1">
      <c r="A658" s="2731"/>
      <c r="B658" s="2732"/>
      <c r="C658" s="2740" t="s">
        <v>39</v>
      </c>
      <c r="D658" s="2741" t="s">
        <v>1468</v>
      </c>
      <c r="E658" s="2735"/>
      <c r="F658" s="2735"/>
      <c r="G658" s="2743"/>
    </row>
    <row r="659" spans="1:7" s="2407" customFormat="1" hidden="1">
      <c r="A659" s="2731"/>
      <c r="B659" s="2735">
        <v>7.2</v>
      </c>
      <c r="C659" s="2722" t="s">
        <v>41</v>
      </c>
      <c r="D659" s="2734" t="s">
        <v>1469</v>
      </c>
      <c r="E659" s="2735">
        <f>'SSR-rates'!K75</f>
        <v>440</v>
      </c>
      <c r="F659" s="2735" t="s">
        <v>41</v>
      </c>
      <c r="G659" s="2743">
        <f t="shared" ref="G659:G665" si="6">(B659*E659)</f>
        <v>3168</v>
      </c>
    </row>
    <row r="660" spans="1:7" hidden="1">
      <c r="A660" s="2731"/>
      <c r="B660" s="2735">
        <v>7.2</v>
      </c>
      <c r="C660" s="2722" t="s">
        <v>41</v>
      </c>
      <c r="D660" s="2745" t="s">
        <v>1114</v>
      </c>
      <c r="E660" s="2735">
        <f>'SSR-rates'!K73</f>
        <v>727.6</v>
      </c>
      <c r="F660" s="2735" t="s">
        <v>41</v>
      </c>
      <c r="G660" s="2743">
        <f t="shared" si="6"/>
        <v>5238.72</v>
      </c>
    </row>
    <row r="661" spans="1:7" hidden="1">
      <c r="A661" s="2731"/>
      <c r="B661" s="2735">
        <v>6</v>
      </c>
      <c r="C661" s="2722" t="s">
        <v>41</v>
      </c>
      <c r="D661" s="2745" t="s">
        <v>1470</v>
      </c>
      <c r="E661" s="2735">
        <f>'SSR-rates'!K81</f>
        <v>3163</v>
      </c>
      <c r="F661" s="2735"/>
      <c r="G661" s="2743">
        <f t="shared" si="6"/>
        <v>18978</v>
      </c>
    </row>
    <row r="662" spans="1:7" s="2407" customFormat="1" ht="41.4" hidden="1">
      <c r="A662" s="2731"/>
      <c r="B662" s="2735">
        <v>6</v>
      </c>
      <c r="C662" s="2722"/>
      <c r="D662" s="2746" t="s">
        <v>1471</v>
      </c>
      <c r="E662" s="2747">
        <f>+'SSR-rates'!K66</f>
        <v>1280.4000000000001</v>
      </c>
      <c r="F662" s="2748"/>
      <c r="G662" s="2743">
        <f t="shared" si="6"/>
        <v>7682.4000000000005</v>
      </c>
    </row>
    <row r="663" spans="1:7" s="2407" customFormat="1" hidden="1">
      <c r="A663" s="2731"/>
      <c r="B663" s="2735">
        <v>6</v>
      </c>
      <c r="C663" s="2722" t="s">
        <v>41</v>
      </c>
      <c r="D663" s="2734" t="s">
        <v>1472</v>
      </c>
      <c r="E663" s="2735">
        <f>'SSR-rates'!$K$65</f>
        <v>2028</v>
      </c>
      <c r="F663" s="2735"/>
      <c r="G663" s="2743">
        <f t="shared" si="6"/>
        <v>12168</v>
      </c>
    </row>
    <row r="664" spans="1:7" s="2407" customFormat="1" hidden="1">
      <c r="A664" s="2731"/>
      <c r="B664" s="2735">
        <v>6</v>
      </c>
      <c r="C664" s="2722" t="s">
        <v>41</v>
      </c>
      <c r="D664" s="2749" t="s">
        <v>1473</v>
      </c>
      <c r="E664" s="2750">
        <f>'SSR-rates'!K76</f>
        <v>1846</v>
      </c>
      <c r="F664" s="2749"/>
      <c r="G664" s="2743">
        <f t="shared" si="6"/>
        <v>11076</v>
      </c>
    </row>
    <row r="665" spans="1:7" s="2407" customFormat="1" hidden="1">
      <c r="A665" s="2731"/>
      <c r="B665" s="2735">
        <v>6</v>
      </c>
      <c r="C665" s="2722" t="s">
        <v>41</v>
      </c>
      <c r="D665" s="2749" t="s">
        <v>1474</v>
      </c>
      <c r="E665" s="2750">
        <f>'SSR-rates'!K83</f>
        <v>1581</v>
      </c>
      <c r="F665" s="2749"/>
      <c r="G665" s="2743">
        <f t="shared" si="6"/>
        <v>9486</v>
      </c>
    </row>
    <row r="666" spans="1:7" s="2407" customFormat="1" hidden="1">
      <c r="A666" s="2731"/>
      <c r="B666" s="2735"/>
      <c r="C666" s="2742"/>
      <c r="D666" s="2734" t="s">
        <v>60</v>
      </c>
      <c r="E666" s="2735"/>
      <c r="F666" s="2735"/>
      <c r="G666" s="2724">
        <f>SUM(G659:G665)</f>
        <v>67797.119999999995</v>
      </c>
    </row>
    <row r="667" spans="1:7" hidden="1">
      <c r="A667" s="2731"/>
      <c r="B667" s="2732"/>
      <c r="C667" s="2740" t="s">
        <v>27</v>
      </c>
      <c r="D667" s="2741" t="s">
        <v>61</v>
      </c>
      <c r="E667" s="2735"/>
      <c r="F667" s="2735"/>
      <c r="G667" s="2743"/>
    </row>
    <row r="668" spans="1:7" s="2407" customFormat="1" hidden="1">
      <c r="A668" s="2731"/>
      <c r="B668" s="2735">
        <v>10.8</v>
      </c>
      <c r="C668" s="2740" t="s">
        <v>66</v>
      </c>
      <c r="D668" s="2749" t="s">
        <v>1475</v>
      </c>
      <c r="E668" s="2712">
        <f>BT_Rate_60_70</f>
        <v>49114.645337323418</v>
      </c>
      <c r="F668" s="2749"/>
      <c r="G668" s="2743">
        <f>(B668*E668)</f>
        <v>530438.1696430929</v>
      </c>
    </row>
    <row r="669" spans="1:7" s="2407" customFormat="1" hidden="1">
      <c r="A669" s="2731"/>
      <c r="B669" s="2732"/>
      <c r="C669" s="2740"/>
      <c r="D669" s="2749" t="s">
        <v>1476</v>
      </c>
      <c r="E669" s="2747"/>
      <c r="F669" s="2748"/>
      <c r="G669" s="2748"/>
    </row>
    <row r="670" spans="1:7" s="2407" customFormat="1" ht="27.6" hidden="1">
      <c r="A670" s="2731"/>
      <c r="B670" s="2735">
        <v>135</v>
      </c>
      <c r="C670" s="2740" t="s">
        <v>31</v>
      </c>
      <c r="D670" s="2748" t="s">
        <v>1477</v>
      </c>
      <c r="E670" s="2747">
        <f>+lead!J7</f>
        <v>2031.2187651278443</v>
      </c>
      <c r="F670" s="2748"/>
      <c r="G670" s="2743">
        <f>(B670*E670)</f>
        <v>274214.53329225897</v>
      </c>
    </row>
    <row r="671" spans="1:7" s="2407" customFormat="1" hidden="1">
      <c r="A671" s="2731"/>
      <c r="B671" s="2735"/>
      <c r="C671" s="2722"/>
      <c r="D671" s="2734" t="s">
        <v>60</v>
      </c>
      <c r="E671" s="2735"/>
      <c r="F671" s="2735"/>
      <c r="G671" s="2724">
        <f>SUM(G668:G670)</f>
        <v>804652.70293535187</v>
      </c>
    </row>
    <row r="672" spans="1:7" s="2407" customFormat="1" hidden="1">
      <c r="A672" s="2731"/>
      <c r="B672" s="2735"/>
      <c r="C672" s="2722"/>
      <c r="D672" s="2734"/>
      <c r="E672" s="2735"/>
      <c r="F672" s="2735"/>
      <c r="G672" s="2724">
        <f>G671+G666+G657</f>
        <v>879027.82293535187</v>
      </c>
    </row>
    <row r="673" spans="1:7" s="2407" customFormat="1" hidden="1">
      <c r="A673" s="2731"/>
      <c r="B673" s="2646" t="s">
        <v>45</v>
      </c>
      <c r="C673" s="2651" t="s">
        <v>1246</v>
      </c>
      <c r="D673" s="2654"/>
      <c r="E673" s="2735"/>
      <c r="F673" s="2735"/>
      <c r="G673" s="2743"/>
    </row>
    <row r="674" spans="1:7" s="2407" customFormat="1" hidden="1">
      <c r="A674" s="2731"/>
      <c r="B674" s="2646"/>
      <c r="C674" s="2651"/>
      <c r="D674" s="2654"/>
      <c r="E674" s="2735" t="s">
        <v>60</v>
      </c>
      <c r="F674" s="2735"/>
      <c r="G674" s="2743"/>
    </row>
    <row r="675" spans="1:7" s="2407" customFormat="1" hidden="1">
      <c r="A675" s="2731"/>
      <c r="B675" s="2689">
        <f>'Input Data'!$D$24</f>
        <v>0.13614999999999999</v>
      </c>
      <c r="C675" s="3545" t="str">
        <f>"Over head charges + CP"&amp;'Input Data'!$D$24*100&amp;"%  on (A) + (B)+(C)"</f>
        <v>Over head charges + CP13.615%  on (A) + (B)+(C)</v>
      </c>
      <c r="D675" s="3545"/>
      <c r="E675" s="2735">
        <f>+G672</f>
        <v>879027.82293535187</v>
      </c>
      <c r="F675" s="2732"/>
      <c r="G675" s="2743">
        <f>E675*B675</f>
        <v>119679.63809264815</v>
      </c>
    </row>
    <row r="676" spans="1:7" s="2407" customFormat="1" hidden="1">
      <c r="A676" s="2731"/>
      <c r="B676" s="2646" t="s">
        <v>47</v>
      </c>
      <c r="C676" s="2651" t="s">
        <v>89</v>
      </c>
      <c r="D676" s="2654"/>
      <c r="E676" s="2655"/>
      <c r="F676" s="2656"/>
      <c r="G676" s="2670">
        <f>G672+G675</f>
        <v>998707.46102799999</v>
      </c>
    </row>
    <row r="677" spans="1:7" s="2407" customFormat="1" hidden="1">
      <c r="A677" s="2731"/>
      <c r="B677" s="2735"/>
      <c r="C677" s="2722"/>
      <c r="D677" s="2734" t="s">
        <v>1478</v>
      </c>
      <c r="E677" s="2735"/>
      <c r="F677" s="2735"/>
      <c r="G677" s="2724">
        <f>SUM(G676:G676)</f>
        <v>998707.46102799999</v>
      </c>
    </row>
    <row r="678" spans="1:7" s="2407" customFormat="1" hidden="1">
      <c r="A678" s="2650"/>
      <c r="B678" s="2735"/>
      <c r="C678" s="2722"/>
      <c r="D678" s="2734" t="s">
        <v>1305</v>
      </c>
      <c r="E678" s="2735"/>
      <c r="F678" s="2735"/>
      <c r="G678" s="2724">
        <f>ROUND(G677/9000,2)</f>
        <v>110.97</v>
      </c>
    </row>
    <row r="679" spans="1:7" s="2407" customFormat="1" hidden="1">
      <c r="A679" s="2650"/>
      <c r="B679" s="2735"/>
      <c r="C679" s="2742"/>
      <c r="D679" s="2734" t="s">
        <v>52</v>
      </c>
      <c r="E679" s="2735"/>
      <c r="F679" s="2735"/>
      <c r="G679" s="2698">
        <f>ROUND(G678,2)</f>
        <v>110.97</v>
      </c>
    </row>
    <row r="680" spans="1:7" s="2407" customFormat="1" hidden="1">
      <c r="A680" s="2650"/>
      <c r="B680" s="2732"/>
      <c r="C680" s="2751"/>
      <c r="D680" s="2734"/>
      <c r="E680" s="2735"/>
      <c r="F680" s="2732"/>
      <c r="G680" s="2671" t="s">
        <v>137</v>
      </c>
    </row>
    <row r="681" spans="1:7" s="2407" customFormat="1" ht="14.1" hidden="1" customHeight="1">
      <c r="A681" s="2650"/>
      <c r="B681" s="2732"/>
      <c r="C681" s="2751"/>
      <c r="D681" s="2734"/>
      <c r="E681" s="2735"/>
      <c r="F681" s="2732"/>
      <c r="G681" s="2671"/>
    </row>
    <row r="682" spans="1:7" ht="150" hidden="1" customHeight="1">
      <c r="A682" s="2650">
        <v>17</v>
      </c>
      <c r="B682" s="3525" t="s">
        <v>2804</v>
      </c>
      <c r="C682" s="3541"/>
      <c r="D682" s="3541"/>
      <c r="E682" s="3541"/>
      <c r="F682" s="3541"/>
      <c r="G682" s="3541"/>
    </row>
    <row r="683" spans="1:7" hidden="1">
      <c r="A683" s="2650"/>
      <c r="B683" s="2656"/>
      <c r="C683" s="2667" t="s">
        <v>10</v>
      </c>
      <c r="D683" s="2752" t="s">
        <v>1479</v>
      </c>
      <c r="E683" s="2655"/>
      <c r="F683" s="2656"/>
      <c r="G683" s="2660"/>
    </row>
    <row r="684" spans="1:7" hidden="1">
      <c r="A684" s="2650"/>
      <c r="B684" s="2656"/>
      <c r="C684" s="2753" t="s">
        <v>1480</v>
      </c>
      <c r="D684" s="2654"/>
      <c r="E684" s="2655"/>
      <c r="F684" s="2656"/>
      <c r="G684" s="2659"/>
    </row>
    <row r="685" spans="1:7" hidden="1">
      <c r="A685" s="2650"/>
      <c r="B685" s="2656"/>
      <c r="C685" s="2650" t="s">
        <v>36</v>
      </c>
      <c r="D685" s="2651" t="s">
        <v>37</v>
      </c>
      <c r="E685" s="2655"/>
      <c r="F685" s="2656"/>
      <c r="G685" s="2660"/>
    </row>
    <row r="686" spans="1:7" hidden="1">
      <c r="A686" s="2650"/>
      <c r="B686" s="2655">
        <v>0.84</v>
      </c>
      <c r="C686" s="2721" t="s">
        <v>1345</v>
      </c>
      <c r="D686" s="2654" t="s">
        <v>14</v>
      </c>
      <c r="E686" s="2655">
        <f>'SSR-rates'!$K$58</f>
        <v>575</v>
      </c>
      <c r="F686" s="2655" t="s">
        <v>1345</v>
      </c>
      <c r="G686" s="2657">
        <f>ROUND(B686*E686,2)</f>
        <v>483</v>
      </c>
    </row>
    <row r="687" spans="1:7" ht="55.2" hidden="1">
      <c r="A687" s="2650"/>
      <c r="B687" s="2655">
        <v>16</v>
      </c>
      <c r="C687" s="2721" t="s">
        <v>1345</v>
      </c>
      <c r="D687" s="2754" t="s">
        <v>1481</v>
      </c>
      <c r="E687" s="2655">
        <f>'SSR-rates'!$K$60</f>
        <v>575</v>
      </c>
      <c r="F687" s="2655" t="s">
        <v>1345</v>
      </c>
      <c r="G687" s="2657">
        <f>ROUND(B687*E687,2)</f>
        <v>9200</v>
      </c>
    </row>
    <row r="688" spans="1:7" hidden="1">
      <c r="A688" s="2650"/>
      <c r="B688" s="2655">
        <v>5</v>
      </c>
      <c r="C688" s="2721" t="s">
        <v>1345</v>
      </c>
      <c r="D688" s="2654" t="s">
        <v>15</v>
      </c>
      <c r="E688" s="2655">
        <f>'SSR-rates'!$K$59</f>
        <v>575</v>
      </c>
      <c r="F688" s="2655" t="s">
        <v>1345</v>
      </c>
      <c r="G688" s="2657">
        <f>ROUND(B688*E688,2)</f>
        <v>2875</v>
      </c>
    </row>
    <row r="689" spans="1:8" hidden="1">
      <c r="A689" s="2650"/>
      <c r="B689" s="2658">
        <f>'Input Data'!$D$23</f>
        <v>0</v>
      </c>
      <c r="C689" s="2653"/>
      <c r="D689" s="2659" t="s">
        <v>17</v>
      </c>
      <c r="E689" s="2655">
        <f>SUM(G686:G688)</f>
        <v>12558</v>
      </c>
      <c r="F689" s="2656"/>
      <c r="G689" s="2657">
        <f>B689*E689</f>
        <v>0</v>
      </c>
    </row>
    <row r="690" spans="1:8" hidden="1">
      <c r="A690" s="2650"/>
      <c r="B690" s="2655"/>
      <c r="C690" s="2721"/>
      <c r="D690" s="2654" t="s">
        <v>60</v>
      </c>
      <c r="E690" s="2655"/>
      <c r="F690" s="2656"/>
      <c r="G690" s="2670">
        <f>SUM(G686:G689)</f>
        <v>12558</v>
      </c>
    </row>
    <row r="691" spans="1:8" hidden="1">
      <c r="A691" s="2650"/>
      <c r="B691" s="2656"/>
      <c r="C691" s="2650" t="s">
        <v>39</v>
      </c>
      <c r="D691" s="2651" t="s">
        <v>40</v>
      </c>
      <c r="E691" s="2655"/>
      <c r="F691" s="2656"/>
      <c r="G691" s="2660"/>
    </row>
    <row r="692" spans="1:8" hidden="1">
      <c r="A692" s="2650"/>
      <c r="B692" s="2655">
        <v>6</v>
      </c>
      <c r="C692" s="2721" t="s">
        <v>41</v>
      </c>
      <c r="D692" s="2654" t="s">
        <v>1380</v>
      </c>
      <c r="E692" s="2655">
        <f>'SSR-rates'!$P$78</f>
        <v>33344</v>
      </c>
      <c r="F692" s="2655" t="s">
        <v>41</v>
      </c>
      <c r="G692" s="2657">
        <f t="shared" ref="G692:G698" si="7">ROUND(B692*E692,2)</f>
        <v>200064</v>
      </c>
    </row>
    <row r="693" spans="1:8" hidden="1">
      <c r="A693" s="2650"/>
      <c r="B693" s="2655">
        <v>6</v>
      </c>
      <c r="C693" s="2721" t="s">
        <v>41</v>
      </c>
      <c r="D693" s="2755" t="s">
        <v>1416</v>
      </c>
      <c r="E693" s="2712">
        <f>'SSR-rates'!$K$80</f>
        <v>2771</v>
      </c>
      <c r="F693" s="2655" t="s">
        <v>41</v>
      </c>
      <c r="G693" s="2657">
        <f t="shared" si="7"/>
        <v>16626</v>
      </c>
    </row>
    <row r="694" spans="1:8" hidden="1">
      <c r="A694" s="2650"/>
      <c r="B694" s="2655">
        <v>6</v>
      </c>
      <c r="C694" s="2721" t="s">
        <v>41</v>
      </c>
      <c r="D694" s="2654" t="s">
        <v>1482</v>
      </c>
      <c r="E694" s="2655">
        <f>'SSR-rates'!$K$85</f>
        <v>2279</v>
      </c>
      <c r="F694" s="2655" t="s">
        <v>41</v>
      </c>
      <c r="G694" s="2657">
        <f t="shared" si="7"/>
        <v>13674</v>
      </c>
    </row>
    <row r="695" spans="1:8" hidden="1">
      <c r="A695" s="2650"/>
      <c r="B695" s="2655">
        <v>6</v>
      </c>
      <c r="C695" s="2721" t="s">
        <v>41</v>
      </c>
      <c r="D695" s="2654" t="s">
        <v>1413</v>
      </c>
      <c r="E695" s="2655">
        <f>'SSR-rates'!$K$65</f>
        <v>2028</v>
      </c>
      <c r="F695" s="2655" t="s">
        <v>41</v>
      </c>
      <c r="G695" s="2657">
        <f t="shared" si="7"/>
        <v>12168</v>
      </c>
    </row>
    <row r="696" spans="1:8" ht="27.6" hidden="1">
      <c r="A696" s="2650"/>
      <c r="B696" s="2655">
        <v>3.9</v>
      </c>
      <c r="C696" s="2721" t="s">
        <v>41</v>
      </c>
      <c r="D696" s="2754" t="s">
        <v>1483</v>
      </c>
      <c r="E696" s="2661">
        <f>'SSR-rates'!$K$68</f>
        <v>1749.6</v>
      </c>
      <c r="F696" s="2661" t="s">
        <v>41</v>
      </c>
      <c r="G696" s="2664">
        <f t="shared" si="7"/>
        <v>6823.44</v>
      </c>
    </row>
    <row r="697" spans="1:8" ht="27.6" hidden="1">
      <c r="A697" s="2650"/>
      <c r="B697" s="2655">
        <v>3.9</v>
      </c>
      <c r="C697" s="2721" t="s">
        <v>41</v>
      </c>
      <c r="D697" s="2754" t="s">
        <v>1484</v>
      </c>
      <c r="E697" s="2661">
        <f>'SSR-rates'!$K$67</f>
        <v>3517.9</v>
      </c>
      <c r="F697" s="2661" t="s">
        <v>41</v>
      </c>
      <c r="G697" s="2664">
        <f t="shared" si="7"/>
        <v>13719.81</v>
      </c>
    </row>
    <row r="698" spans="1:8" ht="27.6" hidden="1">
      <c r="A698" s="2650"/>
      <c r="B698" s="2655">
        <v>3.9</v>
      </c>
      <c r="C698" s="2721" t="s">
        <v>41</v>
      </c>
      <c r="D698" s="2754" t="s">
        <v>1485</v>
      </c>
      <c r="E698" s="2661">
        <f>'SSR-rates'!$K$82</f>
        <v>2028</v>
      </c>
      <c r="F698" s="2661" t="s">
        <v>41</v>
      </c>
      <c r="G698" s="2664">
        <f t="shared" si="7"/>
        <v>7909.2</v>
      </c>
    </row>
    <row r="699" spans="1:8" hidden="1">
      <c r="A699" s="2650"/>
      <c r="B699" s="2655"/>
      <c r="C699" s="2721"/>
      <c r="D699" s="2654" t="s">
        <v>60</v>
      </c>
      <c r="E699" s="2655"/>
      <c r="F699" s="2656"/>
      <c r="G699" s="2670">
        <f>SUM(G692:G698)</f>
        <v>270984.45</v>
      </c>
    </row>
    <row r="700" spans="1:8" hidden="1">
      <c r="A700" s="2650"/>
      <c r="B700" s="2656"/>
      <c r="C700" s="2650" t="s">
        <v>27</v>
      </c>
      <c r="D700" s="2651" t="s">
        <v>61</v>
      </c>
      <c r="E700" s="2655"/>
      <c r="F700" s="2656"/>
      <c r="G700" s="2660"/>
    </row>
    <row r="701" spans="1:8" ht="27.6" hidden="1">
      <c r="A701" s="2650"/>
      <c r="B701" s="2655">
        <v>20.25</v>
      </c>
      <c r="C701" s="2655" t="s">
        <v>66</v>
      </c>
      <c r="D701" s="2663" t="s">
        <v>1486</v>
      </c>
      <c r="E701" s="2712">
        <f>BT_Rate_60_70</f>
        <v>49114.645337323418</v>
      </c>
      <c r="F701" s="2656" t="s">
        <v>66</v>
      </c>
      <c r="G701" s="2664">
        <f>ROUND(B701*E701,2)</f>
        <v>994571.57</v>
      </c>
    </row>
    <row r="702" spans="1:8" hidden="1">
      <c r="A702" s="2650"/>
      <c r="B702" s="2655"/>
      <c r="C702" s="2721"/>
      <c r="D702" s="2754" t="s">
        <v>1487</v>
      </c>
      <c r="E702" s="2655"/>
      <c r="F702" s="2656"/>
      <c r="G702" s="2660"/>
    </row>
    <row r="703" spans="1:8" s="2637" customFormat="1" hidden="1">
      <c r="A703" s="2650"/>
      <c r="B703" s="2655"/>
      <c r="C703" s="2721"/>
      <c r="D703" s="2754" t="s">
        <v>1488</v>
      </c>
      <c r="E703" s="2655"/>
      <c r="F703" s="2656"/>
      <c r="G703" s="2660"/>
      <c r="H703" s="2637">
        <f>450*4.5%</f>
        <v>20.25</v>
      </c>
    </row>
    <row r="704" spans="1:8" s="2637" customFormat="1" ht="27.6" hidden="1">
      <c r="A704" s="2650"/>
      <c r="B704" s="2655"/>
      <c r="C704" s="2721"/>
      <c r="D704" s="2754" t="s">
        <v>1489</v>
      </c>
      <c r="E704" s="2655"/>
      <c r="F704" s="2656"/>
      <c r="G704" s="2660"/>
      <c r="H704" s="2637">
        <f>450-20.25</f>
        <v>429.75</v>
      </c>
    </row>
    <row r="705" spans="1:9" s="2637" customFormat="1" hidden="1">
      <c r="A705" s="2650"/>
      <c r="B705" s="2655"/>
      <c r="C705" s="2721"/>
      <c r="D705" s="2754" t="s">
        <v>1490</v>
      </c>
      <c r="E705" s="2655"/>
      <c r="F705" s="2656"/>
      <c r="G705" s="2660"/>
      <c r="H705" s="2637">
        <f>H704/1.5</f>
        <v>286.5</v>
      </c>
    </row>
    <row r="706" spans="1:9" s="2637" customFormat="1" hidden="1">
      <c r="A706" s="2650"/>
      <c r="B706" s="2655"/>
      <c r="C706" s="2721"/>
      <c r="D706" s="2754" t="s">
        <v>1491</v>
      </c>
      <c r="E706" s="2655"/>
      <c r="F706" s="2656"/>
      <c r="G706" s="2660"/>
      <c r="I706" s="2642">
        <f>B709+B711+B713</f>
        <v>280.77000000000004</v>
      </c>
    </row>
    <row r="707" spans="1:9" s="2637" customFormat="1" hidden="1">
      <c r="A707" s="2650"/>
      <c r="B707" s="2655"/>
      <c r="C707" s="2721"/>
      <c r="D707" s="2754" t="s">
        <v>1492</v>
      </c>
      <c r="E707" s="2655"/>
      <c r="F707" s="2656"/>
      <c r="G707" s="2660"/>
      <c r="I707" s="2642">
        <f>H705-I706</f>
        <v>5.7299999999999613</v>
      </c>
    </row>
    <row r="708" spans="1:9" s="2637" customFormat="1" hidden="1">
      <c r="A708" s="2650"/>
      <c r="B708" s="2655"/>
      <c r="C708" s="2721"/>
      <c r="D708" s="2754" t="s">
        <v>1493</v>
      </c>
      <c r="E708" s="2655"/>
      <c r="F708" s="2656"/>
      <c r="G708" s="2660"/>
    </row>
    <row r="709" spans="1:9" s="2637" customFormat="1" ht="27.6" hidden="1">
      <c r="A709" s="2650"/>
      <c r="B709" s="2655">
        <f>286.5*30%</f>
        <v>85.95</v>
      </c>
      <c r="C709" s="2721" t="s">
        <v>31</v>
      </c>
      <c r="D709" s="2756" t="s">
        <v>1494</v>
      </c>
      <c r="E709" s="2661">
        <f>(lead!$J$6+lead!$J$7+lead!$J$8+lead!$J$9)/4</f>
        <v>1903.2187651278443</v>
      </c>
      <c r="F709" s="2656" t="s">
        <v>31</v>
      </c>
      <c r="G709" s="2657">
        <f>ROUND(B709*E709,2)</f>
        <v>163581.65</v>
      </c>
    </row>
    <row r="710" spans="1:9" hidden="1">
      <c r="A710" s="2650"/>
      <c r="B710" s="2655"/>
      <c r="C710" s="2721"/>
      <c r="D710" s="2754" t="s">
        <v>1495</v>
      </c>
      <c r="E710" s="2655"/>
      <c r="F710" s="2656"/>
      <c r="G710" s="2660"/>
    </row>
    <row r="711" spans="1:9" s="2637" customFormat="1" ht="27.6" hidden="1">
      <c r="A711" s="2650"/>
      <c r="B711" s="2719">
        <f>286.5*28%</f>
        <v>80.220000000000013</v>
      </c>
      <c r="C711" s="2721" t="s">
        <v>31</v>
      </c>
      <c r="D711" s="2756" t="s">
        <v>1496</v>
      </c>
      <c r="E711" s="2661">
        <f>(lead!$J$9+lead!$J$10)/2</f>
        <v>1751.7187651278443</v>
      </c>
      <c r="F711" s="2656" t="s">
        <v>31</v>
      </c>
      <c r="G711" s="2657">
        <f>ROUND(B711*E711,2)</f>
        <v>140522.88</v>
      </c>
    </row>
    <row r="712" spans="1:9" s="2637" customFormat="1" ht="27.6" hidden="1">
      <c r="A712" s="2650"/>
      <c r="B712" s="2655"/>
      <c r="C712" s="2721"/>
      <c r="D712" s="2754" t="s">
        <v>1497</v>
      </c>
      <c r="E712" s="2661"/>
      <c r="F712" s="2656"/>
      <c r="G712" s="2657"/>
    </row>
    <row r="713" spans="1:9" s="2637" customFormat="1" ht="27.6" hidden="1">
      <c r="A713" s="2650"/>
      <c r="B713" s="2655">
        <f>286.5*40%</f>
        <v>114.60000000000001</v>
      </c>
      <c r="C713" s="2721" t="s">
        <v>31</v>
      </c>
      <c r="D713" s="2756" t="s">
        <v>1498</v>
      </c>
      <c r="E713" s="2661">
        <f>(lead!$J$11+lead!$J$12)/2</f>
        <v>1695.3437651278443</v>
      </c>
      <c r="F713" s="2656" t="s">
        <v>31</v>
      </c>
      <c r="G713" s="2657">
        <f>ROUND(B713*E713,2)</f>
        <v>194286.4</v>
      </c>
    </row>
    <row r="714" spans="1:9" s="2637" customFormat="1" hidden="1">
      <c r="A714" s="2650"/>
      <c r="B714" s="2655">
        <f>286.5*2%</f>
        <v>5.73</v>
      </c>
      <c r="C714" s="2721" t="s">
        <v>31</v>
      </c>
      <c r="D714" s="2754" t="s">
        <v>1499</v>
      </c>
      <c r="E714" s="2661">
        <f>lead!$J$12</f>
        <v>1684.4687651278443</v>
      </c>
      <c r="F714" s="2656" t="s">
        <v>31</v>
      </c>
      <c r="G714" s="2657">
        <f>ROUND(B714*E714,2)</f>
        <v>9652.01</v>
      </c>
      <c r="I714" s="2637">
        <f>SUM(B709:B714)/195</f>
        <v>1.4692307692307696</v>
      </c>
    </row>
    <row r="715" spans="1:9" s="2637" customFormat="1" hidden="1">
      <c r="A715" s="2650"/>
      <c r="B715" s="2655"/>
      <c r="C715" s="2721"/>
      <c r="D715" s="2654" t="s">
        <v>60</v>
      </c>
      <c r="E715" s="2655"/>
      <c r="F715" s="2656"/>
      <c r="G715" s="2670">
        <f>SUM(G701:G714)</f>
        <v>1502614.51</v>
      </c>
    </row>
    <row r="716" spans="1:9" s="2637" customFormat="1" hidden="1">
      <c r="A716" s="2650"/>
      <c r="B716" s="2646" t="s">
        <v>45</v>
      </c>
      <c r="C716" s="2651" t="s">
        <v>1246</v>
      </c>
      <c r="D716" s="2654"/>
      <c r="E716" s="2655"/>
      <c r="F716" s="2656"/>
      <c r="G716" s="2657"/>
    </row>
    <row r="717" spans="1:9" s="2637" customFormat="1" ht="27.6" hidden="1">
      <c r="A717" s="2650"/>
      <c r="B717" s="2689">
        <f>'Input Data'!$D$24</f>
        <v>0.13614999999999999</v>
      </c>
      <c r="C717" s="2722"/>
      <c r="D717" s="2723" t="str">
        <f>"Over head charges + CP "&amp;'Input Data'!$D$24*100&amp;"%  on (A) + (B)+(C)"</f>
        <v>Over head charges + CP 13.615%  on (A) + (B)+(C)</v>
      </c>
      <c r="E717" s="2655">
        <f>+G715+G699+G690</f>
        <v>1786156.96</v>
      </c>
      <c r="F717" s="2656"/>
      <c r="G717" s="2657">
        <f>E717*B717</f>
        <v>243185.270104</v>
      </c>
    </row>
    <row r="718" spans="1:9" s="2637" customFormat="1" hidden="1">
      <c r="A718" s="2650"/>
      <c r="B718" s="2646" t="s">
        <v>47</v>
      </c>
      <c r="C718" s="2651" t="s">
        <v>89</v>
      </c>
      <c r="D718" s="2654"/>
      <c r="E718" s="2655"/>
      <c r="F718" s="2656"/>
      <c r="G718" s="2670">
        <f>+G717+E717</f>
        <v>2029342.2301039998</v>
      </c>
    </row>
    <row r="719" spans="1:9" s="2637" customFormat="1" hidden="1">
      <c r="A719" s="2650"/>
      <c r="B719" s="2655"/>
      <c r="C719" s="2721"/>
      <c r="D719" s="2654" t="s">
        <v>1500</v>
      </c>
      <c r="E719" s="2655"/>
      <c r="F719" s="2655"/>
      <c r="G719" s="2724">
        <f>SUM(G718:G718)</f>
        <v>2029342.2301039998</v>
      </c>
    </row>
    <row r="720" spans="1:9" s="2637" customFormat="1" hidden="1">
      <c r="A720" s="2650"/>
      <c r="B720" s="2655"/>
      <c r="C720" s="2721"/>
      <c r="D720" s="2654" t="s">
        <v>1501</v>
      </c>
      <c r="E720" s="2655"/>
      <c r="F720" s="2655"/>
      <c r="G720" s="2657">
        <f>ROUND(G719/195,2)</f>
        <v>10406.879999999999</v>
      </c>
    </row>
    <row r="721" spans="1:7" s="2637" customFormat="1" hidden="1">
      <c r="A721" s="2650"/>
      <c r="B721" s="2655"/>
      <c r="C721" s="2725"/>
      <c r="D721" s="2654" t="s">
        <v>52</v>
      </c>
      <c r="E721" s="2655"/>
      <c r="F721" s="2655"/>
      <c r="G721" s="2698">
        <f>ROUND(G720,2)</f>
        <v>10406.879999999999</v>
      </c>
    </row>
    <row r="722" spans="1:7" s="2637" customFormat="1" hidden="1">
      <c r="A722" s="2650"/>
      <c r="B722" s="2655"/>
      <c r="C722" s="2725"/>
      <c r="D722" s="2654"/>
      <c r="E722" s="2655"/>
      <c r="F722" s="2655"/>
      <c r="G722" s="2670" t="s">
        <v>53</v>
      </c>
    </row>
    <row r="723" spans="1:7" s="2637" customFormat="1" ht="126" hidden="1" customHeight="1">
      <c r="A723" s="2650">
        <v>17</v>
      </c>
      <c r="B723" s="3525" t="s">
        <v>2805</v>
      </c>
      <c r="C723" s="3541"/>
      <c r="D723" s="3541"/>
      <c r="E723" s="3541"/>
      <c r="F723" s="3541"/>
      <c r="G723" s="3541"/>
    </row>
    <row r="724" spans="1:7" hidden="1">
      <c r="A724" s="2650"/>
      <c r="B724" s="2656"/>
      <c r="C724" s="2667" t="s">
        <v>10</v>
      </c>
      <c r="D724" s="2752" t="s">
        <v>1502</v>
      </c>
      <c r="E724" s="2655"/>
      <c r="F724" s="2656"/>
      <c r="G724" s="2660"/>
    </row>
    <row r="725" spans="1:7" hidden="1">
      <c r="A725" s="2650"/>
      <c r="B725" s="2656"/>
      <c r="C725" s="2753" t="s">
        <v>1503</v>
      </c>
      <c r="D725" s="2654"/>
      <c r="E725" s="2655"/>
      <c r="F725" s="2656"/>
      <c r="G725" s="2659"/>
    </row>
    <row r="726" spans="1:7" hidden="1">
      <c r="A726" s="2650"/>
      <c r="B726" s="2656"/>
      <c r="C726" s="2650" t="s">
        <v>36</v>
      </c>
      <c r="D726" s="2651" t="s">
        <v>37</v>
      </c>
      <c r="E726" s="2655"/>
      <c r="F726" s="2656"/>
      <c r="G726" s="2660"/>
    </row>
    <row r="727" spans="1:7" hidden="1">
      <c r="A727" s="2650"/>
      <c r="B727" s="2655">
        <v>0.84</v>
      </c>
      <c r="C727" s="2721" t="s">
        <v>1345</v>
      </c>
      <c r="D727" s="2654" t="s">
        <v>14</v>
      </c>
      <c r="E727" s="2655">
        <f>'SSR-rates'!$K$58</f>
        <v>575</v>
      </c>
      <c r="F727" s="2655" t="s">
        <v>1345</v>
      </c>
      <c r="G727" s="2657">
        <f>ROUND(B727*E727,2)</f>
        <v>483</v>
      </c>
    </row>
    <row r="728" spans="1:7" ht="41.4" hidden="1">
      <c r="A728" s="2650"/>
      <c r="B728" s="2655">
        <v>14</v>
      </c>
      <c r="C728" s="2721" t="s">
        <v>1345</v>
      </c>
      <c r="D728" s="2754" t="s">
        <v>1504</v>
      </c>
      <c r="E728" s="2655">
        <f>'SSR-rates'!$K$60</f>
        <v>575</v>
      </c>
      <c r="F728" s="2655" t="s">
        <v>1345</v>
      </c>
      <c r="G728" s="2657">
        <f>ROUND(B728*E728,2)</f>
        <v>8050</v>
      </c>
    </row>
    <row r="729" spans="1:7" hidden="1">
      <c r="A729" s="2650"/>
      <c r="B729" s="2655">
        <v>5</v>
      </c>
      <c r="C729" s="2721" t="s">
        <v>1345</v>
      </c>
      <c r="D729" s="2654" t="s">
        <v>1505</v>
      </c>
      <c r="E729" s="2655">
        <f>'SSR-rates'!$K$59</f>
        <v>575</v>
      </c>
      <c r="F729" s="2655" t="s">
        <v>1345</v>
      </c>
      <c r="G729" s="2657">
        <f>ROUND(B729*E729,2)</f>
        <v>2875</v>
      </c>
    </row>
    <row r="730" spans="1:7" hidden="1">
      <c r="A730" s="2650"/>
      <c r="B730" s="2658">
        <f>'Input Data'!$D$23</f>
        <v>0</v>
      </c>
      <c r="C730" s="2653"/>
      <c r="D730" s="2659" t="s">
        <v>17</v>
      </c>
      <c r="E730" s="2655">
        <f>SUM(G727:G729)</f>
        <v>11408</v>
      </c>
      <c r="F730" s="2656"/>
      <c r="G730" s="2657">
        <f>B730*E730</f>
        <v>0</v>
      </c>
    </row>
    <row r="731" spans="1:7" hidden="1">
      <c r="A731" s="2650"/>
      <c r="B731" s="2655"/>
      <c r="C731" s="2721"/>
      <c r="D731" s="2654" t="s">
        <v>60</v>
      </c>
      <c r="E731" s="2655"/>
      <c r="F731" s="2656"/>
      <c r="G731" s="2670">
        <f>SUM(G727:G730)</f>
        <v>11408</v>
      </c>
    </row>
    <row r="732" spans="1:7" hidden="1">
      <c r="A732" s="2650"/>
      <c r="B732" s="2656"/>
      <c r="C732" s="2650" t="s">
        <v>39</v>
      </c>
      <c r="D732" s="2651" t="s">
        <v>40</v>
      </c>
      <c r="E732" s="2655"/>
      <c r="F732" s="2656"/>
      <c r="G732" s="2660"/>
    </row>
    <row r="733" spans="1:7" hidden="1">
      <c r="A733" s="2650"/>
      <c r="B733" s="2655">
        <v>6</v>
      </c>
      <c r="C733" s="2721" t="s">
        <v>41</v>
      </c>
      <c r="D733" s="2654" t="s">
        <v>1380</v>
      </c>
      <c r="E733" s="2655">
        <f>'SSR-rates'!$P$78</f>
        <v>33344</v>
      </c>
      <c r="F733" s="2655" t="s">
        <v>41</v>
      </c>
      <c r="G733" s="2657">
        <f t="shared" ref="G733:G741" si="8">ROUND(B733*E733,2)</f>
        <v>200064</v>
      </c>
    </row>
    <row r="734" spans="1:7" ht="27.6" hidden="1">
      <c r="A734" s="2650"/>
      <c r="B734" s="2655">
        <v>2.2000000000000002</v>
      </c>
      <c r="C734" s="2721" t="s">
        <v>41</v>
      </c>
      <c r="D734" s="2663" t="s">
        <v>1506</v>
      </c>
      <c r="E734" s="2655">
        <f>'SSR-rates'!K75</f>
        <v>440</v>
      </c>
      <c r="F734" s="2655" t="s">
        <v>41</v>
      </c>
      <c r="G734" s="2657">
        <f t="shared" si="8"/>
        <v>968</v>
      </c>
    </row>
    <row r="735" spans="1:7" hidden="1">
      <c r="A735" s="2650"/>
      <c r="B735" s="2655">
        <v>2.2000000000000002</v>
      </c>
      <c r="C735" s="2721" t="s">
        <v>41</v>
      </c>
      <c r="D735" s="2654" t="s">
        <v>1114</v>
      </c>
      <c r="E735" s="2655">
        <f>'SSR-rates'!$K$73</f>
        <v>727.6</v>
      </c>
      <c r="F735" s="2655" t="s">
        <v>41</v>
      </c>
      <c r="G735" s="2657">
        <f t="shared" si="8"/>
        <v>1600.72</v>
      </c>
    </row>
    <row r="736" spans="1:7" hidden="1">
      <c r="A736" s="2650"/>
      <c r="B736" s="2655">
        <v>6</v>
      </c>
      <c r="C736" s="2721" t="s">
        <v>41</v>
      </c>
      <c r="D736" s="2755" t="s">
        <v>1416</v>
      </c>
      <c r="E736" s="2712">
        <f>'SSR-rates'!$K$80</f>
        <v>2771</v>
      </c>
      <c r="F736" s="2655" t="s">
        <v>41</v>
      </c>
      <c r="G736" s="2657">
        <f t="shared" si="8"/>
        <v>16626</v>
      </c>
    </row>
    <row r="737" spans="1:11" hidden="1">
      <c r="A737" s="2650"/>
      <c r="B737" s="2655">
        <v>6</v>
      </c>
      <c r="C737" s="2721" t="s">
        <v>41</v>
      </c>
      <c r="D737" s="2654" t="s">
        <v>1482</v>
      </c>
      <c r="E737" s="2655">
        <f>'SSR-rates'!$K$85</f>
        <v>2279</v>
      </c>
      <c r="F737" s="2655" t="s">
        <v>41</v>
      </c>
      <c r="G737" s="2657">
        <f t="shared" si="8"/>
        <v>13674</v>
      </c>
    </row>
    <row r="738" spans="1:11" hidden="1">
      <c r="A738" s="2650"/>
      <c r="B738" s="2655">
        <v>6</v>
      </c>
      <c r="C738" s="2721" t="s">
        <v>41</v>
      </c>
      <c r="D738" s="2654" t="s">
        <v>1413</v>
      </c>
      <c r="E738" s="2655">
        <f>'SSR-rates'!$K$65</f>
        <v>2028</v>
      </c>
      <c r="F738" s="2655" t="s">
        <v>41</v>
      </c>
      <c r="G738" s="2657">
        <f t="shared" si="8"/>
        <v>12168</v>
      </c>
    </row>
    <row r="739" spans="1:11" ht="27.6" hidden="1">
      <c r="A739" s="2650"/>
      <c r="B739" s="2655">
        <v>3.9</v>
      </c>
      <c r="C739" s="2721" t="s">
        <v>41</v>
      </c>
      <c r="D739" s="2754" t="s">
        <v>1483</v>
      </c>
      <c r="E739" s="2661">
        <f>'SSR-rates'!$K$68</f>
        <v>1749.6</v>
      </c>
      <c r="F739" s="2661" t="s">
        <v>41</v>
      </c>
      <c r="G739" s="2664">
        <f t="shared" si="8"/>
        <v>6823.44</v>
      </c>
    </row>
    <row r="740" spans="1:11" ht="27.6" hidden="1">
      <c r="A740" s="2650"/>
      <c r="B740" s="2655">
        <v>3.9</v>
      </c>
      <c r="C740" s="2721" t="s">
        <v>41</v>
      </c>
      <c r="D740" s="2754" t="s">
        <v>1484</v>
      </c>
      <c r="E740" s="2661">
        <f>'SSR-rates'!$K$67</f>
        <v>3517.9</v>
      </c>
      <c r="F740" s="2661" t="s">
        <v>41</v>
      </c>
      <c r="G740" s="2664">
        <f t="shared" si="8"/>
        <v>13719.81</v>
      </c>
    </row>
    <row r="741" spans="1:11" ht="27.6" hidden="1">
      <c r="A741" s="2650"/>
      <c r="B741" s="2655">
        <v>3.9</v>
      </c>
      <c r="C741" s="2721" t="s">
        <v>41</v>
      </c>
      <c r="D741" s="2754" t="s">
        <v>1485</v>
      </c>
      <c r="E741" s="2661">
        <f>'SSR-rates'!$K$82</f>
        <v>2028</v>
      </c>
      <c r="F741" s="2661" t="s">
        <v>41</v>
      </c>
      <c r="G741" s="2664">
        <f t="shared" si="8"/>
        <v>7909.2</v>
      </c>
    </row>
    <row r="742" spans="1:11" hidden="1">
      <c r="A742" s="2650"/>
      <c r="B742" s="2655"/>
      <c r="C742" s="2721"/>
      <c r="D742" s="2654" t="s">
        <v>60</v>
      </c>
      <c r="E742" s="2655"/>
      <c r="F742" s="2656"/>
      <c r="G742" s="2670">
        <f>SUM(G733:G741)</f>
        <v>273553.17000000004</v>
      </c>
    </row>
    <row r="743" spans="1:11" hidden="1">
      <c r="A743" s="2650"/>
      <c r="B743" s="2656"/>
      <c r="C743" s="2650" t="s">
        <v>27</v>
      </c>
      <c r="D743" s="2651" t="s">
        <v>61</v>
      </c>
      <c r="E743" s="2655"/>
      <c r="F743" s="2656"/>
      <c r="G743" s="2660"/>
    </row>
    <row r="744" spans="1:11" hidden="1">
      <c r="A744" s="2650"/>
      <c r="B744" s="2655">
        <v>14.85</v>
      </c>
      <c r="C744" s="2655" t="s">
        <v>66</v>
      </c>
      <c r="D744" s="2663" t="s">
        <v>1507</v>
      </c>
      <c r="E744" s="2712">
        <f>BT_Rate_60_70</f>
        <v>49114.645337323418</v>
      </c>
      <c r="F744" s="2656" t="s">
        <v>66</v>
      </c>
      <c r="G744" s="2664">
        <f>ROUND(B744*E744,2)</f>
        <v>729352.48</v>
      </c>
    </row>
    <row r="745" spans="1:11" hidden="1">
      <c r="A745" s="2650"/>
      <c r="B745" s="2655"/>
      <c r="C745" s="2721"/>
      <c r="D745" s="2754" t="s">
        <v>1508</v>
      </c>
      <c r="E745" s="2655"/>
      <c r="F745" s="2656"/>
      <c r="G745" s="2660"/>
    </row>
    <row r="746" spans="1:11" hidden="1">
      <c r="A746" s="2650"/>
      <c r="B746" s="2655"/>
      <c r="C746" s="2721"/>
      <c r="D746" s="2754" t="s">
        <v>1509</v>
      </c>
      <c r="E746" s="2655"/>
      <c r="F746" s="2656"/>
      <c r="G746" s="2660"/>
    </row>
    <row r="747" spans="1:11" s="2637" customFormat="1" ht="27.6" hidden="1">
      <c r="A747" s="2650"/>
      <c r="B747" s="2655"/>
      <c r="C747" s="2721"/>
      <c r="D747" s="2754" t="s">
        <v>1510</v>
      </c>
      <c r="E747" s="2655"/>
      <c r="F747" s="2656"/>
      <c r="G747" s="2660"/>
    </row>
    <row r="748" spans="1:11" s="2637" customFormat="1" hidden="1">
      <c r="A748" s="2650"/>
      <c r="B748" s="2655"/>
      <c r="C748" s="2721"/>
      <c r="D748" s="2754" t="s">
        <v>1490</v>
      </c>
      <c r="E748" s="2655"/>
      <c r="F748" s="2656"/>
      <c r="G748" s="2660"/>
    </row>
    <row r="749" spans="1:11" s="2637" customFormat="1" hidden="1">
      <c r="A749" s="2650"/>
      <c r="B749" s="2655"/>
      <c r="C749" s="2721"/>
      <c r="D749" s="2754" t="s">
        <v>1511</v>
      </c>
      <c r="E749" s="2655"/>
      <c r="F749" s="2656"/>
      <c r="G749" s="2660"/>
      <c r="H749" s="2641"/>
    </row>
    <row r="750" spans="1:11" s="2637" customFormat="1" hidden="1">
      <c r="A750" s="2650"/>
      <c r="B750" s="2655"/>
      <c r="C750" s="2721"/>
      <c r="D750" s="2754" t="s">
        <v>1492</v>
      </c>
      <c r="E750" s="2655"/>
      <c r="F750" s="2656"/>
      <c r="G750" s="2660"/>
    </row>
    <row r="751" spans="1:11" s="2637" customFormat="1" hidden="1">
      <c r="A751" s="2650"/>
      <c r="B751" s="2655"/>
      <c r="C751" s="2721"/>
      <c r="D751" s="2663" t="s">
        <v>1512</v>
      </c>
      <c r="E751" s="2655"/>
      <c r="F751" s="2656"/>
      <c r="G751" s="2660"/>
    </row>
    <row r="752" spans="1:11" s="2637" customFormat="1" ht="27.6" hidden="1">
      <c r="A752" s="2650"/>
      <c r="B752" s="2655">
        <v>116.04</v>
      </c>
      <c r="C752" s="2721" t="s">
        <v>31</v>
      </c>
      <c r="D752" s="2756" t="s">
        <v>1494</v>
      </c>
      <c r="E752" s="2661">
        <f>(lead!$J$6+lead!$J$7+lead!$J$8+lead!$J$9)/4</f>
        <v>1903.2187651278443</v>
      </c>
      <c r="F752" s="2656" t="s">
        <v>31</v>
      </c>
      <c r="G752" s="2657">
        <f>ROUND(B752*E752,2)</f>
        <v>220849.51</v>
      </c>
      <c r="K752" s="2637">
        <f>290.1*0.2</f>
        <v>58.02000000000001</v>
      </c>
    </row>
    <row r="753" spans="1:10" s="2637" customFormat="1" hidden="1">
      <c r="A753" s="2650"/>
      <c r="B753" s="2655"/>
      <c r="C753" s="2721"/>
      <c r="D753" s="2754" t="s">
        <v>1513</v>
      </c>
      <c r="E753" s="2655"/>
      <c r="F753" s="2656"/>
      <c r="G753" s="2660"/>
      <c r="I753" s="2637">
        <v>285</v>
      </c>
    </row>
    <row r="754" spans="1:10" ht="27.6" hidden="1">
      <c r="A754" s="2650"/>
      <c r="B754" s="2719">
        <v>116.04</v>
      </c>
      <c r="C754" s="2721" t="s">
        <v>31</v>
      </c>
      <c r="D754" s="2756" t="s">
        <v>1496</v>
      </c>
      <c r="E754" s="2661">
        <f>(lead!$J$9+lead!$J$10)/2</f>
        <v>1751.7187651278443</v>
      </c>
      <c r="F754" s="2656" t="s">
        <v>31</v>
      </c>
      <c r="G754" s="2657">
        <f>ROUND(B754*E754,2)</f>
        <v>203269.45</v>
      </c>
    </row>
    <row r="755" spans="1:10" s="2637" customFormat="1" ht="27.6" hidden="1">
      <c r="A755" s="2650"/>
      <c r="B755" s="2655"/>
      <c r="C755" s="2721"/>
      <c r="D755" s="2754" t="s">
        <v>1514</v>
      </c>
      <c r="E755" s="2661"/>
      <c r="F755" s="2656"/>
      <c r="G755" s="2657"/>
      <c r="I755" s="2641">
        <f>+B793+B795+B797</f>
        <v>278.12</v>
      </c>
      <c r="J755" s="2640">
        <f>I753-I755</f>
        <v>6.8799999999999955</v>
      </c>
    </row>
    <row r="756" spans="1:10" s="2637" customFormat="1" ht="27.6" hidden="1">
      <c r="A756" s="2650"/>
      <c r="B756" s="2655">
        <v>58.02</v>
      </c>
      <c r="C756" s="2721" t="s">
        <v>31</v>
      </c>
      <c r="D756" s="2756" t="s">
        <v>1498</v>
      </c>
      <c r="E756" s="2661">
        <f>(lead!$J$11+lead!$J$12)/2</f>
        <v>1695.3437651278443</v>
      </c>
      <c r="F756" s="2656" t="s">
        <v>31</v>
      </c>
      <c r="G756" s="2657">
        <f>ROUND(B756*E756,2)</f>
        <v>98363.85</v>
      </c>
    </row>
    <row r="757" spans="1:10" s="2637" customFormat="1" hidden="1">
      <c r="A757" s="2650"/>
      <c r="B757" s="2655"/>
      <c r="C757" s="2721"/>
      <c r="D757" s="2654" t="s">
        <v>60</v>
      </c>
      <c r="E757" s="2655"/>
      <c r="F757" s="2656"/>
      <c r="G757" s="2670">
        <f>SUM(G744:G756)</f>
        <v>1251835.29</v>
      </c>
      <c r="I757" s="2637">
        <f>SUM(B793:B798)/195</f>
        <v>1.4553641025641024</v>
      </c>
    </row>
    <row r="758" spans="1:10" s="2637" customFormat="1" hidden="1">
      <c r="A758" s="2650"/>
      <c r="B758" s="2646" t="s">
        <v>45</v>
      </c>
      <c r="C758" s="2651" t="s">
        <v>1246</v>
      </c>
      <c r="D758" s="2654"/>
      <c r="E758" s="2655"/>
      <c r="F758" s="2656"/>
      <c r="G758" s="2657"/>
    </row>
    <row r="759" spans="1:10" s="2637" customFormat="1" ht="27.6" hidden="1">
      <c r="A759" s="2650"/>
      <c r="B759" s="2689">
        <f>'Input Data'!$D$24</f>
        <v>0.13614999999999999</v>
      </c>
      <c r="C759" s="2722"/>
      <c r="D759" s="2723" t="str">
        <f>"Over head charges + CP "&amp;'Input Data'!$D$24*100&amp;"%  on (A) + (B)+(C)"</f>
        <v>Over head charges + CP 13.615%  on (A) + (B)+(C)</v>
      </c>
      <c r="E759" s="2655">
        <f>+G757+G742+G731</f>
        <v>1536796.46</v>
      </c>
      <c r="F759" s="2656"/>
      <c r="G759" s="2657">
        <f>E759*B759</f>
        <v>209234.83802899998</v>
      </c>
    </row>
    <row r="760" spans="1:10" s="2637" customFormat="1" hidden="1">
      <c r="A760" s="2650"/>
      <c r="B760" s="2646" t="s">
        <v>47</v>
      </c>
      <c r="C760" s="2651" t="s">
        <v>89</v>
      </c>
      <c r="D760" s="2654"/>
      <c r="E760" s="2655"/>
      <c r="F760" s="2656"/>
      <c r="G760" s="2670">
        <f>+G759+E759</f>
        <v>1746031.2980289999</v>
      </c>
    </row>
    <row r="761" spans="1:10" s="2637" customFormat="1" hidden="1">
      <c r="A761" s="2650"/>
      <c r="B761" s="2655"/>
      <c r="C761" s="2721"/>
      <c r="D761" s="2654" t="s">
        <v>1515</v>
      </c>
      <c r="E761" s="2655"/>
      <c r="F761" s="2655"/>
      <c r="G761" s="2724">
        <f>SUM(G760:G760)</f>
        <v>1746031.2980289999</v>
      </c>
    </row>
    <row r="762" spans="1:10" s="2637" customFormat="1" hidden="1">
      <c r="A762" s="2650"/>
      <c r="B762" s="2655"/>
      <c r="C762" s="2721"/>
      <c r="D762" s="2654" t="s">
        <v>1501</v>
      </c>
      <c r="E762" s="2655"/>
      <c r="F762" s="2655"/>
      <c r="G762" s="2657">
        <f>ROUND(G761/205,2)</f>
        <v>8517.23</v>
      </c>
    </row>
    <row r="763" spans="1:10" s="2637" customFormat="1" hidden="1">
      <c r="A763" s="2650"/>
      <c r="B763" s="2655"/>
      <c r="C763" s="2725"/>
      <c r="D763" s="2654" t="s">
        <v>52</v>
      </c>
      <c r="E763" s="2655"/>
      <c r="F763" s="2655"/>
      <c r="G763" s="2698">
        <f>ROUND(G762,2)</f>
        <v>8517.23</v>
      </c>
    </row>
    <row r="764" spans="1:10" s="2637" customFormat="1" hidden="1">
      <c r="A764" s="2650"/>
      <c r="B764" s="2655"/>
      <c r="C764" s="2725"/>
      <c r="D764" s="2654"/>
      <c r="E764" s="2655"/>
      <c r="F764" s="2655"/>
      <c r="G764" s="2670" t="s">
        <v>53</v>
      </c>
    </row>
    <row r="765" spans="1:10" s="2637" customFormat="1" hidden="1">
      <c r="A765" s="2650"/>
      <c r="B765" s="2655"/>
      <c r="C765" s="2725"/>
      <c r="D765" s="2654"/>
      <c r="E765" s="2655"/>
      <c r="F765" s="2655"/>
      <c r="G765" s="2698"/>
    </row>
    <row r="766" spans="1:10" s="2643" customFormat="1" ht="103.8" customHeight="1">
      <c r="A766" s="2650">
        <v>11</v>
      </c>
      <c r="B766" s="3525" t="s">
        <v>2806</v>
      </c>
      <c r="C766" s="3541"/>
      <c r="D766" s="3541"/>
      <c r="E766" s="3541"/>
      <c r="F766" s="3541"/>
      <c r="G766" s="3541"/>
    </row>
    <row r="767" spans="1:10" s="2637" customFormat="1">
      <c r="A767" s="2650"/>
      <c r="B767" s="2656"/>
      <c r="C767" s="2667" t="s">
        <v>10</v>
      </c>
      <c r="D767" s="2752" t="s">
        <v>1516</v>
      </c>
      <c r="E767" s="2655"/>
      <c r="F767" s="2656"/>
      <c r="G767" s="2660"/>
    </row>
    <row r="768" spans="1:10" s="2637" customFormat="1">
      <c r="A768" s="2650"/>
      <c r="B768" s="2656"/>
      <c r="C768" s="2753" t="s">
        <v>1517</v>
      </c>
      <c r="D768" s="2654"/>
      <c r="E768" s="2655"/>
      <c r="F768" s="2656"/>
      <c r="G768" s="2659"/>
    </row>
    <row r="769" spans="1:7" s="2637" customFormat="1">
      <c r="A769" s="2650"/>
      <c r="B769" s="2656"/>
      <c r="C769" s="2650" t="s">
        <v>36</v>
      </c>
      <c r="D769" s="2651" t="s">
        <v>37</v>
      </c>
      <c r="E769" s="2655"/>
      <c r="F769" s="2656"/>
      <c r="G769" s="2660"/>
    </row>
    <row r="770" spans="1:7" s="2637" customFormat="1">
      <c r="A770" s="2650"/>
      <c r="B770" s="2655">
        <v>0.84</v>
      </c>
      <c r="C770" s="2721" t="s">
        <v>1345</v>
      </c>
      <c r="D770" s="2654" t="s">
        <v>14</v>
      </c>
      <c r="E770" s="2655">
        <f>'SSR-rates'!$K$58</f>
        <v>575</v>
      </c>
      <c r="F770" s="2655" t="s">
        <v>1345</v>
      </c>
      <c r="G770" s="2657">
        <f>ROUND(B770*E770,2)</f>
        <v>483</v>
      </c>
    </row>
    <row r="771" spans="1:7" s="2637" customFormat="1" ht="55.2">
      <c r="A771" s="2650"/>
      <c r="B771" s="2655">
        <v>16</v>
      </c>
      <c r="C771" s="2721" t="s">
        <v>1345</v>
      </c>
      <c r="D771" s="2754" t="s">
        <v>1481</v>
      </c>
      <c r="E771" s="2655">
        <f>'SSR-rates'!$K$60</f>
        <v>575</v>
      </c>
      <c r="F771" s="2655" t="s">
        <v>1345</v>
      </c>
      <c r="G771" s="2657">
        <f>ROUND(B771*E771,2)</f>
        <v>9200</v>
      </c>
    </row>
    <row r="772" spans="1:7" s="2637" customFormat="1">
      <c r="A772" s="2650"/>
      <c r="B772" s="2655">
        <v>5</v>
      </c>
      <c r="C772" s="2721" t="s">
        <v>1345</v>
      </c>
      <c r="D772" s="2654" t="s">
        <v>15</v>
      </c>
      <c r="E772" s="2655">
        <f>'SSR-rates'!$K$59</f>
        <v>575</v>
      </c>
      <c r="F772" s="2655" t="s">
        <v>1345</v>
      </c>
      <c r="G772" s="2657">
        <f>ROUND(B772*E772,2)</f>
        <v>2875</v>
      </c>
    </row>
    <row r="773" spans="1:7" s="2637" customFormat="1">
      <c r="A773" s="2650"/>
      <c r="B773" s="2658">
        <f>'Input Data'!$D$23</f>
        <v>0</v>
      </c>
      <c r="C773" s="2653"/>
      <c r="D773" s="2659" t="s">
        <v>17</v>
      </c>
      <c r="E773" s="2655">
        <f>SUM(G770:G772)</f>
        <v>12558</v>
      </c>
      <c r="F773" s="2656"/>
      <c r="G773" s="2657">
        <f>B773*E773</f>
        <v>0</v>
      </c>
    </row>
    <row r="774" spans="1:7" s="2637" customFormat="1">
      <c r="A774" s="2650"/>
      <c r="B774" s="2655"/>
      <c r="C774" s="2721"/>
      <c r="D774" s="2654" t="s">
        <v>60</v>
      </c>
      <c r="E774" s="2655"/>
      <c r="F774" s="2656"/>
      <c r="G774" s="2670">
        <f>SUM(G770:G773)</f>
        <v>12558</v>
      </c>
    </row>
    <row r="775" spans="1:7" s="2637" customFormat="1">
      <c r="A775" s="2650"/>
      <c r="B775" s="2656"/>
      <c r="C775" s="2650" t="s">
        <v>39</v>
      </c>
      <c r="D775" s="2651" t="s">
        <v>40</v>
      </c>
      <c r="E775" s="2655"/>
      <c r="F775" s="2656"/>
      <c r="G775" s="2660"/>
    </row>
    <row r="776" spans="1:7" s="2637" customFormat="1">
      <c r="A776" s="2650"/>
      <c r="B776" s="2655">
        <v>6</v>
      </c>
      <c r="C776" s="2721" t="s">
        <v>41</v>
      </c>
      <c r="D776" s="2654" t="s">
        <v>1380</v>
      </c>
      <c r="E776" s="2655">
        <f>'SSR-rates'!$P$78</f>
        <v>33344</v>
      </c>
      <c r="F776" s="2655" t="s">
        <v>41</v>
      </c>
      <c r="G776" s="2657">
        <f t="shared" ref="G776:G782" si="9">ROUND(B776*E776,2)</f>
        <v>200064</v>
      </c>
    </row>
    <row r="777" spans="1:7" s="2637" customFormat="1">
      <c r="A777" s="2650"/>
      <c r="B777" s="2655">
        <v>6</v>
      </c>
      <c r="C777" s="2721" t="s">
        <v>41</v>
      </c>
      <c r="D777" s="2755" t="s">
        <v>1416</v>
      </c>
      <c r="E777" s="2712">
        <f>'SSR-rates'!$K$80</f>
        <v>2771</v>
      </c>
      <c r="F777" s="2655" t="s">
        <v>41</v>
      </c>
      <c r="G777" s="2657">
        <f t="shared" si="9"/>
        <v>16626</v>
      </c>
    </row>
    <row r="778" spans="1:7" s="2637" customFormat="1">
      <c r="A778" s="2650"/>
      <c r="B778" s="2655">
        <v>6</v>
      </c>
      <c r="C778" s="2721" t="s">
        <v>41</v>
      </c>
      <c r="D778" s="2654" t="s">
        <v>1482</v>
      </c>
      <c r="E778" s="2655">
        <f>'SSR-rates'!$K$85</f>
        <v>2279</v>
      </c>
      <c r="F778" s="2655" t="s">
        <v>41</v>
      </c>
      <c r="G778" s="2657">
        <f t="shared" si="9"/>
        <v>13674</v>
      </c>
    </row>
    <row r="779" spans="1:7" s="2637" customFormat="1">
      <c r="A779" s="2650"/>
      <c r="B779" s="2655">
        <v>6</v>
      </c>
      <c r="C779" s="2721" t="s">
        <v>41</v>
      </c>
      <c r="D779" s="2654" t="s">
        <v>1413</v>
      </c>
      <c r="E779" s="2655">
        <f>'SSR-rates'!$K$65</f>
        <v>2028</v>
      </c>
      <c r="F779" s="2655" t="s">
        <v>41</v>
      </c>
      <c r="G779" s="2657">
        <f t="shared" si="9"/>
        <v>12168</v>
      </c>
    </row>
    <row r="780" spans="1:7" s="2637" customFormat="1" ht="27.6">
      <c r="A780" s="2650"/>
      <c r="B780" s="2655">
        <v>3.9</v>
      </c>
      <c r="C780" s="2721" t="s">
        <v>41</v>
      </c>
      <c r="D780" s="2754" t="s">
        <v>1483</v>
      </c>
      <c r="E780" s="2661">
        <f>'SSR-rates'!$K$68</f>
        <v>1749.6</v>
      </c>
      <c r="F780" s="2661" t="s">
        <v>41</v>
      </c>
      <c r="G780" s="2664">
        <f t="shared" si="9"/>
        <v>6823.44</v>
      </c>
    </row>
    <row r="781" spans="1:7" s="2637" customFormat="1" ht="27.6">
      <c r="A781" s="2650"/>
      <c r="B781" s="2655">
        <v>3.9</v>
      </c>
      <c r="C781" s="2721" t="s">
        <v>41</v>
      </c>
      <c r="D781" s="2754" t="s">
        <v>1484</v>
      </c>
      <c r="E781" s="2661">
        <f>'SSR-rates'!$K$67</f>
        <v>3517.9</v>
      </c>
      <c r="F781" s="2661" t="s">
        <v>41</v>
      </c>
      <c r="G781" s="2664">
        <f t="shared" si="9"/>
        <v>13719.81</v>
      </c>
    </row>
    <row r="782" spans="1:7" s="2637" customFormat="1" ht="27.6">
      <c r="A782" s="2650"/>
      <c r="B782" s="2655">
        <v>3.9</v>
      </c>
      <c r="C782" s="2721" t="s">
        <v>41</v>
      </c>
      <c r="D782" s="2754" t="s">
        <v>1485</v>
      </c>
      <c r="E782" s="2661">
        <f>'SSR-rates'!$K$82</f>
        <v>2028</v>
      </c>
      <c r="F782" s="2661" t="s">
        <v>41</v>
      </c>
      <c r="G782" s="2664">
        <f t="shared" si="9"/>
        <v>7909.2</v>
      </c>
    </row>
    <row r="783" spans="1:7" s="2637" customFormat="1">
      <c r="A783" s="2650"/>
      <c r="B783" s="2655"/>
      <c r="C783" s="2721"/>
      <c r="D783" s="2654" t="s">
        <v>60</v>
      </c>
      <c r="E783" s="2655"/>
      <c r="F783" s="2656"/>
      <c r="G783" s="2670">
        <f>SUM(G776:G782)</f>
        <v>270984.45</v>
      </c>
    </row>
    <row r="784" spans="1:7" s="2637" customFormat="1">
      <c r="A784" s="2650"/>
      <c r="B784" s="2656"/>
      <c r="C784" s="2650" t="s">
        <v>27</v>
      </c>
      <c r="D784" s="2651" t="s">
        <v>61</v>
      </c>
      <c r="E784" s="2655"/>
      <c r="F784" s="2656"/>
      <c r="G784" s="2660"/>
    </row>
    <row r="785" spans="1:9" s="2637" customFormat="1">
      <c r="A785" s="2650"/>
      <c r="B785" s="2655">
        <v>24.3</v>
      </c>
      <c r="C785" s="2655" t="s">
        <v>66</v>
      </c>
      <c r="D785" s="2663" t="s">
        <v>1518</v>
      </c>
      <c r="E785" s="2712">
        <f>BT_Rate_60_70</f>
        <v>49114.645337323418</v>
      </c>
      <c r="F785" s="2656" t="s">
        <v>66</v>
      </c>
      <c r="G785" s="2664">
        <f>ROUND(B785*E785,2)</f>
        <v>1193485.8799999999</v>
      </c>
    </row>
    <row r="786" spans="1:9" s="2637" customFormat="1">
      <c r="A786" s="2650"/>
      <c r="B786" s="2655"/>
      <c r="C786" s="2721"/>
      <c r="D786" s="2754" t="s">
        <v>1487</v>
      </c>
      <c r="E786" s="2655"/>
      <c r="F786" s="2656"/>
      <c r="G786" s="2660"/>
    </row>
    <row r="787" spans="1:9" s="2637" customFormat="1">
      <c r="A787" s="2650"/>
      <c r="B787" s="2655"/>
      <c r="C787" s="2721"/>
      <c r="D787" s="2754" t="s">
        <v>1519</v>
      </c>
      <c r="E787" s="2655"/>
      <c r="F787" s="2656"/>
      <c r="G787" s="2660"/>
    </row>
    <row r="788" spans="1:9" s="2637" customFormat="1" ht="27.6">
      <c r="A788" s="2650"/>
      <c r="B788" s="2655"/>
      <c r="C788" s="2721"/>
      <c r="D788" s="2754" t="s">
        <v>1520</v>
      </c>
      <c r="E788" s="2655"/>
      <c r="F788" s="2656"/>
      <c r="G788" s="2660"/>
    </row>
    <row r="789" spans="1:9" s="2637" customFormat="1">
      <c r="A789" s="2650"/>
      <c r="B789" s="2655"/>
      <c r="C789" s="2721"/>
      <c r="D789" s="2754" t="s">
        <v>1490</v>
      </c>
      <c r="E789" s="2655"/>
      <c r="F789" s="2656"/>
      <c r="G789" s="2660"/>
    </row>
    <row r="790" spans="1:9" s="2637" customFormat="1">
      <c r="A790" s="2650"/>
      <c r="B790" s="2655"/>
      <c r="C790" s="2721"/>
      <c r="D790" s="2754" t="s">
        <v>1521</v>
      </c>
      <c r="E790" s="2655"/>
      <c r="F790" s="2656"/>
      <c r="G790" s="2660"/>
    </row>
    <row r="791" spans="1:9" s="2637" customFormat="1">
      <c r="A791" s="2650"/>
      <c r="B791" s="2655"/>
      <c r="C791" s="2721"/>
      <c r="D791" s="2757" t="s">
        <v>1522</v>
      </c>
      <c r="E791" s="2655"/>
      <c r="F791" s="2656"/>
      <c r="G791" s="2660"/>
    </row>
    <row r="792" spans="1:9" s="2637" customFormat="1" ht="27.6">
      <c r="A792" s="2650"/>
      <c r="B792" s="2655"/>
      <c r="C792" s="2721"/>
      <c r="D792" s="2754" t="s">
        <v>1523</v>
      </c>
      <c r="E792" s="2655"/>
      <c r="F792" s="2656"/>
      <c r="G792" s="2660"/>
    </row>
    <row r="793" spans="1:9" s="2637" customFormat="1" ht="27.6">
      <c r="A793" s="2650"/>
      <c r="B793" s="2655">
        <v>85.14</v>
      </c>
      <c r="C793" s="2721" t="s">
        <v>31</v>
      </c>
      <c r="D793" s="2756" t="s">
        <v>1524</v>
      </c>
      <c r="E793" s="2661">
        <f>(lead!$J$8+lead!$J$9)/2</f>
        <v>1830.2187651278443</v>
      </c>
      <c r="F793" s="2656" t="s">
        <v>31</v>
      </c>
      <c r="G793" s="2657">
        <f>ROUND(B793*E793,2)</f>
        <v>155824.82999999999</v>
      </c>
    </row>
    <row r="794" spans="1:9" s="2637" customFormat="1">
      <c r="A794" s="2650"/>
      <c r="B794" s="2655"/>
      <c r="C794" s="2721"/>
      <c r="D794" s="2754" t="s">
        <v>1525</v>
      </c>
      <c r="E794" s="2655"/>
      <c r="F794" s="2656"/>
      <c r="G794" s="2660"/>
    </row>
    <row r="795" spans="1:9" s="2637" customFormat="1" ht="27.6">
      <c r="A795" s="2650"/>
      <c r="B795" s="2719">
        <v>70.95</v>
      </c>
      <c r="C795" s="2721" t="s">
        <v>31</v>
      </c>
      <c r="D795" s="2756" t="s">
        <v>1526</v>
      </c>
      <c r="E795" s="2661">
        <f>(lead!$J$9+lead!$J$10)/2</f>
        <v>1751.7187651278443</v>
      </c>
      <c r="F795" s="2656" t="s">
        <v>31</v>
      </c>
      <c r="G795" s="2657">
        <f>ROUND(B795*E795,2)</f>
        <v>124284.45</v>
      </c>
    </row>
    <row r="796" spans="1:9" s="2637" customFormat="1" ht="27.6">
      <c r="A796" s="2650"/>
      <c r="B796" s="2655"/>
      <c r="C796" s="2721"/>
      <c r="D796" s="2754" t="s">
        <v>1527</v>
      </c>
      <c r="E796" s="2661"/>
      <c r="F796" s="2656"/>
      <c r="G796" s="2657"/>
      <c r="I796" s="2640"/>
    </row>
    <row r="797" spans="1:9" s="2637" customFormat="1" ht="27.6">
      <c r="A797" s="2650"/>
      <c r="B797" s="2655">
        <v>122.03</v>
      </c>
      <c r="C797" s="2721" t="s">
        <v>31</v>
      </c>
      <c r="D797" s="2756" t="s">
        <v>1498</v>
      </c>
      <c r="E797" s="2661">
        <f>(lead!$J$11+lead!$J$12)/2</f>
        <v>1695.3437651278443</v>
      </c>
      <c r="F797" s="2656" t="s">
        <v>31</v>
      </c>
      <c r="G797" s="2657">
        <f>ROUND(B797*E797,2)</f>
        <v>206882.8</v>
      </c>
      <c r="I797" s="2640"/>
    </row>
    <row r="798" spans="1:9" s="2637" customFormat="1">
      <c r="A798" s="2650"/>
      <c r="B798" s="2719">
        <v>5.6760000000000002</v>
      </c>
      <c r="C798" s="2721" t="s">
        <v>31</v>
      </c>
      <c r="D798" s="2754" t="s">
        <v>1528</v>
      </c>
      <c r="E798" s="2661">
        <f>lead!$J$27</f>
        <v>1532.2187651278443</v>
      </c>
      <c r="F798" s="2656" t="s">
        <v>31</v>
      </c>
      <c r="G798" s="2657">
        <f>ROUND(B798*E798,2)</f>
        <v>8696.8700000000008</v>
      </c>
    </row>
    <row r="799" spans="1:9" s="2637" customFormat="1">
      <c r="A799" s="2650"/>
      <c r="B799" s="2655"/>
      <c r="C799" s="2721"/>
      <c r="D799" s="2654" t="s">
        <v>60</v>
      </c>
      <c r="E799" s="2655"/>
      <c r="F799" s="2656"/>
      <c r="G799" s="2670">
        <f>SUM(G785:G798)</f>
        <v>1689174.83</v>
      </c>
    </row>
    <row r="800" spans="1:9" s="2637" customFormat="1">
      <c r="A800" s="2650"/>
      <c r="B800" s="2646" t="s">
        <v>45</v>
      </c>
      <c r="C800" s="2651" t="s">
        <v>1246</v>
      </c>
      <c r="D800" s="2654"/>
      <c r="E800" s="2655"/>
      <c r="F800" s="2656"/>
      <c r="G800" s="2670"/>
    </row>
    <row r="801" spans="1:8" s="2637" customFormat="1">
      <c r="A801" s="2650"/>
      <c r="B801" s="2689">
        <f>'Input Data'!$D$24</f>
        <v>0.13614999999999999</v>
      </c>
      <c r="C801" s="2722"/>
      <c r="D801" s="2723" t="str">
        <f>"Over head charges "&amp;'Input Data'!$D$24*100&amp;"%  on (A) + (B)+(C)"</f>
        <v>Over head charges 13.615%  on (A) + (B)+(C)</v>
      </c>
      <c r="E801" s="2655">
        <f>+G799+G783+G774</f>
        <v>1972717.28</v>
      </c>
      <c r="F801" s="2656"/>
      <c r="G801" s="2657">
        <f>E801*B801</f>
        <v>268585.45767199999</v>
      </c>
    </row>
    <row r="802" spans="1:8">
      <c r="A802" s="2650"/>
      <c r="B802" s="2701">
        <f>'Input Data'!$E$24</f>
        <v>0</v>
      </c>
      <c r="C802" s="2667" t="s">
        <v>1093</v>
      </c>
      <c r="D802" s="2659"/>
      <c r="E802" s="2669">
        <f>E801+G801</f>
        <v>2241302.7376720002</v>
      </c>
      <c r="F802" s="2659"/>
      <c r="G802" s="2657">
        <f>E802*B802</f>
        <v>0</v>
      </c>
    </row>
    <row r="803" spans="1:8" s="2637" customFormat="1">
      <c r="A803" s="2650"/>
      <c r="B803" s="2646" t="s">
        <v>47</v>
      </c>
      <c r="C803" s="2651" t="s">
        <v>89</v>
      </c>
      <c r="D803" s="2654"/>
      <c r="E803" s="2655"/>
      <c r="F803" s="2656"/>
      <c r="G803" s="2670">
        <f>G774+G783+G799+G801+G802</f>
        <v>2241302.7376720002</v>
      </c>
    </row>
    <row r="804" spans="1:8" s="2637" customFormat="1">
      <c r="A804" s="2650"/>
      <c r="B804" s="2655"/>
      <c r="C804" s="2721"/>
      <c r="D804" s="2654" t="s">
        <v>1529</v>
      </c>
      <c r="E804" s="2655"/>
      <c r="F804" s="2655"/>
      <c r="G804" s="2724">
        <f>SUM(G803:G803)</f>
        <v>2241302.7376720002</v>
      </c>
    </row>
    <row r="805" spans="1:8" s="2637" customFormat="1">
      <c r="A805" s="2650"/>
      <c r="B805" s="2655"/>
      <c r="C805" s="2721"/>
      <c r="D805" s="2654" t="s">
        <v>1501</v>
      </c>
      <c r="E805" s="2655"/>
      <c r="F805" s="2655"/>
      <c r="G805" s="2657">
        <f>ROUND(G804/191,2)</f>
        <v>11734.57</v>
      </c>
    </row>
    <row r="806" spans="1:8" s="2637" customFormat="1">
      <c r="A806" s="2650"/>
      <c r="B806" s="2655"/>
      <c r="C806" s="2725"/>
      <c r="D806" s="2654" t="s">
        <v>52</v>
      </c>
      <c r="E806" s="2655"/>
      <c r="F806" s="2655"/>
      <c r="G806" s="2698">
        <f>ROUND(G805,2)</f>
        <v>11734.57</v>
      </c>
    </row>
    <row r="807" spans="1:8">
      <c r="A807" s="2650"/>
      <c r="B807" s="2655"/>
      <c r="C807" s="2725"/>
      <c r="D807" s="2654"/>
      <c r="E807" s="2655"/>
      <c r="F807" s="2655"/>
      <c r="G807" s="2698" t="s">
        <v>53</v>
      </c>
    </row>
    <row r="808" spans="1:8" ht="96" hidden="1" customHeight="1">
      <c r="A808" s="2650">
        <v>19</v>
      </c>
      <c r="B808" s="3525" t="s">
        <v>1530</v>
      </c>
      <c r="C808" s="3541"/>
      <c r="D808" s="3541"/>
      <c r="E808" s="3541"/>
      <c r="F808" s="3541"/>
      <c r="G808" s="3541"/>
    </row>
    <row r="809" spans="1:8" hidden="1">
      <c r="A809" s="2650"/>
      <c r="B809" s="2655"/>
      <c r="C809" s="2725"/>
      <c r="D809" s="2725" t="s">
        <v>10</v>
      </c>
      <c r="E809" s="2655"/>
      <c r="F809" s="2655"/>
      <c r="G809" s="2698"/>
    </row>
    <row r="810" spans="1:8" hidden="1">
      <c r="A810" s="2650"/>
      <c r="B810" s="2655"/>
      <c r="C810" s="2725"/>
      <c r="D810" s="2725" t="s">
        <v>1531</v>
      </c>
      <c r="E810" s="2655"/>
      <c r="F810" s="2655"/>
      <c r="G810" s="2698"/>
    </row>
    <row r="811" spans="1:8" hidden="1">
      <c r="A811" s="2650"/>
      <c r="B811" s="2655"/>
      <c r="C811" s="2725"/>
      <c r="D811" s="2725" t="s">
        <v>1532</v>
      </c>
      <c r="E811" s="2655"/>
      <c r="F811" s="2655"/>
      <c r="G811" s="2698"/>
      <c r="H811" s="2408"/>
    </row>
    <row r="812" spans="1:8" hidden="1">
      <c r="A812" s="2650"/>
      <c r="B812" s="2719">
        <v>0.84</v>
      </c>
      <c r="C812" s="2655" t="s">
        <v>38</v>
      </c>
      <c r="D812" s="2654" t="s">
        <v>14</v>
      </c>
      <c r="E812" s="2655">
        <f>'SSR-rates'!$K$58</f>
        <v>575</v>
      </c>
      <c r="F812" s="2655" t="s">
        <v>38</v>
      </c>
      <c r="G812" s="2657">
        <f t="shared" ref="G812:G814" si="10">ROUND(B812*E812,2)</f>
        <v>483</v>
      </c>
    </row>
    <row r="813" spans="1:8" ht="55.2" hidden="1">
      <c r="A813" s="2650"/>
      <c r="B813" s="2719">
        <v>16</v>
      </c>
      <c r="C813" s="2655" t="s">
        <v>38</v>
      </c>
      <c r="D813" s="2663" t="s">
        <v>1533</v>
      </c>
      <c r="E813" s="2655">
        <f>'SSR-rates'!$K$60</f>
        <v>575</v>
      </c>
      <c r="F813" s="2655" t="s">
        <v>38</v>
      </c>
      <c r="G813" s="2657">
        <f t="shared" si="10"/>
        <v>9200</v>
      </c>
    </row>
    <row r="814" spans="1:8" hidden="1">
      <c r="A814" s="2650"/>
      <c r="B814" s="2719">
        <v>5</v>
      </c>
      <c r="C814" s="2655" t="s">
        <v>38</v>
      </c>
      <c r="D814" s="2654" t="s">
        <v>1379</v>
      </c>
      <c r="E814" s="2655">
        <f>'SSR-rates'!$K$59</f>
        <v>575</v>
      </c>
      <c r="F814" s="2655" t="s">
        <v>38</v>
      </c>
      <c r="G814" s="2657">
        <f t="shared" si="10"/>
        <v>2875</v>
      </c>
    </row>
    <row r="815" spans="1:8" hidden="1">
      <c r="A815" s="2650"/>
      <c r="B815" s="2658">
        <f>'Input Data'!$D$23</f>
        <v>0</v>
      </c>
      <c r="C815" s="2653"/>
      <c r="D815" s="2659" t="s">
        <v>17</v>
      </c>
      <c r="E815" s="2655">
        <f>SUM(G812:G814)</f>
        <v>12558</v>
      </c>
      <c r="F815" s="2656"/>
      <c r="G815" s="2657">
        <f>B815*E815</f>
        <v>0</v>
      </c>
    </row>
    <row r="816" spans="1:8" hidden="1">
      <c r="A816" s="2650"/>
      <c r="B816" s="2719"/>
      <c r="C816" s="2655"/>
      <c r="D816" s="2654" t="s">
        <v>60</v>
      </c>
      <c r="E816" s="2655"/>
      <c r="F816" s="2655"/>
      <c r="G816" s="2670">
        <f>SUM(G812:G815)</f>
        <v>12558</v>
      </c>
    </row>
    <row r="817" spans="1:7" hidden="1">
      <c r="A817" s="2650"/>
      <c r="B817" s="2719"/>
      <c r="C817" s="2655"/>
      <c r="D817" s="2651" t="s">
        <v>1534</v>
      </c>
      <c r="E817" s="2655"/>
      <c r="F817" s="2655"/>
      <c r="G817" s="2698"/>
    </row>
    <row r="818" spans="1:7" hidden="1">
      <c r="A818" s="2650"/>
      <c r="B818" s="2719">
        <v>6</v>
      </c>
      <c r="C818" s="2655" t="s">
        <v>23</v>
      </c>
      <c r="D818" s="2663" t="s">
        <v>1535</v>
      </c>
      <c r="E818" s="2655">
        <f>'SSR-rates'!$P$78</f>
        <v>33344</v>
      </c>
      <c r="F818" s="2655" t="s">
        <v>23</v>
      </c>
      <c r="G818" s="2657">
        <f t="shared" ref="G818:G824" si="11">ROUND(B818*E818,2)</f>
        <v>200064</v>
      </c>
    </row>
    <row r="819" spans="1:7" hidden="1">
      <c r="A819" s="2650"/>
      <c r="B819" s="2719">
        <v>6</v>
      </c>
      <c r="C819" s="2655" t="s">
        <v>23</v>
      </c>
      <c r="D819" s="2758" t="s">
        <v>1416</v>
      </c>
      <c r="E819" s="2712">
        <f>'SSR-rates'!$K$80</f>
        <v>2771</v>
      </c>
      <c r="F819" s="2655" t="s">
        <v>23</v>
      </c>
      <c r="G819" s="2657">
        <f t="shared" si="11"/>
        <v>16626</v>
      </c>
    </row>
    <row r="820" spans="1:7" hidden="1">
      <c r="A820" s="2650"/>
      <c r="B820" s="2719">
        <v>6</v>
      </c>
      <c r="C820" s="2655" t="s">
        <v>23</v>
      </c>
      <c r="D820" s="2663" t="s">
        <v>1482</v>
      </c>
      <c r="E820" s="2655">
        <f>'SSR-rates'!$K$85</f>
        <v>2279</v>
      </c>
      <c r="F820" s="2655" t="s">
        <v>23</v>
      </c>
      <c r="G820" s="2657">
        <f t="shared" si="11"/>
        <v>13674</v>
      </c>
    </row>
    <row r="821" spans="1:7" hidden="1">
      <c r="A821" s="2650"/>
      <c r="B821" s="2719">
        <v>6</v>
      </c>
      <c r="C821" s="2655" t="s">
        <v>23</v>
      </c>
      <c r="D821" s="2663" t="s">
        <v>1413</v>
      </c>
      <c r="E821" s="2655">
        <f>'SSR-rates'!$K$65</f>
        <v>2028</v>
      </c>
      <c r="F821" s="2655" t="s">
        <v>23</v>
      </c>
      <c r="G821" s="2657">
        <f t="shared" si="11"/>
        <v>12168</v>
      </c>
    </row>
    <row r="822" spans="1:7" ht="27.6" hidden="1">
      <c r="A822" s="2650"/>
      <c r="B822" s="2655">
        <v>3.9</v>
      </c>
      <c r="C822" s="2655" t="s">
        <v>23</v>
      </c>
      <c r="D822" s="2663" t="s">
        <v>1536</v>
      </c>
      <c r="E822" s="2661">
        <f>'SSR-rates'!$K$68</f>
        <v>1749.6</v>
      </c>
      <c r="F822" s="2655" t="s">
        <v>23</v>
      </c>
      <c r="G822" s="2657">
        <f t="shared" si="11"/>
        <v>6823.44</v>
      </c>
    </row>
    <row r="823" spans="1:7" ht="27.6" hidden="1">
      <c r="A823" s="2650"/>
      <c r="B823" s="2655">
        <v>3.9</v>
      </c>
      <c r="C823" s="2655" t="s">
        <v>23</v>
      </c>
      <c r="D823" s="2663" t="s">
        <v>1537</v>
      </c>
      <c r="E823" s="2661">
        <f>'SSR-rates'!$K$67</f>
        <v>3517.9</v>
      </c>
      <c r="F823" s="2655" t="s">
        <v>23</v>
      </c>
      <c r="G823" s="2657">
        <f t="shared" si="11"/>
        <v>13719.81</v>
      </c>
    </row>
    <row r="824" spans="1:7" ht="27.6" hidden="1">
      <c r="A824" s="2650"/>
      <c r="B824" s="2655">
        <v>3.9</v>
      </c>
      <c r="C824" s="2655" t="s">
        <v>23</v>
      </c>
      <c r="D824" s="2663" t="s">
        <v>1538</v>
      </c>
      <c r="E824" s="2661">
        <f>'SSR-rates'!$K$82</f>
        <v>2028</v>
      </c>
      <c r="F824" s="2655" t="s">
        <v>23</v>
      </c>
      <c r="G824" s="2657">
        <f t="shared" si="11"/>
        <v>7909.2</v>
      </c>
    </row>
    <row r="825" spans="1:7" hidden="1">
      <c r="A825" s="2650"/>
      <c r="B825" s="2655"/>
      <c r="C825" s="2655"/>
      <c r="D825" s="2654" t="s">
        <v>60</v>
      </c>
      <c r="E825" s="2655"/>
      <c r="F825" s="2656"/>
      <c r="G825" s="2670">
        <f>SUM(G818:G824)</f>
        <v>270984.45</v>
      </c>
    </row>
    <row r="826" spans="1:7" hidden="1">
      <c r="A826" s="2650"/>
      <c r="B826" s="2719"/>
      <c r="C826" s="2655"/>
      <c r="D826" s="2728" t="s">
        <v>1539</v>
      </c>
      <c r="E826" s="2655"/>
      <c r="F826" s="2655"/>
      <c r="G826" s="2698"/>
    </row>
    <row r="827" spans="1:7" hidden="1">
      <c r="A827" s="2650"/>
      <c r="B827" s="2719"/>
      <c r="C827" s="2655"/>
      <c r="D827" s="2663" t="s">
        <v>1540</v>
      </c>
      <c r="E827" s="2655"/>
      <c r="F827" s="2655"/>
      <c r="G827" s="2698"/>
    </row>
    <row r="828" spans="1:7" ht="27.6" hidden="1">
      <c r="A828" s="2650"/>
      <c r="B828" s="2719">
        <v>22.5</v>
      </c>
      <c r="C828" s="2655" t="s">
        <v>66</v>
      </c>
      <c r="D828" s="2663" t="s">
        <v>1541</v>
      </c>
      <c r="E828" s="2712">
        <f>BT_Rate_60_70</f>
        <v>49114.645337323418</v>
      </c>
      <c r="F828" s="2656" t="s">
        <v>66</v>
      </c>
      <c r="G828" s="2664">
        <f>ROUND(B828*E828,2)</f>
        <v>1105079.52</v>
      </c>
    </row>
    <row r="829" spans="1:7" hidden="1">
      <c r="A829" s="2650"/>
      <c r="B829" s="2719"/>
      <c r="C829" s="2655"/>
      <c r="D829" s="2663" t="s">
        <v>1542</v>
      </c>
      <c r="E829" s="2655"/>
      <c r="F829" s="2655"/>
      <c r="G829" s="2698"/>
    </row>
    <row r="830" spans="1:7" hidden="1">
      <c r="A830" s="2650"/>
      <c r="B830" s="2719"/>
      <c r="C830" s="2655"/>
      <c r="D830" s="2663" t="s">
        <v>1543</v>
      </c>
      <c r="E830" s="2655"/>
      <c r="F830" s="2655"/>
      <c r="G830" s="2698"/>
    </row>
    <row r="831" spans="1:7" hidden="1">
      <c r="A831" s="2650"/>
      <c r="B831" s="2719"/>
      <c r="C831" s="2655"/>
      <c r="D831" s="2663" t="s">
        <v>1487</v>
      </c>
      <c r="E831" s="2655"/>
      <c r="F831" s="2655"/>
      <c r="G831" s="2698"/>
    </row>
    <row r="832" spans="1:7" hidden="1">
      <c r="A832" s="2650"/>
      <c r="B832" s="2719"/>
      <c r="C832" s="2655"/>
      <c r="D832" s="2663" t="s">
        <v>1544</v>
      </c>
      <c r="E832" s="2655"/>
      <c r="F832" s="2655"/>
      <c r="G832" s="2698"/>
    </row>
    <row r="833" spans="1:8" ht="27.6" hidden="1">
      <c r="A833" s="2650"/>
      <c r="B833" s="2719"/>
      <c r="C833" s="2655"/>
      <c r="D833" s="2663" t="s">
        <v>1545</v>
      </c>
      <c r="E833" s="2655"/>
      <c r="F833" s="2655"/>
      <c r="G833" s="2698"/>
    </row>
    <row r="834" spans="1:8" hidden="1">
      <c r="A834" s="2650"/>
      <c r="B834" s="2719"/>
      <c r="C834" s="2655"/>
      <c r="D834" s="2663" t="s">
        <v>1546</v>
      </c>
      <c r="E834" s="2655"/>
      <c r="F834" s="2655"/>
      <c r="G834" s="2698"/>
    </row>
    <row r="835" spans="1:8" hidden="1">
      <c r="A835" s="2650"/>
      <c r="B835" s="2719"/>
      <c r="C835" s="2655"/>
      <c r="D835" s="2663" t="s">
        <v>1547</v>
      </c>
      <c r="E835" s="2655"/>
      <c r="F835" s="2655"/>
      <c r="G835" s="2698"/>
    </row>
    <row r="836" spans="1:8" hidden="1">
      <c r="A836" s="2650"/>
      <c r="B836" s="2719">
        <v>162.44999999999999</v>
      </c>
      <c r="C836" s="2655" t="s">
        <v>31</v>
      </c>
      <c r="D836" s="2663" t="s">
        <v>1548</v>
      </c>
      <c r="E836" s="2655">
        <f>+(lead!J9+lead!J10)/2</f>
        <v>1751.7187651278443</v>
      </c>
      <c r="F836" s="2655" t="s">
        <v>31</v>
      </c>
      <c r="G836" s="2657">
        <f t="shared" ref="G836:G838" si="12">ROUND(B836*E836,2)</f>
        <v>284566.71000000002</v>
      </c>
    </row>
    <row r="837" spans="1:8" hidden="1">
      <c r="A837" s="2650"/>
      <c r="B837" s="2719">
        <v>116.85</v>
      </c>
      <c r="C837" s="2655" t="s">
        <v>31</v>
      </c>
      <c r="D837" s="2663" t="s">
        <v>1549</v>
      </c>
      <c r="E837" s="2655">
        <f>(lead!J11+lead!J12)/2</f>
        <v>1695.3437651278443</v>
      </c>
      <c r="F837" s="2655" t="s">
        <v>31</v>
      </c>
      <c r="G837" s="2657">
        <f t="shared" si="12"/>
        <v>198100.92</v>
      </c>
    </row>
    <row r="838" spans="1:8" hidden="1">
      <c r="A838" s="2650"/>
      <c r="B838" s="2719">
        <v>5.7</v>
      </c>
      <c r="C838" s="2655" t="s">
        <v>31</v>
      </c>
      <c r="D838" s="2663" t="s">
        <v>1550</v>
      </c>
      <c r="E838" s="2655">
        <f>lead!J12</f>
        <v>1684.4687651278443</v>
      </c>
      <c r="F838" s="2655" t="s">
        <v>31</v>
      </c>
      <c r="G838" s="2657">
        <f t="shared" si="12"/>
        <v>9601.4699999999993</v>
      </c>
    </row>
    <row r="839" spans="1:8" hidden="1">
      <c r="A839" s="2650"/>
      <c r="B839" s="2655"/>
      <c r="C839" s="2725"/>
      <c r="D839" s="2654" t="s">
        <v>60</v>
      </c>
      <c r="E839" s="2655"/>
      <c r="F839" s="2656"/>
      <c r="G839" s="2670">
        <f>SUM(G828:G838)</f>
        <v>1597348.6199999999</v>
      </c>
    </row>
    <row r="840" spans="1:8" hidden="1">
      <c r="A840" s="2650"/>
      <c r="B840" s="2646" t="s">
        <v>45</v>
      </c>
      <c r="C840" s="2651" t="s">
        <v>1246</v>
      </c>
      <c r="D840" s="2654"/>
      <c r="E840" s="2655"/>
      <c r="F840" s="2656"/>
      <c r="G840" s="2657"/>
    </row>
    <row r="841" spans="1:8" hidden="1">
      <c r="A841" s="2650"/>
      <c r="B841" s="2689">
        <f>'Input Data'!$D$24</f>
        <v>0.13614999999999999</v>
      </c>
      <c r="C841" s="2722"/>
      <c r="D841" s="2723" t="str">
        <f>"Over head charges "&amp;'Input Data'!$D$24*100&amp;"%  on (A) + (B)+(C)"</f>
        <v>Over head charges 13.615%  on (A) + (B)+(C)</v>
      </c>
      <c r="E841" s="2655">
        <f>+G839+G825+G816</f>
        <v>1880891.0699999998</v>
      </c>
      <c r="F841" s="2656"/>
      <c r="G841" s="2657">
        <f>E841*B841</f>
        <v>256083.31918049997</v>
      </c>
    </row>
    <row r="842" spans="1:8" hidden="1">
      <c r="A842" s="2650"/>
      <c r="B842" s="2646" t="s">
        <v>47</v>
      </c>
      <c r="C842" s="2651" t="s">
        <v>89</v>
      </c>
      <c r="D842" s="2654"/>
      <c r="E842" s="2655"/>
      <c r="F842" s="2656"/>
      <c r="G842" s="2670">
        <f>G816+G825+G839+G841</f>
        <v>2136974.3891804996</v>
      </c>
      <c r="H842" s="2408"/>
    </row>
    <row r="843" spans="1:8" hidden="1">
      <c r="A843" s="2650"/>
      <c r="B843" s="2655"/>
      <c r="C843" s="2721"/>
      <c r="D843" s="2654" t="s">
        <v>1500</v>
      </c>
      <c r="E843" s="2655"/>
      <c r="F843" s="2655"/>
      <c r="G843" s="2724">
        <f>SUM(G842:G842)</f>
        <v>2136974.3891804996</v>
      </c>
    </row>
    <row r="844" spans="1:8" hidden="1">
      <c r="A844" s="2650"/>
      <c r="B844" s="2655"/>
      <c r="C844" s="2721"/>
      <c r="D844" s="2654" t="s">
        <v>1501</v>
      </c>
      <c r="E844" s="2655"/>
      <c r="F844" s="2655"/>
      <c r="G844" s="2657">
        <f>ROUND(G843/195,2)</f>
        <v>10958.84</v>
      </c>
    </row>
    <row r="845" spans="1:8" hidden="1">
      <c r="A845" s="2650"/>
      <c r="B845" s="2655"/>
      <c r="C845" s="2725"/>
      <c r="D845" s="2654" t="s">
        <v>52</v>
      </c>
      <c r="E845" s="2655"/>
      <c r="F845" s="2655"/>
      <c r="G845" s="2698">
        <f>ROUND(G844,2)</f>
        <v>10958.84</v>
      </c>
    </row>
    <row r="846" spans="1:8" hidden="1">
      <c r="A846" s="2650"/>
      <c r="B846" s="2655"/>
      <c r="C846" s="2725"/>
      <c r="D846" s="2654"/>
      <c r="E846" s="2655"/>
      <c r="F846" s="2655"/>
      <c r="G846" s="2698" t="s">
        <v>53</v>
      </c>
    </row>
    <row r="847" spans="1:8" ht="119.1" hidden="1" customHeight="1">
      <c r="A847" s="2650">
        <v>23</v>
      </c>
      <c r="B847" s="3525" t="s">
        <v>1551</v>
      </c>
      <c r="C847" s="3525"/>
      <c r="D847" s="3525"/>
      <c r="E847" s="3525"/>
      <c r="F847" s="3525"/>
      <c r="G847" s="3525"/>
    </row>
    <row r="848" spans="1:8" hidden="1">
      <c r="A848" s="2650"/>
      <c r="B848" s="2656"/>
      <c r="C848" s="2659"/>
      <c r="D848" s="2668" t="s">
        <v>10</v>
      </c>
      <c r="E848" s="2668"/>
      <c r="F848" s="2659"/>
      <c r="G848" s="2659"/>
    </row>
    <row r="849" spans="1:7" hidden="1">
      <c r="A849" s="2650"/>
      <c r="B849" s="2656"/>
      <c r="C849" s="2659"/>
      <c r="D849" s="2651" t="s">
        <v>55</v>
      </c>
      <c r="E849" s="2668"/>
      <c r="F849" s="2659"/>
      <c r="G849" s="2659"/>
    </row>
    <row r="850" spans="1:7" hidden="1">
      <c r="A850" s="2650"/>
      <c r="B850" s="2656"/>
      <c r="C850" s="2659"/>
      <c r="D850" s="2668" t="s">
        <v>56</v>
      </c>
      <c r="E850" s="2668"/>
      <c r="F850" s="2659"/>
      <c r="G850" s="2659"/>
    </row>
    <row r="851" spans="1:7" hidden="1">
      <c r="A851" s="2650"/>
      <c r="B851" s="2646" t="s">
        <v>36</v>
      </c>
      <c r="C851" s="2759" t="s">
        <v>37</v>
      </c>
      <c r="D851" s="2659"/>
      <c r="E851" s="2668"/>
      <c r="F851" s="2659"/>
      <c r="G851" s="2660"/>
    </row>
    <row r="852" spans="1:7" hidden="1">
      <c r="A852" s="2650"/>
      <c r="B852" s="2655">
        <v>0.86</v>
      </c>
      <c r="C852" s="2654" t="s">
        <v>57</v>
      </c>
      <c r="D852" s="2668" t="s">
        <v>14</v>
      </c>
      <c r="E852" s="2655">
        <f>'SSR-rates'!$K$58</f>
        <v>575</v>
      </c>
      <c r="F852" s="2656" t="s">
        <v>38</v>
      </c>
      <c r="G852" s="2657">
        <f>ROUND(B852*E852,2)</f>
        <v>494.5</v>
      </c>
    </row>
    <row r="853" spans="1:7" hidden="1">
      <c r="A853" s="2650"/>
      <c r="B853" s="2655">
        <v>1.5</v>
      </c>
      <c r="C853" s="2654" t="s">
        <v>57</v>
      </c>
      <c r="D853" s="2668" t="s">
        <v>58</v>
      </c>
      <c r="E853" s="2655">
        <f>+'SSR-rates'!$K$96</f>
        <v>645</v>
      </c>
      <c r="F853" s="2656" t="s">
        <v>38</v>
      </c>
      <c r="G853" s="2657">
        <f>ROUND(B853*E853,2)</f>
        <v>967.5</v>
      </c>
    </row>
    <row r="854" spans="1:7" hidden="1">
      <c r="A854" s="2650"/>
      <c r="B854" s="2655">
        <v>20</v>
      </c>
      <c r="C854" s="2654" t="s">
        <v>57</v>
      </c>
      <c r="D854" s="2668" t="s">
        <v>59</v>
      </c>
      <c r="E854" s="2655">
        <f>'SSR-rates'!$K$60</f>
        <v>575</v>
      </c>
      <c r="F854" s="2656" t="s">
        <v>38</v>
      </c>
      <c r="G854" s="2657">
        <f>ROUND(B854*E854,2)</f>
        <v>11500</v>
      </c>
    </row>
    <row r="855" spans="1:7" hidden="1">
      <c r="A855" s="2650"/>
      <c r="B855" s="2658">
        <f>+'Input Data'!D23</f>
        <v>0</v>
      </c>
      <c r="C855" s="2653"/>
      <c r="D855" s="2659" t="s">
        <v>17</v>
      </c>
      <c r="E855" s="2655">
        <f>SUM(G852:G854)</f>
        <v>12962</v>
      </c>
      <c r="F855" s="2656"/>
      <c r="G855" s="2657">
        <f>B855*E855</f>
        <v>0</v>
      </c>
    </row>
    <row r="856" spans="1:7" hidden="1">
      <c r="A856" s="2650"/>
      <c r="B856" s="2655"/>
      <c r="C856" s="2659"/>
      <c r="D856" s="2668" t="s">
        <v>60</v>
      </c>
      <c r="E856" s="2655"/>
      <c r="F856" s="2655"/>
      <c r="G856" s="2657">
        <f>SUM(G852:G855)</f>
        <v>12962</v>
      </c>
    </row>
    <row r="857" spans="1:7" hidden="1">
      <c r="A857" s="2650"/>
      <c r="B857" s="2646" t="s">
        <v>39</v>
      </c>
      <c r="C857" s="2759" t="s">
        <v>61</v>
      </c>
      <c r="D857" s="2659"/>
      <c r="E857" s="2655"/>
      <c r="F857" s="2655"/>
      <c r="G857" s="2657"/>
    </row>
    <row r="858" spans="1:7" hidden="1">
      <c r="A858" s="2650"/>
      <c r="B858" s="2655">
        <v>5.4</v>
      </c>
      <c r="C858" s="2654" t="s">
        <v>31</v>
      </c>
      <c r="D858" s="2668" t="s">
        <v>62</v>
      </c>
      <c r="E858" s="2655">
        <f>lead!J14</f>
        <v>1732.2187651278443</v>
      </c>
      <c r="F858" s="2655" t="s">
        <v>31</v>
      </c>
      <c r="G858" s="2657">
        <f t="shared" ref="G858:G863" si="13">ROUND(B858*E858,2)</f>
        <v>9353.98</v>
      </c>
    </row>
    <row r="859" spans="1:7" hidden="1">
      <c r="A859" s="2650"/>
      <c r="B859" s="2655">
        <v>5.4</v>
      </c>
      <c r="C859" s="2654" t="s">
        <v>31</v>
      </c>
      <c r="D859" s="2659" t="s">
        <v>63</v>
      </c>
      <c r="E859" s="2655">
        <f>lead!J16</f>
        <v>2031.2187651278443</v>
      </c>
      <c r="F859" s="2655" t="s">
        <v>31</v>
      </c>
      <c r="G859" s="2657">
        <f t="shared" si="13"/>
        <v>10968.58</v>
      </c>
    </row>
    <row r="860" spans="1:7" hidden="1">
      <c r="A860" s="2650"/>
      <c r="B860" s="2655">
        <v>2.7</v>
      </c>
      <c r="C860" s="2654" t="s">
        <v>31</v>
      </c>
      <c r="D860" s="2659" t="s">
        <v>64</v>
      </c>
      <c r="E860" s="2655">
        <f>lead!J18</f>
        <v>1780.2187651278443</v>
      </c>
      <c r="F860" s="2655" t="s">
        <v>31</v>
      </c>
      <c r="G860" s="2657">
        <f t="shared" si="13"/>
        <v>4806.59</v>
      </c>
    </row>
    <row r="861" spans="1:7" ht="27.6" hidden="1">
      <c r="A861" s="2650"/>
      <c r="B861" s="2655">
        <f>6.75/2</f>
        <v>3.375</v>
      </c>
      <c r="C861" s="2654" t="s">
        <v>31</v>
      </c>
      <c r="D861" s="2730" t="s">
        <v>1442</v>
      </c>
      <c r="E861" s="2661">
        <f>lead!$J$31</f>
        <v>1850.9213132068826</v>
      </c>
      <c r="F861" s="2655" t="s">
        <v>31</v>
      </c>
      <c r="G861" s="2657">
        <f t="shared" si="13"/>
        <v>6246.86</v>
      </c>
    </row>
    <row r="862" spans="1:7" hidden="1">
      <c r="A862" s="2650"/>
      <c r="B862" s="2655">
        <f>6.75/2</f>
        <v>3.375</v>
      </c>
      <c r="C862" s="2654"/>
      <c r="D862" s="2730" t="s">
        <v>1443</v>
      </c>
      <c r="E862" s="2661">
        <f>lead!$J$33</f>
        <v>1473.2187651278443</v>
      </c>
      <c r="F862" s="2655"/>
      <c r="G862" s="2657">
        <f t="shared" si="13"/>
        <v>4972.1099999999997</v>
      </c>
    </row>
    <row r="863" spans="1:7" hidden="1">
      <c r="A863" s="2650"/>
      <c r="B863" s="2655">
        <v>5.16</v>
      </c>
      <c r="C863" s="2654" t="s">
        <v>66</v>
      </c>
      <c r="D863" s="2668" t="s">
        <v>67</v>
      </c>
      <c r="E863" s="2655">
        <f>lead!J36</f>
        <v>5000</v>
      </c>
      <c r="F863" s="2655" t="s">
        <v>66</v>
      </c>
      <c r="G863" s="2657">
        <f t="shared" si="13"/>
        <v>25800</v>
      </c>
    </row>
    <row r="864" spans="1:7" hidden="1">
      <c r="A864" s="2650"/>
      <c r="B864" s="2655"/>
      <c r="C864" s="2653"/>
      <c r="D864" s="2668" t="s">
        <v>60</v>
      </c>
      <c r="E864" s="2655"/>
      <c r="F864" s="2655"/>
      <c r="G864" s="2657">
        <f>SUM(G858:G863)</f>
        <v>62148.119999999995</v>
      </c>
    </row>
    <row r="865" spans="1:7" hidden="1">
      <c r="A865" s="2650"/>
      <c r="B865" s="2646" t="s">
        <v>1552</v>
      </c>
      <c r="C865" s="2759" t="s">
        <v>40</v>
      </c>
      <c r="D865" s="2659"/>
      <c r="E865" s="2655"/>
      <c r="F865" s="2655"/>
      <c r="G865" s="2657"/>
    </row>
    <row r="866" spans="1:7" hidden="1">
      <c r="A866" s="2650"/>
      <c r="B866" s="2655">
        <v>6</v>
      </c>
      <c r="C866" s="2654" t="s">
        <v>41</v>
      </c>
      <c r="D866" s="2668" t="s">
        <v>68</v>
      </c>
      <c r="E866" s="2655">
        <f>'SSR-rates'!K88</f>
        <v>697.9</v>
      </c>
      <c r="F866" s="2655" t="s">
        <v>41</v>
      </c>
      <c r="G866" s="2657">
        <f>ROUND(B866*E866,2)</f>
        <v>4187.3999999999996</v>
      </c>
    </row>
    <row r="867" spans="1:7" hidden="1">
      <c r="A867" s="2650"/>
      <c r="B867" s="2655">
        <v>6</v>
      </c>
      <c r="C867" s="2654" t="s">
        <v>41</v>
      </c>
      <c r="D867" s="2668" t="s">
        <v>69</v>
      </c>
      <c r="E867" s="2655">
        <f>'SSR-rates'!K87</f>
        <v>1323.5</v>
      </c>
      <c r="F867" s="2655" t="s">
        <v>41</v>
      </c>
      <c r="G867" s="2657">
        <f>ROUND(B867*E867,2)</f>
        <v>7941</v>
      </c>
    </row>
    <row r="868" spans="1:7" hidden="1">
      <c r="A868" s="2650"/>
      <c r="B868" s="2655"/>
      <c r="C868" s="2653"/>
      <c r="D868" s="2668" t="s">
        <v>60</v>
      </c>
      <c r="E868" s="2655"/>
      <c r="F868" s="2655"/>
      <c r="G868" s="2657">
        <f>SUM(G866:G867)</f>
        <v>12128.4</v>
      </c>
    </row>
    <row r="869" spans="1:7" hidden="1">
      <c r="A869" s="2650"/>
      <c r="B869" s="2646" t="s">
        <v>45</v>
      </c>
      <c r="C869" s="2651" t="s">
        <v>95</v>
      </c>
      <c r="D869" s="2659"/>
      <c r="E869" s="2653"/>
      <c r="F869" s="2654"/>
      <c r="G869" s="2670"/>
    </row>
    <row r="870" spans="1:7" hidden="1">
      <c r="A870" s="2650"/>
      <c r="B870" s="2655">
        <v>4</v>
      </c>
      <c r="C870" s="2653" t="s">
        <v>29</v>
      </c>
      <c r="D870" s="2668" t="s">
        <v>1553</v>
      </c>
      <c r="E870" s="2653"/>
      <c r="F870" s="2654"/>
      <c r="G870" s="2657">
        <f>ROUND((G856+G864+G868)*B870/100,2)</f>
        <v>3489.54</v>
      </c>
    </row>
    <row r="871" spans="1:7" hidden="1">
      <c r="A871" s="2650"/>
      <c r="B871" s="2760"/>
      <c r="C871" s="2651" t="s">
        <v>1092</v>
      </c>
      <c r="D871" s="2659"/>
      <c r="E871" s="2653"/>
      <c r="F871" s="2654"/>
      <c r="G871" s="2670"/>
    </row>
    <row r="872" spans="1:7" hidden="1">
      <c r="A872" s="2650"/>
      <c r="B872" s="2689">
        <f>'Input Data'!$D$24</f>
        <v>0.13614999999999999</v>
      </c>
      <c r="C872" s="2653" t="s">
        <v>1554</v>
      </c>
      <c r="D872" s="2675"/>
      <c r="E872" s="2655">
        <f>G870+G868+G864+G856</f>
        <v>90728.06</v>
      </c>
      <c r="F872" s="2654"/>
      <c r="G872" s="2657">
        <f>E872*B872</f>
        <v>12352.625368999999</v>
      </c>
    </row>
    <row r="873" spans="1:7" hidden="1">
      <c r="A873" s="2650"/>
      <c r="B873" s="2646" t="s">
        <v>76</v>
      </c>
      <c r="C873" s="2651" t="s">
        <v>89</v>
      </c>
      <c r="D873" s="2659"/>
      <c r="E873" s="2653"/>
      <c r="F873" s="2654"/>
      <c r="G873" s="2670">
        <f>G856+G864+G868+G872+G870</f>
        <v>103080.68536899998</v>
      </c>
    </row>
    <row r="874" spans="1:7" hidden="1">
      <c r="A874" s="2650"/>
      <c r="B874" s="2655"/>
      <c r="C874" s="2654"/>
      <c r="D874" s="2759" t="s">
        <v>1555</v>
      </c>
      <c r="E874" s="2655"/>
      <c r="F874" s="2655"/>
      <c r="G874" s="2670">
        <f>SUM(G873:G873)</f>
        <v>103080.68536899998</v>
      </c>
    </row>
    <row r="875" spans="1:7" hidden="1">
      <c r="A875" s="2650"/>
      <c r="B875" s="2655"/>
      <c r="C875" s="2654"/>
      <c r="D875" s="2668" t="s">
        <v>81</v>
      </c>
      <c r="E875" s="2655"/>
      <c r="F875" s="2655"/>
      <c r="G875" s="2657">
        <f>ROUND(G874/15,2)</f>
        <v>6872.05</v>
      </c>
    </row>
    <row r="876" spans="1:7" hidden="1">
      <c r="A876" s="2650"/>
      <c r="B876" s="2656"/>
      <c r="C876" s="2659"/>
      <c r="D876" s="2668" t="s">
        <v>52</v>
      </c>
      <c r="E876" s="2655"/>
      <c r="F876" s="2655"/>
      <c r="G876" s="2698">
        <f>ROUND(G875,2)</f>
        <v>6872.05</v>
      </c>
    </row>
    <row r="877" spans="1:7" hidden="1">
      <c r="A877" s="2650"/>
      <c r="B877" s="2656"/>
      <c r="C877" s="2659"/>
      <c r="D877" s="2668"/>
      <c r="E877" s="2655"/>
      <c r="F877" s="2655"/>
      <c r="G877" s="2670" t="s">
        <v>53</v>
      </c>
    </row>
    <row r="878" spans="1:7" hidden="1">
      <c r="A878" s="2650"/>
      <c r="B878" s="2656"/>
      <c r="C878" s="2659"/>
      <c r="D878" s="2668"/>
      <c r="E878" s="2655"/>
      <c r="F878" s="2655"/>
      <c r="G878" s="2670"/>
    </row>
    <row r="879" spans="1:7" ht="105.9" hidden="1" customHeight="1">
      <c r="A879" s="2650">
        <v>24</v>
      </c>
      <c r="B879" s="3525" t="s">
        <v>1556</v>
      </c>
      <c r="C879" s="3525"/>
      <c r="D879" s="3525"/>
      <c r="E879" s="3525"/>
      <c r="F879" s="3525"/>
      <c r="G879" s="3525"/>
    </row>
    <row r="880" spans="1:7" hidden="1">
      <c r="A880" s="2650"/>
      <c r="B880" s="2656"/>
      <c r="C880" s="2659"/>
      <c r="D880" s="2668" t="s">
        <v>10</v>
      </c>
      <c r="E880" s="2668"/>
      <c r="F880" s="2659"/>
      <c r="G880" s="2659"/>
    </row>
    <row r="881" spans="1:7" hidden="1">
      <c r="A881" s="2650"/>
      <c r="B881" s="2656"/>
      <c r="C881" s="2659"/>
      <c r="D881" s="2651" t="s">
        <v>93</v>
      </c>
      <c r="E881" s="2668"/>
      <c r="F881" s="2659"/>
      <c r="G881" s="2659"/>
    </row>
    <row r="882" spans="1:7" hidden="1">
      <c r="A882" s="2650"/>
      <c r="B882" s="2656"/>
      <c r="C882" s="2659"/>
      <c r="D882" s="2668" t="s">
        <v>56</v>
      </c>
      <c r="E882" s="2668"/>
      <c r="F882" s="2659"/>
      <c r="G882" s="2659"/>
    </row>
    <row r="883" spans="1:7" hidden="1">
      <c r="A883" s="2650"/>
      <c r="B883" s="2646" t="s">
        <v>36</v>
      </c>
      <c r="C883" s="2759" t="s">
        <v>37</v>
      </c>
      <c r="D883" s="2659"/>
      <c r="E883" s="2668"/>
      <c r="F883" s="2659"/>
      <c r="G883" s="2659"/>
    </row>
    <row r="884" spans="1:7" hidden="1">
      <c r="A884" s="2650"/>
      <c r="B884" s="2655">
        <v>0.86</v>
      </c>
      <c r="C884" s="2654" t="s">
        <v>57</v>
      </c>
      <c r="D884" s="2668" t="s">
        <v>14</v>
      </c>
      <c r="E884" s="2655">
        <f>'SSR-rates'!$K$58</f>
        <v>575</v>
      </c>
      <c r="F884" s="2656" t="s">
        <v>38</v>
      </c>
      <c r="G884" s="2657">
        <f>ROUND(B884*E884,2)</f>
        <v>494.5</v>
      </c>
    </row>
    <row r="885" spans="1:7" hidden="1">
      <c r="A885" s="2650"/>
      <c r="B885" s="2655">
        <v>1.5</v>
      </c>
      <c r="C885" s="2654" t="s">
        <v>57</v>
      </c>
      <c r="D885" s="2668" t="s">
        <v>58</v>
      </c>
      <c r="E885" s="2655">
        <f>+'SSR-rates'!$K$96</f>
        <v>645</v>
      </c>
      <c r="F885" s="2656" t="s">
        <v>38</v>
      </c>
      <c r="G885" s="2668">
        <f>ROUND(B885*E885,2)</f>
        <v>967.5</v>
      </c>
    </row>
    <row r="886" spans="1:7" hidden="1">
      <c r="A886" s="2650"/>
      <c r="B886" s="2655">
        <v>20</v>
      </c>
      <c r="C886" s="2654" t="s">
        <v>57</v>
      </c>
      <c r="D886" s="2668" t="s">
        <v>59</v>
      </c>
      <c r="E886" s="2655">
        <f>'SSR-rates'!$K$60</f>
        <v>575</v>
      </c>
      <c r="F886" s="2656" t="s">
        <v>38</v>
      </c>
      <c r="G886" s="2668">
        <f>ROUND(B886*E886,2)</f>
        <v>11500</v>
      </c>
    </row>
    <row r="887" spans="1:7" hidden="1">
      <c r="A887" s="2650"/>
      <c r="B887" s="2658">
        <f>+'Input Data'!D23</f>
        <v>0</v>
      </c>
      <c r="C887" s="2653"/>
      <c r="D887" s="2659" t="s">
        <v>17</v>
      </c>
      <c r="E887" s="2655">
        <f>SUM(G884:G886)</f>
        <v>12962</v>
      </c>
      <c r="F887" s="2656"/>
      <c r="G887" s="2668">
        <f>B887*E887</f>
        <v>0</v>
      </c>
    </row>
    <row r="888" spans="1:7" hidden="1">
      <c r="A888" s="2650"/>
      <c r="B888" s="2655"/>
      <c r="C888" s="2659"/>
      <c r="D888" s="2668" t="s">
        <v>60</v>
      </c>
      <c r="E888" s="2655"/>
      <c r="F888" s="2655"/>
      <c r="G888" s="2668">
        <f>SUM(G884:G887)</f>
        <v>12962</v>
      </c>
    </row>
    <row r="889" spans="1:7" hidden="1">
      <c r="A889" s="2650"/>
      <c r="B889" s="2646" t="s">
        <v>39</v>
      </c>
      <c r="C889" s="2759" t="s">
        <v>61</v>
      </c>
      <c r="D889" s="2659"/>
      <c r="E889" s="2655"/>
      <c r="F889" s="2655"/>
      <c r="G889" s="2668"/>
    </row>
    <row r="890" spans="1:7" hidden="1">
      <c r="A890" s="2650"/>
      <c r="B890" s="2655">
        <v>8.1</v>
      </c>
      <c r="C890" s="2654" t="s">
        <v>31</v>
      </c>
      <c r="D890" s="2659" t="s">
        <v>63</v>
      </c>
      <c r="E890" s="2655">
        <f>E859</f>
        <v>2031.2187651278443</v>
      </c>
      <c r="F890" s="2655" t="s">
        <v>31</v>
      </c>
      <c r="G890" s="2668">
        <f>ROUND(B890*E890,2)</f>
        <v>16452.87</v>
      </c>
    </row>
    <row r="891" spans="1:7" hidden="1">
      <c r="A891" s="2650"/>
      <c r="B891" s="2655">
        <v>5.4</v>
      </c>
      <c r="C891" s="2654" t="s">
        <v>31</v>
      </c>
      <c r="D891" s="2659" t="s">
        <v>64</v>
      </c>
      <c r="E891" s="2655">
        <f>E860</f>
        <v>1780.2187651278443</v>
      </c>
      <c r="F891" s="2655" t="s">
        <v>31</v>
      </c>
      <c r="G891" s="2668">
        <f>ROUND(B891*E891,2)</f>
        <v>9613.18</v>
      </c>
    </row>
    <row r="892" spans="1:7" ht="27.6" hidden="1">
      <c r="A892" s="2650"/>
      <c r="B892" s="2655">
        <f t="shared" ref="B892:B893" si="14">6.75/2</f>
        <v>3.375</v>
      </c>
      <c r="C892" s="2654" t="s">
        <v>31</v>
      </c>
      <c r="D892" s="2730" t="s">
        <v>1442</v>
      </c>
      <c r="E892" s="2661">
        <f>lead!$J$31</f>
        <v>1850.9213132068826</v>
      </c>
      <c r="F892" s="2655" t="s">
        <v>31</v>
      </c>
      <c r="G892" s="2668">
        <f>ROUND(B892*E892,2)</f>
        <v>6246.86</v>
      </c>
    </row>
    <row r="893" spans="1:7" hidden="1">
      <c r="A893" s="2650"/>
      <c r="B893" s="2655">
        <f t="shared" si="14"/>
        <v>3.375</v>
      </c>
      <c r="C893" s="2654"/>
      <c r="D893" s="2730" t="s">
        <v>1443</v>
      </c>
      <c r="E893" s="2661">
        <f>lead!$J$33</f>
        <v>1473.2187651278443</v>
      </c>
      <c r="F893" s="2655"/>
      <c r="G893" s="2668">
        <f>ROUND(B893*E893,2)</f>
        <v>4972.1099999999997</v>
      </c>
    </row>
    <row r="894" spans="1:7" hidden="1">
      <c r="A894" s="2650"/>
      <c r="B894" s="2655">
        <v>5.21</v>
      </c>
      <c r="C894" s="2654" t="s">
        <v>66</v>
      </c>
      <c r="D894" s="2668" t="s">
        <v>67</v>
      </c>
      <c r="E894" s="2655">
        <f>E863</f>
        <v>5000</v>
      </c>
      <c r="F894" s="2655" t="s">
        <v>66</v>
      </c>
      <c r="G894" s="2668">
        <f>ROUND(B894*E894,2)</f>
        <v>26050</v>
      </c>
    </row>
    <row r="895" spans="1:7" hidden="1">
      <c r="A895" s="2650"/>
      <c r="B895" s="2655"/>
      <c r="C895" s="2653"/>
      <c r="D895" s="2668" t="s">
        <v>60</v>
      </c>
      <c r="E895" s="2655"/>
      <c r="F895" s="2655"/>
      <c r="G895" s="2668">
        <f>SUM(G890:G894)</f>
        <v>63335.02</v>
      </c>
    </row>
    <row r="896" spans="1:7" hidden="1">
      <c r="A896" s="2650"/>
      <c r="B896" s="2646" t="s">
        <v>94</v>
      </c>
      <c r="C896" s="2759" t="s">
        <v>40</v>
      </c>
      <c r="D896" s="2659"/>
      <c r="E896" s="2655"/>
      <c r="F896" s="2655"/>
      <c r="G896" s="2668"/>
    </row>
    <row r="897" spans="1:7" hidden="1">
      <c r="A897" s="2650"/>
      <c r="B897" s="2655">
        <v>6</v>
      </c>
      <c r="C897" s="2654" t="s">
        <v>41</v>
      </c>
      <c r="D897" s="2668" t="s">
        <v>68</v>
      </c>
      <c r="E897" s="2655">
        <v>472.6</v>
      </c>
      <c r="F897" s="2655" t="s">
        <v>41</v>
      </c>
      <c r="G897" s="2668">
        <f>ROUND(B897*E897,2)</f>
        <v>2835.6</v>
      </c>
    </row>
    <row r="898" spans="1:7" hidden="1">
      <c r="A898" s="2650"/>
      <c r="B898" s="2655">
        <v>6</v>
      </c>
      <c r="C898" s="2654" t="s">
        <v>41</v>
      </c>
      <c r="D898" s="2668" t="s">
        <v>69</v>
      </c>
      <c r="E898" s="2655">
        <v>842.2</v>
      </c>
      <c r="F898" s="2655" t="s">
        <v>41</v>
      </c>
      <c r="G898" s="2668">
        <f>ROUND(B898*E898,2)</f>
        <v>5053.2</v>
      </c>
    </row>
    <row r="899" spans="1:7" hidden="1">
      <c r="A899" s="2650"/>
      <c r="B899" s="2655"/>
      <c r="C899" s="2653"/>
      <c r="D899" s="2668" t="s">
        <v>60</v>
      </c>
      <c r="E899" s="2655"/>
      <c r="F899" s="2655"/>
      <c r="G899" s="2668">
        <f>SUM(G897:G898)</f>
        <v>7888.7999999999993</v>
      </c>
    </row>
    <row r="900" spans="1:7" hidden="1">
      <c r="A900" s="2650"/>
      <c r="B900" s="2646" t="s">
        <v>45</v>
      </c>
      <c r="C900" s="2651" t="s">
        <v>149</v>
      </c>
      <c r="D900" s="2659"/>
      <c r="E900" s="2653"/>
      <c r="F900" s="2654"/>
      <c r="G900" s="2759"/>
    </row>
    <row r="901" spans="1:7" hidden="1">
      <c r="A901" s="2650"/>
      <c r="B901" s="2655">
        <v>10</v>
      </c>
      <c r="C901" s="2653" t="s">
        <v>29</v>
      </c>
      <c r="D901" s="2668" t="s">
        <v>1557</v>
      </c>
      <c r="E901" s="2653"/>
      <c r="F901" s="2654"/>
      <c r="G901" s="2668">
        <f>ROUND((G888+G895+G899)*B901/100,2)</f>
        <v>8418.58</v>
      </c>
    </row>
    <row r="902" spans="1:7" hidden="1">
      <c r="A902" s="2650"/>
      <c r="B902" s="2646" t="s">
        <v>47</v>
      </c>
      <c r="C902" s="2651" t="s">
        <v>1092</v>
      </c>
      <c r="D902" s="2659"/>
      <c r="E902" s="2653"/>
      <c r="F902" s="2654"/>
      <c r="G902" s="2759"/>
    </row>
    <row r="903" spans="1:7" hidden="1">
      <c r="A903" s="2650"/>
      <c r="B903" s="2689">
        <f>'Input Data'!$D$24</f>
        <v>0.13614999999999999</v>
      </c>
      <c r="C903" s="3542" t="s">
        <v>1554</v>
      </c>
      <c r="D903" s="3542"/>
      <c r="E903" s="2655">
        <f>G901+G899+G895+G888</f>
        <v>92604.4</v>
      </c>
      <c r="F903" s="2654"/>
      <c r="G903" s="2668">
        <f>E903*B903</f>
        <v>12608.089059999998</v>
      </c>
    </row>
    <row r="904" spans="1:7" hidden="1">
      <c r="A904" s="2650"/>
      <c r="B904" s="2646" t="s">
        <v>76</v>
      </c>
      <c r="C904" s="2651" t="s">
        <v>89</v>
      </c>
      <c r="D904" s="2659"/>
      <c r="E904" s="2653"/>
      <c r="F904" s="2654"/>
      <c r="G904" s="2759">
        <f>G888+G895+G899+G903+G901</f>
        <v>105212.48905999999</v>
      </c>
    </row>
    <row r="905" spans="1:7" hidden="1">
      <c r="A905" s="2650"/>
      <c r="B905" s="2655"/>
      <c r="C905" s="2654"/>
      <c r="D905" s="2759" t="s">
        <v>1555</v>
      </c>
      <c r="E905" s="2655"/>
      <c r="F905" s="2655"/>
      <c r="G905" s="2759">
        <f>SUM(G904:G904)</f>
        <v>105212.48905999999</v>
      </c>
    </row>
    <row r="906" spans="1:7" hidden="1">
      <c r="A906" s="2650"/>
      <c r="B906" s="2655"/>
      <c r="C906" s="2654"/>
      <c r="D906" s="2668" t="s">
        <v>81</v>
      </c>
      <c r="E906" s="2655"/>
      <c r="F906" s="2655"/>
      <c r="G906" s="2668">
        <f>ROUND(G905/15,2)</f>
        <v>7014.17</v>
      </c>
    </row>
    <row r="907" spans="1:7" hidden="1">
      <c r="A907" s="2650"/>
      <c r="B907" s="2656"/>
      <c r="C907" s="2659"/>
      <c r="D907" s="2668" t="s">
        <v>52</v>
      </c>
      <c r="E907" s="2655"/>
      <c r="F907" s="2655"/>
      <c r="G907" s="2761">
        <f>ROUND(G906,2)</f>
        <v>7014.17</v>
      </c>
    </row>
    <row r="908" spans="1:7" hidden="1">
      <c r="A908" s="2650"/>
      <c r="B908" s="2656"/>
      <c r="C908" s="2659"/>
      <c r="D908" s="2668"/>
      <c r="E908" s="2655"/>
      <c r="F908" s="2655"/>
      <c r="G908" s="2670" t="s">
        <v>53</v>
      </c>
    </row>
    <row r="909" spans="1:7" hidden="1">
      <c r="A909" s="2650"/>
      <c r="B909" s="2656"/>
      <c r="C909" s="2659"/>
      <c r="D909" s="2668"/>
      <c r="E909" s="2655"/>
      <c r="F909" s="2655"/>
      <c r="G909" s="2670"/>
    </row>
    <row r="910" spans="1:7" ht="80.099999999999994" hidden="1" customHeight="1">
      <c r="A910" s="2650">
        <v>20</v>
      </c>
      <c r="B910" s="3525" t="s">
        <v>1558</v>
      </c>
      <c r="C910" s="3525"/>
      <c r="D910" s="3525"/>
      <c r="E910" s="3525"/>
      <c r="F910" s="3525"/>
      <c r="G910" s="3525"/>
    </row>
    <row r="911" spans="1:7" hidden="1">
      <c r="A911" s="2650"/>
      <c r="B911" s="3529" t="s">
        <v>33</v>
      </c>
      <c r="C911" s="3529"/>
      <c r="D911" s="2651" t="s">
        <v>1559</v>
      </c>
      <c r="E911" s="2647"/>
      <c r="F911" s="2648"/>
      <c r="G911" s="2648"/>
    </row>
    <row r="912" spans="1:7" hidden="1">
      <c r="A912" s="2650"/>
      <c r="B912" s="3529" t="s">
        <v>35</v>
      </c>
      <c r="C912" s="3529"/>
      <c r="D912" s="3529"/>
      <c r="E912" s="2647"/>
      <c r="F912" s="2648"/>
      <c r="G912" s="2648"/>
    </row>
    <row r="913" spans="1:7" hidden="1">
      <c r="A913" s="2650"/>
      <c r="B913" s="2646" t="s">
        <v>36</v>
      </c>
      <c r="C913" s="2651" t="s">
        <v>37</v>
      </c>
      <c r="D913" s="2646"/>
      <c r="E913" s="2647"/>
      <c r="F913" s="2648"/>
      <c r="G913" s="2648"/>
    </row>
    <row r="914" spans="1:7" hidden="1">
      <c r="A914" s="2650"/>
      <c r="B914" s="2655"/>
      <c r="C914" s="2653"/>
      <c r="D914" s="2654"/>
      <c r="E914" s="2655"/>
      <c r="F914" s="2656"/>
      <c r="G914" s="2657"/>
    </row>
    <row r="915" spans="1:7" hidden="1">
      <c r="A915" s="2650"/>
      <c r="B915" s="2655">
        <v>0.08</v>
      </c>
      <c r="C915" s="2653" t="s">
        <v>38</v>
      </c>
      <c r="D915" s="2654" t="s">
        <v>156</v>
      </c>
      <c r="E915" s="2655">
        <f>'SSR-rates'!$K$58</f>
        <v>575</v>
      </c>
      <c r="F915" s="2656" t="s">
        <v>38</v>
      </c>
      <c r="G915" s="2657">
        <f>ROUND(B915*E915,2)</f>
        <v>46</v>
      </c>
    </row>
    <row r="916" spans="1:7" hidden="1">
      <c r="A916" s="2650"/>
      <c r="B916" s="2655">
        <v>2</v>
      </c>
      <c r="C916" s="2653" t="s">
        <v>38</v>
      </c>
      <c r="D916" s="2654" t="s">
        <v>16</v>
      </c>
      <c r="E916" s="2655">
        <f>'SSR-rates'!$K$60</f>
        <v>575</v>
      </c>
      <c r="F916" s="2656" t="s">
        <v>38</v>
      </c>
      <c r="G916" s="2657">
        <f>ROUND(B916*E916,2)</f>
        <v>1150</v>
      </c>
    </row>
    <row r="917" spans="1:7" hidden="1">
      <c r="A917" s="2650"/>
      <c r="B917" s="2658">
        <f>'Input Data'!$D$23</f>
        <v>0</v>
      </c>
      <c r="C917" s="2653"/>
      <c r="D917" s="2659" t="s">
        <v>17</v>
      </c>
      <c r="E917" s="2655">
        <f>SUM(G914:G916)</f>
        <v>1196</v>
      </c>
      <c r="F917" s="2656"/>
      <c r="G917" s="2668">
        <f>B917*E917</f>
        <v>0</v>
      </c>
    </row>
    <row r="918" spans="1:7" hidden="1">
      <c r="A918" s="2650"/>
      <c r="B918" s="2655"/>
      <c r="C918" s="2653"/>
      <c r="D918" s="2654"/>
      <c r="E918" s="2655"/>
      <c r="F918" s="2656"/>
      <c r="G918" s="2670">
        <f>SUM(G915:G917)</f>
        <v>1196</v>
      </c>
    </row>
    <row r="919" spans="1:7" hidden="1">
      <c r="A919" s="2650"/>
      <c r="B919" s="2646" t="s">
        <v>39</v>
      </c>
      <c r="C919" s="2651" t="s">
        <v>40</v>
      </c>
      <c r="D919" s="2659"/>
      <c r="E919" s="2653"/>
      <c r="F919" s="2654"/>
      <c r="G919" s="2660"/>
    </row>
    <row r="920" spans="1:7" ht="27.6" hidden="1">
      <c r="A920" s="2650"/>
      <c r="B920" s="2661">
        <v>6</v>
      </c>
      <c r="C920" s="2662" t="s">
        <v>1560</v>
      </c>
      <c r="D920" s="2663" t="s">
        <v>1561</v>
      </c>
      <c r="E920" s="2661">
        <f>'SSR-rates'!K64</f>
        <v>3557.7</v>
      </c>
      <c r="F920" s="2661" t="s">
        <v>31</v>
      </c>
      <c r="G920" s="2664">
        <f>ROUND(B920*E920,2)</f>
        <v>21346.2</v>
      </c>
    </row>
    <row r="921" spans="1:7" hidden="1">
      <c r="A921" s="2650"/>
      <c r="B921" s="2661">
        <v>11</v>
      </c>
      <c r="C921" s="2662" t="s">
        <v>1560</v>
      </c>
      <c r="D921" s="2654" t="s">
        <v>1562</v>
      </c>
      <c r="E921" s="2655">
        <f>'SSR-rates'!K66</f>
        <v>1280.4000000000001</v>
      </c>
      <c r="F921" s="2655"/>
      <c r="G921" s="2664">
        <f>ROUND(B921*E921,2)</f>
        <v>14084.4</v>
      </c>
    </row>
    <row r="922" spans="1:7" hidden="1">
      <c r="A922" s="2650"/>
      <c r="B922" s="2661"/>
      <c r="C922" s="2662"/>
      <c r="D922" s="2654"/>
      <c r="E922" s="3536" t="s">
        <v>60</v>
      </c>
      <c r="F922" s="3536"/>
      <c r="G922" s="2762">
        <f>SUM(G920:G921)</f>
        <v>35430.6</v>
      </c>
    </row>
    <row r="923" spans="1:7" hidden="1">
      <c r="A923" s="2650"/>
      <c r="B923" s="2646" t="s">
        <v>27</v>
      </c>
      <c r="C923" s="2651" t="s">
        <v>44</v>
      </c>
      <c r="D923" s="2659"/>
      <c r="E923" s="2668"/>
      <c r="F923" s="2659"/>
      <c r="G923" s="2660"/>
    </row>
    <row r="924" spans="1:7" ht="27.6" hidden="1">
      <c r="A924" s="2650"/>
      <c r="B924" s="2689">
        <f>'Input Data'!$D$24</f>
        <v>0.13614999999999999</v>
      </c>
      <c r="C924" s="2653"/>
      <c r="D924" s="2662" t="s">
        <v>1554</v>
      </c>
      <c r="E924" s="2668">
        <f>G922+G918</f>
        <v>36626.6</v>
      </c>
      <c r="F924" s="2659"/>
      <c r="G924" s="2657">
        <f>E924*B924</f>
        <v>4986.7115899999999</v>
      </c>
    </row>
    <row r="925" spans="1:7" hidden="1">
      <c r="A925" s="2650"/>
      <c r="B925" s="2646" t="s">
        <v>45</v>
      </c>
      <c r="C925" s="2651" t="s">
        <v>46</v>
      </c>
      <c r="D925" s="2659"/>
      <c r="E925" s="2653"/>
      <c r="F925" s="2654"/>
      <c r="G925" s="2670">
        <f>G922+G924+G918</f>
        <v>41613.311589999998</v>
      </c>
    </row>
    <row r="926" spans="1:7" hidden="1">
      <c r="A926" s="2650"/>
      <c r="B926" s="2656"/>
      <c r="C926" s="2651" t="s">
        <v>1563</v>
      </c>
      <c r="D926" s="2654"/>
      <c r="E926" s="2653"/>
      <c r="F926" s="2654"/>
      <c r="G926" s="2670">
        <f>SUM(G925:G925)</f>
        <v>41613.311589999998</v>
      </c>
    </row>
    <row r="927" spans="1:7" hidden="1">
      <c r="A927" s="2650"/>
      <c r="B927" s="2656"/>
      <c r="C927" s="2654" t="s">
        <v>216</v>
      </c>
      <c r="D927" s="2654"/>
      <c r="E927" s="2653"/>
      <c r="F927" s="2654"/>
      <c r="G927" s="2657">
        <f>G926/240</f>
        <v>173.38879829166666</v>
      </c>
    </row>
    <row r="928" spans="1:7" hidden="1">
      <c r="A928" s="2650"/>
      <c r="B928" s="2655"/>
      <c r="C928" s="2668"/>
      <c r="D928" s="2697" t="s">
        <v>217</v>
      </c>
      <c r="E928" s="2657"/>
      <c r="F928" s="2668"/>
      <c r="G928" s="2698">
        <f>ROUND(G927,2)</f>
        <v>173.39</v>
      </c>
    </row>
    <row r="929" spans="1:7" hidden="1">
      <c r="A929" s="2650"/>
      <c r="B929" s="2655"/>
      <c r="C929" s="2668"/>
      <c r="D929" s="2699"/>
      <c r="E929" s="2657"/>
      <c r="F929" s="2668"/>
      <c r="G929" s="2671" t="s">
        <v>53</v>
      </c>
    </row>
    <row r="930" spans="1:7" ht="69.900000000000006" hidden="1" customHeight="1">
      <c r="A930" s="2650">
        <v>21</v>
      </c>
      <c r="B930" s="3525" t="s">
        <v>1564</v>
      </c>
      <c r="C930" s="3525"/>
      <c r="D930" s="3525"/>
      <c r="E930" s="3525"/>
      <c r="F930" s="3525"/>
      <c r="G930" s="3525"/>
    </row>
    <row r="931" spans="1:7" hidden="1">
      <c r="A931" s="2650"/>
      <c r="B931" s="2655" t="s">
        <v>1565</v>
      </c>
      <c r="C931" s="2654"/>
      <c r="D931" s="2651" t="s">
        <v>1263</v>
      </c>
      <c r="E931" s="2653"/>
      <c r="F931" s="2654"/>
      <c r="G931" s="2659"/>
    </row>
    <row r="932" spans="1:7" hidden="1">
      <c r="A932" s="2650"/>
      <c r="B932" s="2653" t="s">
        <v>1566</v>
      </c>
      <c r="C932" s="2654"/>
      <c r="D932" s="2654"/>
      <c r="E932" s="2653"/>
      <c r="F932" s="2654"/>
      <c r="G932" s="2659"/>
    </row>
    <row r="933" spans="1:7" hidden="1">
      <c r="A933" s="2650"/>
      <c r="B933" s="2646" t="s">
        <v>36</v>
      </c>
      <c r="C933" s="2651" t="s">
        <v>37</v>
      </c>
      <c r="D933" s="2646"/>
      <c r="E933" s="2647"/>
      <c r="F933" s="2648"/>
      <c r="G933" s="2763"/>
    </row>
    <row r="934" spans="1:7" hidden="1">
      <c r="A934" s="2650"/>
      <c r="B934" s="2655">
        <v>0.12</v>
      </c>
      <c r="C934" s="2653" t="s">
        <v>38</v>
      </c>
      <c r="D934" s="2654" t="s">
        <v>14</v>
      </c>
      <c r="E934" s="2655">
        <f>'SSR-rates'!$K$58</f>
        <v>575</v>
      </c>
      <c r="F934" s="2656" t="s">
        <v>38</v>
      </c>
      <c r="G934" s="2657">
        <f>ROUND(B934*E934,2)</f>
        <v>69</v>
      </c>
    </row>
    <row r="935" spans="1:7" hidden="1">
      <c r="A935" s="2650"/>
      <c r="B935" s="2655">
        <v>3</v>
      </c>
      <c r="C935" s="2653" t="s">
        <v>38</v>
      </c>
      <c r="D935" s="2654" t="s">
        <v>59</v>
      </c>
      <c r="E935" s="2655">
        <f>'SSR-rates'!$K$60</f>
        <v>575</v>
      </c>
      <c r="F935" s="2656" t="s">
        <v>38</v>
      </c>
      <c r="G935" s="2657">
        <f>ROUND(B935*E935,2)</f>
        <v>1725</v>
      </c>
    </row>
    <row r="936" spans="1:7" hidden="1">
      <c r="A936" s="2650"/>
      <c r="B936" s="2658">
        <f>'Input Data'!$D$23</f>
        <v>0</v>
      </c>
      <c r="C936" s="2653"/>
      <c r="D936" s="2659" t="s">
        <v>17</v>
      </c>
      <c r="E936" s="2655">
        <f>SUM(G933:G935)</f>
        <v>1794</v>
      </c>
      <c r="F936" s="2656"/>
      <c r="G936" s="2668">
        <f>B936*E936</f>
        <v>0</v>
      </c>
    </row>
    <row r="937" spans="1:7" hidden="1">
      <c r="A937" s="2650"/>
      <c r="B937" s="2656"/>
      <c r="C937" s="2654"/>
      <c r="D937" s="2654" t="s">
        <v>85</v>
      </c>
      <c r="E937" s="2653"/>
      <c r="F937" s="2654"/>
      <c r="G937" s="2670">
        <f>SUM(G934:G936)</f>
        <v>1794</v>
      </c>
    </row>
    <row r="938" spans="1:7" hidden="1">
      <c r="A938" s="2650"/>
      <c r="B938" s="2646" t="s">
        <v>39</v>
      </c>
      <c r="C938" s="2651" t="s">
        <v>40</v>
      </c>
      <c r="D938" s="2659"/>
      <c r="E938" s="2653"/>
      <c r="F938" s="2654"/>
      <c r="G938" s="2660"/>
    </row>
    <row r="939" spans="1:7" hidden="1">
      <c r="A939" s="2650"/>
      <c r="B939" s="2655">
        <v>6</v>
      </c>
      <c r="C939" s="2653" t="s">
        <v>41</v>
      </c>
      <c r="D939" s="2654" t="s">
        <v>1567</v>
      </c>
      <c r="E939" s="2655">
        <f>'SSR-rates'!$K$62</f>
        <v>3164.8</v>
      </c>
      <c r="F939" s="2655" t="s">
        <v>41</v>
      </c>
      <c r="G939" s="2657">
        <f>ROUND(B939*E939,2)</f>
        <v>18988.8</v>
      </c>
    </row>
    <row r="940" spans="1:7" hidden="1">
      <c r="A940" s="2650"/>
      <c r="B940" s="2656"/>
      <c r="C940" s="2654"/>
      <c r="D940" s="2654"/>
      <c r="E940" s="2653"/>
      <c r="F940" s="2654"/>
      <c r="G940" s="2670">
        <f>SUM(G939:G939)</f>
        <v>18988.8</v>
      </c>
    </row>
    <row r="941" spans="1:7" hidden="1">
      <c r="A941" s="2650"/>
      <c r="B941" s="2646" t="s">
        <v>27</v>
      </c>
      <c r="C941" s="2651" t="s">
        <v>1246</v>
      </c>
      <c r="D941" s="2654"/>
      <c r="E941" s="2653"/>
      <c r="F941" s="2654"/>
      <c r="G941" s="2670"/>
    </row>
    <row r="942" spans="1:7" ht="27.6" hidden="1">
      <c r="A942" s="2650"/>
      <c r="B942" s="2689">
        <f>'Input Data'!$D$24</f>
        <v>0.13614999999999999</v>
      </c>
      <c r="C942" s="2653"/>
      <c r="D942" s="2662" t="s">
        <v>1554</v>
      </c>
      <c r="E942" s="2653">
        <f>G940+G937</f>
        <v>20782.8</v>
      </c>
      <c r="F942" s="2654"/>
      <c r="G942" s="2657">
        <f>E942*B942</f>
        <v>2829.5782199999999</v>
      </c>
    </row>
    <row r="943" spans="1:7" hidden="1">
      <c r="A943" s="2650"/>
      <c r="B943" s="2656"/>
      <c r="C943" s="2654"/>
      <c r="D943" s="2654" t="s">
        <v>1568</v>
      </c>
      <c r="E943" s="2653"/>
      <c r="F943" s="2654"/>
      <c r="G943" s="2657">
        <f>G937+G940+G942</f>
        <v>23612.378219999999</v>
      </c>
    </row>
    <row r="944" spans="1:7" hidden="1">
      <c r="A944" s="2650"/>
      <c r="B944" s="2656"/>
      <c r="C944" s="2654"/>
      <c r="D944" s="2654" t="s">
        <v>1462</v>
      </c>
      <c r="E944" s="2653"/>
      <c r="F944" s="2654"/>
      <c r="G944" s="2657">
        <f>ROUND(G943/108,2)</f>
        <v>218.63</v>
      </c>
    </row>
    <row r="945" spans="1:7" hidden="1">
      <c r="A945" s="2650"/>
      <c r="B945" s="2655"/>
      <c r="C945" s="2653"/>
      <c r="D945" s="2668" t="s">
        <v>52</v>
      </c>
      <c r="E945" s="2657"/>
      <c r="F945" s="2668"/>
      <c r="G945" s="2698">
        <f>ROUND(G944,2)</f>
        <v>218.63</v>
      </c>
    </row>
    <row r="946" spans="1:7" hidden="1">
      <c r="A946" s="2650"/>
      <c r="B946" s="2656"/>
      <c r="C946" s="2654"/>
      <c r="D946" s="2654"/>
      <c r="E946" s="2653"/>
      <c r="F946" s="2654"/>
      <c r="G946" s="2671" t="s">
        <v>53</v>
      </c>
    </row>
    <row r="947" spans="1:7" hidden="1">
      <c r="A947" s="2650"/>
      <c r="B947" s="2656"/>
      <c r="C947" s="2659"/>
      <c r="D947" s="2659"/>
      <c r="E947" s="2668"/>
      <c r="F947" s="2659"/>
      <c r="G947" s="2702"/>
    </row>
    <row r="948" spans="1:7" hidden="1">
      <c r="A948" s="2650"/>
      <c r="B948" s="2656"/>
      <c r="C948" s="2659"/>
      <c r="D948" s="2659"/>
      <c r="E948" s="2668"/>
      <c r="F948" s="2659"/>
      <c r="G948" s="2702"/>
    </row>
    <row r="949" spans="1:7" ht="45" hidden="1" customHeight="1">
      <c r="A949" s="2650">
        <v>27</v>
      </c>
      <c r="B949" s="3525" t="s">
        <v>1569</v>
      </c>
      <c r="C949" s="3525"/>
      <c r="D949" s="3525"/>
      <c r="E949" s="3525"/>
      <c r="F949" s="3525"/>
      <c r="G949" s="3525"/>
    </row>
    <row r="950" spans="1:7" hidden="1">
      <c r="A950" s="2646"/>
      <c r="B950" s="2656" t="s">
        <v>1282</v>
      </c>
      <c r="C950" s="2659"/>
      <c r="D950" s="2651" t="s">
        <v>1570</v>
      </c>
      <c r="E950" s="2668"/>
      <c r="F950" s="2659"/>
      <c r="G950" s="2659"/>
    </row>
    <row r="951" spans="1:7" hidden="1">
      <c r="A951" s="2646"/>
      <c r="B951" s="2654"/>
      <c r="C951" s="2659"/>
      <c r="D951" s="2659"/>
      <c r="E951" s="2668"/>
      <c r="F951" s="2659"/>
      <c r="G951" s="2659"/>
    </row>
    <row r="952" spans="1:7" hidden="1">
      <c r="A952" s="2646"/>
      <c r="B952" s="2655"/>
      <c r="C952" s="2653"/>
      <c r="D952" s="2764" t="s">
        <v>1571</v>
      </c>
      <c r="E952" s="2712"/>
      <c r="F952" s="2655"/>
      <c r="G952" s="2657"/>
    </row>
    <row r="953" spans="1:7" hidden="1">
      <c r="A953" s="2646"/>
      <c r="B953" s="2655">
        <v>0.04</v>
      </c>
      <c r="C953" s="2657" t="s">
        <v>38</v>
      </c>
      <c r="D953" s="2659" t="s">
        <v>14</v>
      </c>
      <c r="E953" s="2655">
        <f>'SSR-rates'!$K$58</f>
        <v>575</v>
      </c>
      <c r="F953" s="2655" t="s">
        <v>38</v>
      </c>
      <c r="G953" s="2657">
        <f>ROUND(B953*E953,2)</f>
        <v>23</v>
      </c>
    </row>
    <row r="954" spans="1:7" hidden="1">
      <c r="A954" s="2646"/>
      <c r="B954" s="2655">
        <v>0.9</v>
      </c>
      <c r="C954" s="2657" t="s">
        <v>38</v>
      </c>
      <c r="D954" s="2659" t="s">
        <v>59</v>
      </c>
      <c r="E954" s="2655">
        <f>'SSR-rates'!$K$60</f>
        <v>575</v>
      </c>
      <c r="F954" s="2655" t="s">
        <v>38</v>
      </c>
      <c r="G954" s="2657">
        <f>ROUND(B954*E954,2)</f>
        <v>517.5</v>
      </c>
    </row>
    <row r="955" spans="1:7" hidden="1">
      <c r="A955" s="2646"/>
      <c r="B955" s="2658">
        <f>'Input Data'!$D$23</f>
        <v>0</v>
      </c>
      <c r="C955" s="2653"/>
      <c r="D955" s="2659" t="s">
        <v>17</v>
      </c>
      <c r="E955" s="2655">
        <f>SUM(G952:G954)</f>
        <v>540.5</v>
      </c>
      <c r="F955" s="2656"/>
      <c r="G955" s="2668">
        <f>B955*E955</f>
        <v>0</v>
      </c>
    </row>
    <row r="956" spans="1:7" hidden="1">
      <c r="A956" s="2646"/>
      <c r="B956" s="2655"/>
      <c r="C956" s="2655"/>
      <c r="D956" s="2659" t="s">
        <v>60</v>
      </c>
      <c r="E956" s="2655"/>
      <c r="F956" s="2655"/>
      <c r="G956" s="2657">
        <f>SUM(G953:G955)</f>
        <v>540.5</v>
      </c>
    </row>
    <row r="957" spans="1:7" hidden="1">
      <c r="A957" s="2646"/>
      <c r="B957" s="2714"/>
      <c r="C957" s="2696" t="s">
        <v>61</v>
      </c>
      <c r="D957" s="2659"/>
      <c r="E957" s="2655"/>
      <c r="F957" s="2655"/>
      <c r="G957" s="2657"/>
    </row>
    <row r="958" spans="1:7" hidden="1">
      <c r="A958" s="2646"/>
      <c r="B958" s="2655">
        <v>0.51</v>
      </c>
      <c r="C958" s="2653" t="s">
        <v>73</v>
      </c>
      <c r="D958" s="2765" t="s">
        <v>1572</v>
      </c>
      <c r="E958" s="2655">
        <f>+lead!J36</f>
        <v>5000</v>
      </c>
      <c r="F958" s="2655" t="s">
        <v>73</v>
      </c>
      <c r="G958" s="2657">
        <f>ROUND(B958*E958,2)</f>
        <v>2550</v>
      </c>
    </row>
    <row r="959" spans="1:7" ht="27.6" hidden="1">
      <c r="A959" s="2646"/>
      <c r="B959" s="2655">
        <f>1.05/2</f>
        <v>0.52500000000000002</v>
      </c>
      <c r="C959" s="2653" t="s">
        <v>73</v>
      </c>
      <c r="D959" s="2766" t="s">
        <v>1442</v>
      </c>
      <c r="E959" s="2655">
        <f>lead!$J$30</f>
        <v>2070.9213132068826</v>
      </c>
      <c r="F959" s="2727" t="s">
        <v>73</v>
      </c>
      <c r="G959" s="2657">
        <f t="shared" ref="G959:G960" si="15">ROUND(B959*E959,2)</f>
        <v>1087.23</v>
      </c>
    </row>
    <row r="960" spans="1:7" hidden="1">
      <c r="A960" s="2646"/>
      <c r="B960" s="2655">
        <f>1.05/2</f>
        <v>0.52500000000000002</v>
      </c>
      <c r="C960" s="2653" t="s">
        <v>73</v>
      </c>
      <c r="D960" s="2766" t="s">
        <v>1443</v>
      </c>
      <c r="E960" s="2655">
        <f>lead!$J$33</f>
        <v>1473.2187651278443</v>
      </c>
      <c r="F960" s="2727" t="s">
        <v>73</v>
      </c>
      <c r="G960" s="2657">
        <f t="shared" si="15"/>
        <v>773.44</v>
      </c>
    </row>
    <row r="961" spans="1:7" hidden="1">
      <c r="A961" s="2646"/>
      <c r="B961" s="2655"/>
      <c r="C961" s="2653"/>
      <c r="D961" s="2659" t="s">
        <v>60</v>
      </c>
      <c r="E961" s="2655"/>
      <c r="F961" s="2655"/>
      <c r="G961" s="2657">
        <f>SUM(G958:G960)</f>
        <v>4410.67</v>
      </c>
    </row>
    <row r="962" spans="1:7" hidden="1">
      <c r="A962" s="2646"/>
      <c r="B962" s="2655"/>
      <c r="C962" s="2653"/>
      <c r="D962" s="2659" t="s">
        <v>1571</v>
      </c>
      <c r="E962" s="2655"/>
      <c r="F962" s="2655"/>
      <c r="G962" s="2670">
        <f>+G961+G956</f>
        <v>4951.17</v>
      </c>
    </row>
    <row r="963" spans="1:7" hidden="1">
      <c r="A963" s="2646"/>
      <c r="B963" s="2655"/>
      <c r="C963" s="2653"/>
      <c r="D963" s="2659"/>
      <c r="E963" s="2655"/>
      <c r="F963" s="2655"/>
      <c r="G963" s="2670"/>
    </row>
    <row r="964" spans="1:7" hidden="1">
      <c r="A964" s="2646"/>
      <c r="B964" s="2654" t="s">
        <v>1573</v>
      </c>
      <c r="C964" s="2659"/>
      <c r="D964" s="2659"/>
      <c r="E964" s="2668"/>
      <c r="F964" s="2659"/>
      <c r="G964" s="2659"/>
    </row>
    <row r="965" spans="1:7" hidden="1">
      <c r="A965" s="2646"/>
      <c r="B965" s="2714" t="s">
        <v>36</v>
      </c>
      <c r="C965" s="2717" t="s">
        <v>37</v>
      </c>
      <c r="D965" s="2659"/>
      <c r="E965" s="2668"/>
      <c r="F965" s="2659"/>
      <c r="G965" s="2659"/>
    </row>
    <row r="966" spans="1:7" hidden="1">
      <c r="A966" s="2646"/>
      <c r="B966" s="2655">
        <v>0.1</v>
      </c>
      <c r="C966" s="2657" t="s">
        <v>38</v>
      </c>
      <c r="D966" s="2659" t="s">
        <v>14</v>
      </c>
      <c r="E966" s="2655">
        <f>'SSR-rates'!$K$58</f>
        <v>575</v>
      </c>
      <c r="F966" s="2655" t="s">
        <v>38</v>
      </c>
      <c r="G966" s="2657">
        <f>ROUND(B966*E966,2)</f>
        <v>57.5</v>
      </c>
    </row>
    <row r="967" spans="1:7" hidden="1">
      <c r="A967" s="2646"/>
      <c r="B967" s="2655">
        <v>1.2</v>
      </c>
      <c r="C967" s="2657" t="s">
        <v>38</v>
      </c>
      <c r="D967" s="2659" t="s">
        <v>59</v>
      </c>
      <c r="E967" s="2655">
        <f>'SSR-rates'!$K$60</f>
        <v>575</v>
      </c>
      <c r="F967" s="2655" t="s">
        <v>38</v>
      </c>
      <c r="G967" s="2657">
        <f>ROUND(B967*E967,2)</f>
        <v>690</v>
      </c>
    </row>
    <row r="968" spans="1:7" hidden="1">
      <c r="A968" s="2650"/>
      <c r="B968" s="2655">
        <v>1.2</v>
      </c>
      <c r="C968" s="2669" t="s">
        <v>38</v>
      </c>
      <c r="D968" s="2654" t="s">
        <v>15</v>
      </c>
      <c r="E968" s="2655">
        <f>'SSR-rates'!$K$59</f>
        <v>575</v>
      </c>
      <c r="F968" s="2655" t="s">
        <v>38</v>
      </c>
      <c r="G968" s="2657">
        <f>ROUND(B968*E968,2)</f>
        <v>690</v>
      </c>
    </row>
    <row r="969" spans="1:7" hidden="1">
      <c r="A969" s="2646"/>
      <c r="B969" s="2658">
        <f>'Input Data'!$D$23</f>
        <v>0</v>
      </c>
      <c r="C969" s="2653"/>
      <c r="D969" s="2659" t="s">
        <v>17</v>
      </c>
      <c r="E969" s="2655"/>
      <c r="F969" s="2656"/>
      <c r="G969" s="2657">
        <f>(G966+G967+G965)*B969</f>
        <v>0</v>
      </c>
    </row>
    <row r="970" spans="1:7" hidden="1">
      <c r="A970" s="2646"/>
      <c r="B970" s="2655"/>
      <c r="C970" s="2655"/>
      <c r="D970" s="2659" t="s">
        <v>60</v>
      </c>
      <c r="E970" s="2655"/>
      <c r="F970" s="2655"/>
      <c r="G970" s="2670">
        <f>SUM(G966:G969)</f>
        <v>1437.5</v>
      </c>
    </row>
    <row r="971" spans="1:7" hidden="1">
      <c r="A971" s="2646"/>
      <c r="B971" s="2714" t="s">
        <v>39</v>
      </c>
      <c r="C971" s="2696" t="s">
        <v>61</v>
      </c>
      <c r="D971" s="2659"/>
      <c r="E971" s="2655"/>
      <c r="F971" s="2655"/>
      <c r="G971" s="2657"/>
    </row>
    <row r="972" spans="1:7" hidden="1">
      <c r="A972" s="2646"/>
      <c r="B972" s="2655">
        <v>1</v>
      </c>
      <c r="C972" s="2653" t="s">
        <v>73</v>
      </c>
      <c r="D972" s="2765" t="s">
        <v>1574</v>
      </c>
      <c r="E972" s="2655">
        <f>lead!$J$28</f>
        <v>1199.2187651278443</v>
      </c>
      <c r="F972" s="2655" t="s">
        <v>73</v>
      </c>
      <c r="G972" s="2657">
        <f>ROUND(B972*E972,2)</f>
        <v>1199.22</v>
      </c>
    </row>
    <row r="973" spans="1:7" hidden="1">
      <c r="A973" s="2646"/>
      <c r="B973" s="2655">
        <v>7</v>
      </c>
      <c r="C973" s="2653" t="s">
        <v>580</v>
      </c>
      <c r="D973" s="2765" t="s">
        <v>1575</v>
      </c>
      <c r="E973" s="2655">
        <f>lead!$J$29</f>
        <v>2156.5520984611776</v>
      </c>
      <c r="F973" s="2655" t="s">
        <v>1345</v>
      </c>
      <c r="G973" s="2657">
        <f>ROUND(B973*E973,2)</f>
        <v>15095.86</v>
      </c>
    </row>
    <row r="974" spans="1:7" hidden="1">
      <c r="A974" s="2646"/>
      <c r="B974" s="2655">
        <v>0.33</v>
      </c>
      <c r="C974" s="2653" t="s">
        <v>73</v>
      </c>
      <c r="D974" s="2765" t="s">
        <v>1576</v>
      </c>
      <c r="E974" s="2655">
        <f>+G962</f>
        <v>4951.17</v>
      </c>
      <c r="F974" s="2655" t="s">
        <v>73</v>
      </c>
      <c r="G974" s="2657">
        <f>ROUND(B974*E974,2)</f>
        <v>1633.89</v>
      </c>
    </row>
    <row r="975" spans="1:7" hidden="1">
      <c r="A975" s="2646"/>
      <c r="B975" s="2655"/>
      <c r="C975" s="2653"/>
      <c r="D975" s="2765"/>
      <c r="E975" s="2712"/>
      <c r="F975" s="2655"/>
      <c r="G975" s="2670">
        <f>SUM(G972:G974)</f>
        <v>17928.97</v>
      </c>
    </row>
    <row r="976" spans="1:7" hidden="1">
      <c r="A976" s="2646"/>
      <c r="B976" s="2646" t="s">
        <v>45</v>
      </c>
      <c r="C976" s="2651" t="s">
        <v>1246</v>
      </c>
      <c r="D976" s="2654"/>
      <c r="E976" s="2653"/>
      <c r="F976" s="2654"/>
      <c r="G976" s="2670"/>
    </row>
    <row r="977" spans="1:7" ht="27.6" hidden="1">
      <c r="A977" s="2646"/>
      <c r="B977" s="2689">
        <f>'Input Data'!$D$24</f>
        <v>0.13614999999999999</v>
      </c>
      <c r="C977" s="2653"/>
      <c r="D977" s="2710" t="str">
        <f>"Over head charges &amp; CP "&amp;'Input Data'!$D$24*100&amp;"%  on (A) + (B)+(C)"</f>
        <v>Over head charges &amp; CP 13.615%  on (A) + (B)+(C)</v>
      </c>
      <c r="E977" s="2655">
        <f>+G975+G970</f>
        <v>19366.47</v>
      </c>
      <c r="F977" s="2654"/>
      <c r="G977" s="2657">
        <f>E977*B977</f>
        <v>2636.7448905000001</v>
      </c>
    </row>
    <row r="978" spans="1:7" hidden="1">
      <c r="A978" s="2646"/>
      <c r="B978" s="2646" t="s">
        <v>47</v>
      </c>
      <c r="C978" s="2651" t="s">
        <v>89</v>
      </c>
      <c r="D978" s="2659"/>
      <c r="E978" s="2653"/>
      <c r="F978" s="2654"/>
      <c r="G978" s="2670">
        <f>+G977+G975+G970</f>
        <v>22003.214890499999</v>
      </c>
    </row>
    <row r="979" spans="1:7" hidden="1">
      <c r="A979" s="2646"/>
      <c r="B979" s="2655"/>
      <c r="C979" s="2653"/>
      <c r="D979" s="2696" t="s">
        <v>1577</v>
      </c>
      <c r="E979" s="2655"/>
      <c r="F979" s="2655"/>
      <c r="G979" s="2670">
        <f>SUM(G978:G978)</f>
        <v>22003.214890499999</v>
      </c>
    </row>
    <row r="980" spans="1:7" hidden="1">
      <c r="A980" s="2646"/>
      <c r="B980" s="2655"/>
      <c r="C980" s="2653"/>
      <c r="D980" s="2659" t="s">
        <v>1462</v>
      </c>
      <c r="E980" s="2655"/>
      <c r="F980" s="2655"/>
      <c r="G980" s="2657">
        <f>ROUND(G979/1,2)</f>
        <v>22003.21</v>
      </c>
    </row>
    <row r="981" spans="1:7" hidden="1">
      <c r="A981" s="2646"/>
      <c r="B981" s="2656"/>
      <c r="C981" s="2659"/>
      <c r="D981" s="2659" t="s">
        <v>52</v>
      </c>
      <c r="E981" s="2655"/>
      <c r="F981" s="2655"/>
      <c r="G981" s="2698">
        <f>ROUND(G980,2)</f>
        <v>22003.21</v>
      </c>
    </row>
    <row r="982" spans="1:7" hidden="1">
      <c r="A982" s="2646"/>
      <c r="B982" s="2656"/>
      <c r="C982" s="2659"/>
      <c r="D982" s="2659"/>
      <c r="E982" s="2668"/>
      <c r="F982" s="2659"/>
      <c r="G982" s="2671" t="s">
        <v>53</v>
      </c>
    </row>
    <row r="983" spans="1:7">
      <c r="A983" s="2645"/>
      <c r="B983" s="2767"/>
      <c r="C983" s="2768"/>
      <c r="D983" s="2768"/>
      <c r="E983" s="2769"/>
      <c r="F983" s="2768"/>
      <c r="G983" s="2770"/>
    </row>
    <row r="984" spans="1:7">
      <c r="A984" s="2645"/>
      <c r="B984" s="2767"/>
      <c r="C984" s="2768"/>
      <c r="D984" s="2768"/>
      <c r="E984" s="2769"/>
      <c r="F984" s="2768"/>
      <c r="G984" s="2770"/>
    </row>
    <row r="985" spans="1:7">
      <c r="A985" s="2645"/>
      <c r="B985" s="2767"/>
      <c r="C985" s="2768"/>
      <c r="D985" s="2767" t="str">
        <f>GA!B34</f>
        <v>Asst Exe Engineer,</v>
      </c>
      <c r="E985" s="3537" t="str">
        <f>GA!C34</f>
        <v>Dy. Exe. Engineer</v>
      </c>
      <c r="F985" s="3537"/>
      <c r="G985" s="3537"/>
    </row>
    <row r="986" spans="1:7">
      <c r="A986" s="2645"/>
      <c r="B986" s="2767"/>
      <c r="C986" s="2768"/>
      <c r="D986" s="2767" t="str">
        <f>GA!B35</f>
        <v>PRSD Maddur</v>
      </c>
      <c r="E986" s="3537" t="str">
        <f>GA!C35</f>
        <v>PRSD, Maddur</v>
      </c>
      <c r="F986" s="3537"/>
      <c r="G986" s="3537"/>
    </row>
    <row r="987" spans="1:7">
      <c r="A987" s="2645"/>
      <c r="B987" s="2767"/>
      <c r="C987" s="2768"/>
      <c r="D987" s="2768"/>
      <c r="E987" s="2769"/>
      <c r="F987" s="2768"/>
      <c r="G987" s="2770"/>
    </row>
    <row r="988" spans="1:7">
      <c r="A988" s="2645"/>
      <c r="B988" s="2767"/>
      <c r="C988" s="2768"/>
      <c r="D988" s="2768"/>
      <c r="E988" s="2769"/>
      <c r="F988" s="2768"/>
      <c r="G988" s="2770"/>
    </row>
    <row r="989" spans="1:7">
      <c r="A989" s="2645"/>
      <c r="B989" s="2767"/>
      <c r="C989" s="2768"/>
      <c r="D989" s="2767" t="str">
        <f>GA!B37</f>
        <v>District Panchayat Raj Engineer,</v>
      </c>
      <c r="E989" s="3537" t="str">
        <f>GA!C37</f>
        <v>Superintending Engineer</v>
      </c>
      <c r="F989" s="3537"/>
      <c r="G989" s="3537"/>
    </row>
    <row r="990" spans="1:7">
      <c r="A990" s="2645"/>
      <c r="B990" s="2767"/>
      <c r="C990" s="2768"/>
      <c r="D990" s="2767" t="str">
        <f>GA!B38</f>
        <v>PR Division, Narayanpet</v>
      </c>
      <c r="E990" s="3537" t="str">
        <f>GA!C38</f>
        <v>PR, Circle, Vikarabad</v>
      </c>
      <c r="F990" s="3537"/>
      <c r="G990" s="3537"/>
    </row>
  </sheetData>
  <mergeCells count="70">
    <mergeCell ref="E985:G985"/>
    <mergeCell ref="E986:G986"/>
    <mergeCell ref="E989:G989"/>
    <mergeCell ref="E990:G990"/>
    <mergeCell ref="D2:G3"/>
    <mergeCell ref="B808:G808"/>
    <mergeCell ref="B847:G847"/>
    <mergeCell ref="B879:G879"/>
    <mergeCell ref="C903:D903"/>
    <mergeCell ref="B910:G910"/>
    <mergeCell ref="B648:G648"/>
    <mergeCell ref="C675:D675"/>
    <mergeCell ref="B682:G682"/>
    <mergeCell ref="B723:G723"/>
    <mergeCell ref="B766:G766"/>
    <mergeCell ref="B508:G508"/>
    <mergeCell ref="B911:C911"/>
    <mergeCell ref="B912:D912"/>
    <mergeCell ref="E922:F922"/>
    <mergeCell ref="B930:G930"/>
    <mergeCell ref="B949:G949"/>
    <mergeCell ref="B511:G511"/>
    <mergeCell ref="B540:G540"/>
    <mergeCell ref="B567:G567"/>
    <mergeCell ref="B595:G595"/>
    <mergeCell ref="B400:G400"/>
    <mergeCell ref="B433:G433"/>
    <mergeCell ref="B457:G457"/>
    <mergeCell ref="B481:G481"/>
    <mergeCell ref="B507:G507"/>
    <mergeCell ref="B293:G293"/>
    <mergeCell ref="B294:G294"/>
    <mergeCell ref="B295:G295"/>
    <mergeCell ref="B327:G327"/>
    <mergeCell ref="B366:G366"/>
    <mergeCell ref="B228:G228"/>
    <mergeCell ref="B229:C229"/>
    <mergeCell ref="B230:D230"/>
    <mergeCell ref="B255:G255"/>
    <mergeCell ref="B272:G272"/>
    <mergeCell ref="B161:G161"/>
    <mergeCell ref="B162:C162"/>
    <mergeCell ref="B163:D163"/>
    <mergeCell ref="B194:G194"/>
    <mergeCell ref="B206:G206"/>
    <mergeCell ref="C134:D134"/>
    <mergeCell ref="B137:G137"/>
    <mergeCell ref="B138:C138"/>
    <mergeCell ref="B139:D139"/>
    <mergeCell ref="C159:D159"/>
    <mergeCell ref="B98:C98"/>
    <mergeCell ref="B99:D99"/>
    <mergeCell ref="B117:G117"/>
    <mergeCell ref="B118:C118"/>
    <mergeCell ref="B119:D119"/>
    <mergeCell ref="B49:D49"/>
    <mergeCell ref="B65:C65"/>
    <mergeCell ref="B81:C81"/>
    <mergeCell ref="B82:D82"/>
    <mergeCell ref="B97:G97"/>
    <mergeCell ref="B6:D6"/>
    <mergeCell ref="B7:D7"/>
    <mergeCell ref="B24:G24"/>
    <mergeCell ref="B46:G46"/>
    <mergeCell ref="B48:C48"/>
    <mergeCell ref="B1:G1"/>
    <mergeCell ref="A2:C2"/>
    <mergeCell ref="A3:C3"/>
    <mergeCell ref="B4:C4"/>
    <mergeCell ref="B5:G5"/>
  </mergeCells>
  <conditionalFormatting sqref="A24:A25">
    <cfRule type="cellIs" dxfId="26" priority="5" stopIfTrue="1" operator="equal">
      <formula>A1703</formula>
    </cfRule>
  </conditionalFormatting>
  <conditionalFormatting sqref="A24:A26 A31 A35:A36 A42 A45">
    <cfRule type="cellIs" dxfId="25" priority="21" stopIfTrue="1" operator="equal">
      <formula>#REF!</formula>
    </cfRule>
  </conditionalFormatting>
  <conditionalFormatting sqref="A25">
    <cfRule type="cellIs" dxfId="24" priority="2" stopIfTrue="1" operator="equal">
      <formula>A24</formula>
    </cfRule>
  </conditionalFormatting>
  <conditionalFormatting sqref="A26">
    <cfRule type="cellIs" dxfId="23" priority="10" stopIfTrue="1" operator="equal">
      <formula>A24</formula>
    </cfRule>
  </conditionalFormatting>
  <conditionalFormatting sqref="A32:A41 A27:A30 A43:A44">
    <cfRule type="cellIs" dxfId="22" priority="25" stopIfTrue="1" operator="equal">
      <formula>A26</formula>
    </cfRule>
  </conditionalFormatting>
  <conditionalFormatting sqref="A33:A34">
    <cfRule type="cellIs" dxfId="21" priority="4" stopIfTrue="1" operator="equal">
      <formula>A32</formula>
    </cfRule>
  </conditionalFormatting>
  <conditionalFormatting sqref="A37">
    <cfRule type="cellIs" dxfId="20" priority="6" stopIfTrue="1" operator="equal">
      <formula>A35</formula>
    </cfRule>
  </conditionalFormatting>
  <printOptions horizontalCentered="1"/>
  <pageMargins left="0.59055118110236204" right="0.196850393700787" top="0.59055118110236204" bottom="0.39370078740157499" header="0.27559055118110198" footer="0.35433070866141703"/>
  <pageSetup paperSize="9" orientation="portrait" r:id="rId1"/>
  <headerFooter scaleWithDoc="0" alignWithMargins="0">
    <oddHeader>&amp;CPage &amp;P of &amp;N</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rgb="FF000099"/>
  </sheetPr>
  <dimension ref="A1:N360"/>
  <sheetViews>
    <sheetView view="pageBreakPreview" zoomScale="115" zoomScaleNormal="90" workbookViewId="0">
      <selection activeCell="P120" sqref="P120"/>
    </sheetView>
  </sheetViews>
  <sheetFormatPr defaultColWidth="9.109375" defaultRowHeight="13.2"/>
  <cols>
    <col min="1" max="1" width="9.109375" style="2786" customWidth="1"/>
    <col min="2" max="2" width="6.44140625" style="2789" customWidth="1"/>
    <col min="3" max="3" width="3.33203125" style="2787" customWidth="1"/>
    <col min="4" max="4" width="38.44140625" style="2790" customWidth="1"/>
    <col min="5" max="5" width="9.21875" style="2788" customWidth="1"/>
    <col min="6" max="6" width="10.109375" style="2788" customWidth="1"/>
    <col min="7" max="7" width="10.44140625" style="2788" customWidth="1"/>
    <col min="8" max="8" width="11.44140625" style="2791" customWidth="1"/>
    <col min="9" max="9" width="8.6640625" style="2772" hidden="1" customWidth="1"/>
    <col min="10" max="14" width="9.109375" style="2772" hidden="1" customWidth="1"/>
    <col min="15" max="16384" width="9.109375" style="2772"/>
  </cols>
  <sheetData>
    <row r="1" spans="1:9" ht="20.25" customHeight="1">
      <c r="A1" s="3546" t="s">
        <v>2144</v>
      </c>
      <c r="B1" s="3546"/>
      <c r="C1" s="3546"/>
      <c r="D1" s="3546"/>
      <c r="E1" s="3546"/>
      <c r="F1" s="3546"/>
      <c r="G1" s="3546"/>
      <c r="H1" s="3546"/>
      <c r="I1" s="2771"/>
    </row>
    <row r="2" spans="1:9" ht="24" customHeight="1">
      <c r="A2" s="3547" t="str">
        <f>'Input Data'!E1</f>
        <v xml:space="preserve">BT Renewal from Balabadraipally to Danamma Thanda of Gundumal Mandal in Narayanpet District </v>
      </c>
      <c r="B2" s="3548"/>
      <c r="C2" s="3548"/>
      <c r="D2" s="3548"/>
      <c r="E2" s="3548"/>
      <c r="F2" s="3548"/>
      <c r="G2" s="3548"/>
      <c r="H2" s="3548"/>
      <c r="I2" s="2773"/>
    </row>
    <row r="3" spans="1:9" s="2774" customFormat="1" ht="30.75" customHeight="1">
      <c r="A3" s="2794" t="s">
        <v>2145</v>
      </c>
      <c r="B3" s="3549" t="s">
        <v>2146</v>
      </c>
      <c r="C3" s="3549"/>
      <c r="D3" s="2794" t="s">
        <v>554</v>
      </c>
      <c r="E3" s="2794" t="s">
        <v>1016</v>
      </c>
      <c r="F3" s="2794" t="s">
        <v>3</v>
      </c>
      <c r="G3" s="2794" t="s">
        <v>1081</v>
      </c>
      <c r="H3" s="2795" t="s">
        <v>2147</v>
      </c>
    </row>
    <row r="4" spans="1:9" s="2775" customFormat="1" ht="18.899999999999999" customHeight="1">
      <c r="A4" s="2796"/>
      <c r="B4" s="3550">
        <v>1</v>
      </c>
      <c r="C4" s="3550"/>
      <c r="D4" s="2794">
        <v>2</v>
      </c>
      <c r="E4" s="2794">
        <v>3</v>
      </c>
      <c r="F4" s="2794">
        <v>4</v>
      </c>
      <c r="G4" s="2794">
        <v>5</v>
      </c>
      <c r="H4" s="2794">
        <v>6</v>
      </c>
      <c r="I4" s="2774"/>
    </row>
    <row r="5" spans="1:9" s="2775" customFormat="1" ht="9" customHeight="1">
      <c r="A5" s="2797"/>
      <c r="B5" s="3551" t="s">
        <v>2148</v>
      </c>
      <c r="C5" s="3551"/>
      <c r="D5" s="3551"/>
      <c r="E5" s="2798"/>
      <c r="F5" s="2798"/>
      <c r="G5" s="2798"/>
      <c r="H5" s="2799"/>
      <c r="I5" s="2773"/>
    </row>
    <row r="6" spans="1:9" s="2775" customFormat="1">
      <c r="A6" s="2800"/>
      <c r="B6" s="3552" t="s">
        <v>2149</v>
      </c>
      <c r="C6" s="3552"/>
      <c r="D6" s="3552"/>
      <c r="E6" s="2801"/>
      <c r="F6" s="2802">
        <f>+'Input Data'!D24</f>
        <v>0.13614999999999999</v>
      </c>
      <c r="G6" s="2801"/>
      <c r="H6" s="2803"/>
      <c r="I6" s="2773"/>
    </row>
    <row r="7" spans="1:9" s="2775" customFormat="1">
      <c r="A7" s="2800"/>
      <c r="B7" s="2801"/>
      <c r="C7" s="2801"/>
      <c r="D7" s="2801" t="s">
        <v>2150</v>
      </c>
      <c r="E7" s="2801"/>
      <c r="F7" s="2802">
        <f>+'Input Data'!E24</f>
        <v>0</v>
      </c>
      <c r="G7" s="2801"/>
      <c r="H7" s="2803"/>
      <c r="I7" s="2773"/>
    </row>
    <row r="8" spans="1:9">
      <c r="A8" s="2804"/>
      <c r="B8" s="3553" t="str">
        <f>"Muncipal AAllowance/Area Allowance @ "&amp;F8*100&amp;"%"</f>
        <v>Muncipal AAllowance/Area Allowance @ 0%</v>
      </c>
      <c r="C8" s="3553"/>
      <c r="D8" s="3553"/>
      <c r="E8" s="2805"/>
      <c r="F8" s="2806">
        <f>+'Input Data'!D23</f>
        <v>0</v>
      </c>
      <c r="G8" s="2801"/>
      <c r="H8" s="2807"/>
    </row>
    <row r="9" spans="1:9">
      <c r="A9" s="3554" t="s">
        <v>2151</v>
      </c>
      <c r="B9" s="3554"/>
      <c r="C9" s="3554"/>
      <c r="D9" s="3554"/>
      <c r="E9" s="3554"/>
      <c r="F9" s="3554"/>
      <c r="G9" s="3554"/>
      <c r="H9" s="3554"/>
    </row>
    <row r="10" spans="1:9" ht="44.1" hidden="1" customHeight="1">
      <c r="A10" s="2808" t="s">
        <v>2152</v>
      </c>
      <c r="B10" s="2809">
        <v>1</v>
      </c>
      <c r="C10" s="2808"/>
      <c r="D10" s="3555" t="s">
        <v>2153</v>
      </c>
      <c r="E10" s="3555"/>
      <c r="F10" s="3555"/>
      <c r="G10" s="3555"/>
      <c r="H10" s="2810"/>
    </row>
    <row r="11" spans="1:9" hidden="1">
      <c r="A11" s="2811"/>
      <c r="B11" s="2809"/>
      <c r="C11" s="2808"/>
      <c r="D11" s="2812" t="s">
        <v>1647</v>
      </c>
      <c r="E11" s="2811"/>
      <c r="F11" s="2811"/>
      <c r="G11" s="2810"/>
      <c r="H11" s="2810"/>
    </row>
    <row r="12" spans="1:9" hidden="1">
      <c r="A12" s="2811"/>
      <c r="B12" s="2809"/>
      <c r="C12" s="2813"/>
      <c r="D12" s="2814" t="s">
        <v>251</v>
      </c>
      <c r="E12" s="2811"/>
      <c r="F12" s="2811"/>
      <c r="G12" s="2810"/>
      <c r="H12" s="2810"/>
    </row>
    <row r="13" spans="1:9" ht="26.4" hidden="1">
      <c r="A13" s="2811"/>
      <c r="B13" s="2809"/>
      <c r="C13" s="2808"/>
      <c r="D13" s="2812" t="s">
        <v>2154</v>
      </c>
      <c r="E13" s="2811" t="s">
        <v>1406</v>
      </c>
      <c r="F13" s="2815">
        <v>1.05</v>
      </c>
      <c r="G13" s="2810">
        <f>+lead!J37</f>
        <v>49000</v>
      </c>
      <c r="H13" s="2816">
        <f>ROUND(F13*G13,2)</f>
        <v>51450</v>
      </c>
    </row>
    <row r="14" spans="1:9" hidden="1">
      <c r="A14" s="2811"/>
      <c r="B14" s="2809"/>
      <c r="C14" s="2808"/>
      <c r="D14" s="2812" t="s">
        <v>2155</v>
      </c>
      <c r="E14" s="2811" t="s">
        <v>2156</v>
      </c>
      <c r="F14" s="2815">
        <v>6</v>
      </c>
      <c r="G14" s="2817">
        <f>+'SSR-rates'!K93</f>
        <v>83</v>
      </c>
      <c r="H14" s="2816">
        <f>ROUND(F14*G14,2)</f>
        <v>498</v>
      </c>
    </row>
    <row r="15" spans="1:9" ht="26.4" hidden="1">
      <c r="A15" s="2811"/>
      <c r="B15" s="2809"/>
      <c r="C15" s="2808"/>
      <c r="D15" s="2812" t="s">
        <v>2157</v>
      </c>
      <c r="E15" s="2811"/>
      <c r="F15" s="2815"/>
      <c r="G15" s="2810"/>
      <c r="H15" s="2810"/>
    </row>
    <row r="16" spans="1:9" hidden="1">
      <c r="A16" s="2811"/>
      <c r="B16" s="2809"/>
      <c r="C16" s="2808"/>
      <c r="D16" s="2812" t="s">
        <v>14</v>
      </c>
      <c r="E16" s="2811" t="s">
        <v>38</v>
      </c>
      <c r="F16" s="2815" t="s">
        <v>386</v>
      </c>
      <c r="G16" s="2810"/>
      <c r="H16" s="2818"/>
    </row>
    <row r="17" spans="1:8" hidden="1">
      <c r="A17" s="2811"/>
      <c r="B17" s="2809"/>
      <c r="C17" s="2808"/>
      <c r="D17" s="2812" t="s">
        <v>2158</v>
      </c>
      <c r="E17" s="2811" t="s">
        <v>38</v>
      </c>
      <c r="F17" s="2815">
        <v>2</v>
      </c>
      <c r="G17" s="2819">
        <f>+'SSR-rates'!K56</f>
        <v>640</v>
      </c>
      <c r="H17" s="2816">
        <f>ROUND(F17*G17,2)</f>
        <v>1280</v>
      </c>
    </row>
    <row r="18" spans="1:8" hidden="1">
      <c r="A18" s="2811"/>
      <c r="B18" s="2809"/>
      <c r="C18" s="2808"/>
      <c r="D18" s="2812" t="s">
        <v>2159</v>
      </c>
      <c r="E18" s="2811" t="s">
        <v>38</v>
      </c>
      <c r="F18" s="2815">
        <v>6.4</v>
      </c>
      <c r="G18" s="2820">
        <f>+'SSR-rates'!K60</f>
        <v>575</v>
      </c>
      <c r="H18" s="2816">
        <f>ROUND(F18*G18,2)</f>
        <v>3680</v>
      </c>
    </row>
    <row r="19" spans="1:8" hidden="1">
      <c r="A19" s="2811"/>
      <c r="B19" s="2809"/>
      <c r="C19" s="2808"/>
      <c r="D19" s="2821" t="str">
        <f>B8</f>
        <v>Muncipal AAllowance/Area Allowance @ 0%</v>
      </c>
      <c r="E19" s="2822">
        <f>F8</f>
        <v>0</v>
      </c>
      <c r="F19" s="2815"/>
      <c r="G19" s="2823"/>
      <c r="H19" s="2816">
        <f>SUM(H16:H18)*E19</f>
        <v>0</v>
      </c>
    </row>
    <row r="20" spans="1:8" hidden="1">
      <c r="A20" s="2811"/>
      <c r="B20" s="2809"/>
      <c r="C20" s="2808"/>
      <c r="D20" s="2824" t="s">
        <v>2160</v>
      </c>
      <c r="E20" s="2825">
        <v>0</v>
      </c>
      <c r="F20" s="2815"/>
      <c r="G20" s="2823"/>
      <c r="H20" s="2816">
        <f>SUM(H17:H19)*E20</f>
        <v>0</v>
      </c>
    </row>
    <row r="21" spans="1:8" hidden="1">
      <c r="A21" s="2811"/>
      <c r="B21" s="2809"/>
      <c r="C21" s="2808"/>
      <c r="D21" s="2814" t="s">
        <v>2161</v>
      </c>
      <c r="E21" s="2811"/>
      <c r="F21" s="2811"/>
      <c r="G21" s="2810"/>
      <c r="H21" s="2818">
        <f>SUM(H13:H20)</f>
        <v>56908</v>
      </c>
    </row>
    <row r="22" spans="1:8" hidden="1">
      <c r="A22" s="2811"/>
      <c r="B22" s="2809"/>
      <c r="C22" s="2808"/>
      <c r="D22" s="2814"/>
      <c r="E22" s="2811"/>
      <c r="F22" s="2811"/>
      <c r="G22" s="2810"/>
      <c r="H22" s="2818"/>
    </row>
    <row r="23" spans="1:8" hidden="1">
      <c r="A23" s="2811"/>
      <c r="B23" s="2809"/>
      <c r="C23" s="2808"/>
      <c r="D23" s="2814"/>
      <c r="E23" s="2811"/>
      <c r="F23" s="2811"/>
      <c r="G23" s="2810"/>
      <c r="H23" s="2818"/>
    </row>
    <row r="24" spans="1:8" ht="81.900000000000006" hidden="1" customHeight="1">
      <c r="A24" s="2826" t="s">
        <v>2162</v>
      </c>
      <c r="B24" s="2827">
        <f>B10+1</f>
        <v>2</v>
      </c>
      <c r="C24" s="2828"/>
      <c r="D24" s="3555" t="s">
        <v>1179</v>
      </c>
      <c r="E24" s="3555"/>
      <c r="F24" s="3555"/>
      <c r="G24" s="3555"/>
      <c r="H24" s="2829"/>
    </row>
    <row r="25" spans="1:8" ht="39.6" hidden="1">
      <c r="A25" s="2804"/>
      <c r="B25" s="2830"/>
      <c r="C25" s="2831"/>
      <c r="D25" s="2829" t="s">
        <v>2163</v>
      </c>
      <c r="E25" s="2804"/>
      <c r="F25" s="2804"/>
      <c r="G25" s="2832"/>
      <c r="H25" s="2833"/>
    </row>
    <row r="26" spans="1:8" hidden="1">
      <c r="A26" s="2804"/>
      <c r="B26" s="2830"/>
      <c r="C26" s="2831"/>
      <c r="D26" s="2829" t="s">
        <v>2164</v>
      </c>
      <c r="E26" s="2804"/>
      <c r="F26" s="2804"/>
      <c r="G26" s="2832"/>
      <c r="H26" s="2828"/>
    </row>
    <row r="27" spans="1:8" hidden="1">
      <c r="A27" s="2804"/>
      <c r="B27" s="2830"/>
      <c r="C27" s="2831"/>
      <c r="D27" s="2834" t="s">
        <v>2165</v>
      </c>
      <c r="E27" s="2826"/>
      <c r="F27" s="2804"/>
      <c r="G27" s="2826"/>
      <c r="H27" s="2828"/>
    </row>
    <row r="28" spans="1:8" hidden="1">
      <c r="A28" s="2804"/>
      <c r="B28" s="2835" t="s">
        <v>582</v>
      </c>
      <c r="C28" s="2831"/>
      <c r="D28" s="2834" t="s">
        <v>2166</v>
      </c>
      <c r="E28" s="2804"/>
      <c r="F28" s="2804"/>
      <c r="G28" s="2826"/>
      <c r="H28" s="2828"/>
    </row>
    <row r="29" spans="1:8" hidden="1">
      <c r="A29" s="2804"/>
      <c r="B29" s="2830"/>
      <c r="C29" s="2831"/>
      <c r="D29" s="2829" t="s">
        <v>10</v>
      </c>
      <c r="E29" s="2804"/>
      <c r="F29" s="2804"/>
      <c r="G29" s="2826"/>
      <c r="H29" s="2828"/>
    </row>
    <row r="30" spans="1:8" hidden="1">
      <c r="A30" s="2804"/>
      <c r="B30" s="2830"/>
      <c r="C30" s="2831"/>
      <c r="D30" s="2829" t="s">
        <v>84</v>
      </c>
      <c r="E30" s="2804"/>
      <c r="F30" s="2804"/>
      <c r="G30" s="2828"/>
      <c r="H30" s="2828"/>
    </row>
    <row r="31" spans="1:8" hidden="1">
      <c r="A31" s="2804"/>
      <c r="B31" s="2830"/>
      <c r="C31" s="2831"/>
      <c r="D31" s="2836" t="s">
        <v>2167</v>
      </c>
      <c r="E31" s="2804"/>
      <c r="F31" s="2804"/>
      <c r="G31" s="2804"/>
      <c r="H31" s="2828"/>
    </row>
    <row r="32" spans="1:8" hidden="1">
      <c r="A32" s="2804"/>
      <c r="B32" s="2830"/>
      <c r="C32" s="2831"/>
      <c r="D32" s="2829" t="s">
        <v>14</v>
      </c>
      <c r="E32" s="2804" t="s">
        <v>38</v>
      </c>
      <c r="F32" s="2837">
        <v>0.64</v>
      </c>
      <c r="G32" s="2816">
        <f>+'SSR-rates'!K58</f>
        <v>575</v>
      </c>
      <c r="H32" s="2838">
        <f>ROUND(F32*G32,2)</f>
        <v>368</v>
      </c>
    </row>
    <row r="33" spans="1:14" hidden="1">
      <c r="A33" s="2804"/>
      <c r="B33" s="2830"/>
      <c r="C33" s="2831"/>
      <c r="D33" s="2829" t="s">
        <v>2159</v>
      </c>
      <c r="E33" s="2804" t="s">
        <v>38</v>
      </c>
      <c r="F33" s="2837">
        <v>3</v>
      </c>
      <c r="G33" s="2816">
        <f>+'SSR-rates'!K60</f>
        <v>575</v>
      </c>
      <c r="H33" s="2838">
        <f>ROUND(F33*G33,2)</f>
        <v>1725</v>
      </c>
    </row>
    <row r="34" spans="1:14" hidden="1">
      <c r="A34" s="2804"/>
      <c r="B34" s="2830"/>
      <c r="C34" s="2831"/>
      <c r="D34" s="2839" t="str">
        <f>$B$8</f>
        <v>Muncipal AAllowance/Area Allowance @ 0%</v>
      </c>
      <c r="E34" s="2840">
        <f>$F$8</f>
        <v>0</v>
      </c>
      <c r="F34" s="2837"/>
      <c r="G34" s="2816"/>
      <c r="H34" s="2816">
        <f>SUM(H32:H33)*E34</f>
        <v>0</v>
      </c>
    </row>
    <row r="35" spans="1:14" hidden="1">
      <c r="A35" s="2804"/>
      <c r="B35" s="2835"/>
      <c r="C35" s="2831"/>
      <c r="D35" s="2841" t="s">
        <v>2168</v>
      </c>
      <c r="E35" s="2803" t="s">
        <v>31</v>
      </c>
      <c r="F35" s="2837">
        <v>10</v>
      </c>
      <c r="G35" s="2842">
        <v>0</v>
      </c>
      <c r="H35" s="2838">
        <f>ROUND(F35*G35,2)</f>
        <v>0</v>
      </c>
    </row>
    <row r="36" spans="1:14" hidden="1">
      <c r="A36" s="2804"/>
      <c r="B36" s="2830"/>
      <c r="C36" s="2831"/>
      <c r="D36" s="2829"/>
      <c r="E36" s="2804"/>
      <c r="F36" s="2837"/>
      <c r="G36" s="2843"/>
      <c r="H36" s="2844">
        <f>SUM(H32:H35)</f>
        <v>2093</v>
      </c>
    </row>
    <row r="37" spans="1:14" hidden="1">
      <c r="A37" s="2804"/>
      <c r="B37" s="2830"/>
      <c r="C37" s="2831"/>
      <c r="D37" s="2836" t="s">
        <v>2169</v>
      </c>
      <c r="E37" s="2804"/>
      <c r="F37" s="2804"/>
      <c r="G37" s="2843"/>
      <c r="H37" s="2844">
        <f>ROUND(H36/10,2)</f>
        <v>209.3</v>
      </c>
    </row>
    <row r="38" spans="1:14" hidden="1">
      <c r="A38" s="2845"/>
      <c r="B38" s="2846"/>
      <c r="C38" s="2847"/>
      <c r="D38" s="2848"/>
      <c r="E38" s="2848"/>
      <c r="F38" s="2848"/>
      <c r="G38" s="2848"/>
      <c r="H38" s="2849"/>
    </row>
    <row r="39" spans="1:14" hidden="1">
      <c r="A39" s="2804"/>
      <c r="B39" s="2850"/>
      <c r="C39" s="2801"/>
      <c r="D39" s="3556" t="s">
        <v>2170</v>
      </c>
      <c r="E39" s="3556"/>
      <c r="F39" s="3556"/>
      <c r="G39" s="3556"/>
      <c r="H39" s="2807"/>
    </row>
    <row r="40" spans="1:14" ht="47.25" hidden="1" customHeight="1">
      <c r="A40" s="2851" t="s">
        <v>2171</v>
      </c>
      <c r="B40" s="2850">
        <f>B24+1</f>
        <v>3</v>
      </c>
      <c r="C40" s="2801"/>
      <c r="D40" s="3555" t="s">
        <v>2808</v>
      </c>
      <c r="E40" s="3555"/>
      <c r="F40" s="3555"/>
      <c r="G40" s="3555"/>
      <c r="H40" s="2818"/>
    </row>
    <row r="41" spans="1:14" ht="52.8" hidden="1">
      <c r="A41" s="2804"/>
      <c r="B41" s="2850"/>
      <c r="C41" s="2801"/>
      <c r="D41" s="2814" t="s">
        <v>2809</v>
      </c>
      <c r="E41" s="2811"/>
      <c r="F41" s="2852"/>
      <c r="G41" s="2810"/>
      <c r="H41" s="2818"/>
    </row>
    <row r="42" spans="1:14" ht="53.25" hidden="1" customHeight="1">
      <c r="A42" s="2804"/>
      <c r="B42" s="2850"/>
      <c r="C42" s="2801"/>
      <c r="D42" s="2814" t="s">
        <v>2810</v>
      </c>
      <c r="E42" s="2811"/>
      <c r="F42" s="2852"/>
      <c r="G42" s="2810"/>
      <c r="H42" s="2818"/>
    </row>
    <row r="43" spans="1:14" hidden="1">
      <c r="A43" s="2804"/>
      <c r="B43" s="2850"/>
      <c r="C43" s="2801"/>
      <c r="D43" s="2814" t="s">
        <v>2172</v>
      </c>
      <c r="E43" s="2811"/>
      <c r="F43" s="2852"/>
      <c r="G43" s="2810"/>
      <c r="H43" s="2818"/>
    </row>
    <row r="44" spans="1:14" hidden="1">
      <c r="A44" s="2804"/>
      <c r="B44" s="2850"/>
      <c r="C44" s="2801"/>
      <c r="D44" s="2812" t="s">
        <v>10</v>
      </c>
      <c r="E44" s="2811"/>
      <c r="F44" s="2852"/>
      <c r="G44" s="2810"/>
      <c r="H44" s="2818"/>
    </row>
    <row r="45" spans="1:14" hidden="1">
      <c r="A45" s="2804"/>
      <c r="B45" s="2850"/>
      <c r="C45" s="2801"/>
      <c r="D45" s="2814" t="s">
        <v>2173</v>
      </c>
      <c r="E45" s="2811"/>
      <c r="F45" s="2852"/>
      <c r="G45" s="2810"/>
      <c r="H45" s="2818"/>
    </row>
    <row r="46" spans="1:14" hidden="1">
      <c r="A46" s="2804"/>
      <c r="B46" s="2850"/>
      <c r="C46" s="2801"/>
      <c r="D46" s="2812" t="s">
        <v>2174</v>
      </c>
      <c r="E46" s="2811"/>
      <c r="F46" s="2852"/>
      <c r="G46" s="2810"/>
      <c r="H46" s="2818"/>
    </row>
    <row r="47" spans="1:14" hidden="1">
      <c r="A47" s="2804"/>
      <c r="B47" s="2850"/>
      <c r="C47" s="2801"/>
      <c r="D47" s="2814" t="s">
        <v>251</v>
      </c>
      <c r="E47" s="2811"/>
      <c r="F47" s="2852"/>
      <c r="G47" s="2810"/>
      <c r="H47" s="2818"/>
    </row>
    <row r="48" spans="1:14" hidden="1">
      <c r="A48" s="2804"/>
      <c r="B48" s="2850"/>
      <c r="C48" s="2801"/>
      <c r="D48" s="2812" t="s">
        <v>1572</v>
      </c>
      <c r="E48" s="2811" t="s">
        <v>1406</v>
      </c>
      <c r="F48" s="2852">
        <v>4.13</v>
      </c>
      <c r="G48" s="2810">
        <f>+lead!J36</f>
        <v>5000</v>
      </c>
      <c r="H48" s="2853">
        <f t="shared" ref="H48:H53" si="0">ROUND(F48*G48,2)</f>
        <v>20650</v>
      </c>
      <c r="J48" s="2776">
        <f>H48</f>
        <v>20650</v>
      </c>
      <c r="K48" s="2777">
        <f>+J48*12.5%</f>
        <v>2581.25</v>
      </c>
      <c r="L48" s="2776">
        <f>+J48+K48</f>
        <v>23231.25</v>
      </c>
      <c r="M48" s="2776" t="e">
        <f>+L48+#REF!</f>
        <v>#REF!</v>
      </c>
      <c r="N48" s="2776" t="e">
        <f>+M48/1.125</f>
        <v>#REF!</v>
      </c>
    </row>
    <row r="49" spans="1:9" ht="26.4" hidden="1">
      <c r="A49" s="2804"/>
      <c r="B49" s="2850"/>
      <c r="C49" s="2801"/>
      <c r="D49" s="2812" t="s">
        <v>1442</v>
      </c>
      <c r="E49" s="2811" t="s">
        <v>31</v>
      </c>
      <c r="F49" s="2852">
        <f>6.75/2</f>
        <v>3.375</v>
      </c>
      <c r="G49" s="2810">
        <f>+lead!$J$31</f>
        <v>1850.9213132068826</v>
      </c>
      <c r="H49" s="2853">
        <f t="shared" si="0"/>
        <v>6246.86</v>
      </c>
    </row>
    <row r="50" spans="1:9" hidden="1">
      <c r="A50" s="2804"/>
      <c r="B50" s="2850"/>
      <c r="C50" s="2801"/>
      <c r="D50" s="2812" t="s">
        <v>1443</v>
      </c>
      <c r="E50" s="2811" t="s">
        <v>31</v>
      </c>
      <c r="F50" s="2852">
        <f>6.75/2</f>
        <v>3.375</v>
      </c>
      <c r="G50" s="2810">
        <f>+lead!$J$33</f>
        <v>1473.2187651278443</v>
      </c>
      <c r="H50" s="2853">
        <f t="shared" ref="H50" si="1">ROUND(F50*G50,2)</f>
        <v>4972.1099999999997</v>
      </c>
    </row>
    <row r="51" spans="1:9" hidden="1">
      <c r="A51" s="2804"/>
      <c r="B51" s="2850"/>
      <c r="C51" s="2801"/>
      <c r="D51" s="2812" t="s">
        <v>2175</v>
      </c>
      <c r="E51" s="2811" t="s">
        <v>31</v>
      </c>
      <c r="F51" s="2852">
        <v>8.1</v>
      </c>
      <c r="G51" s="2810">
        <f>+lead!J14</f>
        <v>1732.2187651278443</v>
      </c>
      <c r="H51" s="2853">
        <f t="shared" si="0"/>
        <v>14030.97</v>
      </c>
    </row>
    <row r="52" spans="1:9" hidden="1">
      <c r="A52" s="2804"/>
      <c r="B52" s="2850"/>
      <c r="C52" s="2801"/>
      <c r="D52" s="2812" t="s">
        <v>2176</v>
      </c>
      <c r="E52" s="2811" t="s">
        <v>31</v>
      </c>
      <c r="F52" s="2852">
        <v>4.05</v>
      </c>
      <c r="G52" s="2810">
        <f>+lead!J16</f>
        <v>2031.2187651278443</v>
      </c>
      <c r="H52" s="2853">
        <f t="shared" si="0"/>
        <v>8226.44</v>
      </c>
    </row>
    <row r="53" spans="1:9" hidden="1">
      <c r="A53" s="2804"/>
      <c r="B53" s="2850"/>
      <c r="C53" s="2801"/>
      <c r="D53" s="2812" t="s">
        <v>2177</v>
      </c>
      <c r="E53" s="2811" t="s">
        <v>31</v>
      </c>
      <c r="F53" s="2852">
        <v>1.35</v>
      </c>
      <c r="G53" s="2810">
        <f>+lead!J18</f>
        <v>1780.2187651278443</v>
      </c>
      <c r="H53" s="2853">
        <f t="shared" si="0"/>
        <v>2403.3000000000002</v>
      </c>
    </row>
    <row r="54" spans="1:9" hidden="1">
      <c r="A54" s="2804"/>
      <c r="B54" s="2850"/>
      <c r="C54" s="2801"/>
      <c r="D54" s="2814" t="s">
        <v>2178</v>
      </c>
      <c r="E54" s="2811"/>
      <c r="F54" s="2852"/>
      <c r="G54" s="2811"/>
      <c r="H54" s="2818"/>
    </row>
    <row r="55" spans="1:9" hidden="1">
      <c r="A55" s="2804"/>
      <c r="B55" s="2850"/>
      <c r="C55" s="2801"/>
      <c r="D55" s="2812" t="s">
        <v>14</v>
      </c>
      <c r="E55" s="2811" t="s">
        <v>38</v>
      </c>
      <c r="F55" s="2852">
        <v>0.86</v>
      </c>
      <c r="G55" s="2810">
        <f>+'SSR-rates'!K58</f>
        <v>575</v>
      </c>
      <c r="H55" s="2853">
        <f>ROUND(F55*G55,2)</f>
        <v>494.5</v>
      </c>
    </row>
    <row r="56" spans="1:9" hidden="1">
      <c r="A56" s="2804"/>
      <c r="B56" s="2850"/>
      <c r="C56" s="2801"/>
      <c r="D56" s="2812" t="s">
        <v>2179</v>
      </c>
      <c r="E56" s="2811" t="s">
        <v>38</v>
      </c>
      <c r="F56" s="2852">
        <v>1.5</v>
      </c>
      <c r="G56" s="2854">
        <f>+'SSR-rates'!K96</f>
        <v>645</v>
      </c>
      <c r="H56" s="2853">
        <f>ROUND(F56*G56,2)</f>
        <v>967.5</v>
      </c>
    </row>
    <row r="57" spans="1:9" hidden="1">
      <c r="A57" s="2804"/>
      <c r="B57" s="2850"/>
      <c r="C57" s="2801"/>
      <c r="D57" s="2812" t="s">
        <v>2159</v>
      </c>
      <c r="E57" s="2811" t="s">
        <v>38</v>
      </c>
      <c r="F57" s="2852">
        <v>20</v>
      </c>
      <c r="G57" s="2823">
        <f>+'SSR-rates'!K60</f>
        <v>575</v>
      </c>
      <c r="H57" s="2853">
        <f>ROUND(F57*G57,2)</f>
        <v>11500</v>
      </c>
    </row>
    <row r="58" spans="1:9" hidden="1">
      <c r="A58" s="2804"/>
      <c r="B58" s="2850"/>
      <c r="C58" s="2801"/>
      <c r="D58" s="2839" t="str">
        <f>$B$8</f>
        <v>Muncipal AAllowance/Area Allowance @ 0%</v>
      </c>
      <c r="E58" s="2840">
        <f>$F$8</f>
        <v>0</v>
      </c>
      <c r="F58" s="2837"/>
      <c r="G58" s="2816"/>
      <c r="H58" s="2816">
        <f>SUM(H55:H57)*E58</f>
        <v>0</v>
      </c>
    </row>
    <row r="59" spans="1:9" hidden="1">
      <c r="A59" s="2804"/>
      <c r="B59" s="2850"/>
      <c r="C59" s="2801"/>
      <c r="D59" s="2814" t="s">
        <v>1656</v>
      </c>
      <c r="E59" s="2811"/>
      <c r="F59" s="2852"/>
      <c r="G59" s="2811"/>
      <c r="H59" s="2818"/>
    </row>
    <row r="60" spans="1:9" hidden="1">
      <c r="A60" s="2804"/>
      <c r="B60" s="2850"/>
      <c r="C60" s="2801"/>
      <c r="D60" s="2812" t="s">
        <v>2180</v>
      </c>
      <c r="E60" s="2811" t="s">
        <v>23</v>
      </c>
      <c r="F60" s="2852">
        <v>6</v>
      </c>
      <c r="G60" s="2810">
        <f>+'SSR-rates'!K88</f>
        <v>697.9</v>
      </c>
      <c r="H60" s="2855">
        <f>ROUND(F60*G60,2)</f>
        <v>4187.3999999999996</v>
      </c>
    </row>
    <row r="61" spans="1:9" ht="26.4" hidden="1">
      <c r="A61" s="2804"/>
      <c r="B61" s="2850"/>
      <c r="C61" s="2801"/>
      <c r="D61" s="2812" t="s">
        <v>2181</v>
      </c>
      <c r="E61" s="2811"/>
      <c r="F61" s="2856">
        <v>0.04</v>
      </c>
      <c r="G61" s="2810"/>
      <c r="H61" s="2855">
        <f>SUM(H48:H60)*F61</f>
        <v>2947.1632</v>
      </c>
    </row>
    <row r="62" spans="1:9" hidden="1">
      <c r="A62" s="2804"/>
      <c r="B62" s="2850"/>
      <c r="C62" s="2801"/>
      <c r="D62" s="2812"/>
      <c r="E62" s="2811"/>
      <c r="F62" s="2856"/>
      <c r="G62" s="2810"/>
      <c r="H62" s="2855">
        <f>SUM(H48:H61)</f>
        <v>76626.243199999997</v>
      </c>
    </row>
    <row r="63" spans="1:9" hidden="1">
      <c r="A63" s="2804"/>
      <c r="B63" s="2850"/>
      <c r="C63" s="2801"/>
      <c r="D63" s="2857" t="s">
        <v>2182</v>
      </c>
      <c r="E63" s="2858">
        <v>0</v>
      </c>
      <c r="F63" s="2859"/>
      <c r="G63" s="2860"/>
      <c r="H63" s="2861">
        <f>H62*E63</f>
        <v>0</v>
      </c>
    </row>
    <row r="64" spans="1:9" s="2779" customFormat="1" hidden="1">
      <c r="A64" s="2804"/>
      <c r="B64" s="2850"/>
      <c r="C64" s="2801"/>
      <c r="D64" s="2862" t="s">
        <v>2183</v>
      </c>
      <c r="E64" s="2863"/>
      <c r="F64" s="2864"/>
      <c r="G64" s="2817"/>
      <c r="H64" s="2855">
        <f>ROUND(SUM(H62:H63)/15,2)</f>
        <v>5108.42</v>
      </c>
      <c r="I64" s="2778" t="s">
        <v>2184</v>
      </c>
    </row>
    <row r="65" spans="1:8" ht="92.25" hidden="1" customHeight="1">
      <c r="A65" s="2826" t="s">
        <v>2171</v>
      </c>
      <c r="B65" s="2850">
        <f>B40+1</f>
        <v>4</v>
      </c>
      <c r="C65" s="2828"/>
      <c r="D65" s="3555" t="s">
        <v>2185</v>
      </c>
      <c r="E65" s="3555"/>
      <c r="F65" s="3555"/>
      <c r="G65" s="3555"/>
      <c r="H65" s="2829"/>
    </row>
    <row r="66" spans="1:8" hidden="1">
      <c r="A66" s="2804"/>
      <c r="B66" s="2850"/>
      <c r="C66" s="2831"/>
      <c r="D66" s="2834" t="s">
        <v>2186</v>
      </c>
      <c r="E66" s="2804"/>
      <c r="F66" s="2804"/>
      <c r="G66" s="2843"/>
      <c r="H66" s="2828"/>
    </row>
    <row r="67" spans="1:8" hidden="1">
      <c r="A67" s="2804"/>
      <c r="B67" s="2850"/>
      <c r="C67" s="2831"/>
      <c r="D67" s="2829" t="s">
        <v>2174</v>
      </c>
      <c r="E67" s="2804"/>
      <c r="F67" s="2804"/>
      <c r="G67" s="2843"/>
      <c r="H67" s="2828"/>
    </row>
    <row r="68" spans="1:8" hidden="1">
      <c r="A68" s="2804"/>
      <c r="B68" s="2850"/>
      <c r="C68" s="2831"/>
      <c r="D68" s="2834" t="s">
        <v>251</v>
      </c>
      <c r="E68" s="2804"/>
      <c r="F68" s="2804"/>
      <c r="G68" s="2843"/>
      <c r="H68" s="2828"/>
    </row>
    <row r="69" spans="1:8" hidden="1">
      <c r="A69" s="2804"/>
      <c r="B69" s="2850"/>
      <c r="C69" s="2831"/>
      <c r="D69" s="2829" t="s">
        <v>1572</v>
      </c>
      <c r="E69" s="2804" t="s">
        <v>1406</v>
      </c>
      <c r="F69" s="2804">
        <v>3.45</v>
      </c>
      <c r="G69" s="2865">
        <f>G48</f>
        <v>5000</v>
      </c>
      <c r="H69" s="2838">
        <f>ROUND(F69*G69,2)</f>
        <v>17250</v>
      </c>
    </row>
    <row r="70" spans="1:8" ht="26.4" hidden="1">
      <c r="A70" s="2804"/>
      <c r="B70" s="2850"/>
      <c r="C70" s="2831"/>
      <c r="D70" s="2812" t="s">
        <v>1442</v>
      </c>
      <c r="E70" s="2811" t="s">
        <v>31</v>
      </c>
      <c r="F70" s="2852">
        <f>6.75/2</f>
        <v>3.375</v>
      </c>
      <c r="G70" s="2865">
        <f>+lead!$J$31</f>
        <v>1850.9213132068826</v>
      </c>
      <c r="H70" s="2838">
        <f>ROUND(F70*G70,2)</f>
        <v>6246.86</v>
      </c>
    </row>
    <row r="71" spans="1:8" hidden="1">
      <c r="A71" s="2804"/>
      <c r="B71" s="2850"/>
      <c r="C71" s="2831"/>
      <c r="D71" s="2812" t="s">
        <v>1443</v>
      </c>
      <c r="E71" s="2811" t="s">
        <v>31</v>
      </c>
      <c r="F71" s="2852">
        <f>6.75/2</f>
        <v>3.375</v>
      </c>
      <c r="G71" s="2865">
        <f>+lead!$J$33</f>
        <v>1473.2187651278443</v>
      </c>
      <c r="H71" s="2838">
        <f>ROUND(F71*G71,2)</f>
        <v>4972.1099999999997</v>
      </c>
    </row>
    <row r="72" spans="1:8" hidden="1">
      <c r="A72" s="2804"/>
      <c r="B72" s="2850"/>
      <c r="C72" s="2831"/>
      <c r="D72" s="2829" t="s">
        <v>2175</v>
      </c>
      <c r="E72" s="2804" t="s">
        <v>31</v>
      </c>
      <c r="F72" s="2866">
        <v>13.5</v>
      </c>
      <c r="G72" s="2865">
        <f>G51</f>
        <v>1732.2187651278443</v>
      </c>
      <c r="H72" s="2828">
        <f>ROUND(F72*G72,2)</f>
        <v>23384.95</v>
      </c>
    </row>
    <row r="73" spans="1:8" hidden="1">
      <c r="A73" s="2804"/>
      <c r="B73" s="2850"/>
      <c r="C73" s="2831"/>
      <c r="D73" s="2829" t="s">
        <v>2187</v>
      </c>
      <c r="E73" s="2804" t="s">
        <v>1456</v>
      </c>
      <c r="F73" s="2866">
        <v>18</v>
      </c>
      <c r="G73" s="2865">
        <v>0</v>
      </c>
      <c r="H73" s="2838">
        <f>ROUND(F73*G73,2)</f>
        <v>0</v>
      </c>
    </row>
    <row r="74" spans="1:8" hidden="1">
      <c r="A74" s="2804"/>
      <c r="B74" s="2850"/>
      <c r="C74" s="2831"/>
      <c r="D74" s="2834" t="s">
        <v>2178</v>
      </c>
      <c r="E74" s="2804"/>
      <c r="F74" s="2804"/>
      <c r="G74" s="2841"/>
      <c r="H74" s="2828"/>
    </row>
    <row r="75" spans="1:8" hidden="1">
      <c r="A75" s="2804"/>
      <c r="B75" s="2850"/>
      <c r="C75" s="2831"/>
      <c r="D75" s="2829" t="s">
        <v>14</v>
      </c>
      <c r="E75" s="2804" t="s">
        <v>38</v>
      </c>
      <c r="F75" s="2804">
        <v>0.64</v>
      </c>
      <c r="G75" s="2867">
        <f>+G55</f>
        <v>575</v>
      </c>
      <c r="H75" s="2838">
        <f t="shared" ref="H75:H77" si="2">ROUND(F75*G75,2)</f>
        <v>368</v>
      </c>
    </row>
    <row r="76" spans="1:8" hidden="1">
      <c r="A76" s="2804"/>
      <c r="B76" s="2850"/>
      <c r="C76" s="2831"/>
      <c r="D76" s="2829" t="s">
        <v>2179</v>
      </c>
      <c r="E76" s="2804" t="s">
        <v>38</v>
      </c>
      <c r="F76" s="2866">
        <v>1</v>
      </c>
      <c r="G76" s="2868">
        <f>+G56</f>
        <v>645</v>
      </c>
      <c r="H76" s="2838">
        <f t="shared" si="2"/>
        <v>645</v>
      </c>
    </row>
    <row r="77" spans="1:8" hidden="1">
      <c r="A77" s="2804"/>
      <c r="B77" s="2850"/>
      <c r="C77" s="2831"/>
      <c r="D77" s="2829" t="s">
        <v>2159</v>
      </c>
      <c r="E77" s="2804" t="s">
        <v>38</v>
      </c>
      <c r="F77" s="2837">
        <v>15</v>
      </c>
      <c r="G77" s="2869">
        <f>+G57</f>
        <v>575</v>
      </c>
      <c r="H77" s="2838">
        <f t="shared" si="2"/>
        <v>8625</v>
      </c>
    </row>
    <row r="78" spans="1:8" hidden="1">
      <c r="A78" s="2804"/>
      <c r="B78" s="2850"/>
      <c r="C78" s="2831"/>
      <c r="D78" s="2839" t="str">
        <f>$B$8</f>
        <v>Muncipal AAllowance/Area Allowance @ 0%</v>
      </c>
      <c r="E78" s="2840">
        <f>$F$8</f>
        <v>0</v>
      </c>
      <c r="F78" s="2837"/>
      <c r="G78" s="2865"/>
      <c r="H78" s="2816">
        <f>SUM(H75:H77)*E78</f>
        <v>0</v>
      </c>
    </row>
    <row r="79" spans="1:8" hidden="1">
      <c r="A79" s="2804"/>
      <c r="B79" s="2850"/>
      <c r="C79" s="2831"/>
      <c r="D79" s="2834" t="s">
        <v>1656</v>
      </c>
      <c r="E79" s="2804"/>
      <c r="F79" s="2837"/>
      <c r="G79" s="2841"/>
      <c r="H79" s="2828"/>
    </row>
    <row r="80" spans="1:8" ht="39.6" hidden="1">
      <c r="A80" s="2804"/>
      <c r="B80" s="2850"/>
      <c r="C80" s="2831"/>
      <c r="D80" s="2829" t="s">
        <v>2188</v>
      </c>
      <c r="E80" s="2804" t="s">
        <v>23</v>
      </c>
      <c r="F80" s="2837">
        <v>6</v>
      </c>
      <c r="G80" s="2865">
        <f>+'SSR-rates'!K88</f>
        <v>697.9</v>
      </c>
      <c r="H80" s="2816">
        <f>ROUND(F80*G80,2)</f>
        <v>4187.3999999999996</v>
      </c>
    </row>
    <row r="81" spans="1:12" hidden="1">
      <c r="A81" s="2804"/>
      <c r="B81" s="2850"/>
      <c r="C81" s="2831"/>
      <c r="D81" s="2829" t="s">
        <v>2189</v>
      </c>
      <c r="E81" s="2804" t="s">
        <v>23</v>
      </c>
      <c r="F81" s="2837">
        <v>0.13</v>
      </c>
      <c r="G81" s="2865">
        <f>+'SSR-rates'!K69</f>
        <v>769</v>
      </c>
      <c r="H81" s="2828">
        <f>ROUND(F81*G81,2)</f>
        <v>99.97</v>
      </c>
    </row>
    <row r="82" spans="1:12" hidden="1">
      <c r="A82" s="2804"/>
      <c r="B82" s="2850"/>
      <c r="C82" s="2831"/>
      <c r="D82" s="2829"/>
      <c r="E82" s="2804"/>
      <c r="F82" s="2837"/>
      <c r="G82" s="2843"/>
      <c r="H82" s="2838">
        <f>SUM(H69:H81)</f>
        <v>65779.289999999994</v>
      </c>
    </row>
    <row r="83" spans="1:12" hidden="1">
      <c r="A83" s="2804"/>
      <c r="B83" s="2850"/>
      <c r="C83" s="2801"/>
      <c r="D83" s="2857" t="s">
        <v>2182</v>
      </c>
      <c r="E83" s="2858">
        <v>0</v>
      </c>
      <c r="F83" s="2859"/>
      <c r="G83" s="2860"/>
      <c r="H83" s="2861">
        <f>H82*E83</f>
        <v>0</v>
      </c>
    </row>
    <row r="84" spans="1:12" hidden="1">
      <c r="A84" s="2804"/>
      <c r="B84" s="2850"/>
      <c r="C84" s="2801"/>
      <c r="D84" s="2834" t="s">
        <v>2183</v>
      </c>
      <c r="E84" s="2863"/>
      <c r="F84" s="2864"/>
      <c r="G84" s="2817"/>
      <c r="H84" s="2855">
        <f>ROUND(SUM(H82:H83)/15,2)</f>
        <v>4385.29</v>
      </c>
      <c r="I84" s="2778" t="s">
        <v>2184</v>
      </c>
      <c r="J84" s="2780"/>
      <c r="K84" s="2780"/>
      <c r="L84" s="2780"/>
    </row>
    <row r="85" spans="1:12" hidden="1">
      <c r="A85" s="2804"/>
      <c r="B85" s="2850"/>
      <c r="C85" s="2831"/>
      <c r="D85" s="2834"/>
      <c r="E85" s="2804"/>
      <c r="F85" s="2804"/>
      <c r="G85" s="2870"/>
      <c r="H85" s="2838"/>
    </row>
    <row r="86" spans="1:12" ht="26.4" hidden="1">
      <c r="A86" s="2826" t="s">
        <v>2190</v>
      </c>
      <c r="B86" s="2827">
        <f>B65+1</f>
        <v>5</v>
      </c>
      <c r="C86" s="2871"/>
      <c r="D86" s="2872" t="s">
        <v>2191</v>
      </c>
      <c r="E86" s="2841"/>
      <c r="F86" s="2841"/>
      <c r="G86" s="2841"/>
      <c r="H86" s="2867"/>
    </row>
    <row r="87" spans="1:12" ht="64.5" hidden="1" customHeight="1">
      <c r="A87" s="2804"/>
      <c r="B87" s="2827"/>
      <c r="C87" s="2835"/>
      <c r="D87" s="3555" t="s">
        <v>2192</v>
      </c>
      <c r="E87" s="3555"/>
      <c r="F87" s="3555"/>
      <c r="G87" s="3555"/>
      <c r="H87" s="2867"/>
    </row>
    <row r="88" spans="1:12" ht="26.4" hidden="1">
      <c r="A88" s="2804"/>
      <c r="B88" s="2850"/>
      <c r="C88" s="2826" t="s">
        <v>2193</v>
      </c>
      <c r="D88" s="2834" t="s">
        <v>2194</v>
      </c>
      <c r="E88" s="2804"/>
      <c r="F88" s="2804"/>
      <c r="G88" s="2804"/>
      <c r="H88" s="2832"/>
    </row>
    <row r="89" spans="1:12" ht="26.4" hidden="1">
      <c r="A89" s="2804"/>
      <c r="B89" s="2850"/>
      <c r="C89" s="2826"/>
      <c r="D89" s="2829" t="s">
        <v>2195</v>
      </c>
      <c r="E89" s="2804"/>
      <c r="F89" s="2804"/>
      <c r="G89" s="2804"/>
      <c r="H89" s="2832"/>
    </row>
    <row r="90" spans="1:12" ht="26.4" hidden="1">
      <c r="A90" s="2804"/>
      <c r="B90" s="2850"/>
      <c r="C90" s="2826"/>
      <c r="D90" s="2834" t="s">
        <v>2196</v>
      </c>
      <c r="E90" s="2804"/>
      <c r="F90" s="2804"/>
      <c r="G90" s="2804"/>
      <c r="H90" s="2832"/>
    </row>
    <row r="91" spans="1:12" hidden="1">
      <c r="A91" s="2804"/>
      <c r="B91" s="2850"/>
      <c r="C91" s="2826"/>
      <c r="D91" s="2829" t="s">
        <v>2197</v>
      </c>
      <c r="E91" s="2804"/>
      <c r="F91" s="2804"/>
      <c r="G91" s="2804"/>
      <c r="H91" s="2832"/>
    </row>
    <row r="92" spans="1:12" hidden="1">
      <c r="A92" s="2804"/>
      <c r="B92" s="2850"/>
      <c r="C92" s="2826"/>
      <c r="D92" s="2836" t="s">
        <v>2167</v>
      </c>
      <c r="E92" s="2804"/>
      <c r="F92" s="2804"/>
      <c r="G92" s="2804"/>
      <c r="H92" s="2832"/>
    </row>
    <row r="93" spans="1:12" hidden="1">
      <c r="A93" s="2804"/>
      <c r="B93" s="2850"/>
      <c r="C93" s="2826"/>
      <c r="D93" s="2829" t="s">
        <v>14</v>
      </c>
      <c r="E93" s="2804" t="s">
        <v>38</v>
      </c>
      <c r="F93" s="2837">
        <v>0.12</v>
      </c>
      <c r="G93" s="2832">
        <f>+G75</f>
        <v>575</v>
      </c>
      <c r="H93" s="2816">
        <f>ROUND(F93*G93,2)</f>
        <v>69</v>
      </c>
    </row>
    <row r="94" spans="1:12" hidden="1">
      <c r="A94" s="2804"/>
      <c r="B94" s="2850"/>
      <c r="C94" s="2826"/>
      <c r="D94" s="2829" t="s">
        <v>2198</v>
      </c>
      <c r="E94" s="2804" t="s">
        <v>38</v>
      </c>
      <c r="F94" s="2837">
        <v>2</v>
      </c>
      <c r="G94" s="2832">
        <f>+'SSR-rates'!K113</f>
        <v>740</v>
      </c>
      <c r="H94" s="2816">
        <f>ROUND(F94*G94,2)</f>
        <v>1480</v>
      </c>
    </row>
    <row r="95" spans="1:12" hidden="1">
      <c r="A95" s="2804"/>
      <c r="B95" s="2850"/>
      <c r="C95" s="2826"/>
      <c r="D95" s="2829" t="s">
        <v>2199</v>
      </c>
      <c r="E95" s="2804" t="s">
        <v>38</v>
      </c>
      <c r="F95" s="2837"/>
      <c r="G95" s="2804"/>
      <c r="H95" s="2873"/>
    </row>
    <row r="96" spans="1:12" hidden="1">
      <c r="A96" s="2804"/>
      <c r="B96" s="2850"/>
      <c r="C96" s="2826"/>
      <c r="D96" s="2829" t="s">
        <v>2159</v>
      </c>
      <c r="E96" s="2804" t="s">
        <v>38</v>
      </c>
      <c r="F96" s="2837">
        <v>1</v>
      </c>
      <c r="G96" s="2832">
        <f>+'SSR-rates'!K60</f>
        <v>575</v>
      </c>
      <c r="H96" s="2816">
        <f>ROUND(F96*G96,2)</f>
        <v>575</v>
      </c>
    </row>
    <row r="97" spans="1:9" hidden="1">
      <c r="A97" s="2804"/>
      <c r="B97" s="2850"/>
      <c r="C97" s="2826"/>
      <c r="D97" s="2839" t="str">
        <f>$B$8</f>
        <v>Muncipal AAllowance/Area Allowance @ 0%</v>
      </c>
      <c r="E97" s="2840">
        <f>$F$8</f>
        <v>0</v>
      </c>
      <c r="F97" s="2837"/>
      <c r="G97" s="2816"/>
      <c r="H97" s="2816">
        <f>SUM(H93:H96)*E97</f>
        <v>0</v>
      </c>
    </row>
    <row r="98" spans="1:9" hidden="1">
      <c r="A98" s="2804"/>
      <c r="B98" s="2850"/>
      <c r="C98" s="2826"/>
      <c r="D98" s="2834" t="s">
        <v>2200</v>
      </c>
      <c r="E98" s="2804"/>
      <c r="F98" s="2837"/>
      <c r="G98" s="2804"/>
      <c r="H98" s="2873"/>
    </row>
    <row r="99" spans="1:9" hidden="1">
      <c r="A99" s="2804"/>
      <c r="B99" s="2850"/>
      <c r="C99" s="2826"/>
      <c r="D99" s="2829" t="s">
        <v>2201</v>
      </c>
      <c r="E99" s="2804" t="s">
        <v>2202</v>
      </c>
      <c r="F99" s="2837">
        <v>0.5</v>
      </c>
      <c r="G99" s="2832">
        <v>240</v>
      </c>
      <c r="H99" s="2816">
        <f>ROUND(F99*G99,2)</f>
        <v>120</v>
      </c>
    </row>
    <row r="100" spans="1:9" s="2781" customFormat="1" ht="21.9" hidden="1" customHeight="1">
      <c r="A100" s="2804"/>
      <c r="B100" s="2850"/>
      <c r="C100" s="2826"/>
      <c r="D100" s="2830" t="s">
        <v>2160</v>
      </c>
      <c r="E100" s="2874">
        <v>0</v>
      </c>
      <c r="F100" s="2875"/>
      <c r="G100" s="2876"/>
      <c r="H100" s="2877">
        <f>SUM(H94:H99)*E100</f>
        <v>0</v>
      </c>
    </row>
    <row r="101" spans="1:9" hidden="1">
      <c r="A101" s="2804"/>
      <c r="B101" s="2850"/>
      <c r="C101" s="2826"/>
      <c r="D101" s="2829" t="s">
        <v>2203</v>
      </c>
      <c r="E101" s="2804"/>
      <c r="F101" s="2804"/>
      <c r="G101" s="2804"/>
      <c r="H101" s="2873">
        <f>SUM(H93:H100)</f>
        <v>2244</v>
      </c>
    </row>
    <row r="102" spans="1:9" ht="14.25" hidden="1" customHeight="1">
      <c r="A102" s="2804">
        <v>3</v>
      </c>
      <c r="B102" s="2850"/>
      <c r="C102" s="2826"/>
      <c r="D102" s="2834" t="s">
        <v>2204</v>
      </c>
      <c r="E102" s="2826"/>
      <c r="F102" s="2804"/>
      <c r="G102" s="2804"/>
      <c r="H102" s="2873">
        <f>H101/1600</f>
        <v>1.4025000000000001</v>
      </c>
      <c r="I102" s="2778" t="s">
        <v>2184</v>
      </c>
    </row>
    <row r="103" spans="1:9" ht="14.25" hidden="1" customHeight="1">
      <c r="A103" s="2804"/>
      <c r="B103" s="2850"/>
      <c r="C103" s="2826"/>
      <c r="D103" s="2834"/>
      <c r="E103" s="2826"/>
      <c r="F103" s="2804"/>
      <c r="G103" s="2804"/>
      <c r="H103" s="2873"/>
    </row>
    <row r="104" spans="1:9" ht="14.25" hidden="1" customHeight="1">
      <c r="A104" s="2804"/>
      <c r="B104" s="2850"/>
      <c r="C104" s="2826"/>
      <c r="D104" s="2834"/>
      <c r="E104" s="2826"/>
      <c r="F104" s="2804"/>
      <c r="G104" s="2804"/>
      <c r="H104" s="2873"/>
    </row>
    <row r="105" spans="1:9" ht="14.25" hidden="1" customHeight="1">
      <c r="A105" s="2804"/>
      <c r="B105" s="2850"/>
      <c r="C105" s="2826"/>
      <c r="D105" s="2834"/>
      <c r="E105" s="2826"/>
      <c r="F105" s="2804"/>
      <c r="G105" s="2804"/>
      <c r="H105" s="2873"/>
    </row>
    <row r="106" spans="1:9" ht="14.25" hidden="1" customHeight="1">
      <c r="A106" s="2804"/>
      <c r="B106" s="2850"/>
      <c r="C106" s="2826"/>
      <c r="D106" s="2834"/>
      <c r="E106" s="2826"/>
      <c r="F106" s="2804"/>
      <c r="G106" s="2804"/>
      <c r="H106" s="2873"/>
    </row>
    <row r="107" spans="1:9" ht="14.25" hidden="1" customHeight="1">
      <c r="A107" s="2804"/>
      <c r="B107" s="2850"/>
      <c r="C107" s="2826"/>
      <c r="D107" s="2834"/>
      <c r="E107" s="2826"/>
      <c r="F107" s="2804"/>
      <c r="G107" s="2804"/>
      <c r="H107" s="2873"/>
    </row>
    <row r="108" spans="1:9" ht="14.25" hidden="1" customHeight="1">
      <c r="A108" s="2804"/>
      <c r="B108" s="2850"/>
      <c r="C108" s="2826"/>
      <c r="D108" s="2834"/>
      <c r="E108" s="2826"/>
      <c r="F108" s="2804"/>
      <c r="G108" s="2804"/>
      <c r="H108" s="2873"/>
    </row>
    <row r="109" spans="1:9" ht="14.25" hidden="1" customHeight="1">
      <c r="A109" s="2804"/>
      <c r="B109" s="2850"/>
      <c r="C109" s="2826"/>
      <c r="D109" s="2834"/>
      <c r="E109" s="2826"/>
      <c r="F109" s="2804"/>
      <c r="G109" s="2804"/>
      <c r="H109" s="2873"/>
    </row>
    <row r="110" spans="1:9" ht="14.25" hidden="1" customHeight="1">
      <c r="A110" s="2804"/>
      <c r="B110" s="2850"/>
      <c r="C110" s="2826"/>
      <c r="D110" s="2834"/>
      <c r="E110" s="2826"/>
      <c r="F110" s="2804"/>
      <c r="G110" s="2804"/>
      <c r="H110" s="2873"/>
    </row>
    <row r="111" spans="1:9" ht="14.25" hidden="1" customHeight="1">
      <c r="A111" s="2804"/>
      <c r="B111" s="2850"/>
      <c r="C111" s="2826"/>
      <c r="D111" s="2834"/>
      <c r="E111" s="2826"/>
      <c r="F111" s="2804"/>
      <c r="G111" s="2804"/>
      <c r="H111" s="2873"/>
    </row>
    <row r="112" spans="1:9" ht="14.25" hidden="1" customHeight="1">
      <c r="A112" s="2804"/>
      <c r="B112" s="2850"/>
      <c r="C112" s="2826"/>
      <c r="D112" s="2834"/>
      <c r="E112" s="2826"/>
      <c r="F112" s="2804"/>
      <c r="G112" s="2804"/>
      <c r="H112" s="2873"/>
    </row>
    <row r="113" spans="1:8" ht="14.25" hidden="1" customHeight="1">
      <c r="A113" s="2804"/>
      <c r="B113" s="2850"/>
      <c r="C113" s="2826"/>
      <c r="D113" s="2834"/>
      <c r="E113" s="2826"/>
      <c r="F113" s="2804"/>
      <c r="G113" s="2804"/>
      <c r="H113" s="2873"/>
    </row>
    <row r="114" spans="1:8" ht="14.25" hidden="1" customHeight="1">
      <c r="A114" s="2804"/>
      <c r="B114" s="2850"/>
      <c r="C114" s="2826"/>
      <c r="D114" s="2834"/>
      <c r="E114" s="2826"/>
      <c r="F114" s="2804"/>
      <c r="G114" s="2804"/>
      <c r="H114" s="2873"/>
    </row>
    <row r="115" spans="1:8" ht="14.25" hidden="1" customHeight="1">
      <c r="A115" s="2804"/>
      <c r="B115" s="2850"/>
      <c r="C115" s="2826"/>
      <c r="D115" s="2834"/>
      <c r="E115" s="2826"/>
      <c r="F115" s="2804"/>
      <c r="G115" s="2804"/>
      <c r="H115" s="2873"/>
    </row>
    <row r="116" spans="1:8" ht="14.25" hidden="1" customHeight="1">
      <c r="A116" s="2804"/>
      <c r="B116" s="2850"/>
      <c r="C116" s="2826"/>
      <c r="D116" s="2834"/>
      <c r="E116" s="2826"/>
      <c r="F116" s="2804"/>
      <c r="G116" s="2804"/>
      <c r="H116" s="2873"/>
    </row>
    <row r="117" spans="1:8" ht="14.25" hidden="1" customHeight="1">
      <c r="A117" s="2804"/>
      <c r="B117" s="2850"/>
      <c r="C117" s="2826"/>
      <c r="D117" s="2834"/>
      <c r="E117" s="2826"/>
      <c r="F117" s="2804"/>
      <c r="G117" s="2804"/>
      <c r="H117" s="2873"/>
    </row>
    <row r="118" spans="1:8" ht="14.25" hidden="1" customHeight="1">
      <c r="A118" s="2804"/>
      <c r="B118" s="2850"/>
      <c r="C118" s="2826"/>
      <c r="D118" s="2834"/>
      <c r="E118" s="2826"/>
      <c r="F118" s="2804"/>
      <c r="G118" s="2804"/>
      <c r="H118" s="2873"/>
    </row>
    <row r="119" spans="1:8" ht="14.25" hidden="1" customHeight="1">
      <c r="A119" s="2845"/>
      <c r="B119" s="2878"/>
      <c r="C119" s="2879"/>
      <c r="D119" s="2880"/>
      <c r="E119" s="2879"/>
      <c r="F119" s="2845"/>
      <c r="G119" s="2845"/>
      <c r="H119" s="2881"/>
    </row>
    <row r="120" spans="1:8" ht="14.25" customHeight="1">
      <c r="A120" s="3557" t="s">
        <v>2205</v>
      </c>
      <c r="B120" s="3557"/>
      <c r="C120" s="3557"/>
      <c r="D120" s="3557"/>
      <c r="E120" s="3557"/>
      <c r="F120" s="3557"/>
      <c r="G120" s="3557"/>
      <c r="H120" s="3557"/>
    </row>
    <row r="121" spans="1:8" s="2792" customFormat="1" ht="13.5" customHeight="1">
      <c r="A121" s="3565" t="s">
        <v>2206</v>
      </c>
      <c r="B121" s="2827">
        <f>B86+1</f>
        <v>6</v>
      </c>
      <c r="C121" s="2871"/>
      <c r="D121" s="2834" t="s">
        <v>2207</v>
      </c>
      <c r="E121" s="2804"/>
      <c r="F121" s="2804"/>
      <c r="G121" s="2804"/>
      <c r="H121" s="2832"/>
    </row>
    <row r="122" spans="1:8" s="2792" customFormat="1" ht="14.25" customHeight="1">
      <c r="A122" s="3565"/>
      <c r="B122" s="2850"/>
      <c r="C122" s="2826" t="s">
        <v>919</v>
      </c>
      <c r="D122" s="2834" t="s">
        <v>2208</v>
      </c>
      <c r="E122" s="2804"/>
      <c r="F122" s="2804"/>
      <c r="G122" s="2804"/>
      <c r="H122" s="2832"/>
    </row>
    <row r="123" spans="1:8" s="2792" customFormat="1" ht="120.9" customHeight="1">
      <c r="A123" s="2804"/>
      <c r="B123" s="2850"/>
      <c r="C123" s="2826"/>
      <c r="D123" s="3555" t="s">
        <v>2209</v>
      </c>
      <c r="E123" s="3555"/>
      <c r="F123" s="3555"/>
      <c r="G123" s="3555"/>
      <c r="H123" s="2832"/>
    </row>
    <row r="124" spans="1:8">
      <c r="A124" s="2804"/>
      <c r="B124" s="2850"/>
      <c r="C124" s="2826"/>
      <c r="D124" s="2882" t="s">
        <v>2210</v>
      </c>
      <c r="E124" s="2804"/>
      <c r="F124" s="2804"/>
      <c r="G124" s="2804"/>
      <c r="H124" s="2832"/>
    </row>
    <row r="125" spans="1:8">
      <c r="A125" s="2804"/>
      <c r="B125" s="2850"/>
      <c r="C125" s="2826"/>
      <c r="D125" s="2882" t="s">
        <v>2211</v>
      </c>
      <c r="E125" s="2804"/>
      <c r="F125" s="2804"/>
      <c r="G125" s="2804"/>
      <c r="H125" s="2832"/>
    </row>
    <row r="126" spans="1:8" ht="16.95" customHeight="1">
      <c r="A126" s="2804"/>
      <c r="B126" s="2850"/>
      <c r="C126" s="2826"/>
      <c r="D126" s="2834" t="s">
        <v>2212</v>
      </c>
      <c r="E126" s="2804"/>
      <c r="F126" s="2804"/>
      <c r="G126" s="2804"/>
      <c r="H126" s="2832"/>
    </row>
    <row r="127" spans="1:8">
      <c r="A127" s="2804"/>
      <c r="B127" s="2850"/>
      <c r="C127" s="2826"/>
      <c r="D127" s="2829" t="s">
        <v>2213</v>
      </c>
      <c r="E127" s="2804" t="s">
        <v>31</v>
      </c>
      <c r="F127" s="2883">
        <v>0.126</v>
      </c>
      <c r="G127" s="2884">
        <f>H37</f>
        <v>209.3</v>
      </c>
      <c r="H127" s="2816">
        <f>ROUND(F127*G127,2)</f>
        <v>26.37</v>
      </c>
    </row>
    <row r="128" spans="1:8" ht="22.5" customHeight="1">
      <c r="A128" s="2804"/>
      <c r="B128" s="2850"/>
      <c r="C128" s="2826"/>
      <c r="D128" s="2834" t="s">
        <v>2214</v>
      </c>
      <c r="E128" s="2804"/>
      <c r="F128" s="2883"/>
      <c r="G128" s="2804"/>
      <c r="H128" s="2832"/>
    </row>
    <row r="129" spans="1:8" ht="24" customHeight="1">
      <c r="A129" s="2804"/>
      <c r="B129" s="2850"/>
      <c r="C129" s="2826"/>
      <c r="D129" s="2829" t="s">
        <v>2215</v>
      </c>
      <c r="E129" s="2804" t="s">
        <v>31</v>
      </c>
      <c r="F129" s="2883">
        <v>0.126</v>
      </c>
      <c r="G129" s="2884">
        <f>H64</f>
        <v>5108.42</v>
      </c>
      <c r="H129" s="2816">
        <f>ROUND(F129*G129,2)</f>
        <v>643.66</v>
      </c>
    </row>
    <row r="130" spans="1:8" ht="42" customHeight="1">
      <c r="A130" s="2804"/>
      <c r="B130" s="2850"/>
      <c r="C130" s="2826"/>
      <c r="D130" s="2834" t="s">
        <v>2216</v>
      </c>
      <c r="E130" s="2826"/>
      <c r="F130" s="2883"/>
      <c r="G130" s="2804"/>
      <c r="H130" s="2832"/>
    </row>
    <row r="131" spans="1:8">
      <c r="A131" s="2804"/>
      <c r="B131" s="2850"/>
      <c r="C131" s="2826"/>
      <c r="D131" s="2829" t="s">
        <v>2217</v>
      </c>
      <c r="E131" s="2866" t="s">
        <v>923</v>
      </c>
      <c r="F131" s="2866">
        <v>0.46</v>
      </c>
      <c r="G131" s="2884">
        <f>H226</f>
        <v>122.36690000000002</v>
      </c>
      <c r="H131" s="2816">
        <f>ROUND(F131*G131,2)</f>
        <v>56.29</v>
      </c>
    </row>
    <row r="132" spans="1:8">
      <c r="A132" s="2804"/>
      <c r="B132" s="2850"/>
      <c r="C132" s="2826"/>
      <c r="D132" s="2834" t="s">
        <v>2218</v>
      </c>
      <c r="E132" s="2804"/>
      <c r="F132" s="2804"/>
      <c r="G132" s="2841"/>
      <c r="H132" s="2867"/>
    </row>
    <row r="133" spans="1:8">
      <c r="A133" s="2804"/>
      <c r="B133" s="2850"/>
      <c r="C133" s="2826"/>
      <c r="D133" s="2882" t="s">
        <v>14</v>
      </c>
      <c r="E133" s="2866" t="s">
        <v>38</v>
      </c>
      <c r="F133" s="2866" t="s">
        <v>386</v>
      </c>
      <c r="G133" s="2804"/>
      <c r="H133" s="2832"/>
    </row>
    <row r="134" spans="1:8">
      <c r="A134" s="2804"/>
      <c r="B134" s="2850"/>
      <c r="C134" s="2826"/>
      <c r="D134" s="2882" t="s">
        <v>2159</v>
      </c>
      <c r="E134" s="2866" t="s">
        <v>38</v>
      </c>
      <c r="F134" s="2866">
        <v>0.26</v>
      </c>
      <c r="G134" s="2885">
        <f>+G96</f>
        <v>575</v>
      </c>
      <c r="H134" s="2816">
        <f>ROUND(F134*G134,2)</f>
        <v>149.5</v>
      </c>
    </row>
    <row r="135" spans="1:8">
      <c r="A135" s="2804"/>
      <c r="B135" s="2850"/>
      <c r="C135" s="2826"/>
      <c r="D135" s="2839" t="str">
        <f>$B$8</f>
        <v>Muncipal AAllowance/Area Allowance @ 0%</v>
      </c>
      <c r="E135" s="2840">
        <f>$F$8</f>
        <v>0</v>
      </c>
      <c r="F135" s="2837"/>
      <c r="G135" s="2816"/>
      <c r="H135" s="2816">
        <f>SUM(H132:H134)*E135</f>
        <v>0</v>
      </c>
    </row>
    <row r="136" spans="1:8">
      <c r="A136" s="2804"/>
      <c r="B136" s="2850"/>
      <c r="C136" s="2826"/>
      <c r="D136" s="2834" t="s">
        <v>2200</v>
      </c>
      <c r="E136" s="2866"/>
      <c r="F136" s="2866"/>
      <c r="G136" s="2804"/>
      <c r="H136" s="2832"/>
    </row>
    <row r="137" spans="1:8">
      <c r="A137" s="2804"/>
      <c r="B137" s="2850"/>
      <c r="C137" s="2826"/>
      <c r="D137" s="2882" t="s">
        <v>2219</v>
      </c>
      <c r="E137" s="2866"/>
      <c r="F137" s="2866"/>
      <c r="G137" s="2804"/>
      <c r="H137" s="2832"/>
    </row>
    <row r="138" spans="1:8" ht="26.4">
      <c r="A138" s="2804"/>
      <c r="B138" s="2850"/>
      <c r="C138" s="2826"/>
      <c r="D138" s="2882" t="s">
        <v>2220</v>
      </c>
      <c r="E138" s="2866" t="s">
        <v>2156</v>
      </c>
      <c r="F138" s="2866">
        <v>12.4</v>
      </c>
      <c r="G138" s="2866">
        <f>lead!$K$38</f>
        <v>61</v>
      </c>
      <c r="H138" s="2816">
        <f>ROUND(F138*G138,2)</f>
        <v>756.4</v>
      </c>
    </row>
    <row r="139" spans="1:8" ht="26.4">
      <c r="A139" s="2804"/>
      <c r="B139" s="2850"/>
      <c r="C139" s="2826"/>
      <c r="D139" s="2882" t="s">
        <v>2221</v>
      </c>
      <c r="E139" s="2866" t="s">
        <v>2156</v>
      </c>
      <c r="F139" s="2866">
        <v>1.06</v>
      </c>
      <c r="G139" s="2866">
        <f>G138</f>
        <v>61</v>
      </c>
      <c r="H139" s="2816">
        <f>ROUND(F139*G139,2)</f>
        <v>64.66</v>
      </c>
    </row>
    <row r="140" spans="1:8" ht="48.9" customHeight="1">
      <c r="A140" s="2804"/>
      <c r="B140" s="2850"/>
      <c r="C140" s="2826"/>
      <c r="D140" s="3571" t="s">
        <v>2222</v>
      </c>
      <c r="E140" s="3571"/>
      <c r="F140" s="2804"/>
      <c r="G140" s="2804"/>
      <c r="H140" s="2832">
        <f>SUM(H138:H139)*3%</f>
        <v>24.631799999999998</v>
      </c>
    </row>
    <row r="141" spans="1:8" ht="46.5" customHeight="1">
      <c r="A141" s="2804"/>
      <c r="B141" s="2850"/>
      <c r="C141" s="2826"/>
      <c r="D141" s="3571" t="s">
        <v>2223</v>
      </c>
      <c r="E141" s="3571"/>
      <c r="F141" s="2804"/>
      <c r="G141" s="2804"/>
      <c r="H141" s="2832"/>
    </row>
    <row r="142" spans="1:8" hidden="1">
      <c r="A142" s="2804"/>
      <c r="B142" s="2850"/>
      <c r="C142" s="2826"/>
      <c r="D142" s="2829" t="s">
        <v>2224</v>
      </c>
      <c r="E142" s="2804" t="s">
        <v>923</v>
      </c>
      <c r="F142" s="2866">
        <v>0.35</v>
      </c>
      <c r="G142" s="2804"/>
      <c r="H142" s="2873"/>
    </row>
    <row r="143" spans="1:8" hidden="1">
      <c r="A143" s="2804"/>
      <c r="B143" s="2850"/>
      <c r="C143" s="2826"/>
      <c r="D143" s="2829" t="s">
        <v>2225</v>
      </c>
      <c r="E143" s="2804"/>
      <c r="F143" s="2866"/>
      <c r="G143" s="2804"/>
      <c r="H143" s="2873"/>
    </row>
    <row r="144" spans="1:8" hidden="1">
      <c r="A144" s="2804"/>
      <c r="B144" s="2850"/>
      <c r="C144" s="2826"/>
      <c r="D144" s="2829" t="s">
        <v>2226</v>
      </c>
      <c r="E144" s="2804" t="s">
        <v>923</v>
      </c>
      <c r="F144" s="2886">
        <v>0.156</v>
      </c>
      <c r="G144" s="2804"/>
      <c r="H144" s="2873"/>
    </row>
    <row r="145" spans="1:11" hidden="1">
      <c r="A145" s="2804"/>
      <c r="B145" s="2850"/>
      <c r="C145" s="2826"/>
      <c r="D145" s="2829" t="s">
        <v>2225</v>
      </c>
      <c r="E145" s="2804"/>
      <c r="F145" s="2866"/>
      <c r="G145" s="2804"/>
      <c r="H145" s="2873"/>
    </row>
    <row r="146" spans="1:11" hidden="1">
      <c r="A146" s="2804"/>
      <c r="B146" s="2850"/>
      <c r="C146" s="2826"/>
      <c r="D146" s="2829" t="s">
        <v>2227</v>
      </c>
      <c r="E146" s="2804" t="s">
        <v>923</v>
      </c>
      <c r="F146" s="2883">
        <v>0.28299999999999997</v>
      </c>
      <c r="G146" s="2804"/>
      <c r="H146" s="2873"/>
    </row>
    <row r="147" spans="1:11" hidden="1">
      <c r="A147" s="2804"/>
      <c r="B147" s="2850"/>
      <c r="C147" s="2826"/>
      <c r="D147" s="2829" t="s">
        <v>2225</v>
      </c>
      <c r="E147" s="2804"/>
      <c r="F147" s="2883"/>
      <c r="G147" s="2804"/>
      <c r="H147" s="2873"/>
    </row>
    <row r="148" spans="1:11" hidden="1">
      <c r="A148" s="2804"/>
      <c r="B148" s="2850"/>
      <c r="C148" s="2826"/>
      <c r="D148" s="2829" t="s">
        <v>2228</v>
      </c>
      <c r="E148" s="2804" t="s">
        <v>923</v>
      </c>
      <c r="F148" s="2866">
        <v>0.48</v>
      </c>
      <c r="G148" s="2804"/>
      <c r="H148" s="2873"/>
    </row>
    <row r="149" spans="1:11" hidden="1">
      <c r="A149" s="2804"/>
      <c r="B149" s="2850"/>
      <c r="C149" s="2826"/>
      <c r="D149" s="2829" t="s">
        <v>2225</v>
      </c>
      <c r="E149" s="2804"/>
      <c r="F149" s="2866"/>
      <c r="G149" s="2804"/>
      <c r="H149" s="2873"/>
    </row>
    <row r="150" spans="1:11" hidden="1">
      <c r="A150" s="2804"/>
      <c r="B150" s="2850"/>
      <c r="C150" s="2826"/>
      <c r="D150" s="2829" t="s">
        <v>2229</v>
      </c>
      <c r="E150" s="2804" t="s">
        <v>923</v>
      </c>
      <c r="F150" s="2866">
        <v>0.27</v>
      </c>
      <c r="G150" s="2804"/>
      <c r="H150" s="2873"/>
    </row>
    <row r="151" spans="1:11" hidden="1">
      <c r="A151" s="2804"/>
      <c r="B151" s="2850"/>
      <c r="C151" s="2826"/>
      <c r="D151" s="2829" t="s">
        <v>2225</v>
      </c>
      <c r="E151" s="2804"/>
      <c r="F151" s="2866"/>
      <c r="G151" s="2804"/>
      <c r="H151" s="2832"/>
    </row>
    <row r="152" spans="1:11">
      <c r="A152" s="2804"/>
      <c r="B152" s="2850"/>
      <c r="C152" s="2826"/>
      <c r="D152" s="2887" t="s">
        <v>2230</v>
      </c>
      <c r="E152" s="2804" t="s">
        <v>191</v>
      </c>
      <c r="F152" s="2866">
        <f>0.36*0.0015*7850</f>
        <v>4.2389999999999999</v>
      </c>
      <c r="G152" s="2866">
        <f>G139</f>
        <v>61</v>
      </c>
      <c r="H152" s="2816">
        <f>ROUND(F152*G152,2)</f>
        <v>258.58</v>
      </c>
    </row>
    <row r="153" spans="1:11">
      <c r="A153" s="2804"/>
      <c r="B153" s="2850"/>
      <c r="C153" s="2826"/>
      <c r="D153" s="2887" t="s">
        <v>2231</v>
      </c>
      <c r="E153" s="2804" t="s">
        <v>923</v>
      </c>
      <c r="F153" s="2888">
        <v>0.36</v>
      </c>
      <c r="G153" s="2804"/>
      <c r="H153" s="2873"/>
      <c r="K153" s="2772">
        <f>0.9*0.9*0.5</f>
        <v>0.40500000000000003</v>
      </c>
    </row>
    <row r="154" spans="1:11" hidden="1">
      <c r="A154" s="2804"/>
      <c r="B154" s="2850"/>
      <c r="C154" s="2826"/>
      <c r="D154" s="2829" t="s">
        <v>2225</v>
      </c>
      <c r="E154" s="2804"/>
      <c r="F154" s="2866"/>
      <c r="G154" s="2804"/>
      <c r="H154" s="2873"/>
    </row>
    <row r="155" spans="1:11" hidden="1">
      <c r="A155" s="2804"/>
      <c r="B155" s="2850"/>
      <c r="C155" s="2826"/>
      <c r="D155" s="2829" t="s">
        <v>2232</v>
      </c>
      <c r="E155" s="2804" t="s">
        <v>923</v>
      </c>
      <c r="F155" s="2886">
        <v>0.67200000000000004</v>
      </c>
      <c r="G155" s="2804"/>
      <c r="H155" s="2873"/>
    </row>
    <row r="156" spans="1:11">
      <c r="A156" s="2804"/>
      <c r="B156" s="2850"/>
      <c r="C156" s="2826"/>
      <c r="D156" s="2834" t="s">
        <v>1656</v>
      </c>
      <c r="E156" s="2804"/>
      <c r="F156" s="2866"/>
      <c r="G156" s="2804"/>
      <c r="H156" s="2832"/>
    </row>
    <row r="157" spans="1:11">
      <c r="A157" s="2804"/>
      <c r="B157" s="2850"/>
      <c r="C157" s="2826"/>
      <c r="D157" s="2829" t="s">
        <v>2233</v>
      </c>
      <c r="E157" s="2804" t="s">
        <v>23</v>
      </c>
      <c r="F157" s="2866">
        <v>0.08</v>
      </c>
      <c r="G157" s="2832">
        <f>+'SSR-rates'!K70</f>
        <v>512</v>
      </c>
      <c r="H157" s="2816">
        <f>ROUND(F157*G157,2)</f>
        <v>40.96</v>
      </c>
    </row>
    <row r="158" spans="1:11" s="2781" customFormat="1" ht="15" customHeight="1">
      <c r="A158" s="2804"/>
      <c r="B158" s="2850"/>
      <c r="C158" s="2826"/>
      <c r="D158" s="2889" t="s">
        <v>2234</v>
      </c>
      <c r="E158" s="2890">
        <f>$F$6</f>
        <v>0.13614999999999999</v>
      </c>
      <c r="F158" s="2891"/>
      <c r="G158" s="2892"/>
      <c r="H158" s="2893">
        <f>SUM(H127:H157)*E158</f>
        <v>275.16620256999994</v>
      </c>
    </row>
    <row r="159" spans="1:11" s="2781" customFormat="1" ht="15" customHeight="1">
      <c r="A159" s="2804"/>
      <c r="B159" s="2850"/>
      <c r="C159" s="2826"/>
      <c r="D159" s="2889" t="s">
        <v>1093</v>
      </c>
      <c r="E159" s="2890">
        <f>$F$7</f>
        <v>0</v>
      </c>
      <c r="F159" s="2891"/>
      <c r="G159" s="2892"/>
      <c r="H159" s="2893">
        <f>SUM(H128:H158)*E159</f>
        <v>0</v>
      </c>
    </row>
    <row r="160" spans="1:11" ht="17.25" customHeight="1">
      <c r="A160" s="2845"/>
      <c r="B160" s="2878"/>
      <c r="C160" s="2879"/>
      <c r="D160" s="2880" t="s">
        <v>2235</v>
      </c>
      <c r="E160" s="2845"/>
      <c r="F160" s="2845"/>
      <c r="G160" s="2845"/>
      <c r="H160" s="2881">
        <f>SUM(H127:H159)</f>
        <v>2296.2180025699995</v>
      </c>
      <c r="I160" s="2778" t="s">
        <v>2184</v>
      </c>
    </row>
    <row r="161" spans="1:8" ht="32.25" customHeight="1">
      <c r="A161" s="2804"/>
      <c r="B161" s="2850"/>
      <c r="C161" s="2826"/>
      <c r="D161" s="3567" t="s">
        <v>2811</v>
      </c>
      <c r="E161" s="3568"/>
      <c r="F161" s="3568"/>
      <c r="G161" s="3568"/>
      <c r="H161" s="3568"/>
    </row>
    <row r="162" spans="1:8" ht="36.75" customHeight="1">
      <c r="A162" s="2804"/>
      <c r="B162" s="2850"/>
      <c r="C162" s="2826"/>
      <c r="D162" s="3567" t="s">
        <v>2236</v>
      </c>
      <c r="E162" s="3568"/>
      <c r="F162" s="3568"/>
      <c r="G162" s="3568"/>
      <c r="H162" s="3568"/>
    </row>
    <row r="163" spans="1:8" ht="45" customHeight="1">
      <c r="A163" s="2804"/>
      <c r="B163" s="2850"/>
      <c r="C163" s="2826"/>
      <c r="D163" s="3567" t="s">
        <v>2237</v>
      </c>
      <c r="E163" s="3568"/>
      <c r="F163" s="3568"/>
      <c r="G163" s="3568"/>
      <c r="H163" s="3568"/>
    </row>
    <row r="164" spans="1:8" ht="32.25" customHeight="1">
      <c r="A164" s="2826" t="s">
        <v>2238</v>
      </c>
      <c r="B164" s="2827">
        <f>B121+1</f>
        <v>7</v>
      </c>
      <c r="C164" s="2871"/>
      <c r="D164" s="3569" t="s">
        <v>2239</v>
      </c>
      <c r="E164" s="3569"/>
      <c r="F164" s="3569"/>
      <c r="G164" s="3569"/>
      <c r="H164" s="3569"/>
    </row>
    <row r="165" spans="1:8" s="2792" customFormat="1" ht="23.1" customHeight="1">
      <c r="A165" s="2804"/>
      <c r="B165" s="2850"/>
      <c r="C165" s="2826" t="s">
        <v>919</v>
      </c>
      <c r="D165" s="2834" t="s">
        <v>2240</v>
      </c>
      <c r="E165" s="2826"/>
      <c r="F165" s="2804"/>
      <c r="G165" s="2804"/>
      <c r="H165" s="2832"/>
    </row>
    <row r="166" spans="1:8" s="2792" customFormat="1" ht="30.75" customHeight="1">
      <c r="A166" s="2804"/>
      <c r="B166" s="2850"/>
      <c r="C166" s="2826"/>
      <c r="D166" s="2894" t="s">
        <v>2241</v>
      </c>
      <c r="E166" s="2840"/>
      <c r="F166" s="2804"/>
      <c r="G166" s="2804"/>
      <c r="H166" s="2832"/>
    </row>
    <row r="167" spans="1:8" s="2792" customFormat="1" ht="146.1" customHeight="1">
      <c r="A167" s="2804"/>
      <c r="B167" s="2850"/>
      <c r="C167" s="2826"/>
      <c r="D167" s="3555" t="s">
        <v>2242</v>
      </c>
      <c r="E167" s="3555"/>
      <c r="F167" s="3555"/>
      <c r="G167" s="3555"/>
      <c r="H167" s="2832"/>
    </row>
    <row r="168" spans="1:8">
      <c r="A168" s="2804"/>
      <c r="B168" s="2850"/>
      <c r="C168" s="2826"/>
      <c r="D168" s="2882" t="s">
        <v>2243</v>
      </c>
      <c r="E168" s="2804"/>
      <c r="F168" s="2804"/>
      <c r="G168" s="2804"/>
      <c r="H168" s="2832"/>
    </row>
    <row r="169" spans="1:8">
      <c r="A169" s="2804"/>
      <c r="B169" s="2850"/>
      <c r="C169" s="2826"/>
      <c r="D169" s="2882" t="s">
        <v>2244</v>
      </c>
      <c r="E169" s="2804"/>
      <c r="F169" s="2804"/>
      <c r="G169" s="2804"/>
      <c r="H169" s="2832"/>
    </row>
    <row r="170" spans="1:8" ht="26.4">
      <c r="A170" s="2804"/>
      <c r="B170" s="2850"/>
      <c r="C170" s="2826"/>
      <c r="D170" s="2834" t="s">
        <v>2212</v>
      </c>
      <c r="E170" s="2804"/>
      <c r="F170" s="2804"/>
      <c r="G170" s="2804"/>
      <c r="H170" s="2832"/>
    </row>
    <row r="171" spans="1:8">
      <c r="A171" s="2804"/>
      <c r="B171" s="2850"/>
      <c r="C171" s="2826"/>
      <c r="D171" s="2829" t="s">
        <v>2213</v>
      </c>
      <c r="E171" s="2804" t="s">
        <v>31</v>
      </c>
      <c r="F171" s="2883">
        <v>0.126</v>
      </c>
      <c r="G171" s="2873">
        <f>H37</f>
        <v>209.3</v>
      </c>
      <c r="H171" s="2816">
        <f>ROUND(F171*G171,2)</f>
        <v>26.37</v>
      </c>
    </row>
    <row r="172" spans="1:8" ht="21.75" customHeight="1">
      <c r="A172" s="2804"/>
      <c r="B172" s="2850"/>
      <c r="C172" s="2826"/>
      <c r="D172" s="2834" t="s">
        <v>2214</v>
      </c>
      <c r="E172" s="2804"/>
      <c r="F172" s="2883"/>
      <c r="G172" s="2804"/>
      <c r="H172" s="2873"/>
    </row>
    <row r="173" spans="1:8" ht="29.25" customHeight="1">
      <c r="A173" s="2804"/>
      <c r="B173" s="2850"/>
      <c r="C173" s="2826"/>
      <c r="D173" s="2829" t="s">
        <v>2215</v>
      </c>
      <c r="E173" s="2804" t="s">
        <v>31</v>
      </c>
      <c r="F173" s="2883">
        <v>0.126</v>
      </c>
      <c r="G173" s="2873">
        <f>H64</f>
        <v>5108.42</v>
      </c>
      <c r="H173" s="2816">
        <f>ROUND(F173*G173,2)</f>
        <v>643.66</v>
      </c>
    </row>
    <row r="174" spans="1:8" ht="48.75" customHeight="1">
      <c r="A174" s="2804"/>
      <c r="B174" s="2850"/>
      <c r="C174" s="2826"/>
      <c r="D174" s="2894" t="s">
        <v>2245</v>
      </c>
      <c r="E174" s="2826"/>
      <c r="F174" s="2866"/>
      <c r="G174" s="2804"/>
      <c r="H174" s="2832"/>
    </row>
    <row r="175" spans="1:8">
      <c r="A175" s="2804"/>
      <c r="B175" s="2850"/>
      <c r="C175" s="2826"/>
      <c r="D175" s="2882" t="s">
        <v>2246</v>
      </c>
      <c r="E175" s="2866" t="s">
        <v>923</v>
      </c>
      <c r="F175" s="2866">
        <v>0.59</v>
      </c>
      <c r="G175" s="2873">
        <f>H226</f>
        <v>122.36690000000002</v>
      </c>
      <c r="H175" s="2816">
        <f>ROUND(F175*G175,2)</f>
        <v>72.2</v>
      </c>
    </row>
    <row r="176" spans="1:8">
      <c r="A176" s="2804"/>
      <c r="B176" s="2850"/>
      <c r="C176" s="2826"/>
      <c r="D176" s="2834" t="s">
        <v>2218</v>
      </c>
      <c r="E176" s="2804"/>
      <c r="F176" s="2866"/>
      <c r="G176" s="2804"/>
      <c r="H176" s="2832"/>
    </row>
    <row r="177" spans="1:11">
      <c r="A177" s="2804"/>
      <c r="B177" s="2850"/>
      <c r="C177" s="2826"/>
      <c r="D177" s="2829" t="s">
        <v>14</v>
      </c>
      <c r="E177" s="2804" t="s">
        <v>38</v>
      </c>
      <c r="F177" s="2866" t="s">
        <v>386</v>
      </c>
      <c r="G177" s="2804"/>
      <c r="H177" s="2832"/>
    </row>
    <row r="178" spans="1:11">
      <c r="A178" s="2804"/>
      <c r="B178" s="2850"/>
      <c r="C178" s="2826"/>
      <c r="D178" s="2882" t="s">
        <v>2159</v>
      </c>
      <c r="E178" s="2804" t="s">
        <v>38</v>
      </c>
      <c r="F178" s="2866">
        <v>0.26</v>
      </c>
      <c r="G178" s="2832">
        <f>+G96</f>
        <v>575</v>
      </c>
      <c r="H178" s="2816">
        <f>ROUND(F178*G178,2)</f>
        <v>149.5</v>
      </c>
    </row>
    <row r="179" spans="1:11">
      <c r="A179" s="2804"/>
      <c r="B179" s="2850"/>
      <c r="C179" s="2826"/>
      <c r="D179" s="2839" t="str">
        <f>$B$8</f>
        <v>Muncipal AAllowance/Area Allowance @ 0%</v>
      </c>
      <c r="E179" s="2840">
        <f>$F$8</f>
        <v>0</v>
      </c>
      <c r="F179" s="2837"/>
      <c r="G179" s="2816"/>
      <c r="H179" s="2816">
        <f>SUM(H176:H178)*E179</f>
        <v>0</v>
      </c>
    </row>
    <row r="180" spans="1:11">
      <c r="A180" s="2804"/>
      <c r="B180" s="2850"/>
      <c r="C180" s="2826"/>
      <c r="D180" s="2834" t="s">
        <v>2200</v>
      </c>
      <c r="E180" s="2804"/>
      <c r="F180" s="2866"/>
      <c r="G180" s="2804"/>
      <c r="H180" s="2832"/>
    </row>
    <row r="181" spans="1:11">
      <c r="A181" s="2804"/>
      <c r="B181" s="2850"/>
      <c r="C181" s="2826"/>
      <c r="D181" s="2882" t="s">
        <v>2247</v>
      </c>
      <c r="E181" s="2804"/>
      <c r="F181" s="2866"/>
      <c r="G181" s="2804"/>
      <c r="H181" s="2832"/>
    </row>
    <row r="182" spans="1:11" ht="26.4">
      <c r="A182" s="2804"/>
      <c r="B182" s="2850"/>
      <c r="C182" s="2826"/>
      <c r="D182" s="2882" t="s">
        <v>2248</v>
      </c>
      <c r="E182" s="2866" t="s">
        <v>2156</v>
      </c>
      <c r="F182" s="2866">
        <v>12.4</v>
      </c>
      <c r="G182" s="2866">
        <f>lead!$K$38</f>
        <v>61</v>
      </c>
      <c r="H182" s="2816">
        <f>ROUND(F182*G182,2)</f>
        <v>756.4</v>
      </c>
    </row>
    <row r="183" spans="1:11" ht="33.75" customHeight="1">
      <c r="A183" s="2845"/>
      <c r="B183" s="2878"/>
      <c r="C183" s="2879"/>
      <c r="D183" s="2895" t="s">
        <v>2249</v>
      </c>
      <c r="E183" s="2896" t="s">
        <v>2156</v>
      </c>
      <c r="F183" s="2896">
        <v>1.06</v>
      </c>
      <c r="G183" s="2896">
        <f>G182</f>
        <v>61</v>
      </c>
      <c r="H183" s="2897">
        <f>ROUND(F183*G183,2)</f>
        <v>64.66</v>
      </c>
    </row>
    <row r="184" spans="1:11" ht="88.5" customHeight="1">
      <c r="A184" s="2804"/>
      <c r="B184" s="2850"/>
      <c r="C184" s="2826"/>
      <c r="D184" s="2882" t="s">
        <v>2250</v>
      </c>
      <c r="E184" s="2866" t="s">
        <v>923</v>
      </c>
      <c r="F184" s="2866">
        <v>0.9</v>
      </c>
      <c r="G184" s="2804"/>
      <c r="H184" s="2873"/>
    </row>
    <row r="185" spans="1:11" ht="20.25" customHeight="1">
      <c r="A185" s="2804"/>
      <c r="B185" s="2850"/>
      <c r="C185" s="2826"/>
      <c r="D185" s="2882" t="s">
        <v>2251</v>
      </c>
      <c r="E185" s="2866" t="s">
        <v>191</v>
      </c>
      <c r="F185" s="2866">
        <f>0.9*0.002*7850</f>
        <v>14.13</v>
      </c>
      <c r="G185" s="2866">
        <f>G183</f>
        <v>61</v>
      </c>
      <c r="H185" s="2816">
        <f>ROUND(F185*G185,2)</f>
        <v>861.93</v>
      </c>
      <c r="K185" s="2772">
        <f>0.9*0.002*7850</f>
        <v>14.13</v>
      </c>
    </row>
    <row r="186" spans="1:11" ht="33.75" customHeight="1">
      <c r="A186" s="2804"/>
      <c r="B186" s="2850"/>
      <c r="C186" s="2826"/>
      <c r="D186" s="2882" t="s">
        <v>2252</v>
      </c>
      <c r="E186" s="2866"/>
      <c r="F186" s="2866"/>
      <c r="G186" s="2804"/>
      <c r="H186" s="2893">
        <f>H185*3%</f>
        <v>25.857899999999997</v>
      </c>
      <c r="K186" s="2772">
        <f>0.9/1</f>
        <v>0.9</v>
      </c>
    </row>
    <row r="187" spans="1:11">
      <c r="A187" s="2804"/>
      <c r="B187" s="2850"/>
      <c r="C187" s="2826"/>
      <c r="D187" s="2834" t="s">
        <v>1656</v>
      </c>
      <c r="E187" s="2866"/>
      <c r="F187" s="2866"/>
      <c r="G187" s="2804"/>
      <c r="H187" s="2832"/>
    </row>
    <row r="188" spans="1:11">
      <c r="A188" s="2804"/>
      <c r="B188" s="2850"/>
      <c r="C188" s="2826"/>
      <c r="D188" s="2829" t="s">
        <v>2233</v>
      </c>
      <c r="E188" s="2804" t="s">
        <v>23</v>
      </c>
      <c r="F188" s="2866">
        <v>0.08</v>
      </c>
      <c r="G188" s="2832">
        <f>+G157</f>
        <v>512</v>
      </c>
      <c r="H188" s="2816">
        <f>ROUND(F188*G188,2)</f>
        <v>40.96</v>
      </c>
    </row>
    <row r="189" spans="1:11" s="2781" customFormat="1" ht="21" customHeight="1">
      <c r="A189" s="2804"/>
      <c r="B189" s="2850"/>
      <c r="C189" s="2826"/>
      <c r="D189" s="2889" t="s">
        <v>2234</v>
      </c>
      <c r="E189" s="2890">
        <f>$F$6</f>
        <v>0.13614999999999999</v>
      </c>
      <c r="F189" s="2891"/>
      <c r="G189" s="2892"/>
      <c r="H189" s="2893">
        <f>SUM(H171:H188)*E189</f>
        <v>359.64538508500004</v>
      </c>
    </row>
    <row r="190" spans="1:11" s="2781" customFormat="1" ht="21" customHeight="1">
      <c r="A190" s="2804"/>
      <c r="B190" s="2850"/>
      <c r="C190" s="2826"/>
      <c r="D190" s="2889" t="s">
        <v>1093</v>
      </c>
      <c r="E190" s="2890">
        <f>$F$7</f>
        <v>0</v>
      </c>
      <c r="F190" s="2891"/>
      <c r="G190" s="2892"/>
      <c r="H190" s="2893">
        <f>SUM(H159:H189)*E190</f>
        <v>0</v>
      </c>
    </row>
    <row r="191" spans="1:11" ht="24.75" customHeight="1">
      <c r="A191" s="2804"/>
      <c r="B191" s="2850"/>
      <c r="C191" s="2826"/>
      <c r="D191" s="2829" t="s">
        <v>2253</v>
      </c>
      <c r="E191" s="2804"/>
      <c r="F191" s="2804"/>
      <c r="G191" s="2804"/>
      <c r="H191" s="2873">
        <f>SUM(H171:H189)</f>
        <v>3001.1832850850005</v>
      </c>
    </row>
    <row r="192" spans="1:11" ht="39" customHeight="1">
      <c r="A192" s="2804"/>
      <c r="B192" s="2850"/>
      <c r="C192" s="2826"/>
      <c r="D192" s="2834" t="s">
        <v>2254</v>
      </c>
      <c r="E192" s="2804"/>
      <c r="F192" s="2804"/>
      <c r="G192" s="2804"/>
      <c r="H192" s="2873">
        <f>H191/1</f>
        <v>3001.1832850850005</v>
      </c>
      <c r="I192" s="2778" t="s">
        <v>2184</v>
      </c>
    </row>
    <row r="193" spans="1:8" ht="35.25" hidden="1" customHeight="1">
      <c r="A193" s="2826" t="s">
        <v>2255</v>
      </c>
      <c r="B193" s="2827">
        <f>B164+1</f>
        <v>8</v>
      </c>
      <c r="C193" s="2871"/>
      <c r="D193" s="3570" t="s">
        <v>2256</v>
      </c>
      <c r="E193" s="3570"/>
      <c r="F193" s="3570"/>
      <c r="G193" s="3570"/>
      <c r="H193" s="2832"/>
    </row>
    <row r="194" spans="1:8" ht="63" hidden="1" customHeight="1">
      <c r="A194" s="2804"/>
      <c r="B194" s="2827"/>
      <c r="C194" s="2835" t="s">
        <v>582</v>
      </c>
      <c r="D194" s="3555" t="s">
        <v>2257</v>
      </c>
      <c r="E194" s="3555"/>
      <c r="F194" s="3555"/>
      <c r="G194" s="3555"/>
      <c r="H194" s="2832"/>
    </row>
    <row r="195" spans="1:8" hidden="1">
      <c r="A195" s="2804"/>
      <c r="B195" s="2850"/>
      <c r="C195" s="2826"/>
      <c r="D195" s="2829" t="s">
        <v>1100</v>
      </c>
      <c r="E195" s="2804"/>
      <c r="F195" s="2804"/>
      <c r="G195" s="2804"/>
      <c r="H195" s="2832"/>
    </row>
    <row r="196" spans="1:8" hidden="1">
      <c r="A196" s="2804"/>
      <c r="B196" s="2850"/>
      <c r="C196" s="2826"/>
      <c r="D196" s="2829" t="s">
        <v>2258</v>
      </c>
      <c r="E196" s="2804"/>
      <c r="F196" s="2804"/>
      <c r="G196" s="2804"/>
      <c r="H196" s="2832"/>
    </row>
    <row r="197" spans="1:8" hidden="1">
      <c r="A197" s="2804"/>
      <c r="B197" s="2850"/>
      <c r="C197" s="2826"/>
      <c r="D197" s="2836" t="s">
        <v>2167</v>
      </c>
      <c r="E197" s="2804"/>
      <c r="F197" s="2804"/>
      <c r="G197" s="2804"/>
      <c r="H197" s="2832"/>
    </row>
    <row r="198" spans="1:8" hidden="1">
      <c r="A198" s="2804"/>
      <c r="B198" s="2850"/>
      <c r="C198" s="2826"/>
      <c r="D198" s="2829" t="s">
        <v>14</v>
      </c>
      <c r="E198" s="2804" t="s">
        <v>38</v>
      </c>
      <c r="F198" s="2837" t="s">
        <v>386</v>
      </c>
      <c r="G198" s="2832"/>
      <c r="H198" s="2873"/>
    </row>
    <row r="199" spans="1:8" hidden="1">
      <c r="A199" s="2804"/>
      <c r="B199" s="2850"/>
      <c r="C199" s="2826"/>
      <c r="D199" s="2829" t="s">
        <v>2259</v>
      </c>
      <c r="E199" s="2804" t="s">
        <v>38</v>
      </c>
      <c r="F199" s="2837">
        <v>3</v>
      </c>
      <c r="G199" s="2832">
        <f>+G94</f>
        <v>740</v>
      </c>
      <c r="H199" s="2816">
        <f>ROUND(F199*G199,2)</f>
        <v>2220</v>
      </c>
    </row>
    <row r="200" spans="1:8" hidden="1">
      <c r="A200" s="2804"/>
      <c r="B200" s="2850"/>
      <c r="C200" s="2826"/>
      <c r="D200" s="2829" t="s">
        <v>2199</v>
      </c>
      <c r="E200" s="2804" t="s">
        <v>38</v>
      </c>
      <c r="F200" s="2837"/>
      <c r="G200" s="2804"/>
      <c r="H200" s="2873"/>
    </row>
    <row r="201" spans="1:8" hidden="1">
      <c r="A201" s="2804"/>
      <c r="B201" s="2850"/>
      <c r="C201" s="2826"/>
      <c r="D201" s="2829" t="s">
        <v>2159</v>
      </c>
      <c r="E201" s="2804" t="s">
        <v>38</v>
      </c>
      <c r="F201" s="2837">
        <v>2.2000000000000002</v>
      </c>
      <c r="G201" s="2832">
        <f>+G178</f>
        <v>575</v>
      </c>
      <c r="H201" s="2816">
        <f>ROUND(F201*G201,2)</f>
        <v>1265</v>
      </c>
    </row>
    <row r="202" spans="1:8" hidden="1">
      <c r="A202" s="2804"/>
      <c r="B202" s="2850"/>
      <c r="C202" s="2826"/>
      <c r="D202" s="2839" t="str">
        <f>$B$8</f>
        <v>Muncipal AAllowance/Area Allowance @ 0%</v>
      </c>
      <c r="E202" s="2840">
        <f>$F$8</f>
        <v>0</v>
      </c>
      <c r="F202" s="2837"/>
      <c r="G202" s="2816"/>
      <c r="H202" s="2816">
        <f>SUM(H199:H201)*E202</f>
        <v>0</v>
      </c>
    </row>
    <row r="203" spans="1:8" hidden="1">
      <c r="A203" s="2804"/>
      <c r="B203" s="2850"/>
      <c r="C203" s="2826"/>
      <c r="D203" s="2834" t="s">
        <v>2200</v>
      </c>
      <c r="E203" s="2804"/>
      <c r="F203" s="2837"/>
      <c r="G203" s="2804"/>
      <c r="H203" s="2832"/>
    </row>
    <row r="204" spans="1:8" hidden="1">
      <c r="A204" s="2804"/>
      <c r="B204" s="2850"/>
      <c r="C204" s="2826"/>
      <c r="D204" s="2829" t="s">
        <v>2260</v>
      </c>
      <c r="E204" s="2804" t="s">
        <v>2202</v>
      </c>
      <c r="F204" s="2837">
        <v>3</v>
      </c>
      <c r="G204" s="2832">
        <v>172</v>
      </c>
      <c r="H204" s="2816">
        <f>ROUND(F204*G204,2)</f>
        <v>516</v>
      </c>
    </row>
    <row r="205" spans="1:8" ht="27.75" hidden="1" customHeight="1">
      <c r="A205" s="2804"/>
      <c r="B205" s="2850"/>
      <c r="C205" s="2826"/>
      <c r="D205" s="2829" t="s">
        <v>2261</v>
      </c>
      <c r="E205" s="2804" t="s">
        <v>2202</v>
      </c>
      <c r="F205" s="2837">
        <v>6</v>
      </c>
      <c r="G205" s="2832">
        <v>240</v>
      </c>
      <c r="H205" s="2816">
        <f>ROUND(F205*G205,2)</f>
        <v>1440</v>
      </c>
    </row>
    <row r="206" spans="1:8" ht="15.75" hidden="1" customHeight="1">
      <c r="A206" s="2804"/>
      <c r="B206" s="2850"/>
      <c r="C206" s="2826"/>
      <c r="D206" s="2829" t="s">
        <v>2262</v>
      </c>
      <c r="E206" s="2804"/>
      <c r="F206" s="2841"/>
      <c r="G206" s="2841"/>
      <c r="H206" s="2867"/>
    </row>
    <row r="207" spans="1:8" ht="12.75" hidden="1" customHeight="1">
      <c r="A207" s="2804"/>
      <c r="B207" s="2850"/>
      <c r="C207" s="2826"/>
      <c r="D207" s="2829" t="s">
        <v>2263</v>
      </c>
      <c r="E207" s="2804"/>
      <c r="F207" s="2898"/>
      <c r="G207" s="2804"/>
      <c r="H207" s="2832"/>
    </row>
    <row r="208" spans="1:8" s="2781" customFormat="1" ht="13.5" hidden="1" customHeight="1">
      <c r="A208" s="2804"/>
      <c r="B208" s="2850"/>
      <c r="C208" s="2826"/>
      <c r="D208" s="2830" t="s">
        <v>2160</v>
      </c>
      <c r="E208" s="2803"/>
      <c r="F208" s="2875"/>
      <c r="G208" s="2876"/>
      <c r="H208" s="2877"/>
    </row>
    <row r="209" spans="1:9" hidden="1">
      <c r="A209" s="2804"/>
      <c r="B209" s="2850"/>
      <c r="C209" s="2826"/>
      <c r="D209" s="2829" t="s">
        <v>2264</v>
      </c>
      <c r="E209" s="2804"/>
      <c r="F209" s="2898"/>
      <c r="G209" s="2828"/>
      <c r="H209" s="2832">
        <f>SUM(H198:H208)</f>
        <v>5441</v>
      </c>
    </row>
    <row r="210" spans="1:9" ht="12.75" hidden="1" customHeight="1">
      <c r="A210" s="2804"/>
      <c r="B210" s="2850"/>
      <c r="C210" s="2826"/>
      <c r="D210" s="2834" t="s">
        <v>2265</v>
      </c>
      <c r="E210" s="2804"/>
      <c r="F210" s="2804"/>
      <c r="G210" s="2828"/>
      <c r="H210" s="2899">
        <f>H209/40</f>
        <v>136.02500000000001</v>
      </c>
      <c r="I210" s="2778" t="s">
        <v>2184</v>
      </c>
    </row>
    <row r="211" spans="1:9" ht="30" hidden="1" customHeight="1">
      <c r="A211" s="3566" t="s">
        <v>2266</v>
      </c>
      <c r="B211" s="2827">
        <f>B193+1</f>
        <v>9</v>
      </c>
      <c r="C211" s="2871"/>
      <c r="D211" s="2834" t="s">
        <v>2267</v>
      </c>
      <c r="E211" s="2804"/>
      <c r="F211" s="2804"/>
      <c r="G211" s="2804"/>
      <c r="H211" s="2832"/>
    </row>
    <row r="212" spans="1:9" ht="61.5" hidden="1" customHeight="1">
      <c r="A212" s="3566"/>
      <c r="B212" s="2827"/>
      <c r="C212" s="2835"/>
      <c r="D212" s="3562" t="s">
        <v>2268</v>
      </c>
      <c r="E212" s="3562"/>
      <c r="F212" s="3562"/>
      <c r="G212" s="3562"/>
      <c r="H212" s="2832"/>
    </row>
    <row r="213" spans="1:9" hidden="1">
      <c r="A213" s="2845"/>
      <c r="B213" s="2878"/>
      <c r="C213" s="2879"/>
      <c r="D213" s="2900" t="s">
        <v>1100</v>
      </c>
      <c r="E213" s="2845"/>
      <c r="F213" s="2845"/>
      <c r="G213" s="2845"/>
      <c r="H213" s="2901"/>
    </row>
    <row r="214" spans="1:9" hidden="1">
      <c r="A214" s="2804"/>
      <c r="B214" s="2850"/>
      <c r="C214" s="2826"/>
      <c r="D214" s="2829" t="s">
        <v>2269</v>
      </c>
      <c r="E214" s="2804"/>
      <c r="F214" s="2804"/>
      <c r="G214" s="2804"/>
      <c r="H214" s="2832"/>
    </row>
    <row r="215" spans="1:9" hidden="1">
      <c r="A215" s="2804"/>
      <c r="B215" s="2850"/>
      <c r="C215" s="2826"/>
      <c r="D215" s="2836" t="s">
        <v>2167</v>
      </c>
      <c r="E215" s="2804"/>
      <c r="F215" s="2804"/>
      <c r="G215" s="2804"/>
      <c r="H215" s="2832"/>
    </row>
    <row r="216" spans="1:9" hidden="1">
      <c r="A216" s="2804"/>
      <c r="B216" s="2850"/>
      <c r="C216" s="2826"/>
      <c r="D216" s="2829" t="s">
        <v>14</v>
      </c>
      <c r="E216" s="2804" t="s">
        <v>38</v>
      </c>
      <c r="F216" s="2837" t="s">
        <v>386</v>
      </c>
      <c r="G216" s="2832"/>
      <c r="H216" s="2873"/>
    </row>
    <row r="217" spans="1:9" hidden="1">
      <c r="A217" s="2804"/>
      <c r="B217" s="2850"/>
      <c r="C217" s="2826"/>
      <c r="D217" s="2829" t="s">
        <v>2259</v>
      </c>
      <c r="E217" s="2804" t="s">
        <v>38</v>
      </c>
      <c r="F217" s="2837">
        <v>0.6</v>
      </c>
      <c r="G217" s="2832">
        <f>+G199</f>
        <v>740</v>
      </c>
      <c r="H217" s="2816">
        <f>ROUND(F217*G217,2)</f>
        <v>444</v>
      </c>
    </row>
    <row r="218" spans="1:9" hidden="1">
      <c r="A218" s="2804"/>
      <c r="B218" s="2850"/>
      <c r="C218" s="2826"/>
      <c r="D218" s="2829" t="s">
        <v>2159</v>
      </c>
      <c r="E218" s="2804" t="s">
        <v>38</v>
      </c>
      <c r="F218" s="2837">
        <v>0.65</v>
      </c>
      <c r="G218" s="2832">
        <f>+G201</f>
        <v>575</v>
      </c>
      <c r="H218" s="2816">
        <f>ROUND(F218*G218,2)</f>
        <v>373.75</v>
      </c>
    </row>
    <row r="219" spans="1:9" hidden="1">
      <c r="A219" s="2804"/>
      <c r="B219" s="2850"/>
      <c r="C219" s="2826"/>
      <c r="D219" s="2839" t="str">
        <f>$B$8</f>
        <v>Muncipal AAllowance/Area Allowance @ 0%</v>
      </c>
      <c r="E219" s="2840">
        <f>$F$8</f>
        <v>0</v>
      </c>
      <c r="F219" s="2837"/>
      <c r="G219" s="2816"/>
      <c r="H219" s="2816">
        <f>SUM(H216:H218)*E219</f>
        <v>0</v>
      </c>
    </row>
    <row r="220" spans="1:9" hidden="1">
      <c r="A220" s="2804"/>
      <c r="B220" s="2850"/>
      <c r="C220" s="2826"/>
      <c r="D220" s="2834" t="s">
        <v>2200</v>
      </c>
      <c r="E220" s="2804"/>
      <c r="F220" s="2837"/>
      <c r="G220" s="2804"/>
      <c r="H220" s="2832"/>
    </row>
    <row r="221" spans="1:9" hidden="1">
      <c r="A221" s="2804"/>
      <c r="B221" s="2850"/>
      <c r="C221" s="2826"/>
      <c r="D221" s="2829" t="s">
        <v>2270</v>
      </c>
      <c r="E221" s="2804" t="s">
        <v>2202</v>
      </c>
      <c r="F221" s="2837">
        <v>0.6</v>
      </c>
      <c r="G221" s="2832">
        <f>'SSR-rates'!$K$120</f>
        <v>149</v>
      </c>
      <c r="H221" s="2816">
        <f>ROUND(F221*G221,2)</f>
        <v>89.4</v>
      </c>
    </row>
    <row r="222" spans="1:9" hidden="1">
      <c r="A222" s="2804"/>
      <c r="B222" s="2850"/>
      <c r="C222" s="2826"/>
      <c r="D222" s="2829" t="s">
        <v>2271</v>
      </c>
      <c r="E222" s="2804" t="s">
        <v>2202</v>
      </c>
      <c r="F222" s="2837">
        <v>1.25</v>
      </c>
      <c r="G222" s="2832">
        <f>'SSR-rates'!$K$121</f>
        <v>250</v>
      </c>
      <c r="H222" s="2816">
        <f>ROUND(F222*G222,2)</f>
        <v>312.5</v>
      </c>
    </row>
    <row r="223" spans="1:9" ht="31.5" hidden="1" customHeight="1">
      <c r="A223" s="2804"/>
      <c r="B223" s="2850"/>
      <c r="C223" s="2826"/>
      <c r="D223" s="2829" t="s">
        <v>2272</v>
      </c>
      <c r="E223" s="2804"/>
      <c r="F223" s="2804"/>
      <c r="G223" s="2804"/>
      <c r="H223" s="2892">
        <f>SUM(H221:H222)*1%</f>
        <v>4.0190000000000001</v>
      </c>
    </row>
    <row r="224" spans="1:9" s="2781" customFormat="1" ht="13.5" hidden="1" customHeight="1">
      <c r="A224" s="2804"/>
      <c r="B224" s="2850"/>
      <c r="C224" s="2826"/>
      <c r="D224" s="2830" t="s">
        <v>2160</v>
      </c>
      <c r="E224" s="2803"/>
      <c r="F224" s="2875"/>
      <c r="G224" s="2876"/>
      <c r="H224" s="2877"/>
    </row>
    <row r="225" spans="1:9" hidden="1">
      <c r="A225" s="2804"/>
      <c r="B225" s="2850"/>
      <c r="C225" s="2826"/>
      <c r="D225" s="2829" t="s">
        <v>2273</v>
      </c>
      <c r="E225" s="2804"/>
      <c r="F225" s="2804"/>
      <c r="G225" s="2804"/>
      <c r="H225" s="2873">
        <f>SUM(H217:H224)</f>
        <v>1223.6690000000001</v>
      </c>
    </row>
    <row r="226" spans="1:9" ht="14.25" hidden="1" customHeight="1">
      <c r="A226" s="2902"/>
      <c r="B226" s="2850"/>
      <c r="C226" s="2826"/>
      <c r="D226" s="2834" t="s">
        <v>2274</v>
      </c>
      <c r="E226" s="2804"/>
      <c r="F226" s="2804"/>
      <c r="G226" s="2804"/>
      <c r="H226" s="2873">
        <f>H225/10</f>
        <v>122.36690000000002</v>
      </c>
      <c r="I226" s="2778" t="s">
        <v>2184</v>
      </c>
    </row>
    <row r="227" spans="1:9" ht="14.25" hidden="1" customHeight="1">
      <c r="A227" s="2902"/>
      <c r="B227" s="2850"/>
      <c r="C227" s="2826"/>
      <c r="D227" s="2834"/>
      <c r="E227" s="2804"/>
      <c r="F227" s="2804"/>
      <c r="G227" s="2804"/>
      <c r="H227" s="2873"/>
      <c r="I227" s="2778"/>
    </row>
    <row r="228" spans="1:9" ht="14.25" hidden="1" customHeight="1">
      <c r="A228" s="2902"/>
      <c r="B228" s="2850"/>
      <c r="C228" s="2826"/>
      <c r="D228" s="2834"/>
      <c r="E228" s="2804"/>
      <c r="F228" s="2804"/>
      <c r="G228" s="2804"/>
      <c r="H228" s="2873"/>
      <c r="I228" s="2778"/>
    </row>
    <row r="229" spans="1:9" ht="14.25" hidden="1" customHeight="1">
      <c r="A229" s="2902"/>
      <c r="B229" s="2850"/>
      <c r="C229" s="2826"/>
      <c r="D229" s="2834"/>
      <c r="E229" s="2804"/>
      <c r="F229" s="2804"/>
      <c r="G229" s="2804"/>
      <c r="H229" s="2873"/>
      <c r="I229" s="2778"/>
    </row>
    <row r="230" spans="1:9" ht="20.25" customHeight="1">
      <c r="A230" s="3566" t="s">
        <v>2275</v>
      </c>
      <c r="B230" s="2827">
        <f>B211+1</f>
        <v>10</v>
      </c>
      <c r="C230" s="2871"/>
      <c r="D230" s="2834" t="s">
        <v>2276</v>
      </c>
      <c r="E230" s="2804"/>
      <c r="F230" s="2804"/>
      <c r="G230" s="2804"/>
      <c r="H230" s="2832"/>
    </row>
    <row r="231" spans="1:9" ht="60" customHeight="1">
      <c r="A231" s="3566"/>
      <c r="B231" s="2827"/>
      <c r="C231" s="2835"/>
      <c r="D231" s="3555" t="s">
        <v>2277</v>
      </c>
      <c r="E231" s="3555"/>
      <c r="F231" s="3555"/>
      <c r="G231" s="3555"/>
      <c r="H231" s="2832"/>
    </row>
    <row r="232" spans="1:9">
      <c r="A232" s="2804"/>
      <c r="B232" s="2850"/>
      <c r="C232" s="2826" t="s">
        <v>2278</v>
      </c>
      <c r="D232" s="2834" t="s">
        <v>2279</v>
      </c>
      <c r="E232" s="2804"/>
      <c r="F232" s="2804"/>
      <c r="G232" s="2804"/>
      <c r="H232" s="2832"/>
    </row>
    <row r="233" spans="1:9">
      <c r="A233" s="2804"/>
      <c r="B233" s="2850"/>
      <c r="C233" s="2826"/>
      <c r="D233" s="2829" t="s">
        <v>2243</v>
      </c>
      <c r="E233" s="2804"/>
      <c r="F233" s="2804"/>
      <c r="G233" s="2804"/>
      <c r="H233" s="2832"/>
    </row>
    <row r="234" spans="1:9">
      <c r="A234" s="2804"/>
      <c r="B234" s="2850"/>
      <c r="C234" s="2826"/>
      <c r="D234" s="2829" t="s">
        <v>2280</v>
      </c>
      <c r="E234" s="2804"/>
      <c r="F234" s="2804"/>
      <c r="G234" s="2804"/>
      <c r="H234" s="2832"/>
    </row>
    <row r="235" spans="1:9">
      <c r="A235" s="2804"/>
      <c r="B235" s="2850"/>
      <c r="C235" s="2826"/>
      <c r="D235" s="2829" t="s">
        <v>2281</v>
      </c>
      <c r="E235" s="2804"/>
      <c r="F235" s="2804"/>
      <c r="G235" s="2804"/>
      <c r="H235" s="2832"/>
    </row>
    <row r="236" spans="1:9">
      <c r="A236" s="2804"/>
      <c r="B236" s="2850"/>
      <c r="C236" s="2826"/>
      <c r="D236" s="2829" t="s">
        <v>2282</v>
      </c>
      <c r="E236" s="2804" t="s">
        <v>31</v>
      </c>
      <c r="F236" s="2837">
        <v>2.35</v>
      </c>
      <c r="G236" s="2873">
        <f>H64</f>
        <v>5108.42</v>
      </c>
      <c r="H236" s="2816">
        <f>ROUND(F236*G236,2)</f>
        <v>12004.79</v>
      </c>
    </row>
    <row r="237" spans="1:9">
      <c r="A237" s="2804"/>
      <c r="B237" s="2850"/>
      <c r="C237" s="2826"/>
      <c r="D237" s="2829" t="s">
        <v>2283</v>
      </c>
      <c r="E237" s="2804"/>
      <c r="F237" s="2804"/>
      <c r="G237" s="2804"/>
      <c r="H237" s="2832"/>
    </row>
    <row r="238" spans="1:9" ht="21" customHeight="1">
      <c r="A238" s="2804"/>
      <c r="B238" s="2850"/>
      <c r="C238" s="2826"/>
      <c r="D238" s="2829" t="s">
        <v>2284</v>
      </c>
      <c r="E238" s="2804" t="s">
        <v>2156</v>
      </c>
      <c r="F238" s="2837">
        <v>22.08</v>
      </c>
      <c r="G238" s="2873">
        <f>H21/1000</f>
        <v>56.908000000000001</v>
      </c>
      <c r="H238" s="2816">
        <f>ROUND(F238*G238,2)</f>
        <v>1256.53</v>
      </c>
    </row>
    <row r="239" spans="1:9" ht="20.25" customHeight="1">
      <c r="A239" s="2804"/>
      <c r="B239" s="2850"/>
      <c r="C239" s="2826"/>
      <c r="D239" s="2829" t="s">
        <v>2285</v>
      </c>
      <c r="E239" s="2804"/>
      <c r="F239" s="2804"/>
      <c r="G239" s="2804"/>
      <c r="H239" s="2832"/>
    </row>
    <row r="240" spans="1:9" ht="19.5" customHeight="1">
      <c r="A240" s="2804"/>
      <c r="B240" s="2850"/>
      <c r="C240" s="2826"/>
      <c r="D240" s="2829" t="s">
        <v>2213</v>
      </c>
      <c r="E240" s="2804" t="s">
        <v>31</v>
      </c>
      <c r="F240" s="2837">
        <v>1.68</v>
      </c>
      <c r="G240" s="2873">
        <f>H37</f>
        <v>209.3</v>
      </c>
      <c r="H240" s="2816">
        <f>ROUND(F240*G240,2)</f>
        <v>351.62</v>
      </c>
    </row>
    <row r="241" spans="1:9">
      <c r="A241" s="2804"/>
      <c r="B241" s="2850"/>
      <c r="C241" s="2826"/>
      <c r="D241" s="2829" t="s">
        <v>2286</v>
      </c>
      <c r="E241" s="2804"/>
      <c r="F241" s="2804"/>
      <c r="G241" s="2804"/>
      <c r="H241" s="2832"/>
    </row>
    <row r="242" spans="1:9" ht="23.25" customHeight="1">
      <c r="A242" s="2804"/>
      <c r="B242" s="2850"/>
      <c r="C242" s="2826"/>
      <c r="D242" s="2829" t="s">
        <v>2287</v>
      </c>
      <c r="E242" s="2804" t="s">
        <v>923</v>
      </c>
      <c r="F242" s="2837">
        <v>9.85</v>
      </c>
      <c r="G242" s="2873">
        <f>H210</f>
        <v>136.02500000000001</v>
      </c>
      <c r="H242" s="2816">
        <f>ROUND(F242*G242,2)</f>
        <v>1339.85</v>
      </c>
    </row>
    <row r="243" spans="1:9" ht="31.5" customHeight="1">
      <c r="A243" s="2804"/>
      <c r="B243" s="2850"/>
      <c r="C243" s="2826"/>
      <c r="D243" s="2829" t="s">
        <v>2288</v>
      </c>
      <c r="E243" s="2804"/>
      <c r="F243" s="2804"/>
      <c r="G243" s="2804"/>
      <c r="H243" s="2832"/>
    </row>
    <row r="244" spans="1:9" ht="39.6">
      <c r="A244" s="2804"/>
      <c r="B244" s="2850"/>
      <c r="C244" s="2826"/>
      <c r="D244" s="2829" t="s">
        <v>2289</v>
      </c>
      <c r="E244" s="2804" t="s">
        <v>2290</v>
      </c>
      <c r="F244" s="2832">
        <v>1800</v>
      </c>
      <c r="G244" s="2873">
        <f>H102</f>
        <v>1.4025000000000001</v>
      </c>
      <c r="H244" s="2816">
        <f>ROUND(F244*G244,2)</f>
        <v>2524.5</v>
      </c>
    </row>
    <row r="245" spans="1:9">
      <c r="A245" s="2804"/>
      <c r="B245" s="2850"/>
      <c r="C245" s="2826"/>
      <c r="D245" s="2834" t="s">
        <v>2291</v>
      </c>
      <c r="E245" s="2804"/>
      <c r="F245" s="2804"/>
      <c r="G245" s="2804"/>
      <c r="H245" s="2832"/>
    </row>
    <row r="246" spans="1:9">
      <c r="A246" s="2804"/>
      <c r="B246" s="2850"/>
      <c r="C246" s="2826"/>
      <c r="D246" s="2836" t="s">
        <v>2292</v>
      </c>
      <c r="E246" s="2804"/>
      <c r="F246" s="2804"/>
      <c r="G246" s="2804"/>
      <c r="H246" s="2832"/>
    </row>
    <row r="247" spans="1:9">
      <c r="A247" s="2804"/>
      <c r="B247" s="2850"/>
      <c r="C247" s="2826"/>
      <c r="D247" s="2829" t="s">
        <v>14</v>
      </c>
      <c r="E247" s="2804" t="s">
        <v>38</v>
      </c>
      <c r="F247" s="2837" t="s">
        <v>386</v>
      </c>
      <c r="G247" s="2832"/>
      <c r="H247" s="2873"/>
    </row>
    <row r="248" spans="1:9">
      <c r="A248" s="2804"/>
      <c r="B248" s="2850"/>
      <c r="C248" s="2826"/>
      <c r="D248" s="2829" t="s">
        <v>2179</v>
      </c>
      <c r="E248" s="2804" t="s">
        <v>38</v>
      </c>
      <c r="F248" s="2837">
        <v>0.6</v>
      </c>
      <c r="G248" s="2832">
        <f>+'SSR-rates'!K96</f>
        <v>645</v>
      </c>
      <c r="H248" s="2816">
        <f>ROUND(F248*G248,2)</f>
        <v>387</v>
      </c>
    </row>
    <row r="249" spans="1:9">
      <c r="A249" s="2804"/>
      <c r="B249" s="2850"/>
      <c r="C249" s="2826"/>
      <c r="D249" s="2829" t="s">
        <v>2159</v>
      </c>
      <c r="E249" s="2804" t="s">
        <v>38</v>
      </c>
      <c r="F249" s="2837">
        <v>6.26</v>
      </c>
      <c r="G249" s="2832">
        <f>+G218</f>
        <v>575</v>
      </c>
      <c r="H249" s="2816">
        <f>ROUND(F249*G249,2)</f>
        <v>3599.5</v>
      </c>
    </row>
    <row r="250" spans="1:9">
      <c r="A250" s="2804"/>
      <c r="B250" s="2850"/>
      <c r="C250" s="2826"/>
      <c r="D250" s="2839" t="str">
        <f>$B$8</f>
        <v>Muncipal AAllowance/Area Allowance @ 0%</v>
      </c>
      <c r="E250" s="2840">
        <f>$F$8</f>
        <v>0</v>
      </c>
      <c r="F250" s="2837"/>
      <c r="G250" s="2816"/>
      <c r="H250" s="2816">
        <f>SUM(H247:H249)*E250</f>
        <v>0</v>
      </c>
    </row>
    <row r="251" spans="1:9">
      <c r="A251" s="2804"/>
      <c r="B251" s="2850"/>
      <c r="C251" s="2826"/>
      <c r="D251" s="2834" t="s">
        <v>2293</v>
      </c>
      <c r="E251" s="2804"/>
      <c r="F251" s="2837"/>
      <c r="G251" s="2804"/>
      <c r="H251" s="2832"/>
    </row>
    <row r="252" spans="1:9">
      <c r="A252" s="2845"/>
      <c r="B252" s="2878"/>
      <c r="C252" s="2879"/>
      <c r="D252" s="2900" t="s">
        <v>2294</v>
      </c>
      <c r="E252" s="2845" t="s">
        <v>23</v>
      </c>
      <c r="F252" s="2903">
        <v>6</v>
      </c>
      <c r="G252" s="2903">
        <f>+G188</f>
        <v>512</v>
      </c>
      <c r="H252" s="2897">
        <f>ROUND(F252*G252,2)</f>
        <v>3072</v>
      </c>
    </row>
    <row r="253" spans="1:9" s="2781" customFormat="1" ht="18.600000000000001" customHeight="1">
      <c r="A253" s="2804"/>
      <c r="B253" s="2850"/>
      <c r="C253" s="2826"/>
      <c r="D253" s="2889" t="s">
        <v>2234</v>
      </c>
      <c r="E253" s="2890">
        <f>$F$6</f>
        <v>0.13614999999999999</v>
      </c>
      <c r="F253" s="2891"/>
      <c r="G253" s="2892"/>
      <c r="H253" s="2893">
        <f>SUM(H220:H252)*E253</f>
        <v>3579.0764681350001</v>
      </c>
    </row>
    <row r="254" spans="1:9" s="2781" customFormat="1" ht="18.600000000000001" customHeight="1">
      <c r="A254" s="2804"/>
      <c r="B254" s="2850"/>
      <c r="C254" s="2826"/>
      <c r="D254" s="2889" t="s">
        <v>1093</v>
      </c>
      <c r="E254" s="2890">
        <f>$F$7</f>
        <v>0</v>
      </c>
      <c r="F254" s="2891"/>
      <c r="G254" s="2892"/>
      <c r="H254" s="2893">
        <f>SUM(H220:H253)*E254</f>
        <v>0</v>
      </c>
    </row>
    <row r="255" spans="1:9" ht="30" customHeight="1">
      <c r="A255" s="2804"/>
      <c r="B255" s="2850"/>
      <c r="C255" s="2826"/>
      <c r="D255" s="2829" t="s">
        <v>2295</v>
      </c>
      <c r="E255" s="2804"/>
      <c r="F255" s="2804"/>
      <c r="G255" s="2804"/>
      <c r="H255" s="2873"/>
    </row>
    <row r="256" spans="1:9" ht="21.75" customHeight="1">
      <c r="A256" s="2804"/>
      <c r="B256" s="2850"/>
      <c r="C256" s="2826"/>
      <c r="D256" s="2904" t="s">
        <v>2296</v>
      </c>
      <c r="E256" s="2804"/>
      <c r="F256" s="2804"/>
      <c r="G256" s="2804"/>
      <c r="H256" s="2873">
        <f>SUM(H236:H255)/6</f>
        <v>4685.8110780225006</v>
      </c>
      <c r="I256" s="2778" t="s">
        <v>2184</v>
      </c>
    </row>
    <row r="257" spans="1:8" s="2792" customFormat="1" ht="27.75" customHeight="1">
      <c r="A257" s="2804"/>
      <c r="B257" s="2850"/>
      <c r="C257" s="2826" t="s">
        <v>2193</v>
      </c>
      <c r="D257" s="2834" t="s">
        <v>2297</v>
      </c>
      <c r="E257" s="2804"/>
      <c r="F257" s="2804"/>
      <c r="G257" s="2804"/>
      <c r="H257" s="2832"/>
    </row>
    <row r="258" spans="1:8">
      <c r="A258" s="2804"/>
      <c r="B258" s="2850"/>
      <c r="C258" s="2826"/>
      <c r="D258" s="2829" t="s">
        <v>2243</v>
      </c>
      <c r="E258" s="2804"/>
      <c r="F258" s="2804"/>
      <c r="G258" s="2804"/>
      <c r="H258" s="2832"/>
    </row>
    <row r="259" spans="1:8">
      <c r="A259" s="2804"/>
      <c r="B259" s="2850"/>
      <c r="C259" s="2826"/>
      <c r="D259" s="2829" t="s">
        <v>2298</v>
      </c>
      <c r="E259" s="2804"/>
      <c r="F259" s="2804"/>
      <c r="G259" s="2804"/>
      <c r="H259" s="2832"/>
    </row>
    <row r="260" spans="1:8">
      <c r="A260" s="2804"/>
      <c r="B260" s="2850"/>
      <c r="C260" s="2826"/>
      <c r="D260" s="2829" t="s">
        <v>2281</v>
      </c>
      <c r="E260" s="2804"/>
      <c r="F260" s="2804"/>
      <c r="G260" s="2804"/>
      <c r="H260" s="2832"/>
    </row>
    <row r="261" spans="1:8">
      <c r="A261" s="2804"/>
      <c r="B261" s="2850"/>
      <c r="C261" s="2826"/>
      <c r="D261" s="2829" t="s">
        <v>2282</v>
      </c>
      <c r="E261" s="2804" t="s">
        <v>31</v>
      </c>
      <c r="F261" s="2837">
        <v>3.77</v>
      </c>
      <c r="G261" s="2873">
        <f>G236</f>
        <v>5108.42</v>
      </c>
      <c r="H261" s="2816">
        <f>ROUND(F261*G261,2)</f>
        <v>19258.740000000002</v>
      </c>
    </row>
    <row r="262" spans="1:8">
      <c r="A262" s="2804"/>
      <c r="B262" s="2850"/>
      <c r="C262" s="2826"/>
      <c r="D262" s="2829" t="s">
        <v>2283</v>
      </c>
      <c r="E262" s="2804"/>
      <c r="F262" s="2837"/>
      <c r="G262" s="2804"/>
      <c r="H262" s="2873"/>
    </row>
    <row r="263" spans="1:8" ht="18" customHeight="1">
      <c r="A263" s="2804"/>
      <c r="B263" s="2850"/>
      <c r="C263" s="2826"/>
      <c r="D263" s="2829" t="s">
        <v>2284</v>
      </c>
      <c r="E263" s="2804" t="s">
        <v>2156</v>
      </c>
      <c r="F263" s="2837">
        <v>26.32</v>
      </c>
      <c r="G263" s="2873">
        <f>H21/1000</f>
        <v>56.908000000000001</v>
      </c>
      <c r="H263" s="2816">
        <f>ROUND(F263*G263,2)</f>
        <v>1497.82</v>
      </c>
    </row>
    <row r="264" spans="1:8" ht="17.399999999999999" customHeight="1">
      <c r="A264" s="2804"/>
      <c r="B264" s="2850"/>
      <c r="C264" s="2826"/>
      <c r="D264" s="2829" t="s">
        <v>2285</v>
      </c>
      <c r="E264" s="2804"/>
      <c r="F264" s="2837"/>
      <c r="G264" s="2804"/>
      <c r="H264" s="2873"/>
    </row>
    <row r="265" spans="1:8">
      <c r="A265" s="2804"/>
      <c r="B265" s="2850"/>
      <c r="C265" s="2826"/>
      <c r="D265" s="2829" t="s">
        <v>2213</v>
      </c>
      <c r="E265" s="2804" t="s">
        <v>31</v>
      </c>
      <c r="F265" s="2837">
        <v>2.77</v>
      </c>
      <c r="G265" s="2873">
        <f>H37</f>
        <v>209.3</v>
      </c>
      <c r="H265" s="2816">
        <f>ROUND(F265*G265,2)</f>
        <v>579.76</v>
      </c>
    </row>
    <row r="266" spans="1:8">
      <c r="A266" s="2804"/>
      <c r="B266" s="2850"/>
      <c r="C266" s="2826"/>
      <c r="D266" s="2829" t="s">
        <v>2286</v>
      </c>
      <c r="E266" s="2804"/>
      <c r="F266" s="2837"/>
      <c r="G266" s="2804"/>
      <c r="H266" s="2873"/>
    </row>
    <row r="267" spans="1:8">
      <c r="A267" s="2804"/>
      <c r="B267" s="2850"/>
      <c r="C267" s="2826"/>
      <c r="D267" s="2829" t="s">
        <v>2287</v>
      </c>
      <c r="E267" s="2804" t="s">
        <v>923</v>
      </c>
      <c r="F267" s="2837">
        <v>11.41</v>
      </c>
      <c r="G267" s="2873">
        <f>H210</f>
        <v>136.02500000000001</v>
      </c>
      <c r="H267" s="2816">
        <f>ROUND(F267*G267,2)</f>
        <v>1552.05</v>
      </c>
    </row>
    <row r="268" spans="1:8" ht="26.4">
      <c r="A268" s="2804"/>
      <c r="B268" s="2850"/>
      <c r="C268" s="2826"/>
      <c r="D268" s="2829" t="s">
        <v>2299</v>
      </c>
      <c r="E268" s="2804"/>
      <c r="F268" s="2837"/>
      <c r="G268" s="2804"/>
      <c r="H268" s="2873"/>
    </row>
    <row r="269" spans="1:8" ht="39.6">
      <c r="A269" s="2804"/>
      <c r="B269" s="2850"/>
      <c r="C269" s="2826"/>
      <c r="D269" s="2829" t="s">
        <v>2289</v>
      </c>
      <c r="E269" s="2804" t="s">
        <v>2290</v>
      </c>
      <c r="F269" s="2832">
        <v>1680</v>
      </c>
      <c r="G269" s="2873">
        <f>H102</f>
        <v>1.4025000000000001</v>
      </c>
      <c r="H269" s="2816">
        <f>ROUND(F269*G269,2)</f>
        <v>2356.1999999999998</v>
      </c>
    </row>
    <row r="270" spans="1:8">
      <c r="A270" s="2804"/>
      <c r="B270" s="2850"/>
      <c r="C270" s="2826"/>
      <c r="D270" s="2834" t="s">
        <v>2291</v>
      </c>
      <c r="E270" s="2804"/>
      <c r="F270" s="2804"/>
      <c r="G270" s="2804"/>
      <c r="H270" s="2873"/>
    </row>
    <row r="271" spans="1:8">
      <c r="A271" s="2804"/>
      <c r="B271" s="2850"/>
      <c r="C271" s="2826"/>
      <c r="D271" s="2836" t="s">
        <v>2292</v>
      </c>
      <c r="E271" s="2804"/>
      <c r="F271" s="2804"/>
      <c r="G271" s="2804"/>
      <c r="H271" s="2873"/>
    </row>
    <row r="272" spans="1:8">
      <c r="A272" s="2804"/>
      <c r="B272" s="2850"/>
      <c r="C272" s="2826"/>
      <c r="D272" s="2829" t="s">
        <v>14</v>
      </c>
      <c r="E272" s="2804" t="s">
        <v>38</v>
      </c>
      <c r="F272" s="2837" t="s">
        <v>386</v>
      </c>
      <c r="G272" s="2832"/>
      <c r="H272" s="2873"/>
    </row>
    <row r="273" spans="1:9">
      <c r="A273" s="2804"/>
      <c r="B273" s="2850"/>
      <c r="C273" s="2826"/>
      <c r="D273" s="2829" t="s">
        <v>2179</v>
      </c>
      <c r="E273" s="2804" t="s">
        <v>38</v>
      </c>
      <c r="F273" s="2837">
        <v>1</v>
      </c>
      <c r="G273" s="2832">
        <f>+G248</f>
        <v>645</v>
      </c>
      <c r="H273" s="2816">
        <f>ROUND(F273*G273,2)</f>
        <v>645</v>
      </c>
    </row>
    <row r="274" spans="1:9">
      <c r="A274" s="2804"/>
      <c r="B274" s="2850"/>
      <c r="C274" s="2826"/>
      <c r="D274" s="2829" t="s">
        <v>2159</v>
      </c>
      <c r="E274" s="2804" t="s">
        <v>38</v>
      </c>
      <c r="F274" s="2837">
        <v>7.32</v>
      </c>
      <c r="G274" s="2832">
        <f>+G249</f>
        <v>575</v>
      </c>
      <c r="H274" s="2816">
        <f>ROUND(F274*G274,2)</f>
        <v>4209</v>
      </c>
    </row>
    <row r="275" spans="1:9">
      <c r="A275" s="2804"/>
      <c r="B275" s="2850"/>
      <c r="C275" s="2826"/>
      <c r="D275" s="2839" t="str">
        <f>$B$8</f>
        <v>Muncipal AAllowance/Area Allowance @ 0%</v>
      </c>
      <c r="E275" s="2840">
        <f>$F$8</f>
        <v>0</v>
      </c>
      <c r="F275" s="2837"/>
      <c r="G275" s="2816"/>
      <c r="H275" s="2816">
        <f>SUM(H272:H274)*E275</f>
        <v>0</v>
      </c>
    </row>
    <row r="276" spans="1:9">
      <c r="A276" s="2804"/>
      <c r="B276" s="2850"/>
      <c r="C276" s="2826"/>
      <c r="D276" s="2834" t="s">
        <v>2293</v>
      </c>
      <c r="E276" s="2804"/>
      <c r="F276" s="2837"/>
      <c r="G276" s="2804"/>
      <c r="H276" s="2873"/>
    </row>
    <row r="277" spans="1:9">
      <c r="A277" s="2804"/>
      <c r="B277" s="2850"/>
      <c r="C277" s="2826"/>
      <c r="D277" s="2829" t="s">
        <v>2294</v>
      </c>
      <c r="E277" s="2804" t="s">
        <v>23</v>
      </c>
      <c r="F277" s="2837">
        <v>6</v>
      </c>
      <c r="G277" s="2837">
        <f>+G252</f>
        <v>512</v>
      </c>
      <c r="H277" s="2816">
        <f>ROUND(F277*G277,2)</f>
        <v>3072</v>
      </c>
    </row>
    <row r="278" spans="1:9" s="2781" customFormat="1" ht="13.5" customHeight="1">
      <c r="A278" s="2804"/>
      <c r="B278" s="2850"/>
      <c r="C278" s="2826"/>
      <c r="D278" s="2889" t="s">
        <v>2234</v>
      </c>
      <c r="E278" s="2890">
        <f>$F$6</f>
        <v>0.13614999999999999</v>
      </c>
      <c r="F278" s="2891"/>
      <c r="G278" s="2892"/>
      <c r="H278" s="2893">
        <f>SUM(H261:H277)*E278</f>
        <v>4516.1731055</v>
      </c>
    </row>
    <row r="279" spans="1:9" s="2781" customFormat="1" ht="13.5" customHeight="1">
      <c r="A279" s="2804"/>
      <c r="B279" s="2850"/>
      <c r="C279" s="2826"/>
      <c r="D279" s="2889" t="s">
        <v>1093</v>
      </c>
      <c r="E279" s="2890">
        <f>$F$7</f>
        <v>0</v>
      </c>
      <c r="F279" s="2891"/>
      <c r="G279" s="2892"/>
      <c r="H279" s="2893">
        <f>SUM(H248:H278)*E279</f>
        <v>0</v>
      </c>
    </row>
    <row r="280" spans="1:9" ht="12.75" customHeight="1">
      <c r="A280" s="2804"/>
      <c r="B280" s="2850"/>
      <c r="C280" s="2826"/>
      <c r="D280" s="2829" t="s">
        <v>2300</v>
      </c>
      <c r="E280" s="2804"/>
      <c r="F280" s="2804"/>
      <c r="G280" s="2832"/>
      <c r="H280" s="2873">
        <f>SUM(H261:H279)</f>
        <v>37686.743105499998</v>
      </c>
    </row>
    <row r="281" spans="1:9" ht="13.5" customHeight="1">
      <c r="A281" s="2804"/>
      <c r="B281" s="2850"/>
      <c r="C281" s="2826"/>
      <c r="D281" s="2904" t="s">
        <v>2301</v>
      </c>
      <c r="E281" s="2804"/>
      <c r="F281" s="2804"/>
      <c r="G281" s="2804"/>
      <c r="H281" s="2873">
        <f>H280/14</f>
        <v>2691.9102218214284</v>
      </c>
      <c r="I281" s="2778" t="s">
        <v>2184</v>
      </c>
    </row>
    <row r="282" spans="1:9" s="2792" customFormat="1" ht="12.75" customHeight="1">
      <c r="A282" s="2804"/>
      <c r="B282" s="2850"/>
      <c r="C282" s="2826" t="s">
        <v>2302</v>
      </c>
      <c r="D282" s="2834" t="s">
        <v>2303</v>
      </c>
      <c r="E282" s="2804"/>
      <c r="F282" s="2804"/>
      <c r="G282" s="2804"/>
      <c r="H282" s="2832"/>
    </row>
    <row r="283" spans="1:9" s="2792" customFormat="1">
      <c r="A283" s="2804"/>
      <c r="B283" s="2850"/>
      <c r="C283" s="2826"/>
      <c r="D283" s="2829" t="s">
        <v>2243</v>
      </c>
      <c r="E283" s="2804"/>
      <c r="F283" s="2804"/>
      <c r="G283" s="2804"/>
      <c r="H283" s="2832"/>
    </row>
    <row r="284" spans="1:9" s="2792" customFormat="1">
      <c r="A284" s="2804"/>
      <c r="B284" s="2850"/>
      <c r="C284" s="2826"/>
      <c r="D284" s="2829" t="s">
        <v>2304</v>
      </c>
      <c r="E284" s="2804"/>
      <c r="F284" s="2804"/>
      <c r="G284" s="2804"/>
      <c r="H284" s="2832"/>
    </row>
    <row r="285" spans="1:9" s="2792" customFormat="1">
      <c r="A285" s="2804"/>
      <c r="B285" s="2850"/>
      <c r="C285" s="2826"/>
      <c r="D285" s="2829" t="s">
        <v>2281</v>
      </c>
      <c r="E285" s="2804"/>
      <c r="F285" s="2804"/>
      <c r="G285" s="2804"/>
      <c r="H285" s="2832"/>
    </row>
    <row r="286" spans="1:9" s="2792" customFormat="1">
      <c r="A286" s="2804"/>
      <c r="B286" s="2850"/>
      <c r="C286" s="2826"/>
      <c r="D286" s="2829" t="s">
        <v>2282</v>
      </c>
      <c r="E286" s="2804" t="s">
        <v>31</v>
      </c>
      <c r="F286" s="2837">
        <v>1.58</v>
      </c>
      <c r="G286" s="2873">
        <f>G261</f>
        <v>5108.42</v>
      </c>
      <c r="H286" s="2816">
        <f>ROUND(F286*G286,2)</f>
        <v>8071.3</v>
      </c>
    </row>
    <row r="287" spans="1:9" s="2792" customFormat="1">
      <c r="A287" s="2804"/>
      <c r="B287" s="2850"/>
      <c r="C287" s="2826"/>
      <c r="D287" s="2829" t="s">
        <v>2283</v>
      </c>
      <c r="E287" s="2804"/>
      <c r="F287" s="2837"/>
      <c r="G287" s="2804"/>
      <c r="H287" s="2873"/>
    </row>
    <row r="288" spans="1:9" s="2792" customFormat="1">
      <c r="A288" s="2804"/>
      <c r="B288" s="2850"/>
      <c r="C288" s="2826"/>
      <c r="D288" s="2829" t="s">
        <v>2284</v>
      </c>
      <c r="E288" s="2804" t="s">
        <v>2156</v>
      </c>
      <c r="F288" s="2837">
        <v>66</v>
      </c>
      <c r="G288" s="2873">
        <f>H21/1000</f>
        <v>56.908000000000001</v>
      </c>
      <c r="H288" s="2816">
        <f>ROUND(F288*G288,2)</f>
        <v>3755.93</v>
      </c>
      <c r="I288" s="2793"/>
    </row>
    <row r="289" spans="1:8" s="2792" customFormat="1" ht="36.9" customHeight="1">
      <c r="A289" s="2804"/>
      <c r="B289" s="2850"/>
      <c r="C289" s="2826"/>
      <c r="D289" s="2829" t="s">
        <v>2285</v>
      </c>
      <c r="E289" s="2804"/>
      <c r="F289" s="2837"/>
      <c r="G289" s="2804"/>
      <c r="H289" s="2873"/>
    </row>
    <row r="290" spans="1:8">
      <c r="A290" s="2804"/>
      <c r="B290" s="2850"/>
      <c r="C290" s="2826"/>
      <c r="D290" s="2829" t="s">
        <v>2213</v>
      </c>
      <c r="E290" s="2804" t="s">
        <v>31</v>
      </c>
      <c r="F290" s="2837">
        <v>1.39</v>
      </c>
      <c r="G290" s="2873">
        <f>H37</f>
        <v>209.3</v>
      </c>
      <c r="H290" s="2816">
        <f>ROUND(F290*G290,2)</f>
        <v>290.93</v>
      </c>
    </row>
    <row r="291" spans="1:8">
      <c r="A291" s="2804"/>
      <c r="B291" s="2850"/>
      <c r="C291" s="2826"/>
      <c r="D291" s="2829" t="s">
        <v>2286</v>
      </c>
      <c r="E291" s="2804"/>
      <c r="F291" s="2837"/>
      <c r="G291" s="2804"/>
      <c r="H291" s="2873"/>
    </row>
    <row r="292" spans="1:8">
      <c r="A292" s="2804"/>
      <c r="B292" s="2850"/>
      <c r="C292" s="2826"/>
      <c r="D292" s="2829" t="s">
        <v>2287</v>
      </c>
      <c r="E292" s="2804" t="s">
        <v>923</v>
      </c>
      <c r="F292" s="2837">
        <v>6.27</v>
      </c>
      <c r="G292" s="2873">
        <f>H210</f>
        <v>136.02500000000001</v>
      </c>
      <c r="H292" s="2816">
        <f>ROUND(F292*G292,2)</f>
        <v>852.88</v>
      </c>
    </row>
    <row r="293" spans="1:8" ht="26.4">
      <c r="A293" s="2804"/>
      <c r="B293" s="2850"/>
      <c r="C293" s="2826"/>
      <c r="D293" s="2829" t="s">
        <v>2305</v>
      </c>
      <c r="E293" s="2804"/>
      <c r="F293" s="2837"/>
      <c r="G293" s="2804"/>
      <c r="H293" s="2873"/>
    </row>
    <row r="294" spans="1:8" ht="39.6">
      <c r="A294" s="2804"/>
      <c r="B294" s="2850"/>
      <c r="C294" s="2826"/>
      <c r="D294" s="2829" t="s">
        <v>2289</v>
      </c>
      <c r="E294" s="2804" t="s">
        <v>2290</v>
      </c>
      <c r="F294" s="2837">
        <v>330</v>
      </c>
      <c r="G294" s="2873">
        <f>H102</f>
        <v>1.4025000000000001</v>
      </c>
      <c r="H294" s="2816">
        <f>ROUND(F294*G294,2)</f>
        <v>462.83</v>
      </c>
    </row>
    <row r="295" spans="1:8">
      <c r="A295" s="2804"/>
      <c r="B295" s="2850"/>
      <c r="C295" s="2826"/>
      <c r="D295" s="2834" t="s">
        <v>2291</v>
      </c>
      <c r="E295" s="2804"/>
      <c r="F295" s="2804"/>
      <c r="G295" s="2804"/>
      <c r="H295" s="2832"/>
    </row>
    <row r="296" spans="1:8">
      <c r="A296" s="2804"/>
      <c r="B296" s="2850"/>
      <c r="C296" s="2826"/>
      <c r="D296" s="2836" t="s">
        <v>2292</v>
      </c>
      <c r="E296" s="2804"/>
      <c r="F296" s="2804"/>
      <c r="G296" s="2804"/>
      <c r="H296" s="2832"/>
    </row>
    <row r="297" spans="1:8">
      <c r="A297" s="2804"/>
      <c r="B297" s="2850"/>
      <c r="C297" s="2826"/>
      <c r="D297" s="2829" t="s">
        <v>14</v>
      </c>
      <c r="E297" s="2804" t="s">
        <v>38</v>
      </c>
      <c r="F297" s="2837" t="s">
        <v>386</v>
      </c>
      <c r="G297" s="2832"/>
      <c r="H297" s="2873"/>
    </row>
    <row r="298" spans="1:8">
      <c r="A298" s="2804"/>
      <c r="B298" s="2850"/>
      <c r="C298" s="2826"/>
      <c r="D298" s="2829" t="s">
        <v>2179</v>
      </c>
      <c r="E298" s="2804" t="s">
        <v>38</v>
      </c>
      <c r="F298" s="2837">
        <v>1.5</v>
      </c>
      <c r="G298" s="2832">
        <f>+G273</f>
        <v>645</v>
      </c>
      <c r="H298" s="2816">
        <f>ROUND(F298*G298,2)</f>
        <v>967.5</v>
      </c>
    </row>
    <row r="299" spans="1:8">
      <c r="A299" s="2804"/>
      <c r="B299" s="2850"/>
      <c r="C299" s="2826"/>
      <c r="D299" s="2829" t="s">
        <v>2159</v>
      </c>
      <c r="E299" s="2804" t="s">
        <v>38</v>
      </c>
      <c r="F299" s="2837">
        <v>7.34</v>
      </c>
      <c r="G299" s="2832">
        <f>+G274</f>
        <v>575</v>
      </c>
      <c r="H299" s="2816">
        <f>ROUND(F299*G299,2)</f>
        <v>4220.5</v>
      </c>
    </row>
    <row r="300" spans="1:8">
      <c r="A300" s="2804"/>
      <c r="B300" s="2850"/>
      <c r="C300" s="2826"/>
      <c r="D300" s="2839" t="str">
        <f>$B$8</f>
        <v>Muncipal AAllowance/Area Allowance @ 0%</v>
      </c>
      <c r="E300" s="2840">
        <f>$F$8</f>
        <v>0</v>
      </c>
      <c r="F300" s="2837"/>
      <c r="G300" s="2816"/>
      <c r="H300" s="2816">
        <f>SUM(H297:H299)*E300</f>
        <v>0</v>
      </c>
    </row>
    <row r="301" spans="1:8">
      <c r="A301" s="2804"/>
      <c r="B301" s="2850"/>
      <c r="C301" s="2826"/>
      <c r="D301" s="2834" t="s">
        <v>2293</v>
      </c>
      <c r="E301" s="2804"/>
      <c r="F301" s="2837"/>
      <c r="G301" s="2804"/>
      <c r="H301" s="2873"/>
    </row>
    <row r="302" spans="1:8">
      <c r="A302" s="2804"/>
      <c r="B302" s="2850"/>
      <c r="C302" s="2826"/>
      <c r="D302" s="2829" t="s">
        <v>2294</v>
      </c>
      <c r="E302" s="2804" t="s">
        <v>23</v>
      </c>
      <c r="F302" s="2837">
        <v>6</v>
      </c>
      <c r="G302" s="2837">
        <f>+G277</f>
        <v>512</v>
      </c>
      <c r="H302" s="2816">
        <f>ROUND(F302*G302,2)</f>
        <v>3072</v>
      </c>
    </row>
    <row r="303" spans="1:8" s="2781" customFormat="1">
      <c r="A303" s="2804"/>
      <c r="B303" s="2850"/>
      <c r="C303" s="2826"/>
      <c r="D303" s="2889" t="s">
        <v>2234</v>
      </c>
      <c r="E303" s="2890">
        <f>$F$6</f>
        <v>0.13614999999999999</v>
      </c>
      <c r="F303" s="2891"/>
      <c r="G303" s="2892"/>
      <c r="H303" s="2893">
        <f>SUM(H286:H302)*E303</f>
        <v>2953.6204004999995</v>
      </c>
    </row>
    <row r="304" spans="1:8" s="2781" customFormat="1">
      <c r="A304" s="2804"/>
      <c r="B304" s="2850"/>
      <c r="C304" s="2826"/>
      <c r="D304" s="2889" t="s">
        <v>1093</v>
      </c>
      <c r="E304" s="2890">
        <f>$F$7</f>
        <v>0</v>
      </c>
      <c r="F304" s="2891"/>
      <c r="G304" s="2892"/>
      <c r="H304" s="2893">
        <f>SUM(H273:H303)*E304</f>
        <v>0</v>
      </c>
    </row>
    <row r="305" spans="1:9" ht="26.4">
      <c r="A305" s="2804"/>
      <c r="B305" s="2850"/>
      <c r="C305" s="2826"/>
      <c r="D305" s="2829" t="s">
        <v>2306</v>
      </c>
      <c r="E305" s="2804"/>
      <c r="F305" s="2804"/>
      <c r="G305" s="2804"/>
      <c r="H305" s="2873">
        <f>SUM(H286:H304)</f>
        <v>24647.490400499999</v>
      </c>
    </row>
    <row r="306" spans="1:9">
      <c r="A306" s="2804"/>
      <c r="B306" s="2850"/>
      <c r="C306" s="2826"/>
      <c r="D306" s="2834" t="s">
        <v>2307</v>
      </c>
      <c r="E306" s="2804"/>
      <c r="F306" s="2804"/>
      <c r="G306" s="2804"/>
      <c r="H306" s="2873">
        <f>H305/33</f>
        <v>746.89364849999993</v>
      </c>
      <c r="I306" s="2778" t="s">
        <v>2184</v>
      </c>
    </row>
    <row r="307" spans="1:9" s="2783" customFormat="1">
      <c r="A307" s="2804"/>
      <c r="B307" s="2850"/>
      <c r="C307" s="2826"/>
      <c r="D307" s="2834"/>
      <c r="E307" s="2804"/>
      <c r="F307" s="2804"/>
      <c r="G307" s="2804"/>
      <c r="H307" s="2873"/>
      <c r="I307" s="2782"/>
    </row>
    <row r="308" spans="1:9" s="2792" customFormat="1" ht="18" customHeight="1">
      <c r="A308" s="3565" t="s">
        <v>2308</v>
      </c>
      <c r="B308" s="2827">
        <f>B230+1</f>
        <v>11</v>
      </c>
      <c r="C308" s="2871"/>
      <c r="D308" s="3563" t="s">
        <v>2309</v>
      </c>
      <c r="E308" s="3563"/>
      <c r="F308" s="3563"/>
      <c r="G308" s="3563"/>
      <c r="H308" s="3563"/>
    </row>
    <row r="309" spans="1:9" s="2792" customFormat="1" ht="162" customHeight="1">
      <c r="A309" s="3565"/>
      <c r="B309" s="2827"/>
      <c r="C309" s="2835"/>
      <c r="D309" s="3555" t="s">
        <v>2310</v>
      </c>
      <c r="E309" s="3555"/>
      <c r="F309" s="3555"/>
      <c r="G309" s="3555"/>
      <c r="H309" s="2832"/>
    </row>
    <row r="310" spans="1:9" ht="15" customHeight="1">
      <c r="A310" s="2804"/>
      <c r="B310" s="2850"/>
      <c r="C310" s="2826"/>
      <c r="D310" s="2882" t="s">
        <v>2210</v>
      </c>
      <c r="E310" s="2804"/>
      <c r="F310" s="2804"/>
      <c r="G310" s="2804"/>
      <c r="H310" s="2832"/>
    </row>
    <row r="311" spans="1:9" ht="15" customHeight="1">
      <c r="A311" s="2804"/>
      <c r="B311" s="2850"/>
      <c r="C311" s="2826"/>
      <c r="D311" s="2882" t="s">
        <v>2311</v>
      </c>
      <c r="E311" s="2804"/>
      <c r="F311" s="2804"/>
      <c r="G311" s="2804"/>
      <c r="H311" s="2832"/>
    </row>
    <row r="312" spans="1:9" ht="15" customHeight="1">
      <c r="A312" s="2804"/>
      <c r="B312" s="2850"/>
      <c r="C312" s="2826"/>
      <c r="D312" s="2834" t="s">
        <v>2312</v>
      </c>
      <c r="E312" s="2804"/>
      <c r="F312" s="2804"/>
      <c r="G312" s="2804"/>
      <c r="H312" s="2832"/>
    </row>
    <row r="313" spans="1:9" ht="15" customHeight="1">
      <c r="A313" s="2804"/>
      <c r="B313" s="2850"/>
      <c r="C313" s="2826"/>
      <c r="D313" s="2829" t="s">
        <v>2213</v>
      </c>
      <c r="E313" s="2866" t="s">
        <v>31</v>
      </c>
      <c r="F313" s="2886">
        <v>0.252</v>
      </c>
      <c r="G313" s="2873">
        <f>H37</f>
        <v>209.3</v>
      </c>
      <c r="H313" s="2816">
        <f>ROUND(F313*G313,2)</f>
        <v>52.74</v>
      </c>
    </row>
    <row r="314" spans="1:9" ht="15" customHeight="1">
      <c r="A314" s="2804"/>
      <c r="B314" s="2850"/>
      <c r="C314" s="2826"/>
      <c r="D314" s="2894" t="s">
        <v>2313</v>
      </c>
      <c r="E314" s="2866"/>
      <c r="F314" s="2866"/>
      <c r="G314" s="2804"/>
      <c r="H314" s="2832"/>
    </row>
    <row r="315" spans="1:9" ht="15" customHeight="1">
      <c r="A315" s="2804"/>
      <c r="B315" s="2850"/>
      <c r="C315" s="2826"/>
      <c r="D315" s="2829" t="s">
        <v>2314</v>
      </c>
      <c r="E315" s="2866" t="s">
        <v>31</v>
      </c>
      <c r="F315" s="2883">
        <v>0.252</v>
      </c>
      <c r="G315" s="2873">
        <f>G286</f>
        <v>5108.42</v>
      </c>
      <c r="H315" s="2816">
        <f>ROUND(F315*G315,2)</f>
        <v>1287.32</v>
      </c>
    </row>
    <row r="316" spans="1:9" ht="26.4">
      <c r="A316" s="2804"/>
      <c r="B316" s="2850"/>
      <c r="C316" s="2826"/>
      <c r="D316" s="2894" t="s">
        <v>2315</v>
      </c>
      <c r="E316" s="2866"/>
      <c r="F316" s="2866"/>
      <c r="G316" s="2804"/>
      <c r="H316" s="2832"/>
    </row>
    <row r="317" spans="1:9">
      <c r="A317" s="2804"/>
      <c r="B317" s="2850"/>
      <c r="C317" s="2826"/>
      <c r="D317" s="2882" t="s">
        <v>2316</v>
      </c>
      <c r="E317" s="2866"/>
      <c r="F317" s="2866"/>
      <c r="G317" s="2804"/>
      <c r="H317" s="2832"/>
    </row>
    <row r="318" spans="1:9">
      <c r="A318" s="2804"/>
      <c r="B318" s="2850"/>
      <c r="C318" s="2826"/>
      <c r="D318" s="2882" t="s">
        <v>2317</v>
      </c>
      <c r="E318" s="2866"/>
      <c r="F318" s="2866"/>
      <c r="G318" s="2804"/>
      <c r="H318" s="2832"/>
    </row>
    <row r="319" spans="1:9" ht="15" customHeight="1">
      <c r="A319" s="2804"/>
      <c r="B319" s="2850"/>
      <c r="C319" s="2826"/>
      <c r="D319" s="2882" t="s">
        <v>2318</v>
      </c>
      <c r="E319" s="2866" t="s">
        <v>923</v>
      </c>
      <c r="F319" s="2866">
        <v>1.8</v>
      </c>
      <c r="G319" s="2873">
        <f>H226</f>
        <v>122.36690000000002</v>
      </c>
      <c r="H319" s="2816">
        <f>ROUND(F319*G319,2)</f>
        <v>220.26</v>
      </c>
    </row>
    <row r="320" spans="1:9" ht="52.8">
      <c r="A320" s="2804"/>
      <c r="B320" s="2850"/>
      <c r="C320" s="2826"/>
      <c r="D320" s="2894" t="s">
        <v>2319</v>
      </c>
      <c r="E320" s="2866"/>
      <c r="F320" s="2866"/>
      <c r="G320" s="2804"/>
      <c r="H320" s="2832"/>
    </row>
    <row r="321" spans="1:8" ht="14.25" customHeight="1">
      <c r="A321" s="2804"/>
      <c r="B321" s="2850"/>
      <c r="C321" s="2826"/>
      <c r="D321" s="2882" t="s">
        <v>2320</v>
      </c>
      <c r="E321" s="2866"/>
      <c r="F321" s="2866"/>
      <c r="G321" s="2804"/>
      <c r="H321" s="2832"/>
    </row>
    <row r="322" spans="1:8">
      <c r="A322" s="2804"/>
      <c r="B322" s="2850"/>
      <c r="C322" s="2826"/>
      <c r="D322" s="2882" t="s">
        <v>2321</v>
      </c>
      <c r="E322" s="2866"/>
      <c r="F322" s="2866"/>
      <c r="G322" s="2804"/>
      <c r="H322" s="2832"/>
    </row>
    <row r="323" spans="1:8" ht="26.4">
      <c r="A323" s="2804"/>
      <c r="B323" s="2850"/>
      <c r="C323" s="2826"/>
      <c r="D323" s="2882" t="s">
        <v>2322</v>
      </c>
      <c r="E323" s="2866"/>
      <c r="F323" s="2866"/>
      <c r="G323" s="2804"/>
      <c r="H323" s="2832"/>
    </row>
    <row r="324" spans="1:8" ht="15" customHeight="1">
      <c r="A324" s="2804"/>
      <c r="B324" s="2850"/>
      <c r="C324" s="2826"/>
      <c r="D324" s="2882" t="s">
        <v>2323</v>
      </c>
      <c r="E324" s="2866"/>
      <c r="F324" s="2866"/>
      <c r="G324" s="2804"/>
      <c r="H324" s="2832"/>
    </row>
    <row r="325" spans="1:8" ht="14.25" customHeight="1">
      <c r="A325" s="2804"/>
      <c r="B325" s="2850"/>
      <c r="C325" s="2826"/>
      <c r="D325" s="2882" t="s">
        <v>2324</v>
      </c>
      <c r="E325" s="2866"/>
      <c r="F325" s="2866"/>
      <c r="G325" s="2804"/>
      <c r="H325" s="2832"/>
    </row>
    <row r="326" spans="1:8">
      <c r="A326" s="2804"/>
      <c r="B326" s="2850"/>
      <c r="C326" s="2826"/>
      <c r="D326" s="2882" t="s">
        <v>2325</v>
      </c>
      <c r="E326" s="2866"/>
      <c r="F326" s="2866"/>
      <c r="G326" s="2804"/>
      <c r="H326" s="2832"/>
    </row>
    <row r="327" spans="1:8">
      <c r="A327" s="2804"/>
      <c r="B327" s="2850"/>
      <c r="C327" s="2826"/>
      <c r="D327" s="2882" t="s">
        <v>2326</v>
      </c>
      <c r="E327" s="2866"/>
      <c r="F327" s="2866"/>
      <c r="G327" s="2804"/>
      <c r="H327" s="2832"/>
    </row>
    <row r="328" spans="1:8">
      <c r="A328" s="2804"/>
      <c r="B328" s="2850"/>
      <c r="C328" s="2826"/>
      <c r="D328" s="2834" t="s">
        <v>2327</v>
      </c>
      <c r="E328" s="2804"/>
      <c r="F328" s="2837"/>
      <c r="G328" s="2804"/>
      <c r="H328" s="2832"/>
    </row>
    <row r="329" spans="1:8" ht="24.75" customHeight="1">
      <c r="A329" s="2804"/>
      <c r="B329" s="2850"/>
      <c r="C329" s="2826"/>
      <c r="D329" s="2882" t="s">
        <v>2289</v>
      </c>
      <c r="E329" s="2866" t="s">
        <v>2328</v>
      </c>
      <c r="F329" s="2905">
        <v>4532.5</v>
      </c>
      <c r="G329" s="2873">
        <f>H102</f>
        <v>1.4025000000000001</v>
      </c>
      <c r="H329" s="2816">
        <f>ROUND(F329*G329,2)</f>
        <v>6356.83</v>
      </c>
    </row>
    <row r="330" spans="1:8">
      <c r="A330" s="2804"/>
      <c r="B330" s="2850"/>
      <c r="C330" s="2826"/>
      <c r="D330" s="2894" t="s">
        <v>2329</v>
      </c>
      <c r="E330" s="2804"/>
      <c r="F330" s="2804"/>
      <c r="G330" s="2804"/>
      <c r="H330" s="2832"/>
    </row>
    <row r="331" spans="1:8">
      <c r="A331" s="2804"/>
      <c r="B331" s="2850"/>
      <c r="C331" s="2826"/>
      <c r="D331" s="2882" t="s">
        <v>14</v>
      </c>
      <c r="E331" s="2866" t="s">
        <v>38</v>
      </c>
      <c r="F331" s="2866" t="s">
        <v>386</v>
      </c>
      <c r="G331" s="2832"/>
      <c r="H331" s="2873"/>
    </row>
    <row r="332" spans="1:8">
      <c r="A332" s="2804"/>
      <c r="B332" s="2850"/>
      <c r="C332" s="2826"/>
      <c r="D332" s="2882" t="s">
        <v>2159</v>
      </c>
      <c r="E332" s="2866" t="s">
        <v>38</v>
      </c>
      <c r="F332" s="2866">
        <v>0.78</v>
      </c>
      <c r="G332" s="2832">
        <f>+G299</f>
        <v>575</v>
      </c>
      <c r="H332" s="2816">
        <f>ROUND(F332*G332,2)</f>
        <v>448.5</v>
      </c>
    </row>
    <row r="333" spans="1:8" ht="22.2" customHeight="1">
      <c r="A333" s="2804"/>
      <c r="B333" s="2850"/>
      <c r="C333" s="2826"/>
      <c r="D333" s="2839" t="str">
        <f>$B$8</f>
        <v>Muncipal AAllowance/Area Allowance @ 0%</v>
      </c>
      <c r="E333" s="2840">
        <f>$F$8</f>
        <v>0</v>
      </c>
      <c r="F333" s="2837"/>
      <c r="G333" s="2816"/>
      <c r="H333" s="2816">
        <f>SUM(H330:H332)*E333</f>
        <v>0</v>
      </c>
    </row>
    <row r="334" spans="1:8" ht="13.5" customHeight="1">
      <c r="A334" s="2804"/>
      <c r="B334" s="2850"/>
      <c r="C334" s="2826"/>
      <c r="D334" s="2894" t="s">
        <v>2200</v>
      </c>
      <c r="E334" s="2866"/>
      <c r="F334" s="2866"/>
      <c r="G334" s="2804"/>
      <c r="H334" s="2873"/>
    </row>
    <row r="335" spans="1:8" ht="27" customHeight="1">
      <c r="A335" s="2804"/>
      <c r="B335" s="2850"/>
      <c r="C335" s="2826"/>
      <c r="D335" s="2882" t="s">
        <v>2330</v>
      </c>
      <c r="E335" s="2866" t="s">
        <v>2156</v>
      </c>
      <c r="F335" s="2866">
        <v>63.15</v>
      </c>
      <c r="G335" s="2866">
        <f>lead!$K$38</f>
        <v>61</v>
      </c>
      <c r="H335" s="2816">
        <f>ROUND(F335*G335,2)</f>
        <v>3852.15</v>
      </c>
    </row>
    <row r="336" spans="1:8" ht="18" customHeight="1">
      <c r="A336" s="2804"/>
      <c r="B336" s="2850"/>
      <c r="C336" s="2826"/>
      <c r="D336" s="2882" t="s">
        <v>2331</v>
      </c>
      <c r="E336" s="2866" t="s">
        <v>2156</v>
      </c>
      <c r="F336" s="2866">
        <v>4.47</v>
      </c>
      <c r="G336" s="2866">
        <f>lead!$K$38</f>
        <v>61</v>
      </c>
      <c r="H336" s="2816">
        <f>ROUND(F336*G336,2)</f>
        <v>272.67</v>
      </c>
    </row>
    <row r="337" spans="1:11" ht="23.25" customHeight="1">
      <c r="A337" s="2804"/>
      <c r="B337" s="2850"/>
      <c r="C337" s="2826"/>
      <c r="D337" s="2882" t="s">
        <v>2332</v>
      </c>
      <c r="E337" s="2866" t="s">
        <v>2156</v>
      </c>
      <c r="F337" s="2866">
        <v>2.12</v>
      </c>
      <c r="G337" s="2866">
        <f>lead!$K$38</f>
        <v>61</v>
      </c>
      <c r="H337" s="2816">
        <f>ROUND(F337*G337,2)</f>
        <v>129.32</v>
      </c>
    </row>
    <row r="338" spans="1:11" ht="63.9" customHeight="1">
      <c r="A338" s="2804"/>
      <c r="B338" s="2850"/>
      <c r="C338" s="2826"/>
      <c r="D338" s="2882" t="s">
        <v>2333</v>
      </c>
      <c r="E338" s="2866" t="s">
        <v>923</v>
      </c>
      <c r="F338" s="2866">
        <v>1.44</v>
      </c>
      <c r="G338" s="2804"/>
      <c r="H338" s="2873"/>
    </row>
    <row r="339" spans="1:11">
      <c r="A339" s="2804"/>
      <c r="B339" s="2850"/>
      <c r="C339" s="2826"/>
      <c r="D339" s="2882" t="s">
        <v>2334</v>
      </c>
      <c r="E339" s="2866" t="s">
        <v>191</v>
      </c>
      <c r="F339" s="2866">
        <v>18.09</v>
      </c>
      <c r="G339" s="2866">
        <f>lead!$K$38</f>
        <v>61</v>
      </c>
      <c r="H339" s="2816">
        <f>ROUND(F339*G339,2)</f>
        <v>1103.49</v>
      </c>
      <c r="J339" s="2772">
        <f>1.5*0.9</f>
        <v>1.35</v>
      </c>
      <c r="K339" s="2772">
        <f>1.15*1.8</f>
        <v>2.0699999999999998</v>
      </c>
    </row>
    <row r="340" spans="1:11" ht="39.6">
      <c r="A340" s="2804"/>
      <c r="B340" s="2850"/>
      <c r="C340" s="2826"/>
      <c r="D340" s="2882" t="s">
        <v>2335</v>
      </c>
      <c r="E340" s="2866"/>
      <c r="F340" s="2804"/>
      <c r="G340" s="2804"/>
      <c r="H340" s="2892">
        <f>SUM(H335:H339)*3%</f>
        <v>160.72889999999998</v>
      </c>
    </row>
    <row r="341" spans="1:11">
      <c r="A341" s="2804"/>
      <c r="B341" s="2850"/>
      <c r="C341" s="2826"/>
      <c r="D341" s="2834" t="s">
        <v>2336</v>
      </c>
      <c r="E341" s="2866"/>
      <c r="F341" s="2804"/>
      <c r="G341" s="2804"/>
      <c r="H341" s="2832"/>
    </row>
    <row r="342" spans="1:11">
      <c r="A342" s="2804"/>
      <c r="B342" s="2850"/>
      <c r="C342" s="2826"/>
      <c r="D342" s="2882" t="s">
        <v>2233</v>
      </c>
      <c r="E342" s="2866" t="s">
        <v>23</v>
      </c>
      <c r="F342" s="2866">
        <v>0.24</v>
      </c>
      <c r="G342" s="2837">
        <f>+G302</f>
        <v>512</v>
      </c>
      <c r="H342" s="2816">
        <f>ROUND(F342*G342,2)</f>
        <v>122.88</v>
      </c>
    </row>
    <row r="343" spans="1:11" s="2781" customFormat="1" ht="15.75" customHeight="1">
      <c r="A343" s="2804"/>
      <c r="B343" s="2850"/>
      <c r="C343" s="2826"/>
      <c r="D343" s="2889" t="s">
        <v>2234</v>
      </c>
      <c r="E343" s="2890">
        <f>$F$6</f>
        <v>0.13614999999999999</v>
      </c>
      <c r="F343" s="2891"/>
      <c r="G343" s="2892"/>
      <c r="H343" s="2893">
        <f>SUM(H313:H342)*E343</f>
        <v>1907.0379237349996</v>
      </c>
    </row>
    <row r="344" spans="1:11" s="2781" customFormat="1" ht="15.75" customHeight="1">
      <c r="A344" s="2804"/>
      <c r="B344" s="2850"/>
      <c r="C344" s="2826"/>
      <c r="D344" s="2889" t="s">
        <v>1093</v>
      </c>
      <c r="E344" s="2890">
        <f>$F$7</f>
        <v>0</v>
      </c>
      <c r="F344" s="2891"/>
      <c r="G344" s="2892"/>
      <c r="H344" s="2893">
        <f>SUM(H313:H343)*E344</f>
        <v>0</v>
      </c>
    </row>
    <row r="345" spans="1:11" s="2785" customFormat="1" ht="27.9" customHeight="1">
      <c r="A345" s="2906"/>
      <c r="B345" s="2907"/>
      <c r="C345" s="2908"/>
      <c r="D345" s="2909" t="s">
        <v>2337</v>
      </c>
      <c r="E345" s="2906"/>
      <c r="F345" s="2906"/>
      <c r="G345" s="2906"/>
      <c r="H345" s="2910">
        <f>SUM(H313:H344)</f>
        <v>15913.926823734997</v>
      </c>
      <c r="I345" s="2784" t="s">
        <v>2184</v>
      </c>
    </row>
    <row r="346" spans="1:11">
      <c r="A346" s="2911"/>
      <c r="B346" s="2912"/>
      <c r="C346" s="2913"/>
      <c r="D346" s="2914"/>
      <c r="E346" s="2915"/>
      <c r="F346" s="2916"/>
      <c r="G346" s="2917"/>
      <c r="H346" s="2914"/>
    </row>
    <row r="347" spans="1:11" ht="12" customHeight="1">
      <c r="A347" s="2911"/>
      <c r="B347" s="2912"/>
      <c r="C347" s="2913"/>
      <c r="D347" s="2914"/>
      <c r="E347" s="2915"/>
      <c r="F347" s="2916"/>
      <c r="G347" s="2917"/>
      <c r="H347" s="2914"/>
    </row>
    <row r="348" spans="1:11" ht="12" customHeight="1">
      <c r="A348" s="2911"/>
      <c r="B348" s="2912"/>
      <c r="C348" s="2913"/>
      <c r="D348" s="2914"/>
      <c r="E348" s="2915"/>
      <c r="F348" s="2916"/>
      <c r="G348" s="2917"/>
      <c r="H348" s="2914"/>
    </row>
    <row r="349" spans="1:11" ht="12" customHeight="1">
      <c r="A349" s="2911"/>
      <c r="B349" s="2912"/>
      <c r="C349" s="2913"/>
      <c r="D349" s="2914"/>
      <c r="E349" s="2915"/>
      <c r="F349" s="2916"/>
      <c r="G349" s="2917"/>
      <c r="H349" s="2914"/>
    </row>
    <row r="350" spans="1:11" ht="12" customHeight="1">
      <c r="A350" s="2911"/>
      <c r="B350" s="2912"/>
      <c r="C350" s="2913"/>
      <c r="D350" s="2914"/>
      <c r="E350" s="2915"/>
      <c r="F350" s="2916"/>
      <c r="G350" s="2917"/>
      <c r="H350" s="2914"/>
    </row>
    <row r="351" spans="1:11" ht="12" customHeight="1">
      <c r="A351" s="2911"/>
      <c r="B351" s="2912"/>
      <c r="C351" s="2913"/>
      <c r="D351" s="2914"/>
      <c r="E351" s="2915"/>
      <c r="F351" s="2916"/>
      <c r="G351" s="2917"/>
      <c r="H351" s="2914"/>
    </row>
    <row r="352" spans="1:11" s="2785" customFormat="1" ht="15.9" customHeight="1">
      <c r="A352" s="2918"/>
      <c r="B352" s="2919"/>
      <c r="C352" s="2920"/>
      <c r="D352" s="2921" t="str">
        <f>'Road-furniture '!B21</f>
        <v>Asst Exe Engineer,</v>
      </c>
      <c r="E352" s="3564" t="str">
        <f>'Road-furniture '!D21</f>
        <v>Dy. Exe. Engineer</v>
      </c>
      <c r="F352" s="3564"/>
      <c r="G352" s="3564"/>
      <c r="H352" s="2914"/>
    </row>
    <row r="353" spans="1:8" s="2785" customFormat="1" ht="15.9" customHeight="1">
      <c r="A353" s="2918"/>
      <c r="B353" s="2922"/>
      <c r="C353" s="2920"/>
      <c r="D353" s="2923" t="str">
        <f>'Road-furniture '!B22</f>
        <v>PRSD Maddur</v>
      </c>
      <c r="E353" s="3558" t="str">
        <f>'Road-furniture '!D22</f>
        <v>PRSD, Maddur</v>
      </c>
      <c r="F353" s="3558"/>
      <c r="G353" s="3558"/>
      <c r="H353" s="2924"/>
    </row>
    <row r="354" spans="1:8" s="2785" customFormat="1">
      <c r="A354" s="2918"/>
      <c r="B354" s="2922"/>
      <c r="C354" s="2920"/>
      <c r="D354" s="2925"/>
      <c r="E354" s="2926"/>
      <c r="F354" s="2926"/>
      <c r="G354" s="2926"/>
      <c r="H354" s="2924"/>
    </row>
    <row r="355" spans="1:8" s="2785" customFormat="1">
      <c r="A355" s="2918"/>
      <c r="B355" s="2927"/>
      <c r="C355" s="2920"/>
      <c r="D355" s="2925"/>
      <c r="E355" s="2926"/>
      <c r="F355" s="2926"/>
      <c r="G355" s="2926"/>
      <c r="H355" s="2924"/>
    </row>
    <row r="356" spans="1:8" s="2785" customFormat="1" ht="15.9" hidden="1" customHeight="1">
      <c r="A356" s="2918"/>
      <c r="B356" s="2927"/>
      <c r="C356" s="2920"/>
      <c r="D356" s="2918" t="str">
        <f>'Road-furniture '!B25</f>
        <v>District Panchayat Raj Engineer,</v>
      </c>
      <c r="E356" s="3558" t="str">
        <f>'Road-furniture '!D25</f>
        <v>Superintending Engineer</v>
      </c>
      <c r="F356" s="3558"/>
      <c r="G356" s="3558"/>
      <c r="H356" s="2924"/>
    </row>
    <row r="357" spans="1:8" s="2785" customFormat="1" ht="15.9" hidden="1" customHeight="1">
      <c r="A357" s="2918"/>
      <c r="B357" s="2927"/>
      <c r="C357" s="2920"/>
      <c r="D357" s="2918" t="str">
        <f>'Road-furniture '!B26</f>
        <v>PR Division, Narayanpet</v>
      </c>
      <c r="E357" s="3559" t="str">
        <f>'Road-furniture '!D26</f>
        <v>PR, Circle, Vikarabad</v>
      </c>
      <c r="F357" s="3559"/>
      <c r="G357" s="3559"/>
      <c r="H357" s="2924"/>
    </row>
    <row r="358" spans="1:8" s="2785" customFormat="1">
      <c r="A358" s="2918"/>
      <c r="B358" s="2927"/>
      <c r="C358" s="2920"/>
      <c r="D358" s="2925"/>
      <c r="E358" s="2926"/>
      <c r="F358" s="2926"/>
      <c r="G358" s="2926"/>
      <c r="H358" s="2924"/>
    </row>
    <row r="359" spans="1:8">
      <c r="A359" s="2911"/>
      <c r="B359" s="2928"/>
      <c r="C359" s="2913"/>
      <c r="D359" s="2929" t="str">
        <f>'Slab-Culverts Data'!C681</f>
        <v>District Panchayat Raj Engineer,</v>
      </c>
      <c r="E359" s="2917"/>
      <c r="F359" s="3560" t="str">
        <f>'Slab-Culverts Data'!G681</f>
        <v>Superintending Engineer</v>
      </c>
      <c r="G359" s="3560"/>
      <c r="H359" s="2930"/>
    </row>
    <row r="360" spans="1:8">
      <c r="A360" s="2911"/>
      <c r="B360" s="2928"/>
      <c r="C360" s="2913"/>
      <c r="D360" s="2929" t="str">
        <f>'Slab-Culverts Data'!C682</f>
        <v>PR Division, Narayanpet</v>
      </c>
      <c r="E360" s="2917"/>
      <c r="F360" s="3561" t="str">
        <f>'Slab-Culverts Data'!G682</f>
        <v>PR, Circle, Vikarabad</v>
      </c>
      <c r="G360" s="3561"/>
      <c r="H360" s="2930"/>
    </row>
  </sheetData>
  <mergeCells count="39">
    <mergeCell ref="A121:A122"/>
    <mergeCell ref="A211:A212"/>
    <mergeCell ref="A230:A231"/>
    <mergeCell ref="A308:A309"/>
    <mergeCell ref="E353:G353"/>
    <mergeCell ref="D163:H163"/>
    <mergeCell ref="D164:H164"/>
    <mergeCell ref="D167:G167"/>
    <mergeCell ref="D193:G193"/>
    <mergeCell ref="D194:G194"/>
    <mergeCell ref="D123:G123"/>
    <mergeCell ref="D140:E140"/>
    <mergeCell ref="D141:E141"/>
    <mergeCell ref="D161:H161"/>
    <mergeCell ref="D162:H162"/>
    <mergeCell ref="E356:G356"/>
    <mergeCell ref="E357:G357"/>
    <mergeCell ref="F359:G359"/>
    <mergeCell ref="F360:G360"/>
    <mergeCell ref="D212:G212"/>
    <mergeCell ref="D231:G231"/>
    <mergeCell ref="D308:H308"/>
    <mergeCell ref="D309:G309"/>
    <mergeCell ref="E352:G352"/>
    <mergeCell ref="D39:G39"/>
    <mergeCell ref="D40:G40"/>
    <mergeCell ref="D65:G65"/>
    <mergeCell ref="D87:G87"/>
    <mergeCell ref="A120:H120"/>
    <mergeCell ref="B6:D6"/>
    <mergeCell ref="B8:D8"/>
    <mergeCell ref="A9:H9"/>
    <mergeCell ref="D10:G10"/>
    <mergeCell ref="D24:G24"/>
    <mergeCell ref="A1:H1"/>
    <mergeCell ref="A2:H2"/>
    <mergeCell ref="B3:C3"/>
    <mergeCell ref="B4:C4"/>
    <mergeCell ref="B5:D5"/>
  </mergeCells>
  <printOptions horizontalCentered="1"/>
  <pageMargins left="0.59055118110236204" right="0.196850393700787" top="0.59055118110236204" bottom="0.39370078740157499" header="0.23622047244094499" footer="0.196850393700787"/>
  <pageSetup paperSize="9" scale="98" firstPageNumber="441" orientation="portrait" useFirstPageNumber="1" r:id="rId1"/>
  <headerFooter alignWithMargins="0">
    <oddHeader>&amp;R&amp;"Arial,Bold"RBR-TSRA</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tabColor rgb="FF008000"/>
  </sheetPr>
  <dimension ref="A1:K29"/>
  <sheetViews>
    <sheetView view="pageBreakPreview" topLeftCell="A13" zoomScale="130" workbookViewId="0">
      <selection activeCell="F9" sqref="F9"/>
    </sheetView>
  </sheetViews>
  <sheetFormatPr defaultColWidth="7.88671875" defaultRowHeight="13.8"/>
  <cols>
    <col min="1" max="1" width="6.5546875" style="2431" customWidth="1"/>
    <col min="2" max="2" width="46.33203125" style="2430" customWidth="1"/>
    <col min="3" max="3" width="8.44140625" style="2430" customWidth="1"/>
    <col min="4" max="4" width="15" style="2430" customWidth="1"/>
    <col min="5" max="5" width="17.33203125" style="2431" customWidth="1"/>
    <col min="6" max="6" width="16.33203125" style="2430" customWidth="1"/>
    <col min="7" max="7" width="14.88671875" style="2431" customWidth="1"/>
    <col min="8" max="256" width="7.88671875" style="2430"/>
    <col min="257" max="257" width="6.5546875" style="2430" customWidth="1"/>
    <col min="258" max="258" width="46.33203125" style="2430" customWidth="1"/>
    <col min="259" max="259" width="8.44140625" style="2430" customWidth="1"/>
    <col min="260" max="260" width="15" style="2430" customWidth="1"/>
    <col min="261" max="261" width="17.33203125" style="2430" customWidth="1"/>
    <col min="262" max="262" width="16.33203125" style="2430" customWidth="1"/>
    <col min="263" max="263" width="14.88671875" style="2430" customWidth="1"/>
    <col min="264" max="512" width="7.88671875" style="2430"/>
    <col min="513" max="513" width="6.5546875" style="2430" customWidth="1"/>
    <col min="514" max="514" width="46.33203125" style="2430" customWidth="1"/>
    <col min="515" max="515" width="8.44140625" style="2430" customWidth="1"/>
    <col min="516" max="516" width="15" style="2430" customWidth="1"/>
    <col min="517" max="517" width="17.33203125" style="2430" customWidth="1"/>
    <col min="518" max="518" width="16.33203125" style="2430" customWidth="1"/>
    <col min="519" max="519" width="14.88671875" style="2430" customWidth="1"/>
    <col min="520" max="768" width="7.88671875" style="2430"/>
    <col min="769" max="769" width="6.5546875" style="2430" customWidth="1"/>
    <col min="770" max="770" width="46.33203125" style="2430" customWidth="1"/>
    <col min="771" max="771" width="8.44140625" style="2430" customWidth="1"/>
    <col min="772" max="772" width="15" style="2430" customWidth="1"/>
    <col min="773" max="773" width="17.33203125" style="2430" customWidth="1"/>
    <col min="774" max="774" width="16.33203125" style="2430" customWidth="1"/>
    <col min="775" max="775" width="14.88671875" style="2430" customWidth="1"/>
    <col min="776" max="1024" width="7.88671875" style="2430"/>
    <col min="1025" max="1025" width="6.5546875" style="2430" customWidth="1"/>
    <col min="1026" max="1026" width="46.33203125" style="2430" customWidth="1"/>
    <col min="1027" max="1027" width="8.44140625" style="2430" customWidth="1"/>
    <col min="1028" max="1028" width="15" style="2430" customWidth="1"/>
    <col min="1029" max="1029" width="17.33203125" style="2430" customWidth="1"/>
    <col min="1030" max="1030" width="16.33203125" style="2430" customWidth="1"/>
    <col min="1031" max="1031" width="14.88671875" style="2430" customWidth="1"/>
    <col min="1032" max="1280" width="7.88671875" style="2430"/>
    <col min="1281" max="1281" width="6.5546875" style="2430" customWidth="1"/>
    <col min="1282" max="1282" width="46.33203125" style="2430" customWidth="1"/>
    <col min="1283" max="1283" width="8.44140625" style="2430" customWidth="1"/>
    <col min="1284" max="1284" width="15" style="2430" customWidth="1"/>
    <col min="1285" max="1285" width="17.33203125" style="2430" customWidth="1"/>
    <col min="1286" max="1286" width="16.33203125" style="2430" customWidth="1"/>
    <col min="1287" max="1287" width="14.88671875" style="2430" customWidth="1"/>
    <col min="1288" max="1536" width="7.88671875" style="2430"/>
    <col min="1537" max="1537" width="6.5546875" style="2430" customWidth="1"/>
    <col min="1538" max="1538" width="46.33203125" style="2430" customWidth="1"/>
    <col min="1539" max="1539" width="8.44140625" style="2430" customWidth="1"/>
    <col min="1540" max="1540" width="15" style="2430" customWidth="1"/>
    <col min="1541" max="1541" width="17.33203125" style="2430" customWidth="1"/>
    <col min="1542" max="1542" width="16.33203125" style="2430" customWidth="1"/>
    <col min="1543" max="1543" width="14.88671875" style="2430" customWidth="1"/>
    <col min="1544" max="1792" width="7.88671875" style="2430"/>
    <col min="1793" max="1793" width="6.5546875" style="2430" customWidth="1"/>
    <col min="1794" max="1794" width="46.33203125" style="2430" customWidth="1"/>
    <col min="1795" max="1795" width="8.44140625" style="2430" customWidth="1"/>
    <col min="1796" max="1796" width="15" style="2430" customWidth="1"/>
    <col min="1797" max="1797" width="17.33203125" style="2430" customWidth="1"/>
    <col min="1798" max="1798" width="16.33203125" style="2430" customWidth="1"/>
    <col min="1799" max="1799" width="14.88671875" style="2430" customWidth="1"/>
    <col min="1800" max="2048" width="7.88671875" style="2430"/>
    <col min="2049" max="2049" width="6.5546875" style="2430" customWidth="1"/>
    <col min="2050" max="2050" width="46.33203125" style="2430" customWidth="1"/>
    <col min="2051" max="2051" width="8.44140625" style="2430" customWidth="1"/>
    <col min="2052" max="2052" width="15" style="2430" customWidth="1"/>
    <col min="2053" max="2053" width="17.33203125" style="2430" customWidth="1"/>
    <col min="2054" max="2054" width="16.33203125" style="2430" customWidth="1"/>
    <col min="2055" max="2055" width="14.88671875" style="2430" customWidth="1"/>
    <col min="2056" max="2304" width="7.88671875" style="2430"/>
    <col min="2305" max="2305" width="6.5546875" style="2430" customWidth="1"/>
    <col min="2306" max="2306" width="46.33203125" style="2430" customWidth="1"/>
    <col min="2307" max="2307" width="8.44140625" style="2430" customWidth="1"/>
    <col min="2308" max="2308" width="15" style="2430" customWidth="1"/>
    <col min="2309" max="2309" width="17.33203125" style="2430" customWidth="1"/>
    <col min="2310" max="2310" width="16.33203125" style="2430" customWidth="1"/>
    <col min="2311" max="2311" width="14.88671875" style="2430" customWidth="1"/>
    <col min="2312" max="2560" width="7.88671875" style="2430"/>
    <col min="2561" max="2561" width="6.5546875" style="2430" customWidth="1"/>
    <col min="2562" max="2562" width="46.33203125" style="2430" customWidth="1"/>
    <col min="2563" max="2563" width="8.44140625" style="2430" customWidth="1"/>
    <col min="2564" max="2564" width="15" style="2430" customWidth="1"/>
    <col min="2565" max="2565" width="17.33203125" style="2430" customWidth="1"/>
    <col min="2566" max="2566" width="16.33203125" style="2430" customWidth="1"/>
    <col min="2567" max="2567" width="14.88671875" style="2430" customWidth="1"/>
    <col min="2568" max="2816" width="7.88671875" style="2430"/>
    <col min="2817" max="2817" width="6.5546875" style="2430" customWidth="1"/>
    <col min="2818" max="2818" width="46.33203125" style="2430" customWidth="1"/>
    <col min="2819" max="2819" width="8.44140625" style="2430" customWidth="1"/>
    <col min="2820" max="2820" width="15" style="2430" customWidth="1"/>
    <col min="2821" max="2821" width="17.33203125" style="2430" customWidth="1"/>
    <col min="2822" max="2822" width="16.33203125" style="2430" customWidth="1"/>
    <col min="2823" max="2823" width="14.88671875" style="2430" customWidth="1"/>
    <col min="2824" max="3072" width="7.88671875" style="2430"/>
    <col min="3073" max="3073" width="6.5546875" style="2430" customWidth="1"/>
    <col min="3074" max="3074" width="46.33203125" style="2430" customWidth="1"/>
    <col min="3075" max="3075" width="8.44140625" style="2430" customWidth="1"/>
    <col min="3076" max="3076" width="15" style="2430" customWidth="1"/>
    <col min="3077" max="3077" width="17.33203125" style="2430" customWidth="1"/>
    <col min="3078" max="3078" width="16.33203125" style="2430" customWidth="1"/>
    <col min="3079" max="3079" width="14.88671875" style="2430" customWidth="1"/>
    <col min="3080" max="3328" width="7.88671875" style="2430"/>
    <col min="3329" max="3329" width="6.5546875" style="2430" customWidth="1"/>
    <col min="3330" max="3330" width="46.33203125" style="2430" customWidth="1"/>
    <col min="3331" max="3331" width="8.44140625" style="2430" customWidth="1"/>
    <col min="3332" max="3332" width="15" style="2430" customWidth="1"/>
    <col min="3333" max="3333" width="17.33203125" style="2430" customWidth="1"/>
    <col min="3334" max="3334" width="16.33203125" style="2430" customWidth="1"/>
    <col min="3335" max="3335" width="14.88671875" style="2430" customWidth="1"/>
    <col min="3336" max="3584" width="7.88671875" style="2430"/>
    <col min="3585" max="3585" width="6.5546875" style="2430" customWidth="1"/>
    <col min="3586" max="3586" width="46.33203125" style="2430" customWidth="1"/>
    <col min="3587" max="3587" width="8.44140625" style="2430" customWidth="1"/>
    <col min="3588" max="3588" width="15" style="2430" customWidth="1"/>
    <col min="3589" max="3589" width="17.33203125" style="2430" customWidth="1"/>
    <col min="3590" max="3590" width="16.33203125" style="2430" customWidth="1"/>
    <col min="3591" max="3591" width="14.88671875" style="2430" customWidth="1"/>
    <col min="3592" max="3840" width="7.88671875" style="2430"/>
    <col min="3841" max="3841" width="6.5546875" style="2430" customWidth="1"/>
    <col min="3842" max="3842" width="46.33203125" style="2430" customWidth="1"/>
    <col min="3843" max="3843" width="8.44140625" style="2430" customWidth="1"/>
    <col min="3844" max="3844" width="15" style="2430" customWidth="1"/>
    <col min="3845" max="3845" width="17.33203125" style="2430" customWidth="1"/>
    <col min="3846" max="3846" width="16.33203125" style="2430" customWidth="1"/>
    <col min="3847" max="3847" width="14.88671875" style="2430" customWidth="1"/>
    <col min="3848" max="4096" width="7.88671875" style="2430"/>
    <col min="4097" max="4097" width="6.5546875" style="2430" customWidth="1"/>
    <col min="4098" max="4098" width="46.33203125" style="2430" customWidth="1"/>
    <col min="4099" max="4099" width="8.44140625" style="2430" customWidth="1"/>
    <col min="4100" max="4100" width="15" style="2430" customWidth="1"/>
    <col min="4101" max="4101" width="17.33203125" style="2430" customWidth="1"/>
    <col min="4102" max="4102" width="16.33203125" style="2430" customWidth="1"/>
    <col min="4103" max="4103" width="14.88671875" style="2430" customWidth="1"/>
    <col min="4104" max="4352" width="7.88671875" style="2430"/>
    <col min="4353" max="4353" width="6.5546875" style="2430" customWidth="1"/>
    <col min="4354" max="4354" width="46.33203125" style="2430" customWidth="1"/>
    <col min="4355" max="4355" width="8.44140625" style="2430" customWidth="1"/>
    <col min="4356" max="4356" width="15" style="2430" customWidth="1"/>
    <col min="4357" max="4357" width="17.33203125" style="2430" customWidth="1"/>
    <col min="4358" max="4358" width="16.33203125" style="2430" customWidth="1"/>
    <col min="4359" max="4359" width="14.88671875" style="2430" customWidth="1"/>
    <col min="4360" max="4608" width="7.88671875" style="2430"/>
    <col min="4609" max="4609" width="6.5546875" style="2430" customWidth="1"/>
    <col min="4610" max="4610" width="46.33203125" style="2430" customWidth="1"/>
    <col min="4611" max="4611" width="8.44140625" style="2430" customWidth="1"/>
    <col min="4612" max="4612" width="15" style="2430" customWidth="1"/>
    <col min="4613" max="4613" width="17.33203125" style="2430" customWidth="1"/>
    <col min="4614" max="4614" width="16.33203125" style="2430" customWidth="1"/>
    <col min="4615" max="4615" width="14.88671875" style="2430" customWidth="1"/>
    <col min="4616" max="4864" width="7.88671875" style="2430"/>
    <col min="4865" max="4865" width="6.5546875" style="2430" customWidth="1"/>
    <col min="4866" max="4866" width="46.33203125" style="2430" customWidth="1"/>
    <col min="4867" max="4867" width="8.44140625" style="2430" customWidth="1"/>
    <col min="4868" max="4868" width="15" style="2430" customWidth="1"/>
    <col min="4869" max="4869" width="17.33203125" style="2430" customWidth="1"/>
    <col min="4870" max="4870" width="16.33203125" style="2430" customWidth="1"/>
    <col min="4871" max="4871" width="14.88671875" style="2430" customWidth="1"/>
    <col min="4872" max="5120" width="7.88671875" style="2430"/>
    <col min="5121" max="5121" width="6.5546875" style="2430" customWidth="1"/>
    <col min="5122" max="5122" width="46.33203125" style="2430" customWidth="1"/>
    <col min="5123" max="5123" width="8.44140625" style="2430" customWidth="1"/>
    <col min="5124" max="5124" width="15" style="2430" customWidth="1"/>
    <col min="5125" max="5125" width="17.33203125" style="2430" customWidth="1"/>
    <col min="5126" max="5126" width="16.33203125" style="2430" customWidth="1"/>
    <col min="5127" max="5127" width="14.88671875" style="2430" customWidth="1"/>
    <col min="5128" max="5376" width="7.88671875" style="2430"/>
    <col min="5377" max="5377" width="6.5546875" style="2430" customWidth="1"/>
    <col min="5378" max="5378" width="46.33203125" style="2430" customWidth="1"/>
    <col min="5379" max="5379" width="8.44140625" style="2430" customWidth="1"/>
    <col min="5380" max="5380" width="15" style="2430" customWidth="1"/>
    <col min="5381" max="5381" width="17.33203125" style="2430" customWidth="1"/>
    <col min="5382" max="5382" width="16.33203125" style="2430" customWidth="1"/>
    <col min="5383" max="5383" width="14.88671875" style="2430" customWidth="1"/>
    <col min="5384" max="5632" width="7.88671875" style="2430"/>
    <col min="5633" max="5633" width="6.5546875" style="2430" customWidth="1"/>
    <col min="5634" max="5634" width="46.33203125" style="2430" customWidth="1"/>
    <col min="5635" max="5635" width="8.44140625" style="2430" customWidth="1"/>
    <col min="5636" max="5636" width="15" style="2430" customWidth="1"/>
    <col min="5637" max="5637" width="17.33203125" style="2430" customWidth="1"/>
    <col min="5638" max="5638" width="16.33203125" style="2430" customWidth="1"/>
    <col min="5639" max="5639" width="14.88671875" style="2430" customWidth="1"/>
    <col min="5640" max="5888" width="7.88671875" style="2430"/>
    <col min="5889" max="5889" width="6.5546875" style="2430" customWidth="1"/>
    <col min="5890" max="5890" width="46.33203125" style="2430" customWidth="1"/>
    <col min="5891" max="5891" width="8.44140625" style="2430" customWidth="1"/>
    <col min="5892" max="5892" width="15" style="2430" customWidth="1"/>
    <col min="5893" max="5893" width="17.33203125" style="2430" customWidth="1"/>
    <col min="5894" max="5894" width="16.33203125" style="2430" customWidth="1"/>
    <col min="5895" max="5895" width="14.88671875" style="2430" customWidth="1"/>
    <col min="5896" max="6144" width="7.88671875" style="2430"/>
    <col min="6145" max="6145" width="6.5546875" style="2430" customWidth="1"/>
    <col min="6146" max="6146" width="46.33203125" style="2430" customWidth="1"/>
    <col min="6147" max="6147" width="8.44140625" style="2430" customWidth="1"/>
    <col min="6148" max="6148" width="15" style="2430" customWidth="1"/>
    <col min="6149" max="6149" width="17.33203125" style="2430" customWidth="1"/>
    <col min="6150" max="6150" width="16.33203125" style="2430" customWidth="1"/>
    <col min="6151" max="6151" width="14.88671875" style="2430" customWidth="1"/>
    <col min="6152" max="6400" width="7.88671875" style="2430"/>
    <col min="6401" max="6401" width="6.5546875" style="2430" customWidth="1"/>
    <col min="6402" max="6402" width="46.33203125" style="2430" customWidth="1"/>
    <col min="6403" max="6403" width="8.44140625" style="2430" customWidth="1"/>
    <col min="6404" max="6404" width="15" style="2430" customWidth="1"/>
    <col min="6405" max="6405" width="17.33203125" style="2430" customWidth="1"/>
    <col min="6406" max="6406" width="16.33203125" style="2430" customWidth="1"/>
    <col min="6407" max="6407" width="14.88671875" style="2430" customWidth="1"/>
    <col min="6408" max="6656" width="7.88671875" style="2430"/>
    <col min="6657" max="6657" width="6.5546875" style="2430" customWidth="1"/>
    <col min="6658" max="6658" width="46.33203125" style="2430" customWidth="1"/>
    <col min="6659" max="6659" width="8.44140625" style="2430" customWidth="1"/>
    <col min="6660" max="6660" width="15" style="2430" customWidth="1"/>
    <col min="6661" max="6661" width="17.33203125" style="2430" customWidth="1"/>
    <col min="6662" max="6662" width="16.33203125" style="2430" customWidth="1"/>
    <col min="6663" max="6663" width="14.88671875" style="2430" customWidth="1"/>
    <col min="6664" max="6912" width="7.88671875" style="2430"/>
    <col min="6913" max="6913" width="6.5546875" style="2430" customWidth="1"/>
    <col min="6914" max="6914" width="46.33203125" style="2430" customWidth="1"/>
    <col min="6915" max="6915" width="8.44140625" style="2430" customWidth="1"/>
    <col min="6916" max="6916" width="15" style="2430" customWidth="1"/>
    <col min="6917" max="6917" width="17.33203125" style="2430" customWidth="1"/>
    <col min="6918" max="6918" width="16.33203125" style="2430" customWidth="1"/>
    <col min="6919" max="6919" width="14.88671875" style="2430" customWidth="1"/>
    <col min="6920" max="7168" width="7.88671875" style="2430"/>
    <col min="7169" max="7169" width="6.5546875" style="2430" customWidth="1"/>
    <col min="7170" max="7170" width="46.33203125" style="2430" customWidth="1"/>
    <col min="7171" max="7171" width="8.44140625" style="2430" customWidth="1"/>
    <col min="7172" max="7172" width="15" style="2430" customWidth="1"/>
    <col min="7173" max="7173" width="17.33203125" style="2430" customWidth="1"/>
    <col min="7174" max="7174" width="16.33203125" style="2430" customWidth="1"/>
    <col min="7175" max="7175" width="14.88671875" style="2430" customWidth="1"/>
    <col min="7176" max="7424" width="7.88671875" style="2430"/>
    <col min="7425" max="7425" width="6.5546875" style="2430" customWidth="1"/>
    <col min="7426" max="7426" width="46.33203125" style="2430" customWidth="1"/>
    <col min="7427" max="7427" width="8.44140625" style="2430" customWidth="1"/>
    <col min="7428" max="7428" width="15" style="2430" customWidth="1"/>
    <col min="7429" max="7429" width="17.33203125" style="2430" customWidth="1"/>
    <col min="7430" max="7430" width="16.33203125" style="2430" customWidth="1"/>
    <col min="7431" max="7431" width="14.88671875" style="2430" customWidth="1"/>
    <col min="7432" max="7680" width="7.88671875" style="2430"/>
    <col min="7681" max="7681" width="6.5546875" style="2430" customWidth="1"/>
    <col min="7682" max="7682" width="46.33203125" style="2430" customWidth="1"/>
    <col min="7683" max="7683" width="8.44140625" style="2430" customWidth="1"/>
    <col min="7684" max="7684" width="15" style="2430" customWidth="1"/>
    <col min="7685" max="7685" width="17.33203125" style="2430" customWidth="1"/>
    <col min="7686" max="7686" width="16.33203125" style="2430" customWidth="1"/>
    <col min="7687" max="7687" width="14.88671875" style="2430" customWidth="1"/>
    <col min="7688" max="7936" width="7.88671875" style="2430"/>
    <col min="7937" max="7937" width="6.5546875" style="2430" customWidth="1"/>
    <col min="7938" max="7938" width="46.33203125" style="2430" customWidth="1"/>
    <col min="7939" max="7939" width="8.44140625" style="2430" customWidth="1"/>
    <col min="7940" max="7940" width="15" style="2430" customWidth="1"/>
    <col min="7941" max="7941" width="17.33203125" style="2430" customWidth="1"/>
    <col min="7942" max="7942" width="16.33203125" style="2430" customWidth="1"/>
    <col min="7943" max="7943" width="14.88671875" style="2430" customWidth="1"/>
    <col min="7944" max="8192" width="7.88671875" style="2430"/>
    <col min="8193" max="8193" width="6.5546875" style="2430" customWidth="1"/>
    <col min="8194" max="8194" width="46.33203125" style="2430" customWidth="1"/>
    <col min="8195" max="8195" width="8.44140625" style="2430" customWidth="1"/>
    <col min="8196" max="8196" width="15" style="2430" customWidth="1"/>
    <col min="8197" max="8197" width="17.33203125" style="2430" customWidth="1"/>
    <col min="8198" max="8198" width="16.33203125" style="2430" customWidth="1"/>
    <col min="8199" max="8199" width="14.88671875" style="2430" customWidth="1"/>
    <col min="8200" max="8448" width="7.88671875" style="2430"/>
    <col min="8449" max="8449" width="6.5546875" style="2430" customWidth="1"/>
    <col min="8450" max="8450" width="46.33203125" style="2430" customWidth="1"/>
    <col min="8451" max="8451" width="8.44140625" style="2430" customWidth="1"/>
    <col min="8452" max="8452" width="15" style="2430" customWidth="1"/>
    <col min="8453" max="8453" width="17.33203125" style="2430" customWidth="1"/>
    <col min="8454" max="8454" width="16.33203125" style="2430" customWidth="1"/>
    <col min="8455" max="8455" width="14.88671875" style="2430" customWidth="1"/>
    <col min="8456" max="8704" width="7.88671875" style="2430"/>
    <col min="8705" max="8705" width="6.5546875" style="2430" customWidth="1"/>
    <col min="8706" max="8706" width="46.33203125" style="2430" customWidth="1"/>
    <col min="8707" max="8707" width="8.44140625" style="2430" customWidth="1"/>
    <col min="8708" max="8708" width="15" style="2430" customWidth="1"/>
    <col min="8709" max="8709" width="17.33203125" style="2430" customWidth="1"/>
    <col min="8710" max="8710" width="16.33203125" style="2430" customWidth="1"/>
    <col min="8711" max="8711" width="14.88671875" style="2430" customWidth="1"/>
    <col min="8712" max="8960" width="7.88671875" style="2430"/>
    <col min="8961" max="8961" width="6.5546875" style="2430" customWidth="1"/>
    <col min="8962" max="8962" width="46.33203125" style="2430" customWidth="1"/>
    <col min="8963" max="8963" width="8.44140625" style="2430" customWidth="1"/>
    <col min="8964" max="8964" width="15" style="2430" customWidth="1"/>
    <col min="8965" max="8965" width="17.33203125" style="2430" customWidth="1"/>
    <col min="8966" max="8966" width="16.33203125" style="2430" customWidth="1"/>
    <col min="8967" max="8967" width="14.88671875" style="2430" customWidth="1"/>
    <col min="8968" max="9216" width="7.88671875" style="2430"/>
    <col min="9217" max="9217" width="6.5546875" style="2430" customWidth="1"/>
    <col min="9218" max="9218" width="46.33203125" style="2430" customWidth="1"/>
    <col min="9219" max="9219" width="8.44140625" style="2430" customWidth="1"/>
    <col min="9220" max="9220" width="15" style="2430" customWidth="1"/>
    <col min="9221" max="9221" width="17.33203125" style="2430" customWidth="1"/>
    <col min="9222" max="9222" width="16.33203125" style="2430" customWidth="1"/>
    <col min="9223" max="9223" width="14.88671875" style="2430" customWidth="1"/>
    <col min="9224" max="9472" width="7.88671875" style="2430"/>
    <col min="9473" max="9473" width="6.5546875" style="2430" customWidth="1"/>
    <col min="9474" max="9474" width="46.33203125" style="2430" customWidth="1"/>
    <col min="9475" max="9475" width="8.44140625" style="2430" customWidth="1"/>
    <col min="9476" max="9476" width="15" style="2430" customWidth="1"/>
    <col min="9477" max="9477" width="17.33203125" style="2430" customWidth="1"/>
    <col min="9478" max="9478" width="16.33203125" style="2430" customWidth="1"/>
    <col min="9479" max="9479" width="14.88671875" style="2430" customWidth="1"/>
    <col min="9480" max="9728" width="7.88671875" style="2430"/>
    <col min="9729" max="9729" width="6.5546875" style="2430" customWidth="1"/>
    <col min="9730" max="9730" width="46.33203125" style="2430" customWidth="1"/>
    <col min="9731" max="9731" width="8.44140625" style="2430" customWidth="1"/>
    <col min="9732" max="9732" width="15" style="2430" customWidth="1"/>
    <col min="9733" max="9733" width="17.33203125" style="2430" customWidth="1"/>
    <col min="9734" max="9734" width="16.33203125" style="2430" customWidth="1"/>
    <col min="9735" max="9735" width="14.88671875" style="2430" customWidth="1"/>
    <col min="9736" max="9984" width="7.88671875" style="2430"/>
    <col min="9985" max="9985" width="6.5546875" style="2430" customWidth="1"/>
    <col min="9986" max="9986" width="46.33203125" style="2430" customWidth="1"/>
    <col min="9987" max="9987" width="8.44140625" style="2430" customWidth="1"/>
    <col min="9988" max="9988" width="15" style="2430" customWidth="1"/>
    <col min="9989" max="9989" width="17.33203125" style="2430" customWidth="1"/>
    <col min="9990" max="9990" width="16.33203125" style="2430" customWidth="1"/>
    <col min="9991" max="9991" width="14.88671875" style="2430" customWidth="1"/>
    <col min="9992" max="10240" width="7.88671875" style="2430"/>
    <col min="10241" max="10241" width="6.5546875" style="2430" customWidth="1"/>
    <col min="10242" max="10242" width="46.33203125" style="2430" customWidth="1"/>
    <col min="10243" max="10243" width="8.44140625" style="2430" customWidth="1"/>
    <col min="10244" max="10244" width="15" style="2430" customWidth="1"/>
    <col min="10245" max="10245" width="17.33203125" style="2430" customWidth="1"/>
    <col min="10246" max="10246" width="16.33203125" style="2430" customWidth="1"/>
    <col min="10247" max="10247" width="14.88671875" style="2430" customWidth="1"/>
    <col min="10248" max="10496" width="7.88671875" style="2430"/>
    <col min="10497" max="10497" width="6.5546875" style="2430" customWidth="1"/>
    <col min="10498" max="10498" width="46.33203125" style="2430" customWidth="1"/>
    <col min="10499" max="10499" width="8.44140625" style="2430" customWidth="1"/>
    <col min="10500" max="10500" width="15" style="2430" customWidth="1"/>
    <col min="10501" max="10501" width="17.33203125" style="2430" customWidth="1"/>
    <col min="10502" max="10502" width="16.33203125" style="2430" customWidth="1"/>
    <col min="10503" max="10503" width="14.88671875" style="2430" customWidth="1"/>
    <col min="10504" max="10752" width="7.88671875" style="2430"/>
    <col min="10753" max="10753" width="6.5546875" style="2430" customWidth="1"/>
    <col min="10754" max="10754" width="46.33203125" style="2430" customWidth="1"/>
    <col min="10755" max="10755" width="8.44140625" style="2430" customWidth="1"/>
    <col min="10756" max="10756" width="15" style="2430" customWidth="1"/>
    <col min="10757" max="10757" width="17.33203125" style="2430" customWidth="1"/>
    <col min="10758" max="10758" width="16.33203125" style="2430" customWidth="1"/>
    <col min="10759" max="10759" width="14.88671875" style="2430" customWidth="1"/>
    <col min="10760" max="11008" width="7.88671875" style="2430"/>
    <col min="11009" max="11009" width="6.5546875" style="2430" customWidth="1"/>
    <col min="11010" max="11010" width="46.33203125" style="2430" customWidth="1"/>
    <col min="11011" max="11011" width="8.44140625" style="2430" customWidth="1"/>
    <col min="11012" max="11012" width="15" style="2430" customWidth="1"/>
    <col min="11013" max="11013" width="17.33203125" style="2430" customWidth="1"/>
    <col min="11014" max="11014" width="16.33203125" style="2430" customWidth="1"/>
    <col min="11015" max="11015" width="14.88671875" style="2430" customWidth="1"/>
    <col min="11016" max="11264" width="7.88671875" style="2430"/>
    <col min="11265" max="11265" width="6.5546875" style="2430" customWidth="1"/>
    <col min="11266" max="11266" width="46.33203125" style="2430" customWidth="1"/>
    <col min="11267" max="11267" width="8.44140625" style="2430" customWidth="1"/>
    <col min="11268" max="11268" width="15" style="2430" customWidth="1"/>
    <col min="11269" max="11269" width="17.33203125" style="2430" customWidth="1"/>
    <col min="11270" max="11270" width="16.33203125" style="2430" customWidth="1"/>
    <col min="11271" max="11271" width="14.88671875" style="2430" customWidth="1"/>
    <col min="11272" max="11520" width="7.88671875" style="2430"/>
    <col min="11521" max="11521" width="6.5546875" style="2430" customWidth="1"/>
    <col min="11522" max="11522" width="46.33203125" style="2430" customWidth="1"/>
    <col min="11523" max="11523" width="8.44140625" style="2430" customWidth="1"/>
    <col min="11524" max="11524" width="15" style="2430" customWidth="1"/>
    <col min="11525" max="11525" width="17.33203125" style="2430" customWidth="1"/>
    <col min="11526" max="11526" width="16.33203125" style="2430" customWidth="1"/>
    <col min="11527" max="11527" width="14.88671875" style="2430" customWidth="1"/>
    <col min="11528" max="11776" width="7.88671875" style="2430"/>
    <col min="11777" max="11777" width="6.5546875" style="2430" customWidth="1"/>
    <col min="11778" max="11778" width="46.33203125" style="2430" customWidth="1"/>
    <col min="11779" max="11779" width="8.44140625" style="2430" customWidth="1"/>
    <col min="11780" max="11780" width="15" style="2430" customWidth="1"/>
    <col min="11781" max="11781" width="17.33203125" style="2430" customWidth="1"/>
    <col min="11782" max="11782" width="16.33203125" style="2430" customWidth="1"/>
    <col min="11783" max="11783" width="14.88671875" style="2430" customWidth="1"/>
    <col min="11784" max="12032" width="7.88671875" style="2430"/>
    <col min="12033" max="12033" width="6.5546875" style="2430" customWidth="1"/>
    <col min="12034" max="12034" width="46.33203125" style="2430" customWidth="1"/>
    <col min="12035" max="12035" width="8.44140625" style="2430" customWidth="1"/>
    <col min="12036" max="12036" width="15" style="2430" customWidth="1"/>
    <col min="12037" max="12037" width="17.33203125" style="2430" customWidth="1"/>
    <col min="12038" max="12038" width="16.33203125" style="2430" customWidth="1"/>
    <col min="12039" max="12039" width="14.88671875" style="2430" customWidth="1"/>
    <col min="12040" max="12288" width="7.88671875" style="2430"/>
    <col min="12289" max="12289" width="6.5546875" style="2430" customWidth="1"/>
    <col min="12290" max="12290" width="46.33203125" style="2430" customWidth="1"/>
    <col min="12291" max="12291" width="8.44140625" style="2430" customWidth="1"/>
    <col min="12292" max="12292" width="15" style="2430" customWidth="1"/>
    <col min="12293" max="12293" width="17.33203125" style="2430" customWidth="1"/>
    <col min="12294" max="12294" width="16.33203125" style="2430" customWidth="1"/>
    <col min="12295" max="12295" width="14.88671875" style="2430" customWidth="1"/>
    <col min="12296" max="12544" width="7.88671875" style="2430"/>
    <col min="12545" max="12545" width="6.5546875" style="2430" customWidth="1"/>
    <col min="12546" max="12546" width="46.33203125" style="2430" customWidth="1"/>
    <col min="12547" max="12547" width="8.44140625" style="2430" customWidth="1"/>
    <col min="12548" max="12548" width="15" style="2430" customWidth="1"/>
    <col min="12549" max="12549" width="17.33203125" style="2430" customWidth="1"/>
    <col min="12550" max="12550" width="16.33203125" style="2430" customWidth="1"/>
    <col min="12551" max="12551" width="14.88671875" style="2430" customWidth="1"/>
    <col min="12552" max="12800" width="7.88671875" style="2430"/>
    <col min="12801" max="12801" width="6.5546875" style="2430" customWidth="1"/>
    <col min="12802" max="12802" width="46.33203125" style="2430" customWidth="1"/>
    <col min="12803" max="12803" width="8.44140625" style="2430" customWidth="1"/>
    <col min="12804" max="12804" width="15" style="2430" customWidth="1"/>
    <col min="12805" max="12805" width="17.33203125" style="2430" customWidth="1"/>
    <col min="12806" max="12806" width="16.33203125" style="2430" customWidth="1"/>
    <col min="12807" max="12807" width="14.88671875" style="2430" customWidth="1"/>
    <col min="12808" max="13056" width="7.88671875" style="2430"/>
    <col min="13057" max="13057" width="6.5546875" style="2430" customWidth="1"/>
    <col min="13058" max="13058" width="46.33203125" style="2430" customWidth="1"/>
    <col min="13059" max="13059" width="8.44140625" style="2430" customWidth="1"/>
    <col min="13060" max="13060" width="15" style="2430" customWidth="1"/>
    <col min="13061" max="13061" width="17.33203125" style="2430" customWidth="1"/>
    <col min="13062" max="13062" width="16.33203125" style="2430" customWidth="1"/>
    <col min="13063" max="13063" width="14.88671875" style="2430" customWidth="1"/>
    <col min="13064" max="13312" width="7.88671875" style="2430"/>
    <col min="13313" max="13313" width="6.5546875" style="2430" customWidth="1"/>
    <col min="13314" max="13314" width="46.33203125" style="2430" customWidth="1"/>
    <col min="13315" max="13315" width="8.44140625" style="2430" customWidth="1"/>
    <col min="13316" max="13316" width="15" style="2430" customWidth="1"/>
    <col min="13317" max="13317" width="17.33203125" style="2430" customWidth="1"/>
    <col min="13318" max="13318" width="16.33203125" style="2430" customWidth="1"/>
    <col min="13319" max="13319" width="14.88671875" style="2430" customWidth="1"/>
    <col min="13320" max="13568" width="7.88671875" style="2430"/>
    <col min="13569" max="13569" width="6.5546875" style="2430" customWidth="1"/>
    <col min="13570" max="13570" width="46.33203125" style="2430" customWidth="1"/>
    <col min="13571" max="13571" width="8.44140625" style="2430" customWidth="1"/>
    <col min="13572" max="13572" width="15" style="2430" customWidth="1"/>
    <col min="13573" max="13573" width="17.33203125" style="2430" customWidth="1"/>
    <col min="13574" max="13574" width="16.33203125" style="2430" customWidth="1"/>
    <col min="13575" max="13575" width="14.88671875" style="2430" customWidth="1"/>
    <col min="13576" max="13824" width="7.88671875" style="2430"/>
    <col min="13825" max="13825" width="6.5546875" style="2430" customWidth="1"/>
    <col min="13826" max="13826" width="46.33203125" style="2430" customWidth="1"/>
    <col min="13827" max="13827" width="8.44140625" style="2430" customWidth="1"/>
    <col min="13828" max="13828" width="15" style="2430" customWidth="1"/>
    <col min="13829" max="13829" width="17.33203125" style="2430" customWidth="1"/>
    <col min="13830" max="13830" width="16.33203125" style="2430" customWidth="1"/>
    <col min="13831" max="13831" width="14.88671875" style="2430" customWidth="1"/>
    <col min="13832" max="14080" width="7.88671875" style="2430"/>
    <col min="14081" max="14081" width="6.5546875" style="2430" customWidth="1"/>
    <col min="14082" max="14082" width="46.33203125" style="2430" customWidth="1"/>
    <col min="14083" max="14083" width="8.44140625" style="2430" customWidth="1"/>
    <col min="14084" max="14084" width="15" style="2430" customWidth="1"/>
    <col min="14085" max="14085" width="17.33203125" style="2430" customWidth="1"/>
    <col min="14086" max="14086" width="16.33203125" style="2430" customWidth="1"/>
    <col min="14087" max="14087" width="14.88671875" style="2430" customWidth="1"/>
    <col min="14088" max="14336" width="7.88671875" style="2430"/>
    <col min="14337" max="14337" width="6.5546875" style="2430" customWidth="1"/>
    <col min="14338" max="14338" width="46.33203125" style="2430" customWidth="1"/>
    <col min="14339" max="14339" width="8.44140625" style="2430" customWidth="1"/>
    <col min="14340" max="14340" width="15" style="2430" customWidth="1"/>
    <col min="14341" max="14341" width="17.33203125" style="2430" customWidth="1"/>
    <col min="14342" max="14342" width="16.33203125" style="2430" customWidth="1"/>
    <col min="14343" max="14343" width="14.88671875" style="2430" customWidth="1"/>
    <col min="14344" max="14592" width="7.88671875" style="2430"/>
    <col min="14593" max="14593" width="6.5546875" style="2430" customWidth="1"/>
    <col min="14594" max="14594" width="46.33203125" style="2430" customWidth="1"/>
    <col min="14595" max="14595" width="8.44140625" style="2430" customWidth="1"/>
    <col min="14596" max="14596" width="15" style="2430" customWidth="1"/>
    <col min="14597" max="14597" width="17.33203125" style="2430" customWidth="1"/>
    <col min="14598" max="14598" width="16.33203125" style="2430" customWidth="1"/>
    <col min="14599" max="14599" width="14.88671875" style="2430" customWidth="1"/>
    <col min="14600" max="14848" width="7.88671875" style="2430"/>
    <col min="14849" max="14849" width="6.5546875" style="2430" customWidth="1"/>
    <col min="14850" max="14850" width="46.33203125" style="2430" customWidth="1"/>
    <col min="14851" max="14851" width="8.44140625" style="2430" customWidth="1"/>
    <col min="14852" max="14852" width="15" style="2430" customWidth="1"/>
    <col min="14853" max="14853" width="17.33203125" style="2430" customWidth="1"/>
    <col min="14854" max="14854" width="16.33203125" style="2430" customWidth="1"/>
    <col min="14855" max="14855" width="14.88671875" style="2430" customWidth="1"/>
    <col min="14856" max="15104" width="7.88671875" style="2430"/>
    <col min="15105" max="15105" width="6.5546875" style="2430" customWidth="1"/>
    <col min="15106" max="15106" width="46.33203125" style="2430" customWidth="1"/>
    <col min="15107" max="15107" width="8.44140625" style="2430" customWidth="1"/>
    <col min="15108" max="15108" width="15" style="2430" customWidth="1"/>
    <col min="15109" max="15109" width="17.33203125" style="2430" customWidth="1"/>
    <col min="15110" max="15110" width="16.33203125" style="2430" customWidth="1"/>
    <col min="15111" max="15111" width="14.88671875" style="2430" customWidth="1"/>
    <col min="15112" max="15360" width="7.88671875" style="2430"/>
    <col min="15361" max="15361" width="6.5546875" style="2430" customWidth="1"/>
    <col min="15362" max="15362" width="46.33203125" style="2430" customWidth="1"/>
    <col min="15363" max="15363" width="8.44140625" style="2430" customWidth="1"/>
    <col min="15364" max="15364" width="15" style="2430" customWidth="1"/>
    <col min="15365" max="15365" width="17.33203125" style="2430" customWidth="1"/>
    <col min="15366" max="15366" width="16.33203125" style="2430" customWidth="1"/>
    <col min="15367" max="15367" width="14.88671875" style="2430" customWidth="1"/>
    <col min="15368" max="15616" width="7.88671875" style="2430"/>
    <col min="15617" max="15617" width="6.5546875" style="2430" customWidth="1"/>
    <col min="15618" max="15618" width="46.33203125" style="2430" customWidth="1"/>
    <col min="15619" max="15619" width="8.44140625" style="2430" customWidth="1"/>
    <col min="15620" max="15620" width="15" style="2430" customWidth="1"/>
    <col min="15621" max="15621" width="17.33203125" style="2430" customWidth="1"/>
    <col min="15622" max="15622" width="16.33203125" style="2430" customWidth="1"/>
    <col min="15623" max="15623" width="14.88671875" style="2430" customWidth="1"/>
    <col min="15624" max="15872" width="7.88671875" style="2430"/>
    <col min="15873" max="15873" width="6.5546875" style="2430" customWidth="1"/>
    <col min="15874" max="15874" width="46.33203125" style="2430" customWidth="1"/>
    <col min="15875" max="15875" width="8.44140625" style="2430" customWidth="1"/>
    <col min="15876" max="15876" width="15" style="2430" customWidth="1"/>
    <col min="15877" max="15877" width="17.33203125" style="2430" customWidth="1"/>
    <col min="15878" max="15878" width="16.33203125" style="2430" customWidth="1"/>
    <col min="15879" max="15879" width="14.88671875" style="2430" customWidth="1"/>
    <col min="15880" max="16128" width="7.88671875" style="2430"/>
    <col min="16129" max="16129" width="6.5546875" style="2430" customWidth="1"/>
    <col min="16130" max="16130" width="46.33203125" style="2430" customWidth="1"/>
    <col min="16131" max="16131" width="8.44140625" style="2430" customWidth="1"/>
    <col min="16132" max="16132" width="15" style="2430" customWidth="1"/>
    <col min="16133" max="16133" width="17.33203125" style="2430" customWidth="1"/>
    <col min="16134" max="16134" width="16.33203125" style="2430" customWidth="1"/>
    <col min="16135" max="16135" width="14.88671875" style="2430" customWidth="1"/>
    <col min="16136" max="16384" width="7.88671875" style="2430"/>
  </cols>
  <sheetData>
    <row r="1" spans="1:7" ht="27" customHeight="1">
      <c r="A1" s="3572" t="s">
        <v>958</v>
      </c>
      <c r="B1" s="3572"/>
      <c r="C1" s="3572"/>
      <c r="D1" s="3572"/>
      <c r="E1" s="3572"/>
    </row>
    <row r="2" spans="1:7" ht="42" customHeight="1">
      <c r="A2" s="3573" t="str">
        <f>'Input Data'!E1</f>
        <v xml:space="preserve">BT Renewal from Balabadraipally to Danamma Thanda of Gundumal Mandal in Narayanpet District </v>
      </c>
      <c r="B2" s="3572"/>
      <c r="C2" s="3572"/>
      <c r="D2" s="3572"/>
      <c r="E2" s="3572"/>
    </row>
    <row r="3" spans="1:7" s="2431" customFormat="1" ht="36" customHeight="1">
      <c r="A3" s="2433" t="s">
        <v>2</v>
      </c>
      <c r="B3" s="2433" t="s">
        <v>959</v>
      </c>
      <c r="C3" s="2433" t="s">
        <v>580</v>
      </c>
      <c r="D3" s="2433" t="s">
        <v>960</v>
      </c>
      <c r="E3" s="2433" t="s">
        <v>556</v>
      </c>
    </row>
    <row r="4" spans="1:7" s="2435" customFormat="1" ht="20.100000000000001" customHeight="1">
      <c r="A4" s="2434">
        <v>1</v>
      </c>
      <c r="B4" s="2434">
        <v>2</v>
      </c>
      <c r="C4" s="2434">
        <v>3</v>
      </c>
      <c r="D4" s="2434">
        <v>4</v>
      </c>
      <c r="E4" s="2434">
        <v>5</v>
      </c>
    </row>
    <row r="5" spans="1:7" s="2439" customFormat="1" ht="27.6">
      <c r="A5" s="2434">
        <v>1</v>
      </c>
      <c r="B5" s="2436" t="str">
        <f>'1V 1m dia Pipe Culverts'!A3</f>
        <v xml:space="preserve">Construction of HP Culvert 1V of 1000mm Dia.NP4 Pipes at Km </v>
      </c>
      <c r="C5" s="2437">
        <v>0</v>
      </c>
      <c r="D5" s="2438">
        <f>'1V 1m dia Pipe Culverts'!L35</f>
        <v>347561</v>
      </c>
      <c r="E5" s="2438">
        <f>+C5*D5</f>
        <v>0</v>
      </c>
      <c r="G5" s="2440"/>
    </row>
    <row r="6" spans="1:7" s="2443" customFormat="1" ht="30" customHeight="1">
      <c r="A6" s="2433">
        <v>1</v>
      </c>
      <c r="B6" s="2436" t="str">
        <f>'2V 1m dia Pipe Culverts'!A3</f>
        <v>Construction of HP Culvert 2V of 1000mm Dia.NP4 Pipes at Km</v>
      </c>
      <c r="C6" s="2441">
        <v>0</v>
      </c>
      <c r="D6" s="2442">
        <f>'2V 1m dia Pipe Culverts'!L35</f>
        <v>519897</v>
      </c>
      <c r="E6" s="2442">
        <f>+C6*D6</f>
        <v>0</v>
      </c>
      <c r="G6" s="2444"/>
    </row>
    <row r="7" spans="1:7" s="2443" customFormat="1" ht="27.6">
      <c r="A7" s="2433">
        <v>2</v>
      </c>
      <c r="B7" s="2436" t="s">
        <v>961</v>
      </c>
      <c r="C7" s="2445">
        <v>0</v>
      </c>
      <c r="D7" s="2442">
        <f>'3V 1m dia Pipe Culverts'!L35</f>
        <v>896747</v>
      </c>
      <c r="E7" s="2442">
        <f t="shared" ref="E7:E13" si="0">+C7*D7</f>
        <v>0</v>
      </c>
      <c r="G7" s="2444"/>
    </row>
    <row r="8" spans="1:7" s="2443" customFormat="1">
      <c r="A8" s="2433">
        <f>A5+1</f>
        <v>2</v>
      </c>
      <c r="B8" s="2436" t="s">
        <v>962</v>
      </c>
      <c r="C8" s="2445">
        <v>0</v>
      </c>
      <c r="D8" s="2442">
        <f>'Slab Culvert 1V 5m x 2m span'!L100</f>
        <v>1933229</v>
      </c>
      <c r="E8" s="2442">
        <f t="shared" si="0"/>
        <v>0</v>
      </c>
      <c r="G8" s="2444"/>
    </row>
    <row r="9" spans="1:7" s="2443" customFormat="1" ht="30" customHeight="1">
      <c r="A9" s="2433">
        <v>2</v>
      </c>
      <c r="B9" s="2436" t="s">
        <v>866</v>
      </c>
      <c r="C9" s="2445">
        <v>0</v>
      </c>
      <c r="D9" s="2442">
        <f>'Slab Culvert 1V 6m x 2m spa'!L108</f>
        <v>2541649</v>
      </c>
      <c r="E9" s="2442">
        <f t="shared" si="0"/>
        <v>0</v>
      </c>
      <c r="G9" s="2444"/>
    </row>
    <row r="10" spans="1:7" s="2439" customFormat="1">
      <c r="A10" s="2434">
        <f>A9+1</f>
        <v>3</v>
      </c>
      <c r="B10" s="2446" t="s">
        <v>867</v>
      </c>
      <c r="C10" s="2447">
        <v>0</v>
      </c>
      <c r="D10" s="2438">
        <f>'Slab Culvert 2V 6m x 2m spa'!L108</f>
        <v>3530609</v>
      </c>
      <c r="E10" s="2438">
        <f t="shared" si="0"/>
        <v>0</v>
      </c>
      <c r="G10" s="2440"/>
    </row>
    <row r="11" spans="1:7" s="2439" customFormat="1">
      <c r="A11" s="2434"/>
      <c r="B11" s="2446" t="s">
        <v>963</v>
      </c>
      <c r="C11" s="2447">
        <v>0</v>
      </c>
      <c r="D11" s="2438">
        <f>'Road dam 30m'!L64</f>
        <v>1982849</v>
      </c>
      <c r="E11" s="2438">
        <f t="shared" ref="E11" si="1">+C11*D11</f>
        <v>0</v>
      </c>
      <c r="G11" s="2448"/>
    </row>
    <row r="12" spans="1:7" s="2439" customFormat="1">
      <c r="A12" s="2434">
        <f>A10+1</f>
        <v>4</v>
      </c>
      <c r="B12" s="2446" t="s">
        <v>964</v>
      </c>
      <c r="C12" s="2447">
        <v>0</v>
      </c>
      <c r="D12" s="2438">
        <f>'Ret wall'!L29</f>
        <v>204327</v>
      </c>
      <c r="E12" s="2438">
        <f t="shared" si="0"/>
        <v>0</v>
      </c>
      <c r="G12" s="2448"/>
    </row>
    <row r="13" spans="1:7" s="2439" customFormat="1">
      <c r="A13" s="2434">
        <v>2</v>
      </c>
      <c r="B13" s="2446" t="s">
        <v>869</v>
      </c>
      <c r="C13" s="2447">
        <v>0</v>
      </c>
      <c r="D13" s="2438">
        <f>'Drain '!L33</f>
        <v>2358187</v>
      </c>
      <c r="E13" s="2438">
        <f t="shared" si="0"/>
        <v>0</v>
      </c>
      <c r="G13" s="2448"/>
    </row>
    <row r="14" spans="1:7" s="2455" customFormat="1" ht="30" customHeight="1">
      <c r="A14" s="2449"/>
      <c r="B14" s="2450" t="s">
        <v>965</v>
      </c>
      <c r="C14" s="2451">
        <f>SUM(C5:C13)</f>
        <v>0</v>
      </c>
      <c r="D14" s="2452"/>
      <c r="E14" s="2453">
        <f>SUM(E5:E13)</f>
        <v>0</v>
      </c>
      <c r="F14" s="2454"/>
      <c r="G14" s="2444"/>
    </row>
    <row r="15" spans="1:7" ht="15.75" customHeight="1"/>
    <row r="16" spans="1:7" ht="15.75" customHeight="1"/>
    <row r="17" spans="1:11" ht="15.75" hidden="1" customHeight="1"/>
    <row r="18" spans="1:11" ht="15.75" hidden="1" customHeight="1"/>
    <row r="19" spans="1:11" s="2458" customFormat="1" hidden="1">
      <c r="A19" s="2456"/>
      <c r="B19" s="2457"/>
      <c r="D19" s="2459"/>
      <c r="E19" s="2459"/>
      <c r="G19" s="2459"/>
      <c r="I19" s="2460"/>
      <c r="J19" s="2461"/>
      <c r="K19" s="2461"/>
    </row>
    <row r="20" spans="1:11" s="2458" customFormat="1" hidden="1">
      <c r="A20" s="2456"/>
      <c r="B20" s="2459"/>
      <c r="D20" s="2459"/>
      <c r="E20" s="2459"/>
      <c r="G20" s="2459"/>
      <c r="I20" s="2460"/>
      <c r="J20" s="2461"/>
      <c r="K20" s="2461"/>
    </row>
    <row r="21" spans="1:11" hidden="1"/>
    <row r="23" spans="1:11">
      <c r="B23" s="2431" t="str">
        <f>GA!B34</f>
        <v>Asst Exe Engineer,</v>
      </c>
      <c r="C23" s="3440" t="str">
        <f>'Road Estimate'!I68</f>
        <v>Dy. Exe. Engineer</v>
      </c>
      <c r="D23" s="3440"/>
      <c r="E23" s="3440"/>
    </row>
    <row r="24" spans="1:11">
      <c r="B24" s="2431" t="str">
        <f>GA!B35</f>
        <v>PRSD Maddur</v>
      </c>
      <c r="C24" s="3440" t="str">
        <f>'Road Estimate'!I69</f>
        <v>PRSD, Maddur</v>
      </c>
      <c r="D24" s="3440"/>
      <c r="E24" s="3440"/>
    </row>
    <row r="28" spans="1:11">
      <c r="B28" s="2431" t="str">
        <f>'Road Estimate'!F72</f>
        <v>Executive Engineer,</v>
      </c>
      <c r="C28" s="3440" t="str">
        <f>'Road Estimate'!I72</f>
        <v>Superintending Engineer</v>
      </c>
      <c r="D28" s="3440"/>
      <c r="E28" s="3440"/>
    </row>
    <row r="29" spans="1:11">
      <c r="B29" s="2431" t="str">
        <f>'Road Estimate'!E73</f>
        <v>PR Division, Narayanpet</v>
      </c>
      <c r="C29" s="3440" t="str">
        <f>'Road Estimate'!I73</f>
        <v>PR, Circle, Vikarabad</v>
      </c>
      <c r="D29" s="3440"/>
      <c r="E29" s="3440"/>
    </row>
  </sheetData>
  <sheetProtection formatRows="0" insertRows="0"/>
  <protectedRanges>
    <protectedRange sqref="A5" name="Range3"/>
    <protectedRange sqref="C5 C11:C13" name="Range1"/>
    <protectedRange sqref="A15:E18 A21:E29" name="Range4"/>
    <protectedRange sqref="B20" name="Range4_2"/>
    <protectedRange sqref="D19:E20" name="Range4_1_1"/>
    <protectedRange sqref="G19:G20" name="Range4_2_1"/>
    <protectedRange sqref="A7:A13" name="Range3_1"/>
    <protectedRange sqref="C7:C10" name="Range1_1"/>
  </protectedRanges>
  <mergeCells count="6">
    <mergeCell ref="C29:E29"/>
    <mergeCell ref="A1:E1"/>
    <mergeCell ref="A2:E2"/>
    <mergeCell ref="C23:E23"/>
    <mergeCell ref="C24:E24"/>
    <mergeCell ref="C28:E28"/>
  </mergeCells>
  <printOptions horizontalCentered="1"/>
  <pageMargins left="0.40138888888888902" right="0.25138888888888899" top="0.80277777777777803" bottom="0.5" header="0.29861111111111099" footer="0.25138888888888899"/>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J28"/>
  <sheetViews>
    <sheetView topLeftCell="A3" workbookViewId="0">
      <selection activeCell="I7" sqref="I7"/>
    </sheetView>
  </sheetViews>
  <sheetFormatPr defaultColWidth="9.33203125" defaultRowHeight="13.2"/>
  <cols>
    <col min="1" max="1" width="3.6640625" style="1392" customWidth="1"/>
    <col min="2" max="2" width="3.109375" style="1392" hidden="1" customWidth="1"/>
    <col min="3" max="3" width="26.6640625" style="1392" customWidth="1"/>
    <col min="4" max="4" width="24.88671875" style="1392" customWidth="1"/>
    <col min="5" max="5" width="18.44140625" style="1392" customWidth="1"/>
    <col min="6" max="6" width="15" style="1392" customWidth="1"/>
    <col min="7" max="7" width="14.6640625" style="1392" customWidth="1"/>
    <col min="8" max="8" width="13.44140625" style="1392" customWidth="1"/>
    <col min="9" max="9" width="21.6640625" style="1392" customWidth="1"/>
    <col min="10" max="10" width="9.6640625" style="1392" customWidth="1"/>
    <col min="11" max="16384" width="9.33203125" style="1392"/>
  </cols>
  <sheetData>
    <row r="1" spans="1:10" ht="21" customHeight="1">
      <c r="A1" s="3574" t="s">
        <v>966</v>
      </c>
      <c r="B1" s="3574"/>
      <c r="C1" s="3574"/>
      <c r="D1" s="3574"/>
      <c r="E1" s="3574"/>
      <c r="F1" s="3574"/>
    </row>
    <row r="2" spans="1:10" ht="57" customHeight="1">
      <c r="A2" s="3575" t="str">
        <f>'Input Data'!E1</f>
        <v xml:space="preserve">BT Renewal from Balabadraipally to Danamma Thanda of Gundumal Mandal in Narayanpet District </v>
      </c>
      <c r="B2" s="3576"/>
      <c r="C2" s="3576"/>
      <c r="D2" s="3576"/>
      <c r="E2" s="3576"/>
      <c r="F2" s="3576"/>
    </row>
    <row r="3" spans="1:10">
      <c r="A3" s="3579"/>
      <c r="B3" s="3580"/>
      <c r="C3" s="3580"/>
      <c r="D3" s="1394" t="s">
        <v>967</v>
      </c>
      <c r="E3" s="1395">
        <f>'MTS Esti'!C6/1000</f>
        <v>2.5</v>
      </c>
      <c r="F3" s="3579"/>
    </row>
    <row r="4" spans="1:10">
      <c r="A4" s="3579"/>
      <c r="B4" s="3580"/>
      <c r="C4" s="3580"/>
      <c r="D4" s="1394" t="s">
        <v>968</v>
      </c>
      <c r="E4" s="1396">
        <f>E3*3</f>
        <v>7.5</v>
      </c>
      <c r="F4" s="3579"/>
    </row>
    <row r="5" spans="1:10">
      <c r="A5" s="3579"/>
      <c r="B5" s="3580"/>
      <c r="C5" s="3580"/>
      <c r="D5" s="1394" t="s">
        <v>969</v>
      </c>
      <c r="E5" s="1397">
        <f>E4/E3</f>
        <v>3</v>
      </c>
      <c r="F5" s="3579"/>
    </row>
    <row r="6" spans="1:10" ht="63" customHeight="1">
      <c r="A6" s="1398"/>
      <c r="B6" s="1398"/>
      <c r="C6" s="3577" t="s">
        <v>970</v>
      </c>
      <c r="D6" s="3577"/>
      <c r="E6" s="3577"/>
      <c r="F6" s="1399"/>
    </row>
    <row r="7" spans="1:10" s="1391" customFormat="1" ht="29.25" customHeight="1">
      <c r="A7" s="1400"/>
      <c r="B7" s="1400"/>
      <c r="C7" s="3578" t="s">
        <v>971</v>
      </c>
      <c r="D7" s="3578"/>
      <c r="E7" s="1401">
        <f>D15</f>
        <v>661485</v>
      </c>
      <c r="F7" s="1402">
        <f>(E7/100000)/E3</f>
        <v>2.64594</v>
      </c>
    </row>
    <row r="8" spans="1:10">
      <c r="A8" s="1399"/>
      <c r="B8" s="1399"/>
      <c r="C8" s="1399"/>
      <c r="D8" s="1399"/>
      <c r="E8" s="1399"/>
      <c r="F8" s="1399"/>
    </row>
    <row r="9" spans="1:10" ht="33" customHeight="1">
      <c r="A9" s="1399"/>
      <c r="B9" s="1399"/>
      <c r="C9" s="1394" t="s">
        <v>972</v>
      </c>
      <c r="D9" s="1403" t="s">
        <v>973</v>
      </c>
      <c r="E9" s="1404" t="s">
        <v>974</v>
      </c>
      <c r="F9" s="1404" t="s">
        <v>975</v>
      </c>
      <c r="G9" s="1405" t="s">
        <v>976</v>
      </c>
      <c r="I9" s="1391"/>
    </row>
    <row r="10" spans="1:10" ht="33" customHeight="1">
      <c r="A10" s="1399"/>
      <c r="B10" s="1393"/>
      <c r="C10" s="1394">
        <v>1</v>
      </c>
      <c r="D10" s="1406">
        <f>ROUND(G10,0)</f>
        <v>84931</v>
      </c>
      <c r="E10" s="1407">
        <f>ROUND(D10/$E$7,2)</f>
        <v>0.13</v>
      </c>
      <c r="F10" s="1408">
        <f>D10/$E$3</f>
        <v>33972.400000000001</v>
      </c>
      <c r="G10" s="1409">
        <f>'MTS Esti'!N80</f>
        <v>84931.208361387486</v>
      </c>
      <c r="H10" s="1410"/>
      <c r="I10" s="1420"/>
      <c r="J10" s="1421"/>
    </row>
    <row r="11" spans="1:10" ht="33" customHeight="1">
      <c r="A11" s="1399"/>
      <c r="B11" s="1393"/>
      <c r="C11" s="1394">
        <v>2</v>
      </c>
      <c r="D11" s="1406">
        <f>ROUND(G11,0)</f>
        <v>106810</v>
      </c>
      <c r="E11" s="1407">
        <f>ROUND(D11/$E$7,2)</f>
        <v>0.16</v>
      </c>
      <c r="F11" s="1408">
        <f>D11/$E$3</f>
        <v>42724</v>
      </c>
      <c r="G11" s="1409">
        <f>'MTS Esti'!O80</f>
        <v>106809.57075495382</v>
      </c>
      <c r="H11" s="1410"/>
      <c r="I11" s="1420"/>
      <c r="J11" s="1421"/>
    </row>
    <row r="12" spans="1:10" ht="33" customHeight="1">
      <c r="A12" s="1399"/>
      <c r="B12" s="1393"/>
      <c r="C12" s="1394">
        <v>3</v>
      </c>
      <c r="D12" s="1406">
        <f>ROUND(G12,0)</f>
        <v>133199</v>
      </c>
      <c r="E12" s="1407">
        <f>ROUND(D12/$E$7,2)</f>
        <v>0.2</v>
      </c>
      <c r="F12" s="1408">
        <f>D12/$E$3</f>
        <v>53279.6</v>
      </c>
      <c r="G12" s="1409">
        <f>'MTS Esti'!P80</f>
        <v>133199.42995386827</v>
      </c>
      <c r="H12" s="1410"/>
      <c r="I12" s="1420"/>
      <c r="J12" s="1421"/>
    </row>
    <row r="13" spans="1:10" ht="33" customHeight="1">
      <c r="A13" s="1399"/>
      <c r="B13" s="1393"/>
      <c r="C13" s="1394">
        <v>4</v>
      </c>
      <c r="D13" s="1406">
        <f>ROUND(G13,0)</f>
        <v>157248</v>
      </c>
      <c r="E13" s="1407">
        <f>ROUND(D13/$E$7,2)</f>
        <v>0.24</v>
      </c>
      <c r="F13" s="1408">
        <f>D13/$E$3</f>
        <v>62899.199999999997</v>
      </c>
      <c r="G13" s="1409">
        <f>'MTS Esti'!Q80</f>
        <v>157248.28937545436</v>
      </c>
      <c r="H13" s="1410"/>
      <c r="I13" s="1420"/>
      <c r="J13" s="1421"/>
    </row>
    <row r="14" spans="1:10" ht="33" customHeight="1">
      <c r="A14" s="1399"/>
      <c r="B14" s="1393"/>
      <c r="C14" s="1394">
        <v>5</v>
      </c>
      <c r="D14" s="1406">
        <f>ROUND(G14,0)</f>
        <v>179297</v>
      </c>
      <c r="E14" s="1407">
        <f>ROUND(D14/$E$7,2)</f>
        <v>0.27</v>
      </c>
      <c r="F14" s="1408">
        <f>D14/$E$3</f>
        <v>71718.8</v>
      </c>
      <c r="G14" s="1409">
        <f>'MTS Esti'!R80</f>
        <v>179297.14879704046</v>
      </c>
      <c r="H14" s="1410"/>
      <c r="I14" s="1420"/>
      <c r="J14" s="1421"/>
    </row>
    <row r="15" spans="1:10" ht="30" customHeight="1">
      <c r="A15" s="1399"/>
      <c r="B15" s="1393"/>
      <c r="C15" s="1411" t="s">
        <v>977</v>
      </c>
      <c r="D15" s="1412">
        <f>SUM(D10:D14)</f>
        <v>661485</v>
      </c>
      <c r="E15" s="1413">
        <f>ROUND(SUM(E10:E14),0)</f>
        <v>1</v>
      </c>
      <c r="F15" s="1407"/>
      <c r="G15" s="1409">
        <f>SUM(G10:G14)</f>
        <v>661485.64724270441</v>
      </c>
      <c r="H15" s="1410"/>
      <c r="I15" s="1420"/>
      <c r="J15" s="1421"/>
    </row>
    <row r="16" spans="1:10" ht="30" customHeight="1">
      <c r="A16" s="1399"/>
      <c r="B16" s="1393"/>
      <c r="C16" s="1411" t="s">
        <v>978</v>
      </c>
      <c r="D16" s="1412">
        <f>ROUND(D15*0.12,0)</f>
        <v>79378</v>
      </c>
      <c r="E16" s="1413"/>
      <c r="F16" s="1407"/>
      <c r="G16" s="1409"/>
      <c r="H16" s="1410"/>
      <c r="I16" s="1420"/>
      <c r="J16" s="1421"/>
    </row>
    <row r="17" spans="1:7" ht="40.5" customHeight="1">
      <c r="A17" s="1399"/>
      <c r="B17" s="1393"/>
      <c r="C17" s="1411" t="s">
        <v>979</v>
      </c>
      <c r="D17" s="1414">
        <f>D18-D15-D16</f>
        <v>9137</v>
      </c>
      <c r="E17" s="1415"/>
      <c r="F17" s="1407"/>
      <c r="G17" s="1416"/>
    </row>
    <row r="18" spans="1:7" s="1391" customFormat="1" ht="27.75" customHeight="1">
      <c r="A18" s="1417"/>
      <c r="B18" s="1394"/>
      <c r="C18" s="1411" t="s">
        <v>980</v>
      </c>
      <c r="D18" s="1412">
        <f>E4*100000</f>
        <v>750000</v>
      </c>
      <c r="E18" s="1412"/>
      <c r="F18" s="1407"/>
      <c r="G18" s="1416"/>
    </row>
    <row r="19" spans="1:7">
      <c r="A19" s="1399"/>
      <c r="B19" s="1399"/>
      <c r="C19" s="1399"/>
      <c r="D19" s="1399"/>
      <c r="E19" s="1399"/>
      <c r="F19" s="1399"/>
    </row>
    <row r="20" spans="1:7">
      <c r="A20" s="1399"/>
      <c r="B20" s="1399"/>
      <c r="C20" s="1399"/>
      <c r="D20" s="1399"/>
      <c r="E20" s="1399"/>
      <c r="F20" s="1399"/>
    </row>
    <row r="21" spans="1:7">
      <c r="A21" s="1399"/>
      <c r="B21" s="1399"/>
      <c r="C21" s="1399"/>
      <c r="D21" s="1399"/>
      <c r="E21" s="1399"/>
      <c r="F21" s="1399"/>
    </row>
    <row r="22" spans="1:7" ht="15.6">
      <c r="A22" s="1399"/>
      <c r="B22" s="1399"/>
      <c r="C22" s="1418" t="str">
        <f>"The maintanance Abstract sub estiamte is approved for Rs. "&amp;D18&amp;" Only"</f>
        <v>The maintanance Abstract sub estiamte is approved for Rs. 750000 Only</v>
      </c>
      <c r="D22" s="1418"/>
      <c r="E22" s="1418"/>
      <c r="F22" s="1418"/>
    </row>
    <row r="23" spans="1:7">
      <c r="A23" s="1399"/>
      <c r="B23" s="1399"/>
      <c r="C23" s="1393"/>
      <c r="D23" s="1393"/>
      <c r="E23" s="1393"/>
      <c r="F23" s="1399"/>
    </row>
    <row r="24" spans="1:7">
      <c r="A24" s="1399"/>
      <c r="B24" s="1399"/>
      <c r="C24" s="1399"/>
      <c r="D24" s="1419"/>
      <c r="E24" s="1419"/>
      <c r="F24" s="1419"/>
    </row>
    <row r="25" spans="1:7">
      <c r="A25" s="1399"/>
      <c r="B25" s="1399"/>
      <c r="C25" s="1399"/>
      <c r="D25" s="1419"/>
      <c r="E25" s="1419"/>
      <c r="F25" s="1419"/>
    </row>
    <row r="26" spans="1:7">
      <c r="A26" s="1399"/>
      <c r="B26" s="1399"/>
      <c r="C26" s="1399"/>
      <c r="D26" s="1419"/>
      <c r="E26" s="1419"/>
      <c r="F26" s="1419"/>
    </row>
    <row r="27" spans="1:7">
      <c r="A27" s="1399"/>
      <c r="B27" s="1399"/>
      <c r="C27" s="1399"/>
      <c r="D27" s="1419"/>
      <c r="E27" s="1419"/>
      <c r="F27" s="1419"/>
    </row>
    <row r="28" spans="1:7">
      <c r="A28" s="1399"/>
      <c r="B28" s="1399"/>
      <c r="C28" s="1399"/>
      <c r="D28" s="1399"/>
      <c r="E28" s="1399"/>
      <c r="F28" s="1399"/>
    </row>
  </sheetData>
  <mergeCells count="8">
    <mergeCell ref="A1:F1"/>
    <mergeCell ref="A2:F2"/>
    <mergeCell ref="C6:E6"/>
    <mergeCell ref="C7:D7"/>
    <mergeCell ref="A3:A5"/>
    <mergeCell ref="B3:B5"/>
    <mergeCell ref="C3:C5"/>
    <mergeCell ref="F3:F5"/>
  </mergeCells>
  <pageMargins left="0.70069444444444495" right="0.70069444444444495" top="0.75138888888888899" bottom="0.75138888888888899" header="0.29861111111111099" footer="0.29861111111111099"/>
  <pageSetup paperSize="9"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V81"/>
  <sheetViews>
    <sheetView workbookViewId="0">
      <selection activeCell="C61" sqref="C61:E61"/>
    </sheetView>
  </sheetViews>
  <sheetFormatPr defaultColWidth="9.33203125" defaultRowHeight="14.4"/>
  <cols>
    <col min="1" max="1" width="5.44140625" style="1294" customWidth="1"/>
    <col min="2" max="2" width="31" style="1295" customWidth="1"/>
    <col min="3" max="3" width="8.6640625" style="1295" customWidth="1"/>
    <col min="4" max="4" width="7.5546875" style="1295" customWidth="1"/>
    <col min="5" max="5" width="8.109375" style="1295" customWidth="1"/>
    <col min="6" max="6" width="6.6640625" style="1295" customWidth="1"/>
    <col min="7" max="7" width="11.109375" style="1296" customWidth="1"/>
    <col min="8" max="8" width="9.44140625" style="1296" customWidth="1"/>
    <col min="9" max="9" width="11.6640625" style="1291" customWidth="1"/>
    <col min="10" max="10" width="8.109375" style="1291" customWidth="1"/>
    <col min="11" max="11" width="10.5546875" style="1297" customWidth="1"/>
    <col min="12" max="12" width="14.5546875" style="1298" customWidth="1"/>
    <col min="13" max="13" width="4.6640625" style="1295" customWidth="1"/>
    <col min="14" max="16" width="11.109375" style="1294" customWidth="1"/>
    <col min="17" max="19" width="12.109375" style="1294" customWidth="1"/>
    <col min="20" max="20" width="14.44140625" style="1295" customWidth="1"/>
    <col min="21" max="21" width="9.33203125" style="1295"/>
    <col min="22" max="22" width="10.5546875" style="1295" customWidth="1"/>
    <col min="23" max="16384" width="9.33203125" style="1295"/>
  </cols>
  <sheetData>
    <row r="1" spans="1:19" ht="18">
      <c r="A1" s="3581" t="s">
        <v>981</v>
      </c>
      <c r="B1" s="3581"/>
      <c r="C1" s="3581"/>
      <c r="D1" s="3581"/>
      <c r="E1" s="3581"/>
      <c r="F1" s="3581"/>
      <c r="G1" s="3581"/>
      <c r="H1" s="3581"/>
      <c r="I1" s="3581"/>
      <c r="J1" s="3581"/>
      <c r="K1" s="3581"/>
      <c r="L1" s="3581"/>
      <c r="P1" s="1342"/>
      <c r="Q1" s="1342"/>
    </row>
    <row r="2" spans="1:19">
      <c r="A2" s="3582" t="str">
        <f>'Input Data'!E1</f>
        <v xml:space="preserve">BT Renewal from Balabadraipally to Danamma Thanda of Gundumal Mandal in Narayanpet District </v>
      </c>
      <c r="B2" s="3582"/>
      <c r="C2" s="3582"/>
      <c r="D2" s="3582"/>
      <c r="E2" s="3582"/>
      <c r="F2" s="3582"/>
      <c r="G2" s="3582"/>
      <c r="H2" s="3582"/>
      <c r="I2" s="3582"/>
      <c r="J2" s="3582"/>
      <c r="K2" s="3582"/>
      <c r="L2" s="3582"/>
      <c r="O2" s="1323">
        <f>$C$6/1000</f>
        <v>2.5</v>
      </c>
      <c r="P2" s="1342"/>
      <c r="Q2" s="1342"/>
      <c r="R2" s="3615" t="s">
        <v>982</v>
      </c>
    </row>
    <row r="3" spans="1:19" ht="15.6">
      <c r="A3" s="1299"/>
      <c r="B3" s="1299" t="s">
        <v>983</v>
      </c>
      <c r="C3" s="1300">
        <v>3.75</v>
      </c>
      <c r="D3" s="1301" t="s">
        <v>984</v>
      </c>
      <c r="E3" s="1302"/>
      <c r="F3" s="1299"/>
      <c r="G3" s="1299" t="s">
        <v>985</v>
      </c>
      <c r="H3" s="1299" t="s">
        <v>986</v>
      </c>
      <c r="I3" s="1343" t="s">
        <v>987</v>
      </c>
      <c r="J3" s="1344" t="s">
        <v>988</v>
      </c>
      <c r="K3" s="1345">
        <v>2</v>
      </c>
      <c r="L3" s="1346"/>
      <c r="P3" s="1347"/>
      <c r="Q3" s="1347"/>
      <c r="R3" s="3615"/>
    </row>
    <row r="4" spans="1:19">
      <c r="A4" s="1299"/>
      <c r="B4" s="1299" t="s">
        <v>989</v>
      </c>
      <c r="C4" s="1303">
        <v>10</v>
      </c>
      <c r="D4" s="1301" t="s">
        <v>984</v>
      </c>
      <c r="E4" s="1302"/>
      <c r="F4" s="1299"/>
      <c r="G4" s="1304" t="s">
        <v>990</v>
      </c>
      <c r="H4" s="3583" t="s">
        <v>991</v>
      </c>
      <c r="I4" s="3583"/>
      <c r="J4" s="3583"/>
      <c r="K4" s="1348">
        <v>78</v>
      </c>
      <c r="L4" s="1349">
        <f>'Mtc-Abs'!D17</f>
        <v>9137</v>
      </c>
      <c r="N4" s="1350" t="s">
        <v>992</v>
      </c>
      <c r="O4" s="1309"/>
      <c r="P4" s="1309"/>
      <c r="Q4" s="1358">
        <v>0</v>
      </c>
      <c r="R4" s="1379">
        <v>0.6</v>
      </c>
      <c r="S4" s="1294">
        <f>Q4*R4</f>
        <v>0</v>
      </c>
    </row>
    <row r="5" spans="1:19">
      <c r="A5" s="1305"/>
      <c r="B5" s="1299" t="s">
        <v>993</v>
      </c>
      <c r="C5" s="1303">
        <v>0.95</v>
      </c>
      <c r="D5" s="1302" t="s">
        <v>984</v>
      </c>
      <c r="E5" s="1302"/>
      <c r="F5" s="1302"/>
      <c r="G5" s="3584"/>
      <c r="H5" s="3584"/>
      <c r="I5" s="1351"/>
      <c r="J5" s="1352"/>
      <c r="K5" s="1353" t="s">
        <v>60</v>
      </c>
      <c r="L5" s="1354">
        <f>L80/100000</f>
        <v>6.6148600000000002</v>
      </c>
      <c r="N5" s="1350" t="s">
        <v>992</v>
      </c>
      <c r="O5" s="1309"/>
      <c r="P5" s="1309"/>
      <c r="Q5" s="1358">
        <v>0</v>
      </c>
      <c r="R5" s="1379">
        <v>0.9</v>
      </c>
      <c r="S5" s="1294">
        <f>Q5*R5</f>
        <v>0</v>
      </c>
    </row>
    <row r="6" spans="1:19" ht="13.2">
      <c r="A6" s="1305"/>
      <c r="B6" s="1305" t="s">
        <v>994</v>
      </c>
      <c r="C6" s="1306">
        <v>2500</v>
      </c>
      <c r="D6" s="1307" t="s">
        <v>984</v>
      </c>
      <c r="E6" s="1302"/>
      <c r="F6" s="3585" t="s">
        <v>995</v>
      </c>
      <c r="G6" s="3586"/>
      <c r="H6" s="3587"/>
      <c r="I6" s="1355">
        <v>0</v>
      </c>
      <c r="J6" s="1307" t="s">
        <v>984</v>
      </c>
      <c r="K6" s="1353" t="s">
        <v>996</v>
      </c>
      <c r="L6" s="1354">
        <f>L5*1000/C6</f>
        <v>2.6459440000000001</v>
      </c>
      <c r="N6" s="1350" t="s">
        <v>992</v>
      </c>
      <c r="O6" s="1309"/>
      <c r="P6" s="1309"/>
      <c r="Q6" s="1358">
        <v>0</v>
      </c>
      <c r="R6" s="1379">
        <v>1</v>
      </c>
      <c r="S6" s="1294">
        <f>Q6*R6</f>
        <v>0</v>
      </c>
    </row>
    <row r="7" spans="1:19" ht="13.2">
      <c r="A7" s="1305"/>
      <c r="B7" s="1305" t="s">
        <v>997</v>
      </c>
      <c r="C7" s="1308">
        <v>2200</v>
      </c>
      <c r="D7" s="1307" t="s">
        <v>984</v>
      </c>
      <c r="E7" s="1302"/>
      <c r="F7" s="3588" t="s">
        <v>998</v>
      </c>
      <c r="G7" s="3588"/>
      <c r="H7" s="3588"/>
      <c r="I7" s="1356">
        <f>S7</f>
        <v>0</v>
      </c>
      <c r="J7" s="1307" t="s">
        <v>999</v>
      </c>
      <c r="K7" s="1357"/>
      <c r="L7" s="1357"/>
      <c r="Q7" s="1380" t="s">
        <v>1000</v>
      </c>
      <c r="S7" s="1381">
        <f>SUM(S4:S6)</f>
        <v>0</v>
      </c>
    </row>
    <row r="8" spans="1:19" ht="13.2">
      <c r="A8" s="1305"/>
      <c r="B8" s="1305" t="s">
        <v>1001</v>
      </c>
      <c r="C8" s="1310">
        <f>C6-C7</f>
        <v>300</v>
      </c>
      <c r="D8" s="1307" t="s">
        <v>984</v>
      </c>
      <c r="E8" s="1302"/>
      <c r="F8" s="3588" t="s">
        <v>1002</v>
      </c>
      <c r="G8" s="3588"/>
      <c r="H8" s="3588"/>
      <c r="I8" s="1356">
        <f>S13</f>
        <v>0</v>
      </c>
      <c r="J8" s="1307" t="s">
        <v>1003</v>
      </c>
      <c r="K8" s="1357"/>
      <c r="L8" s="1357"/>
      <c r="R8" s="1378" t="s">
        <v>1004</v>
      </c>
    </row>
    <row r="9" spans="1:19" ht="13.2">
      <c r="A9" s="1305"/>
      <c r="B9" s="1305" t="s">
        <v>1005</v>
      </c>
      <c r="C9" s="1310">
        <v>0</v>
      </c>
      <c r="D9" s="1307" t="s">
        <v>984</v>
      </c>
      <c r="E9" s="1302"/>
      <c r="F9" s="3588" t="s">
        <v>1006</v>
      </c>
      <c r="G9" s="3588"/>
      <c r="H9" s="3588"/>
      <c r="I9" s="1358">
        <v>0</v>
      </c>
      <c r="J9" s="1307" t="s">
        <v>710</v>
      </c>
      <c r="K9" s="1357"/>
      <c r="L9" s="1357"/>
      <c r="N9" s="3589" t="s">
        <v>1007</v>
      </c>
      <c r="O9" s="3589"/>
      <c r="P9" s="3589"/>
      <c r="Q9" s="1358">
        <v>0</v>
      </c>
      <c r="R9" s="1382">
        <v>2</v>
      </c>
      <c r="S9" s="1294">
        <f>Q9*R9</f>
        <v>0</v>
      </c>
    </row>
    <row r="10" spans="1:19" ht="13.2">
      <c r="A10" s="1311"/>
      <c r="B10" s="3590"/>
      <c r="C10" s="3591"/>
      <c r="D10" s="3591"/>
      <c r="E10" s="3591"/>
      <c r="F10" s="3591"/>
      <c r="G10" s="3591"/>
      <c r="H10" s="3591"/>
      <c r="I10" s="3591"/>
      <c r="J10" s="3591"/>
      <c r="K10" s="3591"/>
      <c r="L10" s="3592"/>
      <c r="N10" s="3589" t="s">
        <v>1008</v>
      </c>
      <c r="O10" s="3589"/>
      <c r="P10" s="3589"/>
      <c r="Q10" s="1358">
        <v>0</v>
      </c>
      <c r="R10" s="1382">
        <v>3</v>
      </c>
      <c r="S10" s="1294">
        <f>Q10*R10</f>
        <v>0</v>
      </c>
    </row>
    <row r="11" spans="1:19">
      <c r="A11" s="3599" t="s">
        <v>486</v>
      </c>
      <c r="B11" s="3599" t="s">
        <v>1009</v>
      </c>
      <c r="C11" s="3599" t="s">
        <v>1010</v>
      </c>
      <c r="D11" s="3599" t="s">
        <v>1011</v>
      </c>
      <c r="E11" s="3599" t="s">
        <v>1012</v>
      </c>
      <c r="F11" s="3599" t="s">
        <v>710</v>
      </c>
      <c r="G11" s="3598" t="s">
        <v>1013</v>
      </c>
      <c r="H11" s="3598" t="s">
        <v>1014</v>
      </c>
      <c r="I11" s="3599" t="s">
        <v>1015</v>
      </c>
      <c r="J11" s="3599" t="s">
        <v>1016</v>
      </c>
      <c r="K11" s="3599" t="s">
        <v>1017</v>
      </c>
      <c r="L11" s="3599"/>
      <c r="N11" s="3589" t="s">
        <v>1018</v>
      </c>
      <c r="O11" s="3589"/>
      <c r="P11" s="3589"/>
      <c r="Q11" s="1358">
        <v>0</v>
      </c>
      <c r="R11" s="1382">
        <v>5</v>
      </c>
      <c r="S11" s="1294">
        <f>Q11*R11</f>
        <v>0</v>
      </c>
    </row>
    <row r="12" spans="1:19" s="1291" customFormat="1">
      <c r="A12" s="3599"/>
      <c r="B12" s="3599"/>
      <c r="C12" s="3599"/>
      <c r="D12" s="3599"/>
      <c r="E12" s="3599"/>
      <c r="F12" s="3599"/>
      <c r="G12" s="3598"/>
      <c r="H12" s="3598"/>
      <c r="I12" s="3599"/>
      <c r="J12" s="3599"/>
      <c r="K12" s="1359" t="s">
        <v>1019</v>
      </c>
      <c r="L12" s="1360" t="s">
        <v>556</v>
      </c>
      <c r="N12" s="1294"/>
      <c r="O12" s="1294"/>
      <c r="P12" s="1294"/>
      <c r="Q12" s="1380" t="s">
        <v>1020</v>
      </c>
      <c r="R12" s="1294"/>
      <c r="S12" s="1294">
        <f>SUM(S9:S11)</f>
        <v>0</v>
      </c>
    </row>
    <row r="13" spans="1:19" s="1291" customFormat="1" ht="13.2">
      <c r="A13" s="1312">
        <v>1</v>
      </c>
      <c r="B13" s="1313">
        <v>2</v>
      </c>
      <c r="C13" s="1313">
        <v>3</v>
      </c>
      <c r="D13" s="1313">
        <v>4</v>
      </c>
      <c r="E13" s="1313">
        <v>5</v>
      </c>
      <c r="F13" s="1313">
        <v>6</v>
      </c>
      <c r="G13" s="1314">
        <v>7</v>
      </c>
      <c r="H13" s="1314">
        <v>8</v>
      </c>
      <c r="I13" s="1313">
        <v>9</v>
      </c>
      <c r="J13" s="1313">
        <v>10</v>
      </c>
      <c r="K13" s="1313">
        <v>11</v>
      </c>
      <c r="L13" s="1361">
        <v>12</v>
      </c>
      <c r="N13" s="1294"/>
      <c r="O13" s="1294"/>
      <c r="P13" s="1294"/>
      <c r="Q13" s="1380" t="s">
        <v>1021</v>
      </c>
      <c r="R13" s="1294"/>
      <c r="S13" s="1383">
        <f>S12/2</f>
        <v>0</v>
      </c>
    </row>
    <row r="14" spans="1:19" ht="15.6">
      <c r="A14" s="3618">
        <v>1</v>
      </c>
      <c r="B14" s="1316" t="s">
        <v>1022</v>
      </c>
      <c r="C14" s="3583"/>
      <c r="D14" s="3593"/>
      <c r="E14" s="3593"/>
      <c r="F14" s="1299"/>
      <c r="G14" s="1317"/>
      <c r="H14" s="1317"/>
      <c r="I14" s="1319"/>
      <c r="J14" s="1319"/>
      <c r="K14" s="1362"/>
      <c r="L14" s="1363"/>
      <c r="N14" s="3594" t="s">
        <v>1023</v>
      </c>
      <c r="O14" s="3595"/>
      <c r="P14" s="3595"/>
      <c r="Q14" s="3595"/>
      <c r="R14" s="3595"/>
      <c r="S14" s="3596"/>
    </row>
    <row r="15" spans="1:19">
      <c r="A15" s="3618"/>
      <c r="B15" s="1318" t="s">
        <v>1024</v>
      </c>
      <c r="C15" s="1319"/>
      <c r="D15" s="1319"/>
      <c r="E15" s="1319"/>
      <c r="F15" s="1319"/>
      <c r="G15" s="1317"/>
      <c r="H15" s="1317"/>
      <c r="I15" s="1319"/>
      <c r="J15" s="1319"/>
      <c r="K15" s="1362"/>
      <c r="L15" s="1363"/>
      <c r="M15" s="1364" t="s">
        <v>1025</v>
      </c>
      <c r="N15" s="1365" t="s">
        <v>1026</v>
      </c>
      <c r="O15" s="1365" t="s">
        <v>1027</v>
      </c>
      <c r="P15" s="1365" t="s">
        <v>1028</v>
      </c>
      <c r="Q15" s="1365" t="s">
        <v>1029</v>
      </c>
      <c r="R15" s="1365" t="s">
        <v>1030</v>
      </c>
      <c r="S15" s="1315" t="s">
        <v>18</v>
      </c>
    </row>
    <row r="16" spans="1:19">
      <c r="A16" s="3618"/>
      <c r="B16" s="1301" t="s">
        <v>1031</v>
      </c>
      <c r="C16" s="1320">
        <f>$C$7</f>
        <v>2200</v>
      </c>
      <c r="D16" s="1317">
        <f>$C$3</f>
        <v>3.75</v>
      </c>
      <c r="E16" s="1319"/>
      <c r="F16" s="1319">
        <v>1</v>
      </c>
      <c r="G16" s="1321">
        <v>0.5</v>
      </c>
      <c r="H16" s="1317">
        <v>1.5</v>
      </c>
      <c r="I16" s="1317">
        <f>C16*D16*F16*(G16/100)*H16</f>
        <v>61.875</v>
      </c>
      <c r="J16" s="1319" t="s">
        <v>923</v>
      </c>
      <c r="K16" s="1366">
        <f>'Mtc-data'!G77</f>
        <v>187.40853108112196</v>
      </c>
      <c r="L16" s="1363">
        <f>ROUND(I16*K16,2)</f>
        <v>11595.9</v>
      </c>
      <c r="N16" s="1367">
        <f>L16</f>
        <v>11595.9</v>
      </c>
      <c r="O16" s="1368"/>
      <c r="P16" s="1368"/>
      <c r="Q16" s="1368"/>
      <c r="R16" s="1368"/>
      <c r="S16" s="1368"/>
    </row>
    <row r="17" spans="1:19">
      <c r="A17" s="3618"/>
      <c r="B17" s="1301" t="s">
        <v>1032</v>
      </c>
      <c r="C17" s="1320">
        <f t="shared" ref="C17:C20" si="0">$C$7</f>
        <v>2200</v>
      </c>
      <c r="D17" s="1317">
        <f>$D$16</f>
        <v>3.75</v>
      </c>
      <c r="E17" s="1319"/>
      <c r="F17" s="1319">
        <v>1</v>
      </c>
      <c r="G17" s="1321">
        <v>1</v>
      </c>
      <c r="H17" s="1317">
        <v>1.5</v>
      </c>
      <c r="I17" s="1317">
        <f>C17*D17*F17*(G17/100)*H17</f>
        <v>123.75</v>
      </c>
      <c r="J17" s="1319" t="s">
        <v>923</v>
      </c>
      <c r="K17" s="1369">
        <f>$K$16</f>
        <v>187.40853108112196</v>
      </c>
      <c r="L17" s="1363">
        <f>I17*K17</f>
        <v>23191.805721288842</v>
      </c>
      <c r="N17" s="1368"/>
      <c r="O17" s="1367">
        <f>L17</f>
        <v>23191.805721288842</v>
      </c>
      <c r="P17" s="1368"/>
      <c r="Q17" s="1368"/>
      <c r="R17" s="1368"/>
      <c r="S17" s="1368"/>
    </row>
    <row r="18" spans="1:19">
      <c r="A18" s="3618"/>
      <c r="B18" s="1301" t="s">
        <v>1033</v>
      </c>
      <c r="C18" s="1320">
        <f t="shared" si="0"/>
        <v>2200</v>
      </c>
      <c r="D18" s="1317">
        <f>$D$16</f>
        <v>3.75</v>
      </c>
      <c r="E18" s="1319"/>
      <c r="F18" s="1319">
        <v>1</v>
      </c>
      <c r="G18" s="1321">
        <v>1.5</v>
      </c>
      <c r="H18" s="1317">
        <v>1.5</v>
      </c>
      <c r="I18" s="1317">
        <f>C18*D18*F18*(G18/100)*H18</f>
        <v>185.625</v>
      </c>
      <c r="J18" s="1319" t="s">
        <v>923</v>
      </c>
      <c r="K18" s="1369">
        <f>$K$16</f>
        <v>187.40853108112196</v>
      </c>
      <c r="L18" s="1363">
        <f>I18*K18</f>
        <v>34787.708581933264</v>
      </c>
      <c r="N18" s="1368"/>
      <c r="O18" s="1368"/>
      <c r="P18" s="1367">
        <f>L18</f>
        <v>34787.708581933264</v>
      </c>
      <c r="Q18" s="1368"/>
      <c r="R18" s="1368"/>
      <c r="S18" s="1368"/>
    </row>
    <row r="19" spans="1:19">
      <c r="A19" s="3618"/>
      <c r="B19" s="1301" t="s">
        <v>1034</v>
      </c>
      <c r="C19" s="1320">
        <f t="shared" si="0"/>
        <v>2200</v>
      </c>
      <c r="D19" s="1317">
        <f>$D$16</f>
        <v>3.75</v>
      </c>
      <c r="E19" s="1319"/>
      <c r="F19" s="1319">
        <v>1</v>
      </c>
      <c r="G19" s="1321">
        <v>2</v>
      </c>
      <c r="H19" s="1317">
        <v>1.5</v>
      </c>
      <c r="I19" s="1317">
        <f>C19*D19*F19*(G19/100)*H19</f>
        <v>247.5</v>
      </c>
      <c r="J19" s="1319" t="s">
        <v>923</v>
      </c>
      <c r="K19" s="1369">
        <f>$K$16</f>
        <v>187.40853108112196</v>
      </c>
      <c r="L19" s="1363">
        <f>I19*K19</f>
        <v>46383.611442577683</v>
      </c>
      <c r="N19" s="1368"/>
      <c r="O19" s="1368"/>
      <c r="P19" s="1368"/>
      <c r="Q19" s="1367">
        <f>L19</f>
        <v>46383.611442577683</v>
      </c>
      <c r="R19" s="1368"/>
      <c r="S19" s="1368"/>
    </row>
    <row r="20" spans="1:19">
      <c r="A20" s="3618"/>
      <c r="B20" s="1301" t="s">
        <v>1035</v>
      </c>
      <c r="C20" s="1320">
        <f t="shared" si="0"/>
        <v>2200</v>
      </c>
      <c r="D20" s="1317">
        <f>$D$16</f>
        <v>3.75</v>
      </c>
      <c r="E20" s="1299"/>
      <c r="F20" s="1322">
        <v>1</v>
      </c>
      <c r="G20" s="1321">
        <v>2.5</v>
      </c>
      <c r="H20" s="1317">
        <v>1.5</v>
      </c>
      <c r="I20" s="1317">
        <f>C20*D20*F20*(G20/100)*H20</f>
        <v>309.375</v>
      </c>
      <c r="J20" s="1319" t="s">
        <v>923</v>
      </c>
      <c r="K20" s="1369">
        <f>$K$16</f>
        <v>187.40853108112196</v>
      </c>
      <c r="L20" s="1363">
        <f>I20*K20</f>
        <v>57979.514303222109</v>
      </c>
      <c r="N20" s="1368"/>
      <c r="O20" s="1368"/>
      <c r="P20" s="1368"/>
      <c r="Q20" s="1368"/>
      <c r="R20" s="1367">
        <f>L20</f>
        <v>57979.514303222109</v>
      </c>
      <c r="S20" s="1368"/>
    </row>
    <row r="21" spans="1:19" ht="28.8">
      <c r="A21" s="3618"/>
      <c r="B21" s="1318" t="s">
        <v>1036</v>
      </c>
      <c r="C21" s="3597"/>
      <c r="D21" s="3597"/>
      <c r="E21" s="3597"/>
      <c r="F21" s="1319"/>
      <c r="G21" s="1321"/>
      <c r="H21" s="1317"/>
      <c r="I21" s="1319"/>
      <c r="J21" s="1319"/>
      <c r="K21" s="1362"/>
      <c r="L21" s="1363"/>
      <c r="N21" s="1368"/>
      <c r="O21" s="1368"/>
      <c r="P21" s="1368"/>
      <c r="Q21" s="1368"/>
      <c r="R21" s="1368"/>
      <c r="S21" s="1368"/>
    </row>
    <row r="22" spans="1:19">
      <c r="A22" s="3618"/>
      <c r="B22" s="1301" t="s">
        <v>1033</v>
      </c>
      <c r="C22" s="1320">
        <f t="shared" ref="C22:C24" si="1">$C$7</f>
        <v>2200</v>
      </c>
      <c r="D22" s="1317">
        <f>$D$16</f>
        <v>3.75</v>
      </c>
      <c r="E22" s="1323">
        <v>7.4999999999999997E-2</v>
      </c>
      <c r="F22" s="1319">
        <v>1</v>
      </c>
      <c r="G22" s="1321">
        <v>1.5</v>
      </c>
      <c r="H22" s="1317">
        <v>1.5</v>
      </c>
      <c r="I22" s="1370">
        <f>C22*D22*E22*F22*(G22/100)*H22</f>
        <v>13.921875</v>
      </c>
      <c r="J22" s="1371" t="s">
        <v>31</v>
      </c>
      <c r="K22" s="1362">
        <f>'Mtc-data'!G112</f>
        <v>467.71714772561222</v>
      </c>
      <c r="L22" s="1372">
        <f>I22*K22</f>
        <v>6511.4996659925073</v>
      </c>
      <c r="N22" s="1368"/>
      <c r="O22" s="1368"/>
      <c r="P22" s="1367">
        <f>L22</f>
        <v>6511.4996659925073</v>
      </c>
      <c r="Q22" s="1368"/>
      <c r="R22" s="1368"/>
      <c r="S22" s="1368"/>
    </row>
    <row r="23" spans="1:19">
      <c r="A23" s="3618"/>
      <c r="B23" s="1301" t="s">
        <v>1034</v>
      </c>
      <c r="C23" s="1320">
        <f t="shared" si="1"/>
        <v>2200</v>
      </c>
      <c r="D23" s="1317">
        <f>$D$16</f>
        <v>3.75</v>
      </c>
      <c r="E23" s="1323">
        <v>7.4999999999999997E-2</v>
      </c>
      <c r="F23" s="1319">
        <v>1</v>
      </c>
      <c r="G23" s="1321">
        <v>2</v>
      </c>
      <c r="H23" s="1317">
        <v>1.5</v>
      </c>
      <c r="I23" s="1370">
        <f>C23*D23*E23*F23*(G23/100)*H23</f>
        <v>18.5625</v>
      </c>
      <c r="J23" s="1319" t="s">
        <v>31</v>
      </c>
      <c r="K23" s="1373">
        <f>K22</f>
        <v>467.71714772561222</v>
      </c>
      <c r="L23" s="1372">
        <f>I23*K23</f>
        <v>8681.999554656677</v>
      </c>
      <c r="N23" s="1368"/>
      <c r="O23" s="1368"/>
      <c r="P23" s="1368"/>
      <c r="Q23" s="1367">
        <f>L23</f>
        <v>8681.999554656677</v>
      </c>
      <c r="R23" s="1368"/>
      <c r="S23" s="1368"/>
    </row>
    <row r="24" spans="1:19">
      <c r="A24" s="3618"/>
      <c r="B24" s="1301" t="s">
        <v>1035</v>
      </c>
      <c r="C24" s="1320">
        <f t="shared" si="1"/>
        <v>2200</v>
      </c>
      <c r="D24" s="1317">
        <f>$D$16</f>
        <v>3.75</v>
      </c>
      <c r="E24" s="1323">
        <v>7.4999999999999997E-2</v>
      </c>
      <c r="F24" s="1319">
        <v>1</v>
      </c>
      <c r="G24" s="1321">
        <v>2.5</v>
      </c>
      <c r="H24" s="1317">
        <v>1.5</v>
      </c>
      <c r="I24" s="1370">
        <f>C24*D24*E24*F24*(G24/100)*H24</f>
        <v>23.203125</v>
      </c>
      <c r="J24" s="1319" t="s">
        <v>31</v>
      </c>
      <c r="K24" s="1373">
        <f>K23</f>
        <v>467.71714772561222</v>
      </c>
      <c r="L24" s="1372">
        <f>I24*K24</f>
        <v>10852.499443320847</v>
      </c>
      <c r="N24" s="1368"/>
      <c r="O24" s="1368"/>
      <c r="P24" s="1368"/>
      <c r="Q24" s="1368"/>
      <c r="R24" s="1367">
        <f>L24</f>
        <v>10852.499443320847</v>
      </c>
      <c r="S24" s="1368"/>
    </row>
    <row r="25" spans="1:19">
      <c r="A25" s="3583" t="s">
        <v>1037</v>
      </c>
      <c r="B25" s="3583"/>
      <c r="C25" s="3597"/>
      <c r="D25" s="3597"/>
      <c r="E25" s="3597"/>
      <c r="F25" s="3597"/>
      <c r="G25" s="3597"/>
      <c r="H25" s="3597"/>
      <c r="I25" s="3597"/>
      <c r="J25" s="3597"/>
      <c r="K25" s="3597"/>
      <c r="L25" s="1374">
        <f>SUM(L16:L20,L22,L23,L24)</f>
        <v>199984.53871299193</v>
      </c>
      <c r="N25" s="1368"/>
      <c r="O25" s="1368"/>
      <c r="P25" s="1368"/>
      <c r="Q25" s="1368"/>
      <c r="R25" s="1368"/>
      <c r="S25" s="1367">
        <f>SUM(N16:R24)</f>
        <v>199984.53871299193</v>
      </c>
    </row>
    <row r="26" spans="1:19" ht="30.6">
      <c r="A26" s="3618">
        <v>2</v>
      </c>
      <c r="B26" s="1324" t="s">
        <v>1038</v>
      </c>
      <c r="C26" s="3597"/>
      <c r="D26" s="3597"/>
      <c r="E26" s="3597"/>
      <c r="F26" s="3597"/>
      <c r="G26" s="3597"/>
      <c r="H26" s="3597"/>
      <c r="I26" s="3597"/>
      <c r="J26" s="3597"/>
      <c r="K26" s="3597"/>
      <c r="L26" s="3597"/>
      <c r="N26" s="1368"/>
      <c r="O26" s="1368"/>
      <c r="P26" s="1368"/>
      <c r="Q26" s="1368"/>
      <c r="R26" s="1368"/>
      <c r="S26" s="1368"/>
    </row>
    <row r="27" spans="1:19">
      <c r="A27" s="3618"/>
      <c r="B27" s="1301" t="s">
        <v>1031</v>
      </c>
      <c r="C27" s="1319">
        <f>$C$6</f>
        <v>2500</v>
      </c>
      <c r="D27" s="1323">
        <f>$C$5</f>
        <v>0.95</v>
      </c>
      <c r="E27" s="1319"/>
      <c r="F27" s="1319">
        <v>2</v>
      </c>
      <c r="G27" s="1321">
        <v>10</v>
      </c>
      <c r="H27" s="1317">
        <v>1.5</v>
      </c>
      <c r="I27" s="1317">
        <f>C27*D27*F27*(G27/100)*H27</f>
        <v>712.5</v>
      </c>
      <c r="J27" s="1319" t="s">
        <v>923</v>
      </c>
      <c r="K27" s="1362">
        <f>'Mtc-data'!G49</f>
        <v>48.042443594999995</v>
      </c>
      <c r="L27" s="1363">
        <f>I27*K27</f>
        <v>34230.241061437497</v>
      </c>
      <c r="N27" s="1367">
        <f>L27</f>
        <v>34230.241061437497</v>
      </c>
      <c r="O27" s="1368"/>
      <c r="P27" s="1368"/>
      <c r="Q27" s="1368"/>
      <c r="R27" s="1368"/>
      <c r="S27" s="1368"/>
    </row>
    <row r="28" spans="1:19">
      <c r="A28" s="3618"/>
      <c r="B28" s="1301" t="s">
        <v>1032</v>
      </c>
      <c r="C28" s="1319">
        <f t="shared" ref="C28:C31" si="2">$C$6</f>
        <v>2500</v>
      </c>
      <c r="D28" s="1323">
        <f>$D$27</f>
        <v>0.95</v>
      </c>
      <c r="E28" s="1319"/>
      <c r="F28" s="1319">
        <v>2</v>
      </c>
      <c r="G28" s="1321">
        <v>12</v>
      </c>
      <c r="H28" s="1317">
        <v>1.5</v>
      </c>
      <c r="I28" s="1317">
        <f>C28*D28*F28*(G28/100)*H28</f>
        <v>855</v>
      </c>
      <c r="J28" s="1319" t="s">
        <v>923</v>
      </c>
      <c r="K28" s="1373">
        <f>$K$27</f>
        <v>48.042443594999995</v>
      </c>
      <c r="L28" s="1363">
        <f>I28*K28</f>
        <v>41076.289273724993</v>
      </c>
      <c r="N28" s="1368"/>
      <c r="O28" s="1367">
        <f>L28</f>
        <v>41076.289273724993</v>
      </c>
      <c r="P28" s="1368"/>
      <c r="Q28" s="1368"/>
      <c r="R28" s="1368"/>
      <c r="S28" s="1368"/>
    </row>
    <row r="29" spans="1:19">
      <c r="A29" s="3618"/>
      <c r="B29" s="1301" t="s">
        <v>1033</v>
      </c>
      <c r="C29" s="1319">
        <f t="shared" si="2"/>
        <v>2500</v>
      </c>
      <c r="D29" s="1323">
        <f>$D$27</f>
        <v>0.95</v>
      </c>
      <c r="E29" s="1319"/>
      <c r="F29" s="1319">
        <v>2</v>
      </c>
      <c r="G29" s="1321">
        <v>14</v>
      </c>
      <c r="H29" s="1317">
        <v>1.5</v>
      </c>
      <c r="I29" s="1317">
        <f>C29*D29*F29*(G29/100)*H29</f>
        <v>997.50000000000023</v>
      </c>
      <c r="J29" s="1319" t="s">
        <v>923</v>
      </c>
      <c r="K29" s="1373">
        <f>$K$27</f>
        <v>48.042443594999995</v>
      </c>
      <c r="L29" s="1363">
        <f>I29*K29</f>
        <v>47922.337486012504</v>
      </c>
      <c r="N29" s="1368"/>
      <c r="O29" s="1368"/>
      <c r="P29" s="1367">
        <f>L29</f>
        <v>47922.337486012504</v>
      </c>
      <c r="Q29" s="1368"/>
      <c r="R29" s="1368"/>
      <c r="S29" s="1368"/>
    </row>
    <row r="30" spans="1:19">
      <c r="A30" s="3618"/>
      <c r="B30" s="1301" t="s">
        <v>1034</v>
      </c>
      <c r="C30" s="1319">
        <f t="shared" si="2"/>
        <v>2500</v>
      </c>
      <c r="D30" s="1323">
        <f>$D$27</f>
        <v>0.95</v>
      </c>
      <c r="E30" s="1319"/>
      <c r="F30" s="1319">
        <v>2</v>
      </c>
      <c r="G30" s="1321">
        <v>16</v>
      </c>
      <c r="H30" s="1317">
        <v>1.5</v>
      </c>
      <c r="I30" s="1317">
        <f>C30*D30*F30*(G30/100)*H30</f>
        <v>1140</v>
      </c>
      <c r="J30" s="1319" t="s">
        <v>923</v>
      </c>
      <c r="K30" s="1373">
        <f>$K$27</f>
        <v>48.042443594999995</v>
      </c>
      <c r="L30" s="1363">
        <f>I30*K30</f>
        <v>54768.385698299993</v>
      </c>
      <c r="N30" s="1368"/>
      <c r="O30" s="1368"/>
      <c r="P30" s="1368"/>
      <c r="Q30" s="1367">
        <f>L30</f>
        <v>54768.385698299993</v>
      </c>
      <c r="R30" s="1368"/>
      <c r="S30" s="1368"/>
    </row>
    <row r="31" spans="1:19">
      <c r="A31" s="3618"/>
      <c r="B31" s="1301" t="s">
        <v>1035</v>
      </c>
      <c r="C31" s="1319">
        <f t="shared" si="2"/>
        <v>2500</v>
      </c>
      <c r="D31" s="1323">
        <f>$D$27</f>
        <v>0.95</v>
      </c>
      <c r="E31" s="1319"/>
      <c r="F31" s="1319">
        <v>2</v>
      </c>
      <c r="G31" s="1321">
        <v>18</v>
      </c>
      <c r="H31" s="1317">
        <v>1.5</v>
      </c>
      <c r="I31" s="1317">
        <f>C31*D31*F31*(G31/100)*H31</f>
        <v>1282.5</v>
      </c>
      <c r="J31" s="1319" t="s">
        <v>923</v>
      </c>
      <c r="K31" s="1373">
        <f>$K$27</f>
        <v>48.042443594999995</v>
      </c>
      <c r="L31" s="1363">
        <f>I31*K31</f>
        <v>61614.43391058749</v>
      </c>
      <c r="N31" s="1368"/>
      <c r="O31" s="1368"/>
      <c r="P31" s="1368"/>
      <c r="Q31" s="1368"/>
      <c r="R31" s="1367">
        <f>L31</f>
        <v>61614.43391058749</v>
      </c>
      <c r="S31" s="1368"/>
    </row>
    <row r="32" spans="1:19">
      <c r="A32" s="3583" t="s">
        <v>1037</v>
      </c>
      <c r="B32" s="3583"/>
      <c r="C32" s="3583"/>
      <c r="D32" s="3583"/>
      <c r="E32" s="3583"/>
      <c r="F32" s="3583"/>
      <c r="G32" s="3583"/>
      <c r="H32" s="3583"/>
      <c r="I32" s="3583"/>
      <c r="J32" s="3583"/>
      <c r="K32" s="3583"/>
      <c r="L32" s="1374">
        <f>SUM(L27:L31)</f>
        <v>239611.68743006248</v>
      </c>
      <c r="N32" s="1368"/>
      <c r="O32" s="1368"/>
      <c r="P32" s="1368"/>
      <c r="Q32" s="1368"/>
      <c r="R32" s="1368"/>
      <c r="S32" s="1367">
        <f>SUM(N27:R31)</f>
        <v>239611.68743006248</v>
      </c>
    </row>
    <row r="33" spans="1:19" ht="24.75" customHeight="1">
      <c r="A33" s="3618">
        <v>3</v>
      </c>
      <c r="B33" s="1325" t="s">
        <v>1039</v>
      </c>
      <c r="C33" s="3597"/>
      <c r="D33" s="3597"/>
      <c r="E33" s="3597"/>
      <c r="F33" s="3597"/>
      <c r="G33" s="3597"/>
      <c r="H33" s="3597"/>
      <c r="I33" s="3597"/>
      <c r="J33" s="3597"/>
      <c r="K33" s="3597"/>
      <c r="L33" s="3597"/>
      <c r="N33" s="1368"/>
      <c r="O33" s="1368"/>
      <c r="P33" s="1368"/>
      <c r="Q33" s="1368"/>
      <c r="R33" s="1368"/>
      <c r="S33" s="1368"/>
    </row>
    <row r="34" spans="1:19" ht="13.5" customHeight="1">
      <c r="A34" s="3618"/>
      <c r="B34" s="1326" t="s">
        <v>1040</v>
      </c>
      <c r="C34" s="3597"/>
      <c r="D34" s="3597"/>
      <c r="E34" s="3597"/>
      <c r="F34" s="3597"/>
      <c r="G34" s="3597"/>
      <c r="H34" s="3597"/>
      <c r="I34" s="3597"/>
      <c r="J34" s="3597"/>
      <c r="K34" s="3597"/>
      <c r="L34" s="3597"/>
      <c r="N34" s="1368"/>
      <c r="O34" s="1368"/>
      <c r="P34" s="1368"/>
      <c r="Q34" s="1368"/>
      <c r="R34" s="1368"/>
      <c r="S34" s="1368"/>
    </row>
    <row r="35" spans="1:19" ht="13.5" customHeight="1">
      <c r="A35" s="3618"/>
      <c r="B35" s="1301" t="s">
        <v>1031</v>
      </c>
      <c r="C35" s="1319">
        <f t="shared" ref="C35:C39" si="3">$C$6</f>
        <v>2500</v>
      </c>
      <c r="D35" s="1319">
        <f>$C$5/2</f>
        <v>0.47499999999999998</v>
      </c>
      <c r="E35" s="1319">
        <v>0.3</v>
      </c>
      <c r="F35" s="1319">
        <v>1</v>
      </c>
      <c r="G35" s="1321">
        <v>6</v>
      </c>
      <c r="H35" s="1317">
        <v>1.5</v>
      </c>
      <c r="I35" s="1317">
        <f>C35*D35*E35*F35*(G35/100)*H35</f>
        <v>32.0625</v>
      </c>
      <c r="J35" s="1319" t="s">
        <v>31</v>
      </c>
      <c r="K35" s="1362">
        <f>'Mtc-data'!G25</f>
        <v>189.97336919999998</v>
      </c>
      <c r="L35" s="1375">
        <f>I35*K35</f>
        <v>6091.0211499749994</v>
      </c>
      <c r="N35" s="1367">
        <f>L35</f>
        <v>6091.0211499749994</v>
      </c>
      <c r="O35" s="1368"/>
      <c r="P35" s="1368"/>
      <c r="Q35" s="1368"/>
      <c r="R35" s="1368"/>
      <c r="S35" s="1368"/>
    </row>
    <row r="36" spans="1:19" ht="13.5" customHeight="1">
      <c r="A36" s="3618"/>
      <c r="B36" s="1301" t="s">
        <v>1032</v>
      </c>
      <c r="C36" s="1319">
        <f t="shared" si="3"/>
        <v>2500</v>
      </c>
      <c r="D36" s="1319">
        <f>D35</f>
        <v>0.47499999999999998</v>
      </c>
      <c r="E36" s="1319">
        <v>0.3</v>
      </c>
      <c r="F36" s="1319">
        <v>1</v>
      </c>
      <c r="G36" s="1321">
        <v>7.2</v>
      </c>
      <c r="H36" s="1317">
        <v>1.5</v>
      </c>
      <c r="I36" s="1317">
        <f>C36*D36*E36*F36*(G36/100)*H36</f>
        <v>38.475000000000001</v>
      </c>
      <c r="J36" s="1319" t="s">
        <v>31</v>
      </c>
      <c r="K36" s="1373">
        <f>$K$35</f>
        <v>189.97336919999998</v>
      </c>
      <c r="L36" s="1375">
        <f>I36*K36</f>
        <v>7309.2253799699993</v>
      </c>
      <c r="N36" s="1368"/>
      <c r="O36" s="1367">
        <f>L36</f>
        <v>7309.2253799699993</v>
      </c>
      <c r="P36" s="1368"/>
      <c r="Q36" s="1368"/>
      <c r="R36" s="1368"/>
      <c r="S36" s="1368"/>
    </row>
    <row r="37" spans="1:19" ht="13.5" customHeight="1">
      <c r="A37" s="3618"/>
      <c r="B37" s="1301" t="s">
        <v>1033</v>
      </c>
      <c r="C37" s="1319">
        <f t="shared" si="3"/>
        <v>2500</v>
      </c>
      <c r="D37" s="1319">
        <f>D36</f>
        <v>0.47499999999999998</v>
      </c>
      <c r="E37" s="1319">
        <v>0.3</v>
      </c>
      <c r="F37" s="1319">
        <v>1</v>
      </c>
      <c r="G37" s="1321">
        <v>8.4</v>
      </c>
      <c r="H37" s="1317">
        <v>1.5</v>
      </c>
      <c r="I37" s="1317">
        <f>C37*D37*E37*F37*(G37/100)*H37</f>
        <v>44.887500000000003</v>
      </c>
      <c r="J37" s="1319" t="s">
        <v>31</v>
      </c>
      <c r="K37" s="1373">
        <f>$K$35</f>
        <v>189.97336919999998</v>
      </c>
      <c r="L37" s="1375">
        <f>I37*K37</f>
        <v>8527.4296099650001</v>
      </c>
      <c r="N37" s="1368"/>
      <c r="O37" s="1368"/>
      <c r="P37" s="1367">
        <f>L37</f>
        <v>8527.4296099650001</v>
      </c>
      <c r="Q37" s="1368"/>
      <c r="R37" s="1368"/>
      <c r="S37" s="1368"/>
    </row>
    <row r="38" spans="1:19" ht="13.5" customHeight="1">
      <c r="A38" s="3618"/>
      <c r="B38" s="1301" t="s">
        <v>1034</v>
      </c>
      <c r="C38" s="1319">
        <f t="shared" si="3"/>
        <v>2500</v>
      </c>
      <c r="D38" s="1319">
        <f>D37</f>
        <v>0.47499999999999998</v>
      </c>
      <c r="E38" s="1319">
        <v>0.3</v>
      </c>
      <c r="F38" s="1319">
        <v>1</v>
      </c>
      <c r="G38" s="1321">
        <v>9.6</v>
      </c>
      <c r="H38" s="1317">
        <v>1.5</v>
      </c>
      <c r="I38" s="1317">
        <f>C38*D38*E38*F38*(G38/100)*H38</f>
        <v>51.300000000000004</v>
      </c>
      <c r="J38" s="1319" t="s">
        <v>31</v>
      </c>
      <c r="K38" s="1373">
        <f>$K$35</f>
        <v>189.97336919999998</v>
      </c>
      <c r="L38" s="1375">
        <f>I38*K38</f>
        <v>9745.633839959999</v>
      </c>
      <c r="N38" s="1368"/>
      <c r="O38" s="1368"/>
      <c r="P38" s="1368"/>
      <c r="Q38" s="1367">
        <f>L38</f>
        <v>9745.633839959999</v>
      </c>
      <c r="R38" s="1368"/>
      <c r="S38" s="1368"/>
    </row>
    <row r="39" spans="1:19" ht="13.5" customHeight="1">
      <c r="A39" s="3618"/>
      <c r="B39" s="1301" t="s">
        <v>1035</v>
      </c>
      <c r="C39" s="1319">
        <f t="shared" si="3"/>
        <v>2500</v>
      </c>
      <c r="D39" s="1319">
        <f>D38</f>
        <v>0.47499999999999998</v>
      </c>
      <c r="E39" s="1319">
        <v>0.3</v>
      </c>
      <c r="F39" s="1319">
        <v>1</v>
      </c>
      <c r="G39" s="1321">
        <v>10.8</v>
      </c>
      <c r="H39" s="1317">
        <v>1.5</v>
      </c>
      <c r="I39" s="1317">
        <f>C39*D39*E39*F39*(G39/100)*H39</f>
        <v>57.712500000000006</v>
      </c>
      <c r="J39" s="1319" t="s">
        <v>31</v>
      </c>
      <c r="K39" s="1373">
        <f>$K$35</f>
        <v>189.97336919999998</v>
      </c>
      <c r="L39" s="1375">
        <f>I39*K39</f>
        <v>10963.838069955</v>
      </c>
      <c r="N39" s="1368"/>
      <c r="O39" s="1368"/>
      <c r="P39" s="1368"/>
      <c r="Q39" s="1368"/>
      <c r="R39" s="1367">
        <f>L39</f>
        <v>10963.838069955</v>
      </c>
      <c r="S39" s="1368"/>
    </row>
    <row r="40" spans="1:19" ht="13.5" customHeight="1">
      <c r="A40" s="3618"/>
      <c r="B40" s="1318" t="s">
        <v>1041</v>
      </c>
      <c r="C40" s="3597"/>
      <c r="D40" s="3597"/>
      <c r="E40" s="3597"/>
      <c r="F40" s="3597"/>
      <c r="G40" s="3597"/>
      <c r="H40" s="3597"/>
      <c r="I40" s="3597"/>
      <c r="J40" s="3597"/>
      <c r="K40" s="3597"/>
      <c r="L40" s="1374">
        <f>SUM(L35:L39)</f>
        <v>42637.148049825002</v>
      </c>
      <c r="N40" s="1368"/>
      <c r="O40" s="1368"/>
      <c r="P40" s="1368"/>
      <c r="Q40" s="1368"/>
      <c r="R40" s="1368"/>
      <c r="S40" s="1367">
        <f>SUM(N35:R39)</f>
        <v>42637.148049825002</v>
      </c>
    </row>
    <row r="41" spans="1:19" ht="13.5" customHeight="1">
      <c r="A41" s="3618"/>
      <c r="B41" s="1326" t="s">
        <v>1042</v>
      </c>
      <c r="C41" s="3597"/>
      <c r="D41" s="3597"/>
      <c r="E41" s="3597"/>
      <c r="F41" s="3597"/>
      <c r="G41" s="3597"/>
      <c r="H41" s="3597"/>
      <c r="I41" s="3597"/>
      <c r="J41" s="3597"/>
      <c r="K41" s="3597"/>
      <c r="L41" s="3597"/>
      <c r="N41" s="1368"/>
      <c r="O41" s="1368"/>
      <c r="P41" s="1368"/>
      <c r="Q41" s="1368"/>
      <c r="R41" s="1368"/>
      <c r="S41" s="1368"/>
    </row>
    <row r="42" spans="1:19" ht="13.5" customHeight="1">
      <c r="A42" s="3618"/>
      <c r="B42" s="1301" t="s">
        <v>1031</v>
      </c>
      <c r="C42" s="1319">
        <f t="shared" ref="C42:C46" si="4">$C$6</f>
        <v>2500</v>
      </c>
      <c r="D42" s="1319">
        <f>D39</f>
        <v>0.47499999999999998</v>
      </c>
      <c r="E42" s="1319">
        <v>0.3</v>
      </c>
      <c r="F42" s="1319">
        <v>1</v>
      </c>
      <c r="G42" s="1321">
        <v>6</v>
      </c>
      <c r="H42" s="1317">
        <v>1.5</v>
      </c>
      <c r="I42" s="1317">
        <f>C42*D42*E42*F42*(G42/100)*H42</f>
        <v>32.0625</v>
      </c>
      <c r="J42" s="1319" t="s">
        <v>31</v>
      </c>
      <c r="K42" s="1362">
        <f>$K$35</f>
        <v>189.97336919999998</v>
      </c>
      <c r="L42" s="1363">
        <f>I42*K42</f>
        <v>6091.0211499749994</v>
      </c>
      <c r="N42" s="1367">
        <f>L42</f>
        <v>6091.0211499749994</v>
      </c>
      <c r="O42" s="1368"/>
      <c r="P42" s="1368"/>
      <c r="Q42" s="1368"/>
      <c r="R42" s="1368"/>
      <c r="S42" s="1368"/>
    </row>
    <row r="43" spans="1:19" ht="13.5" customHeight="1">
      <c r="A43" s="3618"/>
      <c r="B43" s="1301" t="s">
        <v>1032</v>
      </c>
      <c r="C43" s="1319">
        <f t="shared" si="4"/>
        <v>2500</v>
      </c>
      <c r="D43" s="1319">
        <f>D42</f>
        <v>0.47499999999999998</v>
      </c>
      <c r="E43" s="1319">
        <v>0.3</v>
      </c>
      <c r="F43" s="1319">
        <v>1</v>
      </c>
      <c r="G43" s="1321">
        <v>7.2</v>
      </c>
      <c r="H43" s="1317">
        <v>1.5</v>
      </c>
      <c r="I43" s="1317">
        <f>C43*D43*E43*F43*(G43/100)*H43</f>
        <v>38.475000000000001</v>
      </c>
      <c r="J43" s="1319" t="s">
        <v>31</v>
      </c>
      <c r="K43" s="1373">
        <f>$K$35</f>
        <v>189.97336919999998</v>
      </c>
      <c r="L43" s="1363">
        <f>I43*K43</f>
        <v>7309.2253799699993</v>
      </c>
      <c r="N43" s="1368"/>
      <c r="O43" s="1367">
        <f>L43</f>
        <v>7309.2253799699993</v>
      </c>
      <c r="P43" s="1368"/>
      <c r="Q43" s="1368"/>
      <c r="R43" s="1368"/>
      <c r="S43" s="1368"/>
    </row>
    <row r="44" spans="1:19" ht="13.5" customHeight="1">
      <c r="A44" s="3618"/>
      <c r="B44" s="1301" t="s">
        <v>1033</v>
      </c>
      <c r="C44" s="1319">
        <f t="shared" si="4"/>
        <v>2500</v>
      </c>
      <c r="D44" s="1319">
        <f>D43</f>
        <v>0.47499999999999998</v>
      </c>
      <c r="E44" s="1319">
        <v>0.3</v>
      </c>
      <c r="F44" s="1319">
        <v>1</v>
      </c>
      <c r="G44" s="1321">
        <v>8.4</v>
      </c>
      <c r="H44" s="1317">
        <v>1.5</v>
      </c>
      <c r="I44" s="1317">
        <f>C44*D44*E44*F44*(G44/100)*H44</f>
        <v>44.887500000000003</v>
      </c>
      <c r="J44" s="1319" t="s">
        <v>31</v>
      </c>
      <c r="K44" s="1373">
        <f>$K$35</f>
        <v>189.97336919999998</v>
      </c>
      <c r="L44" s="1363">
        <f>I44*K44</f>
        <v>8527.4296099650001</v>
      </c>
      <c r="N44" s="1368"/>
      <c r="O44" s="1368"/>
      <c r="P44" s="1367">
        <f>L44</f>
        <v>8527.4296099650001</v>
      </c>
      <c r="Q44" s="1368"/>
      <c r="R44" s="1368"/>
      <c r="S44" s="1368"/>
    </row>
    <row r="45" spans="1:19" ht="13.5" customHeight="1">
      <c r="A45" s="3618"/>
      <c r="B45" s="1301" t="s">
        <v>1034</v>
      </c>
      <c r="C45" s="1319">
        <f t="shared" si="4"/>
        <v>2500</v>
      </c>
      <c r="D45" s="1319">
        <f>D44</f>
        <v>0.47499999999999998</v>
      </c>
      <c r="E45" s="1319">
        <v>0.3</v>
      </c>
      <c r="F45" s="1319">
        <v>1</v>
      </c>
      <c r="G45" s="1321">
        <v>9.6</v>
      </c>
      <c r="H45" s="1317">
        <v>1.5</v>
      </c>
      <c r="I45" s="1317">
        <f>C45*D45*E45*F45*(G45/100)*H45</f>
        <v>51.300000000000004</v>
      </c>
      <c r="J45" s="1319" t="s">
        <v>31</v>
      </c>
      <c r="K45" s="1373">
        <f>$K$35</f>
        <v>189.97336919999998</v>
      </c>
      <c r="L45" s="1363">
        <f>I45*K45</f>
        <v>9745.633839959999</v>
      </c>
      <c r="N45" s="1368"/>
      <c r="O45" s="1368"/>
      <c r="P45" s="1368"/>
      <c r="Q45" s="1367">
        <f>L45</f>
        <v>9745.633839959999</v>
      </c>
      <c r="R45" s="1368"/>
      <c r="S45" s="1368"/>
    </row>
    <row r="46" spans="1:19" ht="13.5" customHeight="1">
      <c r="A46" s="3618"/>
      <c r="B46" s="1301" t="s">
        <v>1035</v>
      </c>
      <c r="C46" s="1319">
        <f t="shared" si="4"/>
        <v>2500</v>
      </c>
      <c r="D46" s="1319">
        <f>D45</f>
        <v>0.47499999999999998</v>
      </c>
      <c r="E46" s="1319">
        <v>0.3</v>
      </c>
      <c r="F46" s="1319">
        <v>1</v>
      </c>
      <c r="G46" s="1321">
        <v>10.8</v>
      </c>
      <c r="H46" s="1317">
        <v>1.5</v>
      </c>
      <c r="I46" s="1317">
        <f>C46*D46*E46*F46*(G46/100)*H46</f>
        <v>57.712500000000006</v>
      </c>
      <c r="J46" s="1319" t="s">
        <v>31</v>
      </c>
      <c r="K46" s="1373">
        <f>$K$35</f>
        <v>189.97336919999998</v>
      </c>
      <c r="L46" s="1363">
        <f>I46*K46</f>
        <v>10963.838069955</v>
      </c>
      <c r="N46" s="1368"/>
      <c r="O46" s="1368"/>
      <c r="P46" s="1368"/>
      <c r="Q46" s="1368"/>
      <c r="R46" s="1367">
        <f>L46</f>
        <v>10963.838069955</v>
      </c>
      <c r="S46" s="1368"/>
    </row>
    <row r="47" spans="1:19" ht="13.5" customHeight="1">
      <c r="A47" s="1315"/>
      <c r="B47" s="1301" t="s">
        <v>1041</v>
      </c>
      <c r="C47" s="3583"/>
      <c r="D47" s="3583"/>
      <c r="E47" s="3583"/>
      <c r="F47" s="3583"/>
      <c r="G47" s="3583"/>
      <c r="H47" s="3583"/>
      <c r="I47" s="3583"/>
      <c r="J47" s="3583"/>
      <c r="K47" s="3583"/>
      <c r="L47" s="1374">
        <f>SUM(L42:L46)</f>
        <v>42637.148049825002</v>
      </c>
      <c r="N47" s="1368"/>
      <c r="O47" s="1368"/>
      <c r="P47" s="1368"/>
      <c r="Q47" s="1368"/>
      <c r="R47" s="1368"/>
      <c r="S47" s="1367">
        <f>SUM(N42:R46)</f>
        <v>42637.148049825002</v>
      </c>
    </row>
    <row r="48" spans="1:19" ht="13.5" customHeight="1">
      <c r="A48" s="3583" t="s">
        <v>1043</v>
      </c>
      <c r="B48" s="3583"/>
      <c r="C48" s="3597"/>
      <c r="D48" s="3597"/>
      <c r="E48" s="3597"/>
      <c r="F48" s="3597"/>
      <c r="G48" s="3597"/>
      <c r="H48" s="3597"/>
      <c r="I48" s="3597"/>
      <c r="J48" s="3597"/>
      <c r="K48" s="3597"/>
      <c r="L48" s="1374">
        <f>L40+L47</f>
        <v>85274.296099650004</v>
      </c>
      <c r="N48" s="1368"/>
      <c r="O48" s="1368"/>
      <c r="P48" s="1368"/>
      <c r="Q48" s="1368"/>
      <c r="R48" s="1368"/>
      <c r="S48" s="1368"/>
    </row>
    <row r="49" spans="1:22" ht="40.799999999999997">
      <c r="A49" s="1315">
        <v>4</v>
      </c>
      <c r="B49" s="1301" t="s">
        <v>1044</v>
      </c>
      <c r="C49" s="1323">
        <f>$C$6/1000</f>
        <v>2.5</v>
      </c>
      <c r="D49" s="1299"/>
      <c r="E49" s="1299"/>
      <c r="F49" s="1299"/>
      <c r="G49" s="1327" t="s">
        <v>1045</v>
      </c>
      <c r="H49" s="1323"/>
      <c r="I49" s="1339">
        <v>25</v>
      </c>
      <c r="J49" s="1319" t="s">
        <v>1046</v>
      </c>
      <c r="K49" s="1362">
        <f>'SSR-rates'!$H$60</f>
        <v>490</v>
      </c>
      <c r="L49" s="1363">
        <f>C49*I49*K49</f>
        <v>30625</v>
      </c>
      <c r="N49" s="1368">
        <f>$L49/5</f>
        <v>6125</v>
      </c>
      <c r="O49" s="1368">
        <f>$L49/5</f>
        <v>6125</v>
      </c>
      <c r="P49" s="1368">
        <f>$L49/5</f>
        <v>6125</v>
      </c>
      <c r="Q49" s="1368">
        <f>$L49/5</f>
        <v>6125</v>
      </c>
      <c r="R49" s="1368">
        <f>$L49/5</f>
        <v>6125</v>
      </c>
      <c r="S49" s="1368"/>
    </row>
    <row r="50" spans="1:22" ht="13.5" customHeight="1">
      <c r="A50" s="3583" t="s">
        <v>1037</v>
      </c>
      <c r="B50" s="3583"/>
      <c r="C50" s="3597"/>
      <c r="D50" s="3597"/>
      <c r="E50" s="3597"/>
      <c r="F50" s="3597"/>
      <c r="G50" s="3597"/>
      <c r="H50" s="3597"/>
      <c r="I50" s="3597"/>
      <c r="J50" s="3597"/>
      <c r="K50" s="3597"/>
      <c r="L50" s="1374">
        <f>L49</f>
        <v>30625</v>
      </c>
      <c r="N50" s="1368"/>
      <c r="O50" s="1368"/>
      <c r="P50" s="1368"/>
      <c r="Q50" s="1368"/>
      <c r="R50" s="1368"/>
      <c r="S50" s="1367">
        <f>SUM(N49:R49)</f>
        <v>30625</v>
      </c>
    </row>
    <row r="51" spans="1:22" ht="40.799999999999997">
      <c r="A51" s="1315">
        <v>5</v>
      </c>
      <c r="B51" s="1301" t="s">
        <v>1047</v>
      </c>
      <c r="C51" s="1323">
        <f>$C$6/1000</f>
        <v>2.5</v>
      </c>
      <c r="D51" s="1299"/>
      <c r="E51" s="1299"/>
      <c r="F51" s="1299"/>
      <c r="G51" s="1328" t="s">
        <v>1048</v>
      </c>
      <c r="H51" s="1323"/>
      <c r="I51" s="1319">
        <v>30</v>
      </c>
      <c r="J51" s="1319" t="s">
        <v>1046</v>
      </c>
      <c r="K51" s="1362">
        <f>'SSR-rates'!$H$60</f>
        <v>490</v>
      </c>
      <c r="L51" s="1363">
        <f>C51*I51*K51</f>
        <v>36750</v>
      </c>
      <c r="N51" s="1368">
        <f>$L51/5</f>
        <v>7350</v>
      </c>
      <c r="O51" s="1368">
        <f>$L51/5</f>
        <v>7350</v>
      </c>
      <c r="P51" s="1368">
        <f>$L51/5</f>
        <v>7350</v>
      </c>
      <c r="Q51" s="1368">
        <f>$L51/5</f>
        <v>7350</v>
      </c>
      <c r="R51" s="1368">
        <f>$L51/5</f>
        <v>7350</v>
      </c>
      <c r="S51" s="1368"/>
    </row>
    <row r="52" spans="1:22" ht="13.5" customHeight="1">
      <c r="A52" s="3583" t="s">
        <v>1037</v>
      </c>
      <c r="B52" s="3583"/>
      <c r="C52" s="3597"/>
      <c r="D52" s="3597"/>
      <c r="E52" s="3597"/>
      <c r="F52" s="3597"/>
      <c r="G52" s="3597"/>
      <c r="H52" s="3597"/>
      <c r="I52" s="3597"/>
      <c r="J52" s="3597"/>
      <c r="K52" s="3597"/>
      <c r="L52" s="1374">
        <f>L51</f>
        <v>36750</v>
      </c>
      <c r="N52" s="1368"/>
      <c r="O52" s="1368"/>
      <c r="P52" s="1368"/>
      <c r="Q52" s="1368"/>
      <c r="R52" s="1368"/>
      <c r="S52" s="1367">
        <f>SUM(N51:R51)</f>
        <v>36750</v>
      </c>
    </row>
    <row r="53" spans="1:22" s="1292" customFormat="1" ht="90.6" customHeight="1">
      <c r="A53" s="1329">
        <v>6</v>
      </c>
      <c r="B53" s="1330" t="s">
        <v>1049</v>
      </c>
      <c r="C53" s="1323">
        <f>$C$6/1000</f>
        <v>2.5</v>
      </c>
      <c r="D53" s="1331"/>
      <c r="E53" s="1331"/>
      <c r="F53" s="1332"/>
      <c r="G53" s="1333" t="s">
        <v>1050</v>
      </c>
      <c r="H53" s="1323"/>
      <c r="I53" s="1376">
        <v>5</v>
      </c>
      <c r="J53" s="1332" t="s">
        <v>1051</v>
      </c>
      <c r="K53" s="1377">
        <v>600</v>
      </c>
      <c r="L53" s="1363">
        <f>C53*I53*K53</f>
        <v>7500</v>
      </c>
      <c r="N53" s="1368">
        <f>$L53/5</f>
        <v>1500</v>
      </c>
      <c r="O53" s="1368">
        <f>$L53/5</f>
        <v>1500</v>
      </c>
      <c r="P53" s="1368">
        <f>$L53/5</f>
        <v>1500</v>
      </c>
      <c r="Q53" s="1368">
        <f>$L53/5</f>
        <v>1500</v>
      </c>
      <c r="R53" s="1368">
        <f>$L53/5</f>
        <v>1500</v>
      </c>
      <c r="S53" s="1336"/>
    </row>
    <row r="54" spans="1:22" ht="13.5" customHeight="1">
      <c r="A54" s="3583" t="s">
        <v>1037</v>
      </c>
      <c r="B54" s="3583"/>
      <c r="C54" s="3597"/>
      <c r="D54" s="3597"/>
      <c r="E54" s="3597"/>
      <c r="F54" s="3597"/>
      <c r="G54" s="3597"/>
      <c r="H54" s="3597"/>
      <c r="I54" s="3597"/>
      <c r="J54" s="3597"/>
      <c r="K54" s="3597"/>
      <c r="L54" s="1374">
        <f>L53</f>
        <v>7500</v>
      </c>
      <c r="N54" s="1368"/>
      <c r="O54" s="1368"/>
      <c r="P54" s="1368"/>
      <c r="Q54" s="1368"/>
      <c r="R54" s="1368"/>
      <c r="S54" s="1367">
        <f>SUM(N53:R53)</f>
        <v>7500</v>
      </c>
    </row>
    <row r="55" spans="1:22" ht="60">
      <c r="A55" s="1315">
        <v>7</v>
      </c>
      <c r="B55" s="1334" t="s">
        <v>1052</v>
      </c>
      <c r="C55" s="1335">
        <f>C9/2</f>
        <v>0</v>
      </c>
      <c r="D55" s="1299"/>
      <c r="E55" s="1299"/>
      <c r="F55" s="1322">
        <f>2*0.5</f>
        <v>1</v>
      </c>
      <c r="G55" s="1321" t="s">
        <v>1053</v>
      </c>
      <c r="H55" s="1323"/>
      <c r="I55" s="1319">
        <v>10</v>
      </c>
      <c r="J55" s="1319" t="s">
        <v>1054</v>
      </c>
      <c r="K55" s="1362">
        <v>3</v>
      </c>
      <c r="L55" s="1363">
        <f>C55*I55*K55</f>
        <v>0</v>
      </c>
      <c r="N55" s="1368">
        <f>$L55/5</f>
        <v>0</v>
      </c>
      <c r="O55" s="1368">
        <f>$L55/5</f>
        <v>0</v>
      </c>
      <c r="P55" s="1368">
        <f>$L55/5</f>
        <v>0</v>
      </c>
      <c r="Q55" s="1368">
        <f>$L55/5</f>
        <v>0</v>
      </c>
      <c r="R55" s="1368">
        <f>$L55/5</f>
        <v>0</v>
      </c>
      <c r="S55" s="1368"/>
    </row>
    <row r="56" spans="1:22" ht="13.5" customHeight="1">
      <c r="A56" s="3583" t="s">
        <v>1037</v>
      </c>
      <c r="B56" s="3583"/>
      <c r="C56" s="3597"/>
      <c r="D56" s="3597"/>
      <c r="E56" s="3597"/>
      <c r="F56" s="3597"/>
      <c r="G56" s="3597"/>
      <c r="H56" s="3597"/>
      <c r="I56" s="3597"/>
      <c r="J56" s="3597"/>
      <c r="K56" s="3597"/>
      <c r="L56" s="1374">
        <f>SUM(L55)</f>
        <v>0</v>
      </c>
      <c r="N56" s="1368"/>
      <c r="O56" s="1368"/>
      <c r="P56" s="1368"/>
      <c r="Q56" s="1368"/>
      <c r="R56" s="1368"/>
      <c r="S56" s="1367">
        <f>SUM(N55:R55)</f>
        <v>0</v>
      </c>
    </row>
    <row r="57" spans="1:22" ht="45" customHeight="1">
      <c r="A57" s="3618">
        <v>8</v>
      </c>
      <c r="B57" s="1319" t="s">
        <v>1055</v>
      </c>
      <c r="C57" s="1319">
        <v>1000</v>
      </c>
      <c r="D57" s="1323">
        <f>$D$27</f>
        <v>0.95</v>
      </c>
      <c r="E57" s="1319"/>
      <c r="F57" s="1319">
        <f>2*0.5</f>
        <v>1</v>
      </c>
      <c r="G57" s="3604" t="s">
        <v>1056</v>
      </c>
      <c r="H57" s="1323">
        <f>$C$6/1000</f>
        <v>2.5</v>
      </c>
      <c r="I57" s="1319">
        <f>C57*D57*F57*5</f>
        <v>4750</v>
      </c>
      <c r="J57" s="1319" t="s">
        <v>923</v>
      </c>
      <c r="K57" s="1362">
        <f>'Road data'!G22</f>
        <v>3.93</v>
      </c>
      <c r="L57" s="1363">
        <f>I57*K57*H57</f>
        <v>46668.75</v>
      </c>
      <c r="N57" s="1368">
        <f t="shared" ref="N57:R59" si="5">$L57/5</f>
        <v>9333.75</v>
      </c>
      <c r="O57" s="1368">
        <f t="shared" si="5"/>
        <v>9333.75</v>
      </c>
      <c r="P57" s="1368">
        <f t="shared" si="5"/>
        <v>9333.75</v>
      </c>
      <c r="Q57" s="1368">
        <f t="shared" si="5"/>
        <v>9333.75</v>
      </c>
      <c r="R57" s="1368">
        <f t="shared" si="5"/>
        <v>9333.75</v>
      </c>
      <c r="S57" s="1368"/>
    </row>
    <row r="58" spans="1:22" ht="26.4">
      <c r="A58" s="3618"/>
      <c r="B58" s="1319" t="s">
        <v>1057</v>
      </c>
      <c r="C58" s="3597"/>
      <c r="D58" s="3597"/>
      <c r="E58" s="3597"/>
      <c r="F58" s="1319">
        <v>10</v>
      </c>
      <c r="G58" s="3604"/>
      <c r="H58" s="1323">
        <f>$C$6/1000</f>
        <v>2.5</v>
      </c>
      <c r="I58" s="1319">
        <f>F58*5</f>
        <v>50</v>
      </c>
      <c r="J58" s="1319" t="s">
        <v>241</v>
      </c>
      <c r="K58" s="1362">
        <v>104.571</v>
      </c>
      <c r="L58" s="1363">
        <f>I58*K58*H58</f>
        <v>13071.375</v>
      </c>
      <c r="N58" s="1368">
        <f t="shared" si="5"/>
        <v>2614.2750000000001</v>
      </c>
      <c r="O58" s="1368">
        <f t="shared" si="5"/>
        <v>2614.2750000000001</v>
      </c>
      <c r="P58" s="1368">
        <f t="shared" si="5"/>
        <v>2614.2750000000001</v>
      </c>
      <c r="Q58" s="1368">
        <f t="shared" si="5"/>
        <v>2614.2750000000001</v>
      </c>
      <c r="R58" s="1368">
        <f t="shared" si="5"/>
        <v>2614.2750000000001</v>
      </c>
      <c r="S58" s="1368"/>
    </row>
    <row r="59" spans="1:22" s="1292" customFormat="1" ht="26.4">
      <c r="A59" s="3618"/>
      <c r="B59" s="1336" t="s">
        <v>1058</v>
      </c>
      <c r="C59" s="3602">
        <v>0.5</v>
      </c>
      <c r="D59" s="3602"/>
      <c r="E59" s="3602"/>
      <c r="F59" s="1332">
        <v>10</v>
      </c>
      <c r="G59" s="3604"/>
      <c r="H59" s="1337">
        <v>0</v>
      </c>
      <c r="I59" s="1332">
        <f>C59*F59*5</f>
        <v>25</v>
      </c>
      <c r="J59" s="1332" t="s">
        <v>923</v>
      </c>
      <c r="K59" s="1377">
        <v>0</v>
      </c>
      <c r="L59" s="1363">
        <f>I59*K59*H59</f>
        <v>0</v>
      </c>
      <c r="N59" s="1368">
        <f t="shared" si="5"/>
        <v>0</v>
      </c>
      <c r="O59" s="1368">
        <f t="shared" si="5"/>
        <v>0</v>
      </c>
      <c r="P59" s="1368">
        <f t="shared" si="5"/>
        <v>0</v>
      </c>
      <c r="Q59" s="1368">
        <f t="shared" si="5"/>
        <v>0</v>
      </c>
      <c r="R59" s="1368">
        <f t="shared" si="5"/>
        <v>0</v>
      </c>
      <c r="S59" s="1336"/>
    </row>
    <row r="60" spans="1:22" ht="13.5" customHeight="1">
      <c r="A60" s="3603" t="s">
        <v>1037</v>
      </c>
      <c r="B60" s="3603"/>
      <c r="C60" s="3597"/>
      <c r="D60" s="3597"/>
      <c r="E60" s="3597"/>
      <c r="F60" s="3597"/>
      <c r="G60" s="3597"/>
      <c r="H60" s="3597"/>
      <c r="I60" s="3597"/>
      <c r="J60" s="3597"/>
      <c r="K60" s="3597"/>
      <c r="L60" s="1374">
        <f>SUM(L57:L59)</f>
        <v>59740.125</v>
      </c>
      <c r="N60" s="1368"/>
      <c r="O60" s="1368"/>
      <c r="P60" s="1368"/>
      <c r="Q60" s="1368"/>
      <c r="R60" s="1368"/>
      <c r="S60" s="1367">
        <f>SUM(N57:R59)</f>
        <v>59740.125000000007</v>
      </c>
    </row>
    <row r="61" spans="1:22" ht="52.5" customHeight="1">
      <c r="A61" s="1315">
        <v>9</v>
      </c>
      <c r="B61" s="1338" t="s">
        <v>1059</v>
      </c>
      <c r="C61" s="3605">
        <v>0</v>
      </c>
      <c r="D61" s="3605"/>
      <c r="E61" s="3605"/>
      <c r="F61" s="1319"/>
      <c r="G61" s="1321" t="s">
        <v>1060</v>
      </c>
      <c r="H61" s="1317"/>
      <c r="I61" s="1319">
        <f>C61*5</f>
        <v>0</v>
      </c>
      <c r="J61" s="1319" t="s">
        <v>923</v>
      </c>
      <c r="K61" s="1362"/>
      <c r="L61" s="1363">
        <f>I61*K61</f>
        <v>0</v>
      </c>
      <c r="N61" s="1368">
        <f>$L61/5</f>
        <v>0</v>
      </c>
      <c r="O61" s="1368">
        <f>$L61/5</f>
        <v>0</v>
      </c>
      <c r="P61" s="1368">
        <f>$L61/5</f>
        <v>0</v>
      </c>
      <c r="Q61" s="1368">
        <f>$L61/5</f>
        <v>0</v>
      </c>
      <c r="R61" s="1368">
        <f>$L61/5</f>
        <v>0</v>
      </c>
      <c r="S61" s="1368"/>
    </row>
    <row r="62" spans="1:22" ht="13.5" customHeight="1">
      <c r="A62" s="3583" t="s">
        <v>1037</v>
      </c>
      <c r="B62" s="3583"/>
      <c r="C62" s="3600"/>
      <c r="D62" s="3600"/>
      <c r="E62" s="3600"/>
      <c r="F62" s="1340"/>
      <c r="G62" s="3601"/>
      <c r="H62" s="3601"/>
      <c r="I62" s="3601"/>
      <c r="J62" s="3601"/>
      <c r="K62" s="3601"/>
      <c r="L62" s="1374">
        <f>L61</f>
        <v>0</v>
      </c>
      <c r="N62" s="1368"/>
      <c r="O62" s="1368"/>
      <c r="P62" s="1368"/>
      <c r="Q62" s="1368"/>
      <c r="R62" s="1368"/>
      <c r="S62" s="1367">
        <f>SUM(N61:R61)</f>
        <v>0</v>
      </c>
    </row>
    <row r="63" spans="1:22" ht="28.8">
      <c r="A63" s="3618">
        <v>10</v>
      </c>
      <c r="B63" s="1316" t="s">
        <v>1061</v>
      </c>
      <c r="C63" s="3597"/>
      <c r="D63" s="3597"/>
      <c r="E63" s="3597"/>
      <c r="F63" s="3597"/>
      <c r="G63" s="3597"/>
      <c r="H63" s="3597"/>
      <c r="I63" s="3597"/>
      <c r="J63" s="3597"/>
      <c r="K63" s="3597"/>
      <c r="L63" s="1363"/>
      <c r="N63" s="1368"/>
      <c r="O63" s="1368"/>
      <c r="P63" s="1368"/>
      <c r="Q63" s="1368"/>
      <c r="R63" s="1368"/>
      <c r="S63" s="1368"/>
    </row>
    <row r="64" spans="1:22" ht="39.6">
      <c r="A64" s="3618"/>
      <c r="B64" s="1341" t="s">
        <v>1062</v>
      </c>
      <c r="C64" s="1320">
        <f>I7</f>
        <v>0</v>
      </c>
      <c r="D64" s="1301"/>
      <c r="E64" s="1301"/>
      <c r="F64" s="1319">
        <v>1</v>
      </c>
      <c r="G64" s="1328" t="s">
        <v>1063</v>
      </c>
      <c r="H64" s="1320">
        <f>ROUND(C64/F64,0)</f>
        <v>0</v>
      </c>
      <c r="I64" s="1319">
        <f>F64*10</f>
        <v>10</v>
      </c>
      <c r="J64" s="1319" t="s">
        <v>1064</v>
      </c>
      <c r="K64" s="1362">
        <v>1200</v>
      </c>
      <c r="L64" s="1363">
        <f>I64*K64*H64</f>
        <v>0</v>
      </c>
      <c r="N64" s="1368">
        <f t="shared" ref="N64:R67" si="6">$L64/5</f>
        <v>0</v>
      </c>
      <c r="O64" s="1368">
        <f t="shared" si="6"/>
        <v>0</v>
      </c>
      <c r="P64" s="1368">
        <f t="shared" si="6"/>
        <v>0</v>
      </c>
      <c r="Q64" s="1368">
        <f t="shared" si="6"/>
        <v>0</v>
      </c>
      <c r="R64" s="1368">
        <f t="shared" si="6"/>
        <v>0</v>
      </c>
      <c r="S64" s="1368"/>
      <c r="V64" s="1341"/>
    </row>
    <row r="65" spans="1:22" ht="30.6">
      <c r="A65" s="3618"/>
      <c r="B65" s="1341" t="s">
        <v>1065</v>
      </c>
      <c r="C65" s="1320">
        <f>I8</f>
        <v>0</v>
      </c>
      <c r="D65" s="1301"/>
      <c r="E65" s="1301"/>
      <c r="F65" s="1319">
        <v>1</v>
      </c>
      <c r="G65" s="1328" t="s">
        <v>1063</v>
      </c>
      <c r="H65" s="1320">
        <f>ROUND(C65/F65,0)</f>
        <v>0</v>
      </c>
      <c r="I65" s="1319">
        <f>F65*10</f>
        <v>10</v>
      </c>
      <c r="J65" s="1322" t="s">
        <v>1066</v>
      </c>
      <c r="K65" s="1362">
        <v>2000</v>
      </c>
      <c r="L65" s="1363">
        <f>I65*K65*H65</f>
        <v>0</v>
      </c>
      <c r="N65" s="1368">
        <f t="shared" si="6"/>
        <v>0</v>
      </c>
      <c r="O65" s="1368">
        <f t="shared" si="6"/>
        <v>0</v>
      </c>
      <c r="P65" s="1368">
        <f t="shared" si="6"/>
        <v>0</v>
      </c>
      <c r="Q65" s="1368">
        <f t="shared" si="6"/>
        <v>0</v>
      </c>
      <c r="R65" s="1368">
        <f t="shared" si="6"/>
        <v>0</v>
      </c>
      <c r="S65" s="1368"/>
      <c r="V65" s="1341"/>
    </row>
    <row r="66" spans="1:22" ht="33.75" customHeight="1">
      <c r="A66" s="3618"/>
      <c r="B66" s="1341" t="s">
        <v>1067</v>
      </c>
      <c r="C66" s="1317">
        <f>I6</f>
        <v>0</v>
      </c>
      <c r="D66" s="1319"/>
      <c r="E66" s="1319"/>
      <c r="F66" s="1319">
        <v>1</v>
      </c>
      <c r="G66" s="1328" t="s">
        <v>1063</v>
      </c>
      <c r="H66" s="1317"/>
      <c r="I66" s="1319">
        <f>C66*F66*10</f>
        <v>0</v>
      </c>
      <c r="J66" s="1319" t="s">
        <v>1068</v>
      </c>
      <c r="K66" s="1362">
        <v>60</v>
      </c>
      <c r="L66" s="1363">
        <f>I66*K66</f>
        <v>0</v>
      </c>
      <c r="N66" s="1368">
        <f t="shared" si="6"/>
        <v>0</v>
      </c>
      <c r="O66" s="1368">
        <f t="shared" si="6"/>
        <v>0</v>
      </c>
      <c r="P66" s="1368">
        <f t="shared" si="6"/>
        <v>0</v>
      </c>
      <c r="Q66" s="1368">
        <f t="shared" si="6"/>
        <v>0</v>
      </c>
      <c r="R66" s="1368">
        <f t="shared" si="6"/>
        <v>0</v>
      </c>
      <c r="S66" s="1368"/>
    </row>
    <row r="67" spans="1:22" ht="26.4">
      <c r="A67" s="3618"/>
      <c r="B67" s="1341" t="s">
        <v>1069</v>
      </c>
      <c r="C67" s="1319">
        <f>C64+C65</f>
        <v>0</v>
      </c>
      <c r="D67" s="1322">
        <v>5.5</v>
      </c>
      <c r="E67" s="1322">
        <v>2</v>
      </c>
      <c r="F67" s="1322">
        <v>1</v>
      </c>
      <c r="G67" s="1328" t="s">
        <v>1060</v>
      </c>
      <c r="H67" s="1317"/>
      <c r="I67" s="1319">
        <f>C67*D67*E67*F67*5</f>
        <v>0</v>
      </c>
      <c r="J67" s="1319" t="s">
        <v>923</v>
      </c>
      <c r="K67" s="1362">
        <v>25</v>
      </c>
      <c r="L67" s="1363">
        <f>I67*K67</f>
        <v>0</v>
      </c>
      <c r="N67" s="1368">
        <f t="shared" si="6"/>
        <v>0</v>
      </c>
      <c r="O67" s="1368">
        <f t="shared" si="6"/>
        <v>0</v>
      </c>
      <c r="P67" s="1368">
        <f t="shared" si="6"/>
        <v>0</v>
      </c>
      <c r="Q67" s="1368">
        <f t="shared" si="6"/>
        <v>0</v>
      </c>
      <c r="R67" s="1368">
        <f t="shared" si="6"/>
        <v>0</v>
      </c>
      <c r="S67" s="1368"/>
    </row>
    <row r="68" spans="1:22" ht="13.5" customHeight="1">
      <c r="A68" s="3583" t="s">
        <v>1037</v>
      </c>
      <c r="B68" s="3583"/>
      <c r="C68" s="3600"/>
      <c r="D68" s="3600"/>
      <c r="E68" s="3600"/>
      <c r="F68" s="1340"/>
      <c r="G68" s="3601" t="s">
        <v>1070</v>
      </c>
      <c r="H68" s="3601"/>
      <c r="I68" s="3601"/>
      <c r="J68" s="3601"/>
      <c r="K68" s="3601"/>
      <c r="L68" s="1374">
        <f>SUM(L64:L67)</f>
        <v>0</v>
      </c>
      <c r="N68" s="1368"/>
      <c r="O68" s="1368"/>
      <c r="P68" s="1368"/>
      <c r="Q68" s="1368"/>
      <c r="R68" s="1368"/>
      <c r="S68" s="1367">
        <f>SUM(N64:R67)</f>
        <v>0</v>
      </c>
    </row>
    <row r="69" spans="1:22" ht="28.8">
      <c r="A69" s="3618">
        <v>11</v>
      </c>
      <c r="B69" s="1316" t="s">
        <v>1071</v>
      </c>
      <c r="C69" s="3611">
        <v>1</v>
      </c>
      <c r="D69" s="3611"/>
      <c r="E69" s="3611"/>
      <c r="F69" s="3611"/>
      <c r="G69" s="3604"/>
      <c r="H69" s="3608" t="s">
        <v>1072</v>
      </c>
      <c r="I69" s="3609">
        <f>C69*2</f>
        <v>2</v>
      </c>
      <c r="J69" s="3597" t="s">
        <v>634</v>
      </c>
      <c r="K69" s="3610">
        <v>1000</v>
      </c>
      <c r="L69" s="3612">
        <f>I69*K69</f>
        <v>2000</v>
      </c>
      <c r="N69" s="1368"/>
      <c r="O69" s="1368"/>
      <c r="P69" s="1368"/>
      <c r="Q69" s="1368"/>
      <c r="R69" s="1368"/>
      <c r="S69" s="1368"/>
    </row>
    <row r="70" spans="1:22" ht="21.75" customHeight="1">
      <c r="A70" s="3618"/>
      <c r="B70" s="1384" t="s">
        <v>587</v>
      </c>
      <c r="C70" s="3611"/>
      <c r="D70" s="3611"/>
      <c r="E70" s="3611"/>
      <c r="F70" s="3611"/>
      <c r="G70" s="3604"/>
      <c r="H70" s="3608"/>
      <c r="I70" s="3609"/>
      <c r="J70" s="3597"/>
      <c r="K70" s="3610"/>
      <c r="L70" s="3613"/>
      <c r="N70" s="1368"/>
      <c r="O70" s="1368"/>
      <c r="P70" s="1368"/>
      <c r="Q70" s="1368"/>
      <c r="R70" s="1368"/>
      <c r="S70" s="1368"/>
    </row>
    <row r="71" spans="1:22" ht="13.2">
      <c r="A71" s="3618"/>
      <c r="B71" s="1384"/>
      <c r="C71" s="3611"/>
      <c r="D71" s="3611"/>
      <c r="E71" s="3611"/>
      <c r="F71" s="3611"/>
      <c r="G71" s="3604"/>
      <c r="H71" s="3608"/>
      <c r="I71" s="3609"/>
      <c r="J71" s="3597"/>
      <c r="K71" s="3610"/>
      <c r="L71" s="3613"/>
      <c r="N71" s="1368"/>
      <c r="O71" s="1368"/>
      <c r="P71" s="1368"/>
      <c r="Q71" s="1368"/>
      <c r="R71" s="1368"/>
      <c r="S71" s="1368"/>
    </row>
    <row r="72" spans="1:22" ht="13.5" hidden="1" customHeight="1">
      <c r="A72" s="3618"/>
      <c r="B72" s="1318"/>
      <c r="C72" s="3611"/>
      <c r="D72" s="3611"/>
      <c r="E72" s="3611"/>
      <c r="F72" s="3611"/>
      <c r="G72" s="3604"/>
      <c r="H72" s="3608"/>
      <c r="I72" s="3609"/>
      <c r="J72" s="3597"/>
      <c r="K72" s="3610"/>
      <c r="L72" s="3613"/>
      <c r="N72" s="1368"/>
      <c r="O72" s="1368"/>
      <c r="P72" s="1368"/>
      <c r="Q72" s="1368"/>
      <c r="R72" s="1368"/>
      <c r="S72" s="1368"/>
    </row>
    <row r="73" spans="1:22" ht="14.25" hidden="1" customHeight="1">
      <c r="A73" s="3618"/>
      <c r="B73" s="1318"/>
      <c r="C73" s="3611"/>
      <c r="D73" s="3611"/>
      <c r="E73" s="3611"/>
      <c r="F73" s="3611"/>
      <c r="G73" s="3604"/>
      <c r="H73" s="3608"/>
      <c r="I73" s="3609"/>
      <c r="J73" s="3597"/>
      <c r="K73" s="3610"/>
      <c r="L73" s="3613"/>
      <c r="N73" s="1368"/>
      <c r="O73" s="1368"/>
      <c r="P73" s="1368"/>
      <c r="Q73" s="1368"/>
      <c r="R73" s="1368"/>
      <c r="S73" s="1368"/>
    </row>
    <row r="74" spans="1:22">
      <c r="A74" s="3618"/>
      <c r="B74" s="1318"/>
      <c r="C74" s="3611"/>
      <c r="D74" s="3611"/>
      <c r="E74" s="3611"/>
      <c r="F74" s="3611"/>
      <c r="G74" s="3604"/>
      <c r="H74" s="3608"/>
      <c r="I74" s="3609"/>
      <c r="J74" s="3597"/>
      <c r="K74" s="3610">
        <v>1096.0150000000001</v>
      </c>
      <c r="L74" s="3614"/>
      <c r="N74" s="1368"/>
      <c r="O74" s="1368">
        <f>$L$75/2</f>
        <v>1000</v>
      </c>
      <c r="P74" s="1368"/>
      <c r="Q74" s="1368">
        <f>$L$75/2</f>
        <v>1000</v>
      </c>
      <c r="R74" s="1368"/>
      <c r="S74" s="1368"/>
    </row>
    <row r="75" spans="1:22" ht="13.5" customHeight="1">
      <c r="A75" s="3583" t="s">
        <v>1037</v>
      </c>
      <c r="B75" s="3583"/>
      <c r="C75" s="3600"/>
      <c r="D75" s="3600"/>
      <c r="E75" s="3600"/>
      <c r="F75" s="3600"/>
      <c r="G75" s="3600"/>
      <c r="H75" s="3600"/>
      <c r="I75" s="3600"/>
      <c r="J75" s="3600"/>
      <c r="K75" s="3600"/>
      <c r="L75" s="1374">
        <f>SUM(L69)</f>
        <v>2000</v>
      </c>
      <c r="N75" s="1368"/>
      <c r="O75" s="1368"/>
      <c r="P75" s="1368"/>
      <c r="Q75" s="1368"/>
      <c r="R75" s="1368"/>
      <c r="S75" s="1367">
        <f>SUM(N70:R74)</f>
        <v>2000</v>
      </c>
    </row>
    <row r="76" spans="1:22" ht="13.5" customHeight="1">
      <c r="A76" s="3618">
        <v>12</v>
      </c>
      <c r="B76" s="1316" t="s">
        <v>1073</v>
      </c>
      <c r="C76" s="3597"/>
      <c r="D76" s="3597"/>
      <c r="E76" s="3597"/>
      <c r="F76" s="3597"/>
      <c r="G76" s="3597"/>
      <c r="H76" s="3597"/>
      <c r="I76" s="3597"/>
      <c r="J76" s="3597"/>
      <c r="K76" s="3597"/>
      <c r="L76" s="3597"/>
      <c r="N76" s="1368"/>
      <c r="O76" s="1368"/>
      <c r="P76" s="1368"/>
      <c r="Q76" s="1368"/>
      <c r="R76" s="1368"/>
      <c r="S76" s="1368"/>
    </row>
    <row r="77" spans="1:22" ht="34.200000000000003">
      <c r="A77" s="3618"/>
      <c r="B77" s="1341" t="s">
        <v>1074</v>
      </c>
      <c r="C77" s="3606">
        <f>$I$9</f>
        <v>0</v>
      </c>
      <c r="D77" s="3605"/>
      <c r="E77" s="3605"/>
      <c r="F77" s="1319">
        <v>0.2</v>
      </c>
      <c r="G77" s="1385" t="s">
        <v>1056</v>
      </c>
      <c r="H77" s="1386"/>
      <c r="I77" s="1322">
        <f>C77*F77*5</f>
        <v>0</v>
      </c>
      <c r="J77" s="1319" t="s">
        <v>241</v>
      </c>
      <c r="K77" s="1387">
        <v>0</v>
      </c>
      <c r="L77" s="1375">
        <f>I77*K77</f>
        <v>0</v>
      </c>
      <c r="N77" s="1368">
        <f t="shared" ref="N77:R78" si="7">$L77/5</f>
        <v>0</v>
      </c>
      <c r="O77" s="1368">
        <f t="shared" si="7"/>
        <v>0</v>
      </c>
      <c r="P77" s="1368">
        <f t="shared" si="7"/>
        <v>0</v>
      </c>
      <c r="Q77" s="1368">
        <f t="shared" si="7"/>
        <v>0</v>
      </c>
      <c r="R77" s="1368">
        <f t="shared" si="7"/>
        <v>0</v>
      </c>
      <c r="S77" s="1368"/>
    </row>
    <row r="78" spans="1:22" ht="48.6" customHeight="1">
      <c r="A78" s="3618"/>
      <c r="B78" s="1341" t="s">
        <v>1075</v>
      </c>
      <c r="C78" s="3606">
        <f>$I$9</f>
        <v>0</v>
      </c>
      <c r="D78" s="3605"/>
      <c r="E78" s="3605"/>
      <c r="F78" s="1319">
        <v>0.2</v>
      </c>
      <c r="G78" s="1385" t="s">
        <v>1063</v>
      </c>
      <c r="H78" s="1386"/>
      <c r="I78" s="1322">
        <f>C78*F78*10</f>
        <v>0</v>
      </c>
      <c r="J78" s="1319" t="s">
        <v>241</v>
      </c>
      <c r="K78" s="1387">
        <v>0</v>
      </c>
      <c r="L78" s="1375">
        <f>I78*K78</f>
        <v>0</v>
      </c>
      <c r="N78" s="1368">
        <f t="shared" si="7"/>
        <v>0</v>
      </c>
      <c r="O78" s="1368">
        <f t="shared" si="7"/>
        <v>0</v>
      </c>
      <c r="P78" s="1368">
        <f t="shared" si="7"/>
        <v>0</v>
      </c>
      <c r="Q78" s="1368">
        <f t="shared" si="7"/>
        <v>0</v>
      </c>
      <c r="R78" s="1368">
        <f t="shared" si="7"/>
        <v>0</v>
      </c>
      <c r="S78" s="1368"/>
    </row>
    <row r="79" spans="1:22" ht="13.5" customHeight="1">
      <c r="A79" s="3583" t="s">
        <v>1037</v>
      </c>
      <c r="B79" s="3583"/>
      <c r="C79" s="3607"/>
      <c r="D79" s="3607"/>
      <c r="E79" s="3607"/>
      <c r="F79" s="3607"/>
      <c r="G79" s="3607"/>
      <c r="H79" s="3607"/>
      <c r="I79" s="3607"/>
      <c r="J79" s="3607"/>
      <c r="K79" s="3607"/>
      <c r="L79" s="1374">
        <f>SUM(L77:L78)</f>
        <v>0</v>
      </c>
      <c r="N79" s="1368"/>
      <c r="O79" s="1368"/>
      <c r="P79" s="1368"/>
      <c r="Q79" s="1368"/>
      <c r="R79" s="1368"/>
      <c r="S79" s="1367">
        <f>SUM(N77:R78)</f>
        <v>0</v>
      </c>
    </row>
    <row r="80" spans="1:22" s="1293" customFormat="1" ht="21.75" customHeight="1">
      <c r="A80" s="3616" t="s">
        <v>1076</v>
      </c>
      <c r="B80" s="3616"/>
      <c r="C80" s="3617"/>
      <c r="D80" s="3617"/>
      <c r="E80" s="3617"/>
      <c r="F80" s="3617"/>
      <c r="G80" s="3617"/>
      <c r="H80" s="3617"/>
      <c r="I80" s="3617"/>
      <c r="J80" s="3617"/>
      <c r="K80" s="3617"/>
      <c r="L80" s="1388">
        <f>ROUND(L79+L75+L68+L62+L60+L56+L54+L52+L50+L48+L32+L25,0)</f>
        <v>661486</v>
      </c>
      <c r="N80" s="1389">
        <f t="shared" ref="N80:S80" si="8">SUM(N16:N79)</f>
        <v>84931.208361387486</v>
      </c>
      <c r="O80" s="1389">
        <f t="shared" si="8"/>
        <v>106809.57075495382</v>
      </c>
      <c r="P80" s="1389">
        <f t="shared" si="8"/>
        <v>133199.42995386827</v>
      </c>
      <c r="Q80" s="1389">
        <f t="shared" si="8"/>
        <v>157248.28937545436</v>
      </c>
      <c r="R80" s="1389">
        <f t="shared" si="8"/>
        <v>179297.14879704046</v>
      </c>
      <c r="S80" s="1389">
        <f t="shared" si="8"/>
        <v>661485.64724270441</v>
      </c>
    </row>
    <row r="81" spans="14:19">
      <c r="N81" s="1390"/>
      <c r="O81" s="1390"/>
      <c r="P81" s="1390"/>
      <c r="Q81" s="1390"/>
      <c r="R81" s="1390"/>
      <c r="S81" s="1390"/>
    </row>
  </sheetData>
  <sheetProtection password="CA5F" sheet="1" objects="1" scenarios="1"/>
  <protectedRanges>
    <protectedRange sqref="K3:K4" name="Range6"/>
    <protectedRange sqref="Q9:Q11" name="Range5"/>
    <protectedRange sqref="Q4:Q6" name="Range4"/>
    <protectedRange sqref="I9" name="Range3"/>
    <protectedRange sqref="I6" name="Range2"/>
    <protectedRange sqref="C3:C9" name="Range1"/>
  </protectedRanges>
  <mergeCells count="83">
    <mergeCell ref="L69:L74"/>
    <mergeCell ref="R2:R3"/>
    <mergeCell ref="C33:L34"/>
    <mergeCell ref="D69:F74"/>
    <mergeCell ref="A80:B80"/>
    <mergeCell ref="C80:K80"/>
    <mergeCell ref="A11:A12"/>
    <mergeCell ref="A14:A24"/>
    <mergeCell ref="A26:A31"/>
    <mergeCell ref="A33:A46"/>
    <mergeCell ref="A57:A59"/>
    <mergeCell ref="A63:A67"/>
    <mergeCell ref="A69:A74"/>
    <mergeCell ref="A76:A78"/>
    <mergeCell ref="B11:B12"/>
    <mergeCell ref="C11:C12"/>
    <mergeCell ref="C77:E77"/>
    <mergeCell ref="C78:E78"/>
    <mergeCell ref="A79:B79"/>
    <mergeCell ref="C79:K79"/>
    <mergeCell ref="A68:B68"/>
    <mergeCell ref="C68:E68"/>
    <mergeCell ref="G68:K68"/>
    <mergeCell ref="A75:B75"/>
    <mergeCell ref="C75:K75"/>
    <mergeCell ref="G69:G74"/>
    <mergeCell ref="H69:H74"/>
    <mergeCell ref="I69:I74"/>
    <mergeCell ref="J69:J74"/>
    <mergeCell ref="K69:K74"/>
    <mergeCell ref="C69:C74"/>
    <mergeCell ref="C76:L76"/>
    <mergeCell ref="A62:B62"/>
    <mergeCell ref="C62:E62"/>
    <mergeCell ref="G62:K62"/>
    <mergeCell ref="C63:K63"/>
    <mergeCell ref="A56:B56"/>
    <mergeCell ref="C56:K56"/>
    <mergeCell ref="C58:E58"/>
    <mergeCell ref="C59:E59"/>
    <mergeCell ref="A60:B60"/>
    <mergeCell ref="C60:K60"/>
    <mergeCell ref="G57:G59"/>
    <mergeCell ref="C61:E61"/>
    <mergeCell ref="A50:B50"/>
    <mergeCell ref="C50:K50"/>
    <mergeCell ref="A52:B52"/>
    <mergeCell ref="C52:K52"/>
    <mergeCell ref="A54:B54"/>
    <mergeCell ref="C54:K54"/>
    <mergeCell ref="A48:B48"/>
    <mergeCell ref="C48:K48"/>
    <mergeCell ref="A25:B25"/>
    <mergeCell ref="C25:K25"/>
    <mergeCell ref="C26:L26"/>
    <mergeCell ref="A32:B32"/>
    <mergeCell ref="C32:K32"/>
    <mergeCell ref="C40:K40"/>
    <mergeCell ref="C41:L41"/>
    <mergeCell ref="C47:K47"/>
    <mergeCell ref="N11:P11"/>
    <mergeCell ref="C14:E14"/>
    <mergeCell ref="N14:S14"/>
    <mergeCell ref="C21:E21"/>
    <mergeCell ref="G11:G12"/>
    <mergeCell ref="H11:H12"/>
    <mergeCell ref="I11:I12"/>
    <mergeCell ref="J11:J12"/>
    <mergeCell ref="D11:D12"/>
    <mergeCell ref="E11:E12"/>
    <mergeCell ref="F11:F12"/>
    <mergeCell ref="K11:L11"/>
    <mergeCell ref="F7:H7"/>
    <mergeCell ref="F8:H8"/>
    <mergeCell ref="F9:H9"/>
    <mergeCell ref="N9:P9"/>
    <mergeCell ref="B10:L10"/>
    <mergeCell ref="N10:P10"/>
    <mergeCell ref="A1:L1"/>
    <mergeCell ref="A2:L2"/>
    <mergeCell ref="H4:J4"/>
    <mergeCell ref="G5:H5"/>
    <mergeCell ref="F6:H6"/>
  </mergeCells>
  <pageMargins left="0.70866141732283505" right="0.70866141732283505" top="0.74803149606299202" bottom="0.74803149606299202" header="0.31496062992126" footer="0.31496062992126"/>
  <pageSetup paperSize="9" scale="64" orientation="landscape"/>
  <headerFooter>
    <oddHeader>&amp;CPage &amp;P of &amp;N</oddHead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rgb="FF000099"/>
  </sheetPr>
  <dimension ref="A1:I126"/>
  <sheetViews>
    <sheetView workbookViewId="0">
      <selection activeCell="E16" sqref="E16"/>
    </sheetView>
  </sheetViews>
  <sheetFormatPr defaultColWidth="9.33203125" defaultRowHeight="13.2"/>
  <cols>
    <col min="1" max="1" width="5" style="1206" customWidth="1"/>
    <col min="2" max="2" width="8.109375" style="1208" customWidth="1"/>
    <col min="3" max="3" width="6.88671875" style="1206" customWidth="1"/>
    <col min="4" max="4" width="45.33203125" style="1209" customWidth="1"/>
    <col min="5" max="5" width="10.44140625" style="1206" customWidth="1"/>
    <col min="6" max="6" width="8.109375" style="1210" customWidth="1"/>
    <col min="7" max="7" width="15.109375" style="1203" customWidth="1"/>
    <col min="8" max="9" width="9.33203125" style="1211" hidden="1" customWidth="1"/>
    <col min="10" max="16384" width="9.33203125" style="1211"/>
  </cols>
  <sheetData>
    <row r="1" spans="1:7" s="1202" customFormat="1" ht="23.1" customHeight="1">
      <c r="A1" s="3620" t="s">
        <v>1077</v>
      </c>
      <c r="B1" s="3620"/>
      <c r="C1" s="3620"/>
      <c r="D1" s="3620"/>
      <c r="E1" s="3620"/>
      <c r="F1" s="3620"/>
      <c r="G1" s="3620"/>
    </row>
    <row r="2" spans="1:7" s="1202" customFormat="1" ht="26.1" customHeight="1">
      <c r="A2" s="3620" t="str">
        <f>'Input Data'!E1</f>
        <v xml:space="preserve">BT Renewal from Balabadraipally to Danamma Thanda of Gundumal Mandal in Narayanpet District </v>
      </c>
      <c r="B2" s="3620"/>
      <c r="C2" s="3620"/>
      <c r="D2" s="3620"/>
      <c r="E2" s="3620"/>
      <c r="F2" s="3620"/>
      <c r="G2" s="3620"/>
    </row>
    <row r="3" spans="1:7" s="1203" customFormat="1" ht="26.4">
      <c r="A3" s="1212" t="s">
        <v>1078</v>
      </c>
      <c r="B3" s="1212" t="s">
        <v>1079</v>
      </c>
      <c r="C3" s="1213" t="s">
        <v>1080</v>
      </c>
      <c r="D3" s="1214" t="s">
        <v>554</v>
      </c>
      <c r="E3" s="1214" t="s">
        <v>1016</v>
      </c>
      <c r="F3" s="1214" t="s">
        <v>3</v>
      </c>
      <c r="G3" s="1214" t="s">
        <v>1081</v>
      </c>
    </row>
    <row r="4" spans="1:7" s="1204" customFormat="1">
      <c r="A4" s="1212">
        <v>1</v>
      </c>
      <c r="B4" s="1212">
        <v>2</v>
      </c>
      <c r="C4" s="1212">
        <v>3</v>
      </c>
      <c r="D4" s="1212">
        <v>4</v>
      </c>
      <c r="E4" s="1212">
        <v>5</v>
      </c>
      <c r="F4" s="1212">
        <v>6</v>
      </c>
      <c r="G4" s="1212">
        <v>7</v>
      </c>
    </row>
    <row r="5" spans="1:7" ht="15.75" customHeight="1">
      <c r="A5" s="1215">
        <f>'Road data'!A930+1</f>
        <v>22</v>
      </c>
      <c r="B5" s="1216">
        <v>10.1</v>
      </c>
      <c r="C5" s="1217">
        <v>3002</v>
      </c>
      <c r="D5" s="1218" t="s">
        <v>1082</v>
      </c>
      <c r="E5" s="1219"/>
      <c r="F5" s="1220"/>
      <c r="G5" s="1221"/>
    </row>
    <row r="6" spans="1:7" ht="63.75" customHeight="1">
      <c r="A6" s="1219"/>
      <c r="B6" s="1222"/>
      <c r="C6" s="1219"/>
      <c r="D6" s="1223" t="s">
        <v>1083</v>
      </c>
      <c r="E6" s="1219"/>
      <c r="F6" s="1220"/>
      <c r="G6" s="1221"/>
    </row>
    <row r="7" spans="1:7">
      <c r="A7" s="1219"/>
      <c r="B7" s="1222"/>
      <c r="C7" s="1219"/>
      <c r="D7" s="1224" t="s">
        <v>1084</v>
      </c>
      <c r="E7" s="1219"/>
      <c r="F7" s="1220"/>
      <c r="G7" s="1221"/>
    </row>
    <row r="8" spans="1:7">
      <c r="A8" s="1219"/>
      <c r="B8" s="1222"/>
      <c r="C8" s="1219"/>
      <c r="D8" s="1225" t="s">
        <v>10</v>
      </c>
      <c r="E8" s="1219"/>
      <c r="F8" s="1220"/>
      <c r="G8" s="1221"/>
    </row>
    <row r="9" spans="1:7">
      <c r="A9" s="1219"/>
      <c r="B9" s="1222"/>
      <c r="C9" s="1219"/>
      <c r="D9" s="1225" t="s">
        <v>84</v>
      </c>
      <c r="E9" s="1219"/>
      <c r="F9" s="1220"/>
      <c r="G9" s="1221"/>
    </row>
    <row r="10" spans="1:7">
      <c r="A10" s="1219"/>
      <c r="B10" s="1222"/>
      <c r="C10" s="1219"/>
      <c r="D10" s="1224" t="s">
        <v>1085</v>
      </c>
      <c r="E10" s="1226"/>
      <c r="F10" s="1220"/>
      <c r="G10" s="1221"/>
    </row>
    <row r="11" spans="1:7">
      <c r="A11" s="1219"/>
      <c r="B11" s="1220">
        <v>0.08</v>
      </c>
      <c r="C11" s="1226" t="s">
        <v>38</v>
      </c>
      <c r="D11" s="1225" t="s">
        <v>14</v>
      </c>
      <c r="E11" s="1220">
        <f>'SSR-rates'!$I$58</f>
        <v>520</v>
      </c>
      <c r="F11" s="1226" t="s">
        <v>38</v>
      </c>
      <c r="G11" s="1227">
        <f t="shared" ref="G11:G12" si="0">ROUND(B11*E11,2)</f>
        <v>41.6</v>
      </c>
    </row>
    <row r="12" spans="1:7">
      <c r="A12" s="1219"/>
      <c r="B12" s="1220">
        <v>2</v>
      </c>
      <c r="C12" s="1226" t="s">
        <v>38</v>
      </c>
      <c r="D12" s="1225" t="s">
        <v>312</v>
      </c>
      <c r="E12" s="1220">
        <f>'SSR-rates'!$I$60</f>
        <v>520</v>
      </c>
      <c r="F12" s="1226" t="s">
        <v>38</v>
      </c>
      <c r="G12" s="1227">
        <f t="shared" si="0"/>
        <v>1040</v>
      </c>
    </row>
    <row r="13" spans="1:7">
      <c r="A13" s="1219"/>
      <c r="B13" s="1222"/>
      <c r="C13" s="1219"/>
      <c r="D13" s="1225"/>
      <c r="E13" s="1220"/>
      <c r="F13" s="1219"/>
      <c r="G13" s="1228">
        <f>SUM(G11:G12)</f>
        <v>1081.5999999999999</v>
      </c>
    </row>
    <row r="14" spans="1:7">
      <c r="A14" s="1219"/>
      <c r="B14" s="1222"/>
      <c r="C14" s="1219"/>
      <c r="D14" s="1224" t="s">
        <v>1086</v>
      </c>
      <c r="E14" s="1220"/>
      <c r="F14" s="1219"/>
      <c r="G14" s="1229"/>
    </row>
    <row r="15" spans="1:7">
      <c r="A15" s="1219"/>
      <c r="B15" s="1220">
        <v>0.13</v>
      </c>
      <c r="C15" s="1226" t="s">
        <v>23</v>
      </c>
      <c r="D15" s="1230" t="s">
        <v>1087</v>
      </c>
      <c r="E15" s="1231">
        <f>'SSR-rates'!$I$64</f>
        <v>3502.9</v>
      </c>
      <c r="F15" s="1226" t="s">
        <v>23</v>
      </c>
      <c r="G15" s="1227">
        <f t="shared" ref="G15:G18" si="1">ROUND(B15*E15,2)</f>
        <v>455.38</v>
      </c>
    </row>
    <row r="16" spans="1:7" ht="26.4">
      <c r="A16" s="1219"/>
      <c r="B16" s="1220">
        <f>12*1</f>
        <v>12</v>
      </c>
      <c r="C16" s="1232" t="s">
        <v>1088</v>
      </c>
      <c r="D16" s="1230" t="s">
        <v>1089</v>
      </c>
      <c r="E16" s="1231">
        <f>'Road data'!$G$205</f>
        <v>8</v>
      </c>
      <c r="F16" s="1226" t="s">
        <v>1088</v>
      </c>
      <c r="G16" s="1227">
        <f t="shared" si="1"/>
        <v>96</v>
      </c>
    </row>
    <row r="17" spans="1:7" ht="26.4">
      <c r="A17" s="1219"/>
      <c r="B17" s="1233">
        <v>0.1</v>
      </c>
      <c r="C17" s="1226"/>
      <c r="D17" s="1230" t="s">
        <v>1090</v>
      </c>
      <c r="E17" s="1231">
        <f>G16</f>
        <v>96</v>
      </c>
      <c r="F17" s="1226"/>
      <c r="G17" s="1227">
        <f t="shared" si="1"/>
        <v>9.6</v>
      </c>
    </row>
    <row r="18" spans="1:7">
      <c r="A18" s="1219"/>
      <c r="B18" s="1220">
        <v>0.5</v>
      </c>
      <c r="C18" s="1226" t="s">
        <v>23</v>
      </c>
      <c r="D18" s="1230" t="s">
        <v>1091</v>
      </c>
      <c r="E18" s="1231">
        <f>'SSR-rates'!$I$91</f>
        <v>59</v>
      </c>
      <c r="F18" s="1226" t="s">
        <v>23</v>
      </c>
      <c r="G18" s="1227">
        <f t="shared" si="1"/>
        <v>29.5</v>
      </c>
    </row>
    <row r="19" spans="1:7">
      <c r="A19" s="1219"/>
      <c r="B19" s="1222"/>
      <c r="C19" s="1219"/>
      <c r="D19" s="1230"/>
      <c r="E19" s="1234"/>
      <c r="F19" s="1219"/>
      <c r="G19" s="1235">
        <f>SUM(G15:G18)</f>
        <v>590.48</v>
      </c>
    </row>
    <row r="20" spans="1:7">
      <c r="A20" s="1219"/>
      <c r="B20" s="1222"/>
      <c r="C20" s="1219"/>
      <c r="D20" s="1236"/>
      <c r="E20" s="1226"/>
      <c r="F20" s="1220"/>
      <c r="G20" s="1235">
        <f>G13+G19</f>
        <v>1672.08</v>
      </c>
    </row>
    <row r="21" spans="1:7">
      <c r="A21" s="1219"/>
      <c r="B21" s="1237" t="s">
        <v>27</v>
      </c>
      <c r="C21" s="1238" t="s">
        <v>1092</v>
      </c>
      <c r="D21" s="1239"/>
      <c r="E21" s="1239"/>
      <c r="F21" s="1239"/>
      <c r="G21" s="1240"/>
    </row>
    <row r="22" spans="1:7">
      <c r="A22" s="1219"/>
      <c r="B22" s="1241">
        <f>'Input Data'!$D$24</f>
        <v>0.13614999999999999</v>
      </c>
      <c r="C22" s="1242"/>
      <c r="D22" s="1243" t="str">
        <f>"Over head charges &amp; CP "&amp;'Input Data'!$D$24*100&amp;"%  on (A) + (B)+(C)"</f>
        <v>Over head charges &amp; CP 13.615%  on (A) + (B)+(C)</v>
      </c>
      <c r="E22" s="1242">
        <f>G20</f>
        <v>1672.08</v>
      </c>
      <c r="F22" s="1239"/>
      <c r="G22" s="1244">
        <f>E22*B22</f>
        <v>227.65369199999998</v>
      </c>
    </row>
    <row r="23" spans="1:7">
      <c r="A23" s="1219"/>
      <c r="B23" s="1241">
        <f>'Input Data'!$E$24</f>
        <v>0</v>
      </c>
      <c r="C23" s="1242"/>
      <c r="D23" s="1239" t="s">
        <v>1093</v>
      </c>
      <c r="E23" s="1244">
        <f>E22+G22</f>
        <v>1899.7336919999998</v>
      </c>
      <c r="F23" s="1245"/>
      <c r="G23" s="1246">
        <f>E23*B23</f>
        <v>0</v>
      </c>
    </row>
    <row r="24" spans="1:7">
      <c r="A24" s="1219"/>
      <c r="B24" s="1237" t="s">
        <v>45</v>
      </c>
      <c r="C24" s="1238" t="s">
        <v>46</v>
      </c>
      <c r="D24" s="1247"/>
      <c r="E24" s="1239"/>
      <c r="F24" s="1239"/>
      <c r="G24" s="1240">
        <f>G20+G22+G23</f>
        <v>1899.7336919999998</v>
      </c>
    </row>
    <row r="25" spans="1:7" s="1205" customFormat="1">
      <c r="A25" s="1248"/>
      <c r="B25" s="1249"/>
      <c r="C25" s="1250"/>
      <c r="D25" s="1251" t="s">
        <v>1094</v>
      </c>
      <c r="E25" s="1249"/>
      <c r="F25" s="1249" t="s">
        <v>1095</v>
      </c>
      <c r="G25" s="1252">
        <f>G24/10</f>
        <v>189.97336919999998</v>
      </c>
    </row>
    <row r="26" spans="1:7" ht="53.4" customHeight="1">
      <c r="A26" s="1219"/>
      <c r="B26" s="1222"/>
      <c r="C26" s="1219"/>
      <c r="D26" s="1224" t="s">
        <v>1096</v>
      </c>
      <c r="E26" s="1225"/>
      <c r="F26" s="1220"/>
      <c r="G26" s="1229"/>
    </row>
    <row r="27" spans="1:7" ht="27.6" customHeight="1">
      <c r="A27" s="1215">
        <f>A5+1</f>
        <v>23</v>
      </c>
      <c r="B27" s="1216">
        <v>10.199999999999999</v>
      </c>
      <c r="C27" s="1217">
        <v>3003</v>
      </c>
      <c r="D27" s="1253" t="s">
        <v>1097</v>
      </c>
      <c r="E27" s="1217"/>
      <c r="F27" s="1220"/>
      <c r="G27" s="1229"/>
    </row>
    <row r="28" spans="1:7" ht="46.95" customHeight="1">
      <c r="A28" s="1219"/>
      <c r="B28" s="1222"/>
      <c r="C28" s="1219"/>
      <c r="D28" s="1254" t="s">
        <v>1098</v>
      </c>
      <c r="E28" s="1221"/>
      <c r="F28" s="1220"/>
      <c r="G28" s="1229"/>
    </row>
    <row r="29" spans="1:7">
      <c r="A29" s="1219"/>
      <c r="B29" s="1222"/>
      <c r="C29" s="1219"/>
      <c r="D29" s="1254" t="s">
        <v>1099</v>
      </c>
      <c r="E29" s="1221"/>
      <c r="F29" s="1220"/>
      <c r="G29" s="1229"/>
    </row>
    <row r="30" spans="1:7">
      <c r="A30" s="1219"/>
      <c r="B30" s="1222"/>
      <c r="C30" s="1219"/>
      <c r="D30" s="1225" t="s">
        <v>1100</v>
      </c>
      <c r="E30" s="1226"/>
      <c r="F30" s="1220"/>
      <c r="G30" s="1229"/>
    </row>
    <row r="31" spans="1:7">
      <c r="A31" s="1219"/>
      <c r="B31" s="1222"/>
      <c r="C31" s="1219"/>
      <c r="D31" s="1225" t="s">
        <v>1101</v>
      </c>
      <c r="E31" s="1226"/>
      <c r="F31" s="1220"/>
      <c r="G31" s="1229"/>
    </row>
    <row r="32" spans="1:7">
      <c r="A32" s="1219"/>
      <c r="B32" s="1222"/>
      <c r="C32" s="1219"/>
      <c r="D32" s="1225" t="s">
        <v>1102</v>
      </c>
      <c r="E32" s="1226"/>
      <c r="F32" s="1220"/>
      <c r="G32" s="1229"/>
    </row>
    <row r="33" spans="1:8">
      <c r="A33" s="1219"/>
      <c r="B33" s="1222"/>
      <c r="C33" s="1219"/>
      <c r="D33" s="1225" t="s">
        <v>1103</v>
      </c>
      <c r="E33" s="1226"/>
      <c r="F33" s="1220"/>
      <c r="G33" s="1229"/>
    </row>
    <row r="34" spans="1:8">
      <c r="A34" s="1219"/>
      <c r="B34" s="1222"/>
      <c r="C34" s="1219"/>
      <c r="D34" s="1224" t="s">
        <v>1085</v>
      </c>
      <c r="E34" s="1226"/>
      <c r="F34" s="1220"/>
      <c r="G34" s="1229"/>
    </row>
    <row r="35" spans="1:8">
      <c r="A35" s="1219"/>
      <c r="B35" s="1220">
        <v>0.18</v>
      </c>
      <c r="C35" s="1226" t="s">
        <v>38</v>
      </c>
      <c r="D35" s="1225" t="s">
        <v>14</v>
      </c>
      <c r="E35" s="1220">
        <f>'SSR-rates'!$I$58</f>
        <v>520</v>
      </c>
      <c r="F35" s="1226" t="s">
        <v>38</v>
      </c>
      <c r="G35" s="1227">
        <f t="shared" ref="G35:G36" si="2">ROUND(B35*E35,2)</f>
        <v>93.6</v>
      </c>
    </row>
    <row r="36" spans="1:8">
      <c r="A36" s="1219"/>
      <c r="B36" s="1220">
        <v>4.5</v>
      </c>
      <c r="C36" s="1226" t="s">
        <v>38</v>
      </c>
      <c r="D36" s="1225" t="s">
        <v>59</v>
      </c>
      <c r="E36" s="1220">
        <f>'SSR-rates'!$I$60</f>
        <v>520</v>
      </c>
      <c r="F36" s="1226" t="s">
        <v>38</v>
      </c>
      <c r="G36" s="1227">
        <f t="shared" si="2"/>
        <v>2340</v>
      </c>
    </row>
    <row r="37" spans="1:8">
      <c r="A37" s="1219"/>
      <c r="B37" s="1222"/>
      <c r="C37" s="1219"/>
      <c r="D37" s="1225"/>
      <c r="E37" s="1220"/>
      <c r="F37" s="1219"/>
      <c r="G37" s="1228">
        <f>SUM(G35:G36)</f>
        <v>2433.6</v>
      </c>
    </row>
    <row r="38" spans="1:8">
      <c r="A38" s="1219"/>
      <c r="B38" s="1222"/>
      <c r="C38" s="1219"/>
      <c r="D38" s="1224" t="s">
        <v>1086</v>
      </c>
      <c r="E38" s="1220"/>
      <c r="F38" s="1219"/>
      <c r="G38" s="1229"/>
    </row>
    <row r="39" spans="1:8">
      <c r="A39" s="1219"/>
      <c r="B39" s="1220">
        <v>0.25</v>
      </c>
      <c r="C39" s="1226" t="s">
        <v>23</v>
      </c>
      <c r="D39" s="1230" t="s">
        <v>1087</v>
      </c>
      <c r="E39" s="1231">
        <f>'SSR-rates'!$I$64</f>
        <v>3502.9</v>
      </c>
      <c r="F39" s="1226" t="s">
        <v>23</v>
      </c>
      <c r="G39" s="1227">
        <f t="shared" ref="G39:G42" si="3">ROUND(B39*E39,2)</f>
        <v>875.73</v>
      </c>
    </row>
    <row r="40" spans="1:8" ht="26.4">
      <c r="A40" s="1219"/>
      <c r="B40" s="1220">
        <f>24*1</f>
        <v>24</v>
      </c>
      <c r="C40" s="1226" t="s">
        <v>1088</v>
      </c>
      <c r="D40" s="1230" t="s">
        <v>1104</v>
      </c>
      <c r="E40" s="1231">
        <f>'Road data'!$G$205</f>
        <v>8</v>
      </c>
      <c r="F40" s="1226" t="s">
        <v>1088</v>
      </c>
      <c r="G40" s="1227">
        <f t="shared" si="3"/>
        <v>192</v>
      </c>
    </row>
    <row r="41" spans="1:8" ht="26.4">
      <c r="A41" s="1219"/>
      <c r="B41" s="1233">
        <v>0.1</v>
      </c>
      <c r="C41" s="1226"/>
      <c r="D41" s="1230" t="s">
        <v>1090</v>
      </c>
      <c r="E41" s="1231">
        <f>G40</f>
        <v>192</v>
      </c>
      <c r="F41" s="1226"/>
      <c r="G41" s="1227">
        <f t="shared" si="3"/>
        <v>19.2</v>
      </c>
    </row>
    <row r="42" spans="1:8">
      <c r="A42" s="1219"/>
      <c r="B42" s="1220">
        <v>12</v>
      </c>
      <c r="C42" s="1226" t="s">
        <v>23</v>
      </c>
      <c r="D42" s="1230" t="s">
        <v>1105</v>
      </c>
      <c r="E42" s="1231">
        <f>'SSR-rates'!$I$91</f>
        <v>59</v>
      </c>
      <c r="F42" s="1226" t="s">
        <v>23</v>
      </c>
      <c r="G42" s="1227">
        <f t="shared" si="3"/>
        <v>708</v>
      </c>
    </row>
    <row r="43" spans="1:8">
      <c r="A43" s="1219"/>
      <c r="B43" s="1222"/>
      <c r="C43" s="1219"/>
      <c r="D43" s="1230"/>
      <c r="E43" s="1234"/>
      <c r="F43" s="1231"/>
      <c r="G43" s="1235">
        <f>SUM(G39:G42)</f>
        <v>1794.93</v>
      </c>
    </row>
    <row r="44" spans="1:8">
      <c r="A44" s="1219"/>
      <c r="B44" s="1222"/>
      <c r="C44" s="1219"/>
      <c r="D44" s="1236"/>
      <c r="E44" s="1226"/>
      <c r="F44" s="1220"/>
      <c r="G44" s="1235">
        <f>G43+G37</f>
        <v>4228.53</v>
      </c>
    </row>
    <row r="45" spans="1:8" s="1206" customFormat="1">
      <c r="A45" s="1255"/>
      <c r="B45" s="1256" t="s">
        <v>27</v>
      </c>
      <c r="C45" s="1257" t="s">
        <v>1092</v>
      </c>
      <c r="D45" s="1258"/>
      <c r="E45" s="1258"/>
      <c r="F45" s="1258"/>
      <c r="G45" s="1259"/>
      <c r="H45" s="1211"/>
    </row>
    <row r="46" spans="1:8">
      <c r="A46" s="1219"/>
      <c r="B46" s="1241">
        <f>'Input Data'!$D$24</f>
        <v>0.13614999999999999</v>
      </c>
      <c r="C46" s="1242"/>
      <c r="D46" s="1243" t="str">
        <f>"Over head charges &amp; CP "&amp;'Input Data'!$D$24*100&amp;"%  on (A) + (B)+(C)"</f>
        <v>Over head charges &amp; CP 13.615%  on (A) + (B)+(C)</v>
      </c>
      <c r="E46" s="1242">
        <f>G44</f>
        <v>4228.53</v>
      </c>
      <c r="F46" s="1239"/>
      <c r="G46" s="1244">
        <f>E46*B46</f>
        <v>575.71435949999989</v>
      </c>
    </row>
    <row r="47" spans="1:8">
      <c r="A47" s="1219"/>
      <c r="B47" s="1241">
        <f>'Input Data'!$E$24</f>
        <v>0</v>
      </c>
      <c r="C47" s="1242"/>
      <c r="D47" s="1239" t="s">
        <v>1093</v>
      </c>
      <c r="E47" s="1244">
        <f>E46+G46</f>
        <v>4804.2443594999995</v>
      </c>
      <c r="F47" s="1245"/>
      <c r="G47" s="1246">
        <f>E47*B47</f>
        <v>0</v>
      </c>
    </row>
    <row r="48" spans="1:8">
      <c r="A48" s="1219"/>
      <c r="B48" s="1237" t="s">
        <v>45</v>
      </c>
      <c r="C48" s="1238" t="s">
        <v>46</v>
      </c>
      <c r="D48" s="1247"/>
      <c r="E48" s="1239"/>
      <c r="F48" s="1239"/>
      <c r="G48" s="1240">
        <f>G44+G46+G47</f>
        <v>4804.2443594999995</v>
      </c>
    </row>
    <row r="49" spans="1:8">
      <c r="A49" s="1248"/>
      <c r="B49" s="1249"/>
      <c r="C49" s="1250"/>
      <c r="D49" s="1251" t="s">
        <v>1106</v>
      </c>
      <c r="E49" s="1249"/>
      <c r="F49" s="1249" t="s">
        <v>1095</v>
      </c>
      <c r="G49" s="1252">
        <f>G48/100</f>
        <v>48.042443594999995</v>
      </c>
      <c r="H49" s="1205"/>
    </row>
    <row r="50" spans="1:8" ht="33" customHeight="1">
      <c r="A50" s="1215">
        <f>A27+1</f>
        <v>24</v>
      </c>
      <c r="B50" s="1260">
        <v>10.4</v>
      </c>
      <c r="C50" s="1219">
        <v>3004.2</v>
      </c>
      <c r="D50" s="1261" t="s">
        <v>1107</v>
      </c>
      <c r="E50" s="1262"/>
      <c r="F50" s="1231"/>
      <c r="G50" s="1229"/>
    </row>
    <row r="51" spans="1:8" ht="92.4">
      <c r="A51" s="1219"/>
      <c r="B51" s="1222"/>
      <c r="C51" s="1219"/>
      <c r="D51" s="1263" t="s">
        <v>1108</v>
      </c>
      <c r="E51" s="1262"/>
      <c r="F51" s="1231"/>
      <c r="G51" s="1229"/>
    </row>
    <row r="52" spans="1:8">
      <c r="A52" s="1219"/>
      <c r="B52" s="1222"/>
      <c r="C52" s="1219"/>
      <c r="D52" s="1263" t="s">
        <v>1109</v>
      </c>
      <c r="E52" s="1262"/>
      <c r="F52" s="1231"/>
      <c r="G52" s="1229"/>
    </row>
    <row r="53" spans="1:8" ht="13.8">
      <c r="A53" s="1219"/>
      <c r="B53" s="1222"/>
      <c r="C53" s="1219"/>
      <c r="D53" s="1264" t="s">
        <v>1110</v>
      </c>
      <c r="E53" s="1262"/>
      <c r="F53" s="1231"/>
      <c r="G53" s="1229"/>
    </row>
    <row r="54" spans="1:8" ht="13.8">
      <c r="A54" s="1219"/>
      <c r="B54" s="1222"/>
      <c r="C54" s="1219"/>
      <c r="D54" s="1264" t="s">
        <v>1111</v>
      </c>
      <c r="E54" s="1262"/>
      <c r="F54" s="1231"/>
      <c r="G54" s="1229"/>
    </row>
    <row r="55" spans="1:8">
      <c r="A55" s="1219"/>
      <c r="B55" s="1222"/>
      <c r="C55" s="1219"/>
      <c r="D55" s="1261" t="s">
        <v>1112</v>
      </c>
      <c r="E55" s="1262"/>
      <c r="F55" s="1231"/>
      <c r="G55" s="1229"/>
    </row>
    <row r="56" spans="1:8">
      <c r="A56" s="1219"/>
      <c r="B56" s="1220">
        <v>3.76</v>
      </c>
      <c r="C56" s="1226" t="s">
        <v>57</v>
      </c>
      <c r="D56" s="1265" t="s">
        <v>14</v>
      </c>
      <c r="E56" s="1220">
        <f>'SSR-rates'!$I$58</f>
        <v>520</v>
      </c>
      <c r="F56" s="1226" t="s">
        <v>57</v>
      </c>
      <c r="G56" s="1227">
        <f t="shared" ref="G56:G58" si="4">ROUND(B56*E56,2)</f>
        <v>1955.2</v>
      </c>
    </row>
    <row r="57" spans="1:8">
      <c r="A57" s="1219"/>
      <c r="B57" s="1220">
        <v>90</v>
      </c>
      <c r="C57" s="1226" t="s">
        <v>57</v>
      </c>
      <c r="D57" s="1265" t="s">
        <v>59</v>
      </c>
      <c r="E57" s="1220">
        <f>'SSR-rates'!$I$60</f>
        <v>520</v>
      </c>
      <c r="F57" s="1226" t="s">
        <v>57</v>
      </c>
      <c r="G57" s="1227">
        <f t="shared" si="4"/>
        <v>46800</v>
      </c>
    </row>
    <row r="58" spans="1:8">
      <c r="A58" s="1219"/>
      <c r="B58" s="1220">
        <v>4</v>
      </c>
      <c r="C58" s="1226" t="s">
        <v>57</v>
      </c>
      <c r="D58" s="1265" t="s">
        <v>15</v>
      </c>
      <c r="E58" s="1220">
        <f>'SSR-rates'!$I$59</f>
        <v>550</v>
      </c>
      <c r="F58" s="1226" t="s">
        <v>57</v>
      </c>
      <c r="G58" s="1227">
        <f t="shared" si="4"/>
        <v>2200</v>
      </c>
    </row>
    <row r="59" spans="1:8">
      <c r="A59" s="1219"/>
      <c r="B59" s="1222"/>
      <c r="C59" s="1219"/>
      <c r="D59" s="1265"/>
      <c r="E59" s="1221"/>
      <c r="F59" s="1219"/>
      <c r="G59" s="1266">
        <f>SUM(G56:G58)</f>
        <v>50955.199999999997</v>
      </c>
    </row>
    <row r="60" spans="1:8">
      <c r="A60" s="1219"/>
      <c r="B60" s="1222"/>
      <c r="C60" s="1219"/>
      <c r="D60" s="1261" t="s">
        <v>1113</v>
      </c>
      <c r="E60" s="1221"/>
      <c r="F60" s="1219"/>
      <c r="G60" s="1229"/>
    </row>
    <row r="61" spans="1:8">
      <c r="A61" s="1219"/>
      <c r="B61" s="1220">
        <v>6</v>
      </c>
      <c r="C61" s="1226" t="s">
        <v>23</v>
      </c>
      <c r="D61" s="1265" t="s">
        <v>1114</v>
      </c>
      <c r="E61" s="1232">
        <f>'SSR-rates'!$I$73</f>
        <v>668.6</v>
      </c>
      <c r="F61" s="1226" t="s">
        <v>23</v>
      </c>
      <c r="G61" s="1227">
        <f t="shared" ref="G61:G64" si="5">ROUND(B61*E61,2)</f>
        <v>4011.6</v>
      </c>
    </row>
    <row r="62" spans="1:8">
      <c r="A62" s="1219"/>
      <c r="B62" s="1220">
        <v>6</v>
      </c>
      <c r="C62" s="1226" t="s">
        <v>23</v>
      </c>
      <c r="D62" s="1265" t="s">
        <v>1115</v>
      </c>
      <c r="E62" s="1232">
        <f>'SSR-rates'!$P$78</f>
        <v>33344</v>
      </c>
      <c r="F62" s="1226" t="s">
        <v>23</v>
      </c>
      <c r="G62" s="1227">
        <f t="shared" si="5"/>
        <v>200064</v>
      </c>
    </row>
    <row r="63" spans="1:8">
      <c r="A63" s="1219"/>
      <c r="B63" s="1220">
        <v>45</v>
      </c>
      <c r="C63" s="1226" t="s">
        <v>23</v>
      </c>
      <c r="D63" s="1265" t="s">
        <v>1116</v>
      </c>
      <c r="E63" s="1232">
        <f>'SSR-rates'!$I$89</f>
        <v>1205.7</v>
      </c>
      <c r="F63" s="1226" t="s">
        <v>23</v>
      </c>
      <c r="G63" s="1227">
        <f t="shared" si="5"/>
        <v>54256.5</v>
      </c>
    </row>
    <row r="64" spans="1:8">
      <c r="A64" s="1219"/>
      <c r="B64" s="1220">
        <v>12</v>
      </c>
      <c r="C64" s="1226" t="s">
        <v>23</v>
      </c>
      <c r="D64" s="1265" t="s">
        <v>1117</v>
      </c>
      <c r="E64" s="1232">
        <f>'SSR-rates'!$I$68</f>
        <v>1734.8</v>
      </c>
      <c r="F64" s="1226" t="s">
        <v>23</v>
      </c>
      <c r="G64" s="1227">
        <f t="shared" si="5"/>
        <v>20817.599999999999</v>
      </c>
    </row>
    <row r="65" spans="1:7">
      <c r="A65" s="1219"/>
      <c r="B65" s="1222"/>
      <c r="C65" s="1219"/>
      <c r="D65" s="1265"/>
      <c r="E65" s="1262"/>
      <c r="F65" s="1231"/>
      <c r="G65" s="1266">
        <f>SUM(G61:G64)</f>
        <v>279149.7</v>
      </c>
    </row>
    <row r="66" spans="1:7">
      <c r="A66" s="1219"/>
      <c r="B66" s="1222"/>
      <c r="C66" s="1219"/>
      <c r="D66" s="1261" t="s">
        <v>1118</v>
      </c>
      <c r="E66" s="1262"/>
      <c r="F66" s="1231"/>
      <c r="G66" s="1229"/>
    </row>
    <row r="67" spans="1:7" ht="26.4">
      <c r="A67" s="1219"/>
      <c r="B67" s="1220">
        <v>184.5</v>
      </c>
      <c r="C67" s="1226" t="s">
        <v>31</v>
      </c>
      <c r="D67" s="1265" t="s">
        <v>1119</v>
      </c>
      <c r="E67" s="1232">
        <f>lead!$J$8</f>
        <v>1880.2187651278443</v>
      </c>
      <c r="F67" s="1226" t="s">
        <v>31</v>
      </c>
      <c r="G67" s="1227">
        <f t="shared" ref="G67:G70" si="6">ROUND(B67*E67,2)</f>
        <v>346900.36</v>
      </c>
    </row>
    <row r="68" spans="1:7" ht="26.4">
      <c r="A68" s="1219"/>
      <c r="B68" s="1220">
        <v>92.25</v>
      </c>
      <c r="C68" s="1226" t="s">
        <v>31</v>
      </c>
      <c r="D68" s="1265" t="s">
        <v>1120</v>
      </c>
      <c r="E68" s="1232">
        <f>lead!$J$9</f>
        <v>1780.2187651278443</v>
      </c>
      <c r="F68" s="1226" t="s">
        <v>31</v>
      </c>
      <c r="G68" s="1227">
        <f t="shared" si="6"/>
        <v>164225.18</v>
      </c>
    </row>
    <row r="69" spans="1:7">
      <c r="A69" s="1219"/>
      <c r="B69" s="1220">
        <v>14.97</v>
      </c>
      <c r="C69" s="1226" t="s">
        <v>1121</v>
      </c>
      <c r="D69" s="1267" t="s">
        <v>1122</v>
      </c>
      <c r="E69" s="1232">
        <f>BT_Rate_60_70</f>
        <v>49114.645337323418</v>
      </c>
      <c r="F69" s="1226" t="s">
        <v>1121</v>
      </c>
      <c r="G69" s="1227">
        <f t="shared" si="6"/>
        <v>735246.24</v>
      </c>
    </row>
    <row r="70" spans="1:7" ht="26.4">
      <c r="A70" s="1219"/>
      <c r="B70" s="1220">
        <v>2.46</v>
      </c>
      <c r="C70" s="1226" t="s">
        <v>1121</v>
      </c>
      <c r="D70" s="1265" t="s">
        <v>1123</v>
      </c>
      <c r="E70" s="1232">
        <f>Emution_RS</f>
        <v>46449.645337323418</v>
      </c>
      <c r="F70" s="1226" t="s">
        <v>1121</v>
      </c>
      <c r="G70" s="1227">
        <f t="shared" si="6"/>
        <v>114266.13</v>
      </c>
    </row>
    <row r="71" spans="1:7">
      <c r="A71" s="1219"/>
      <c r="B71" s="1222"/>
      <c r="C71" s="1219"/>
      <c r="D71" s="1265"/>
      <c r="E71" s="1262"/>
      <c r="F71" s="1231"/>
      <c r="G71" s="1266">
        <f>SUM(G67:G70)</f>
        <v>1360637.9100000001</v>
      </c>
    </row>
    <row r="72" spans="1:7">
      <c r="A72" s="1219"/>
      <c r="B72" s="1222"/>
      <c r="C72" s="1219"/>
      <c r="D72" s="1236"/>
      <c r="E72" s="1262"/>
      <c r="F72" s="1231"/>
      <c r="G72" s="1266">
        <f>G59+G65+G71</f>
        <v>1690742.81</v>
      </c>
    </row>
    <row r="73" spans="1:7">
      <c r="A73" s="1219"/>
      <c r="B73" s="1237" t="s">
        <v>45</v>
      </c>
      <c r="C73" s="1238" t="s">
        <v>1092</v>
      </c>
      <c r="D73" s="1239"/>
      <c r="E73" s="1239"/>
      <c r="F73" s="1239"/>
      <c r="G73" s="1240"/>
    </row>
    <row r="74" spans="1:7">
      <c r="A74" s="1219"/>
      <c r="B74" s="1241">
        <f>'Input Data'!$D$24</f>
        <v>0.13614999999999999</v>
      </c>
      <c r="C74" s="1242"/>
      <c r="D74" s="1243" t="str">
        <f>"Over head charges &amp; CP "&amp;'Input Data'!$D$24*100&amp;"%  on (A) + (B)+(C)"</f>
        <v>Over head charges &amp; CP 13.615%  on (A) + (B)+(C)</v>
      </c>
      <c r="E74" s="1242">
        <f>G72</f>
        <v>1690742.81</v>
      </c>
      <c r="F74" s="1239"/>
      <c r="G74" s="1244">
        <f>E74*B74</f>
        <v>230194.63358150001</v>
      </c>
    </row>
    <row r="75" spans="1:7">
      <c r="A75" s="1219"/>
      <c r="B75" s="1241">
        <f>'Input Data'!$E$24</f>
        <v>0</v>
      </c>
      <c r="C75" s="1242"/>
      <c r="D75" s="1239" t="s">
        <v>1093</v>
      </c>
      <c r="E75" s="1242">
        <f>E74+G74</f>
        <v>1920937.4435815001</v>
      </c>
      <c r="F75" s="1245"/>
      <c r="G75" s="1246">
        <f>E75*B75</f>
        <v>0</v>
      </c>
    </row>
    <row r="76" spans="1:7">
      <c r="A76" s="1219"/>
      <c r="B76" s="1237" t="s">
        <v>47</v>
      </c>
      <c r="C76" s="1238" t="s">
        <v>89</v>
      </c>
      <c r="D76" s="1247"/>
      <c r="E76" s="1239"/>
      <c r="F76" s="1239"/>
      <c r="G76" s="1240">
        <f>G72+G74+G75</f>
        <v>1920937.4435815001</v>
      </c>
    </row>
    <row r="77" spans="1:7">
      <c r="A77" s="1219"/>
      <c r="B77" s="1249"/>
      <c r="C77" s="1250"/>
      <c r="D77" s="1251" t="s">
        <v>1106</v>
      </c>
      <c r="E77" s="1249"/>
      <c r="F77" s="1249" t="s">
        <v>1095</v>
      </c>
      <c r="G77" s="1252">
        <f>G76/10250</f>
        <v>187.40853108112196</v>
      </c>
    </row>
    <row r="78" spans="1:7" ht="26.4">
      <c r="A78" s="1215">
        <f>A50+1</f>
        <v>25</v>
      </c>
      <c r="B78" s="1260">
        <v>10.5</v>
      </c>
      <c r="C78" s="1219">
        <v>3004.2</v>
      </c>
      <c r="D78" s="1261" t="s">
        <v>1124</v>
      </c>
      <c r="E78" s="1224"/>
      <c r="F78" s="1220"/>
      <c r="G78" s="1229"/>
    </row>
    <row r="79" spans="1:7" ht="92.4">
      <c r="A79" s="1219"/>
      <c r="B79" s="1222"/>
      <c r="C79" s="1219"/>
      <c r="D79" s="1263" t="s">
        <v>1125</v>
      </c>
      <c r="E79" s="1224"/>
      <c r="F79" s="1220"/>
      <c r="G79" s="1229"/>
    </row>
    <row r="80" spans="1:7">
      <c r="A80" s="1219"/>
      <c r="B80" s="1222"/>
      <c r="C80" s="1219"/>
      <c r="D80" s="1263" t="s">
        <v>1126</v>
      </c>
      <c r="E80" s="1224"/>
      <c r="F80" s="1220"/>
      <c r="G80" s="1229"/>
    </row>
    <row r="81" spans="1:7" ht="13.8">
      <c r="A81" s="1219"/>
      <c r="B81" s="1222"/>
      <c r="C81" s="1219"/>
      <c r="D81" s="1264" t="s">
        <v>130</v>
      </c>
      <c r="E81" s="1224"/>
      <c r="F81" s="1220"/>
      <c r="G81" s="1229"/>
    </row>
    <row r="82" spans="1:7" ht="13.8">
      <c r="A82" s="1219"/>
      <c r="B82" s="1222"/>
      <c r="C82" s="1219"/>
      <c r="D82" s="1264" t="s">
        <v>1127</v>
      </c>
      <c r="E82" s="1224"/>
      <c r="F82" s="1220"/>
      <c r="G82" s="1229"/>
    </row>
    <row r="83" spans="1:7">
      <c r="A83" s="1219"/>
      <c r="B83" s="1222"/>
      <c r="C83" s="1219"/>
      <c r="D83" s="1261" t="s">
        <v>1112</v>
      </c>
      <c r="E83" s="1224"/>
      <c r="F83" s="1220"/>
      <c r="G83" s="1229"/>
    </row>
    <row r="84" spans="1:7">
      <c r="A84" s="1219"/>
      <c r="B84" s="1220">
        <v>2.92</v>
      </c>
      <c r="C84" s="1226" t="s">
        <v>57</v>
      </c>
      <c r="D84" s="1265" t="s">
        <v>14</v>
      </c>
      <c r="E84" s="1220">
        <f>'SSR-rates'!$I$58</f>
        <v>520</v>
      </c>
      <c r="F84" s="1234" t="s">
        <v>57</v>
      </c>
      <c r="G84" s="1227">
        <f>ROUND(B84*E84,2)</f>
        <v>1518.4</v>
      </c>
    </row>
    <row r="85" spans="1:7">
      <c r="A85" s="1219"/>
      <c r="B85" s="1220">
        <v>70</v>
      </c>
      <c r="C85" s="1226" t="s">
        <v>57</v>
      </c>
      <c r="D85" s="1265" t="s">
        <v>59</v>
      </c>
      <c r="E85" s="1220">
        <f>'SSR-rates'!$I$60</f>
        <v>520</v>
      </c>
      <c r="F85" s="1234" t="s">
        <v>57</v>
      </c>
      <c r="G85" s="1227">
        <f t="shared" ref="G85:G86" si="7">ROUND(B85*E85,2)</f>
        <v>36400</v>
      </c>
    </row>
    <row r="86" spans="1:7">
      <c r="A86" s="1219"/>
      <c r="B86" s="1220">
        <v>3</v>
      </c>
      <c r="C86" s="1226" t="s">
        <v>57</v>
      </c>
      <c r="D86" s="1265" t="s">
        <v>15</v>
      </c>
      <c r="E86" s="1220">
        <f>'SSR-rates'!$I$59</f>
        <v>550</v>
      </c>
      <c r="F86" s="1234" t="s">
        <v>57</v>
      </c>
      <c r="G86" s="1227">
        <f t="shared" si="7"/>
        <v>1650</v>
      </c>
    </row>
    <row r="87" spans="1:7">
      <c r="A87" s="1255"/>
      <c r="B87" s="1268"/>
      <c r="C87" s="1255"/>
      <c r="D87" s="1269"/>
      <c r="E87" s="1270"/>
      <c r="F87" s="1271"/>
      <c r="G87" s="1272">
        <f>SUM(G84:G86)</f>
        <v>39568.400000000001</v>
      </c>
    </row>
    <row r="88" spans="1:7">
      <c r="A88" s="1219"/>
      <c r="B88" s="1222"/>
      <c r="C88" s="1219"/>
      <c r="D88" s="1261" t="s">
        <v>1113</v>
      </c>
      <c r="E88" s="1221"/>
      <c r="F88" s="1234"/>
      <c r="G88" s="1229"/>
    </row>
    <row r="89" spans="1:7">
      <c r="A89" s="1219"/>
      <c r="B89" s="1220">
        <v>6</v>
      </c>
      <c r="C89" s="1226" t="s">
        <v>23</v>
      </c>
      <c r="D89" s="1265" t="s">
        <v>1114</v>
      </c>
      <c r="E89" s="1232">
        <f>'SSR-rates'!$I$73</f>
        <v>668.6</v>
      </c>
      <c r="F89" s="1234" t="s">
        <v>23</v>
      </c>
      <c r="G89" s="1227">
        <f t="shared" ref="G89:G92" si="8">ROUND(B89*E89,2)</f>
        <v>4011.6</v>
      </c>
    </row>
    <row r="90" spans="1:7">
      <c r="A90" s="1219"/>
      <c r="B90" s="1220">
        <v>6</v>
      </c>
      <c r="C90" s="1226" t="s">
        <v>23</v>
      </c>
      <c r="D90" s="1265" t="s">
        <v>1115</v>
      </c>
      <c r="E90" s="1232">
        <f>'SSR-rates'!$P$78</f>
        <v>33344</v>
      </c>
      <c r="F90" s="1234" t="s">
        <v>23</v>
      </c>
      <c r="G90" s="1227">
        <f t="shared" si="8"/>
        <v>200064</v>
      </c>
    </row>
    <row r="91" spans="1:7">
      <c r="A91" s="1219"/>
      <c r="B91" s="1220">
        <v>45</v>
      </c>
      <c r="C91" s="1226" t="s">
        <v>23</v>
      </c>
      <c r="D91" s="1265" t="s">
        <v>1116</v>
      </c>
      <c r="E91" s="1232">
        <f>'SSR-rates'!$I$89</f>
        <v>1205.7</v>
      </c>
      <c r="F91" s="1234" t="s">
        <v>23</v>
      </c>
      <c r="G91" s="1227">
        <f t="shared" si="8"/>
        <v>54256.5</v>
      </c>
    </row>
    <row r="92" spans="1:7">
      <c r="A92" s="1219"/>
      <c r="B92" s="1220">
        <v>12</v>
      </c>
      <c r="C92" s="1226" t="s">
        <v>23</v>
      </c>
      <c r="D92" s="1265" t="s">
        <v>1117</v>
      </c>
      <c r="E92" s="1232">
        <f>'SSR-rates'!$I$68</f>
        <v>1734.8</v>
      </c>
      <c r="F92" s="1234" t="s">
        <v>23</v>
      </c>
      <c r="G92" s="1227">
        <f t="shared" si="8"/>
        <v>20817.599999999999</v>
      </c>
    </row>
    <row r="93" spans="1:7">
      <c r="A93" s="1219"/>
      <c r="B93" s="1222"/>
      <c r="C93" s="1219"/>
      <c r="D93" s="1265"/>
      <c r="E93" s="1221"/>
      <c r="F93" s="1234"/>
      <c r="G93" s="1266">
        <f>SUM(G89:G92)</f>
        <v>279149.7</v>
      </c>
    </row>
    <row r="94" spans="1:7">
      <c r="A94" s="1219"/>
      <c r="B94" s="1222"/>
      <c r="C94" s="1219"/>
      <c r="D94" s="1261" t="s">
        <v>1118</v>
      </c>
      <c r="E94" s="1221"/>
      <c r="F94" s="1234"/>
      <c r="G94" s="1229"/>
    </row>
    <row r="95" spans="1:7">
      <c r="A95" s="1219"/>
      <c r="B95" s="1220">
        <v>22.5</v>
      </c>
      <c r="C95" s="1226" t="s">
        <v>1121</v>
      </c>
      <c r="D95" s="1265" t="s">
        <v>1128</v>
      </c>
      <c r="E95" s="1232">
        <f>BT_Rate_60_70</f>
        <v>49114.645337323418</v>
      </c>
      <c r="F95" s="1234" t="s">
        <v>1121</v>
      </c>
      <c r="G95" s="1227">
        <f t="shared" ref="G95:G96" si="9">ROUND(B95*E95,2)</f>
        <v>1105079.52</v>
      </c>
    </row>
    <row r="96" spans="1:7">
      <c r="A96" s="1219"/>
      <c r="B96" s="1220">
        <v>1.18</v>
      </c>
      <c r="C96" s="1226" t="s">
        <v>1121</v>
      </c>
      <c r="D96" s="1265" t="s">
        <v>1129</v>
      </c>
      <c r="E96" s="1232">
        <f>Emution_RS</f>
        <v>46449.645337323418</v>
      </c>
      <c r="F96" s="1234" t="s">
        <v>1121</v>
      </c>
      <c r="G96" s="1227">
        <f t="shared" si="9"/>
        <v>54810.58</v>
      </c>
    </row>
    <row r="97" spans="1:7">
      <c r="A97" s="1219"/>
      <c r="B97" s="1222"/>
      <c r="C97" s="1219"/>
      <c r="D97" s="1265"/>
      <c r="E97" s="1262"/>
      <c r="F97" s="1231"/>
      <c r="G97" s="1266">
        <f>SUM(G95:G96)</f>
        <v>1159890.1000000001</v>
      </c>
    </row>
    <row r="98" spans="1:7">
      <c r="A98" s="1219"/>
      <c r="B98" s="1222"/>
      <c r="C98" s="1219"/>
      <c r="D98" s="1261" t="s">
        <v>1130</v>
      </c>
      <c r="E98" s="1262"/>
      <c r="F98" s="1231"/>
      <c r="G98" s="1229"/>
    </row>
    <row r="99" spans="1:7">
      <c r="A99" s="1219"/>
      <c r="B99" s="1222"/>
      <c r="C99" s="1219"/>
      <c r="D99" s="1261" t="s">
        <v>1131</v>
      </c>
      <c r="E99" s="1262"/>
      <c r="F99" s="1231"/>
      <c r="G99" s="1229"/>
    </row>
    <row r="100" spans="1:7">
      <c r="A100" s="1219"/>
      <c r="B100" s="1220">
        <v>99.75</v>
      </c>
      <c r="C100" s="1226" t="s">
        <v>31</v>
      </c>
      <c r="D100" s="1265" t="s">
        <v>1132</v>
      </c>
      <c r="E100" s="1273">
        <f>AVERAGE(lead!J7:J9)</f>
        <v>1897.2187651278443</v>
      </c>
      <c r="F100" s="1226" t="s">
        <v>31</v>
      </c>
      <c r="G100" s="1227">
        <f t="shared" ref="G100:G105" si="10">ROUND(B100*E100,2)</f>
        <v>189247.57</v>
      </c>
    </row>
    <row r="101" spans="1:7">
      <c r="A101" s="1219"/>
      <c r="B101" s="1220">
        <v>65.55</v>
      </c>
      <c r="C101" s="1226" t="s">
        <v>31</v>
      </c>
      <c r="D101" s="1265" t="s">
        <v>1133</v>
      </c>
      <c r="E101" s="1273">
        <f>(lead!J9+lead!J10)/2</f>
        <v>1751.7187651278443</v>
      </c>
      <c r="F101" s="1226" t="s">
        <v>31</v>
      </c>
      <c r="G101" s="1227">
        <f t="shared" si="10"/>
        <v>114825.17</v>
      </c>
    </row>
    <row r="102" spans="1:7">
      <c r="A102" s="1219"/>
      <c r="B102" s="1220">
        <v>114</v>
      </c>
      <c r="C102" s="1226" t="s">
        <v>31</v>
      </c>
      <c r="D102" s="1265" t="s">
        <v>1134</v>
      </c>
      <c r="E102" s="1273">
        <f>AVERAGE(lead!J10:J12)</f>
        <v>1704.6354317945109</v>
      </c>
      <c r="F102" s="1226" t="s">
        <v>31</v>
      </c>
      <c r="G102" s="1227">
        <f t="shared" si="10"/>
        <v>194328.44</v>
      </c>
    </row>
    <row r="103" spans="1:7">
      <c r="A103" s="1219"/>
      <c r="B103" s="1220">
        <v>8.6199999999999992</v>
      </c>
      <c r="C103" s="1226" t="s">
        <v>1121</v>
      </c>
      <c r="D103" s="1265" t="s">
        <v>1135</v>
      </c>
      <c r="E103" s="1273">
        <f>lead!$J$12</f>
        <v>1684.4687651278443</v>
      </c>
      <c r="F103" s="1226" t="s">
        <v>1121</v>
      </c>
      <c r="G103" s="1227">
        <f t="shared" si="10"/>
        <v>14520.12</v>
      </c>
    </row>
    <row r="104" spans="1:7">
      <c r="A104" s="1219"/>
      <c r="B104" s="1222"/>
      <c r="C104" s="1219"/>
      <c r="D104" s="1265"/>
      <c r="E104" s="1262"/>
      <c r="F104" s="1231"/>
      <c r="G104" s="1274"/>
    </row>
    <row r="105" spans="1:7">
      <c r="A105" s="1219"/>
      <c r="B105" s="1275">
        <v>0.05</v>
      </c>
      <c r="C105" s="1219"/>
      <c r="D105" s="1263" t="s">
        <v>1136</v>
      </c>
      <c r="E105" s="1262">
        <f>SUM(G100:G103)</f>
        <v>512921.3</v>
      </c>
      <c r="F105" s="1275"/>
      <c r="G105" s="1227">
        <f t="shared" si="10"/>
        <v>25646.07</v>
      </c>
    </row>
    <row r="106" spans="1:7">
      <c r="A106" s="1219"/>
      <c r="B106" s="1222"/>
      <c r="C106" s="1219"/>
      <c r="D106" s="1263"/>
      <c r="E106" s="1262"/>
      <c r="F106" s="1276"/>
      <c r="G106" s="1277">
        <f>SUM(G100:G105)</f>
        <v>538567.37</v>
      </c>
    </row>
    <row r="107" spans="1:7">
      <c r="A107" s="1219"/>
      <c r="B107" s="1222"/>
      <c r="C107" s="1219"/>
      <c r="D107" s="1278"/>
      <c r="E107" s="1224"/>
      <c r="F107" s="1220"/>
      <c r="G107" s="1277">
        <f>G106+G97+G93+G87</f>
        <v>2017175.57</v>
      </c>
    </row>
    <row r="108" spans="1:7">
      <c r="A108" s="1219"/>
      <c r="B108" s="1237" t="s">
        <v>45</v>
      </c>
      <c r="C108" s="1238" t="s">
        <v>1092</v>
      </c>
      <c r="D108" s="1239"/>
      <c r="E108" s="1239"/>
      <c r="F108" s="1239"/>
      <c r="G108" s="1240"/>
    </row>
    <row r="109" spans="1:7">
      <c r="A109" s="1219"/>
      <c r="B109" s="1241">
        <f>'Input Data'!$D$24</f>
        <v>0.13614999999999999</v>
      </c>
      <c r="C109" s="1242"/>
      <c r="D109" s="1243" t="str">
        <f>"Over head charges &amp; CP "&amp;'Input Data'!$D$24*100&amp;"%  on (A) + (B)+(C)"</f>
        <v>Over head charges &amp; CP 13.615%  on (A) + (B)+(C)</v>
      </c>
      <c r="E109" s="1242">
        <f>G107</f>
        <v>2017175.57</v>
      </c>
      <c r="F109" s="1239"/>
      <c r="G109" s="1244">
        <f>E109*B109</f>
        <v>274638.45385549997</v>
      </c>
    </row>
    <row r="110" spans="1:7" ht="23.4" customHeight="1">
      <c r="A110" s="1219"/>
      <c r="B110" s="1241">
        <f>'Input Data'!$E$24</f>
        <v>0</v>
      </c>
      <c r="C110" s="1242"/>
      <c r="D110" s="1239" t="s">
        <v>1093</v>
      </c>
      <c r="E110" s="1242">
        <f>E109+G109</f>
        <v>2291814.0238554999</v>
      </c>
      <c r="F110" s="1245"/>
      <c r="G110" s="1246">
        <f>E110*B110</f>
        <v>0</v>
      </c>
    </row>
    <row r="111" spans="1:7">
      <c r="A111" s="1219"/>
      <c r="B111" s="1237" t="s">
        <v>47</v>
      </c>
      <c r="C111" s="1238" t="s">
        <v>89</v>
      </c>
      <c r="D111" s="1247"/>
      <c r="E111" s="1239"/>
      <c r="F111" s="1239"/>
      <c r="G111" s="1240">
        <f>G107+G109+G110</f>
        <v>2291814.0238554999</v>
      </c>
    </row>
    <row r="112" spans="1:7">
      <c r="A112" s="1255"/>
      <c r="B112" s="1279"/>
      <c r="C112" s="1280"/>
      <c r="D112" s="1281" t="s">
        <v>1106</v>
      </c>
      <c r="E112" s="1279"/>
      <c r="F112" s="1279" t="s">
        <v>1095</v>
      </c>
      <c r="G112" s="1282">
        <f>G111/4900</f>
        <v>467.71714772561222</v>
      </c>
    </row>
    <row r="113" spans="2:7">
      <c r="D113" s="1283"/>
      <c r="E113" s="1284"/>
    </row>
    <row r="114" spans="2:7">
      <c r="D114" s="1285" t="s">
        <v>1137</v>
      </c>
    </row>
    <row r="115" spans="2:7">
      <c r="D115" s="1285" t="s">
        <v>1138</v>
      </c>
    </row>
    <row r="116" spans="2:7">
      <c r="D116" s="1286"/>
    </row>
    <row r="117" spans="2:7">
      <c r="B117" s="1204"/>
      <c r="D117" s="1287" t="s">
        <v>726</v>
      </c>
    </row>
    <row r="118" spans="2:7" ht="12.75" customHeight="1">
      <c r="B118" s="1204"/>
      <c r="D118" s="1288" t="str">
        <f>'Road data'!D985</f>
        <v>Asst Exe Engineer,</v>
      </c>
      <c r="E118" s="3621" t="str">
        <f>'Road data'!E985</f>
        <v>Dy. Exe. Engineer</v>
      </c>
      <c r="F118" s="3621"/>
      <c r="G118" s="3621"/>
    </row>
    <row r="119" spans="2:7">
      <c r="B119" s="1204"/>
      <c r="D119" s="1288" t="str">
        <f>'Road data'!D986</f>
        <v>PRSD Maddur</v>
      </c>
      <c r="E119" s="3621" t="str">
        <f>'Road data'!E986</f>
        <v>PRSD, Maddur</v>
      </c>
      <c r="F119" s="3621"/>
      <c r="G119" s="3621"/>
    </row>
    <row r="120" spans="2:7">
      <c r="B120" s="1204"/>
    </row>
    <row r="121" spans="2:7">
      <c r="B121" s="1204"/>
    </row>
    <row r="122" spans="2:7">
      <c r="B122" s="1204"/>
    </row>
    <row r="123" spans="2:7" s="1207" customFormat="1" ht="12.75" customHeight="1">
      <c r="B123" s="1289"/>
      <c r="D123" s="1290" t="str">
        <f>'Road data'!D989</f>
        <v>District Panchayat Raj Engineer,</v>
      </c>
      <c r="E123" s="3619" t="str">
        <f>'Road data'!E989</f>
        <v>Superintending Engineer</v>
      </c>
      <c r="F123" s="3619"/>
      <c r="G123" s="3619"/>
    </row>
    <row r="124" spans="2:7" s="1207" customFormat="1" ht="12.75" customHeight="1">
      <c r="B124" s="1289"/>
      <c r="D124" s="1290" t="str">
        <f>'Road data'!D990</f>
        <v>PR Division, Narayanpet</v>
      </c>
      <c r="E124" s="3619" t="str">
        <f>'Road data'!E990</f>
        <v>PR, Circle, Vikarabad</v>
      </c>
      <c r="F124" s="3619"/>
      <c r="G124" s="3619"/>
    </row>
    <row r="125" spans="2:7">
      <c r="B125" s="1204"/>
    </row>
    <row r="126" spans="2:7">
      <c r="B126" s="1204"/>
    </row>
  </sheetData>
  <mergeCells count="6">
    <mergeCell ref="E124:G124"/>
    <mergeCell ref="A1:G1"/>
    <mergeCell ref="A2:G2"/>
    <mergeCell ref="E118:G118"/>
    <mergeCell ref="E119:G119"/>
    <mergeCell ref="E123:G123"/>
  </mergeCells>
  <printOptions horizontalCentered="1"/>
  <pageMargins left="0.31458333333333299" right="0.118055555555556" top="0.39305555555555599" bottom="0.43263888888888902" header="0.118055555555556" footer="0.118055555555556"/>
  <pageSetup paperSize="9" orientation="portrait"/>
  <headerFooter alignWithMargins="0">
    <oddFooter>&amp;CPage &amp;P of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tabColor theme="5" tint="-0.249977111117893"/>
  </sheetPr>
  <dimension ref="A1:Y118"/>
  <sheetViews>
    <sheetView showGridLines="0" view="pageBreakPreview" topLeftCell="A50" zoomScale="85" workbookViewId="0">
      <selection activeCell="AB63" sqref="AB63"/>
    </sheetView>
  </sheetViews>
  <sheetFormatPr defaultColWidth="9.109375" defaultRowHeight="13.8"/>
  <cols>
    <col min="1" max="1" width="5" style="2428" customWidth="1"/>
    <col min="2" max="2" width="18.88671875" style="2369" customWidth="1"/>
    <col min="3" max="4" width="2.5546875" style="2374" customWidth="1"/>
    <col min="5" max="5" width="4.6640625" style="2374" customWidth="1"/>
    <col min="6" max="6" width="7.5546875" style="2374" customWidth="1"/>
    <col min="7" max="7" width="12" style="2374" customWidth="1"/>
    <col min="8" max="8" width="10.44140625" style="2374" customWidth="1"/>
    <col min="9" max="9" width="8.6640625" style="2374" customWidth="1"/>
    <col min="10" max="10" width="10" style="2374" customWidth="1"/>
    <col min="11" max="11" width="7.88671875" style="2374" customWidth="1"/>
    <col min="12" max="12" width="13.44140625" style="2429" customWidth="1"/>
    <col min="13" max="13" width="9.109375" style="2369" hidden="1" customWidth="1"/>
    <col min="14" max="14" width="13.88671875" style="2369" hidden="1" customWidth="1"/>
    <col min="15" max="15" width="11.109375" style="2369" hidden="1" customWidth="1"/>
    <col min="16" max="16" width="6.44140625" style="2369" hidden="1" customWidth="1"/>
    <col min="17" max="25" width="9.109375" style="2369" hidden="1" customWidth="1"/>
    <col min="26" max="16384" width="9.109375" style="2369"/>
  </cols>
  <sheetData>
    <row r="1" spans="1:15" ht="18" customHeight="1">
      <c r="A1" s="3425" t="s">
        <v>1139</v>
      </c>
      <c r="B1" s="3426"/>
      <c r="C1" s="3426"/>
      <c r="D1" s="3426"/>
      <c r="E1" s="3426"/>
      <c r="F1" s="3426"/>
      <c r="G1" s="3426"/>
      <c r="H1" s="3426"/>
      <c r="I1" s="3426"/>
      <c r="J1" s="3426"/>
      <c r="K1" s="3426"/>
      <c r="L1" s="3426"/>
    </row>
    <row r="2" spans="1:15" ht="30" customHeight="1">
      <c r="A2" s="3622" t="s">
        <v>445</v>
      </c>
      <c r="B2" s="3622"/>
      <c r="C2" s="2462"/>
      <c r="D2" s="2462"/>
      <c r="E2" s="2462"/>
      <c r="F2" s="3623" t="str">
        <f>'Input Data'!E1</f>
        <v xml:space="preserve">BT Renewal from Balabadraipally to Danamma Thanda of Gundumal Mandal in Narayanpet District </v>
      </c>
      <c r="G2" s="3623"/>
      <c r="H2" s="3623"/>
      <c r="I2" s="3623"/>
      <c r="J2" s="3623"/>
      <c r="K2" s="3623"/>
      <c r="L2" s="3623"/>
    </row>
    <row r="3" spans="1:15" s="2429" customFormat="1" ht="21.75" customHeight="1">
      <c r="A3" s="3624" t="s">
        <v>1140</v>
      </c>
      <c r="B3" s="3624"/>
      <c r="C3" s="3624"/>
      <c r="D3" s="3624"/>
      <c r="E3" s="3624"/>
      <c r="F3" s="3624"/>
      <c r="G3" s="3624"/>
      <c r="H3" s="3624"/>
      <c r="I3" s="3624"/>
      <c r="J3" s="3624"/>
      <c r="K3" s="3624"/>
      <c r="L3" s="3624"/>
    </row>
    <row r="4" spans="1:15" s="2374" customFormat="1" ht="33" customHeight="1">
      <c r="A4" s="2463" t="s">
        <v>1141</v>
      </c>
      <c r="B4" s="2464" t="s">
        <v>917</v>
      </c>
      <c r="C4" s="3625" t="s">
        <v>918</v>
      </c>
      <c r="D4" s="3625"/>
      <c r="E4" s="3625"/>
      <c r="F4" s="2464" t="s">
        <v>180</v>
      </c>
      <c r="G4" s="2464" t="s">
        <v>919</v>
      </c>
      <c r="H4" s="2464" t="s">
        <v>920</v>
      </c>
      <c r="I4" s="2465" t="s">
        <v>3</v>
      </c>
      <c r="J4" s="2466" t="s">
        <v>5</v>
      </c>
      <c r="K4" s="2466" t="s">
        <v>607</v>
      </c>
      <c r="L4" s="2464" t="s">
        <v>7</v>
      </c>
    </row>
    <row r="5" spans="1:15" s="2429" customFormat="1">
      <c r="A5" s="2467">
        <v>1</v>
      </c>
      <c r="B5" s="2466">
        <v>2</v>
      </c>
      <c r="C5" s="3626">
        <v>3</v>
      </c>
      <c r="D5" s="3626"/>
      <c r="E5" s="3626"/>
      <c r="F5" s="2466">
        <v>4</v>
      </c>
      <c r="G5" s="2466">
        <v>5</v>
      </c>
      <c r="H5" s="2466">
        <v>6</v>
      </c>
      <c r="I5" s="2468">
        <v>7</v>
      </c>
      <c r="J5" s="2466">
        <v>8</v>
      </c>
      <c r="K5" s="2466">
        <v>9</v>
      </c>
      <c r="L5" s="2466">
        <v>10</v>
      </c>
    </row>
    <row r="6" spans="1:15" ht="90.75" customHeight="1">
      <c r="A6" s="2469">
        <v>1</v>
      </c>
      <c r="B6" s="3627"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27"/>
      <c r="D6" s="3627"/>
      <c r="E6" s="3627"/>
      <c r="F6" s="3627"/>
      <c r="G6" s="3627"/>
      <c r="H6" s="3627"/>
      <c r="I6" s="3627"/>
      <c r="J6" s="3627"/>
      <c r="K6" s="3627"/>
      <c r="L6" s="2470"/>
      <c r="O6" s="2408"/>
    </row>
    <row r="7" spans="1:15" ht="20.100000000000001" customHeight="1">
      <c r="A7" s="2471"/>
      <c r="B7" s="2472" t="s">
        <v>1142</v>
      </c>
      <c r="C7" s="2473">
        <v>1</v>
      </c>
      <c r="D7" s="2473" t="s">
        <v>921</v>
      </c>
      <c r="E7" s="2473">
        <v>2</v>
      </c>
      <c r="F7" s="2474">
        <v>8.4499999999999993</v>
      </c>
      <c r="G7" s="2474">
        <v>3.5</v>
      </c>
      <c r="H7" s="2474">
        <v>2.15</v>
      </c>
      <c r="I7" s="2474">
        <f>ROUND(PRODUCT(C7:H7),2)</f>
        <v>127.17</v>
      </c>
      <c r="J7" s="2475"/>
      <c r="K7" s="2475"/>
      <c r="L7" s="2476"/>
      <c r="O7" s="2408"/>
    </row>
    <row r="8" spans="1:15" ht="20.100000000000001" customHeight="1">
      <c r="A8" s="2471"/>
      <c r="B8" s="2472" t="s">
        <v>1143</v>
      </c>
      <c r="C8" s="2473">
        <v>1</v>
      </c>
      <c r="D8" s="2473" t="s">
        <v>921</v>
      </c>
      <c r="E8" s="2473">
        <v>1</v>
      </c>
      <c r="F8" s="2474">
        <v>8.3800000000000008</v>
      </c>
      <c r="G8" s="2474">
        <v>3.35</v>
      </c>
      <c r="H8" s="2474">
        <v>2.15</v>
      </c>
      <c r="I8" s="2474">
        <f>ROUND(PRODUCT(C8:H8),2)</f>
        <v>60.36</v>
      </c>
      <c r="J8" s="2475"/>
      <c r="K8" s="2475"/>
      <c r="L8" s="2476"/>
      <c r="O8" s="2408"/>
    </row>
    <row r="9" spans="1:15" ht="35.1" customHeight="1">
      <c r="A9" s="2471"/>
      <c r="B9" s="2472" t="s">
        <v>1144</v>
      </c>
      <c r="C9" s="2473">
        <v>2</v>
      </c>
      <c r="D9" s="2473" t="s">
        <v>921</v>
      </c>
      <c r="E9" s="2473">
        <v>2</v>
      </c>
      <c r="F9" s="2474">
        <v>3.5</v>
      </c>
      <c r="G9" s="2477" t="s">
        <v>2772</v>
      </c>
      <c r="H9" s="2474">
        <v>2.15</v>
      </c>
      <c r="I9" s="2474">
        <f>ROUND(PRODUCT(C9:H9)*(2.38+1.85)/2,2)</f>
        <v>63.66</v>
      </c>
      <c r="J9" s="2475"/>
      <c r="K9" s="2475"/>
      <c r="L9" s="2476"/>
      <c r="O9" s="2408"/>
    </row>
    <row r="10" spans="1:15" ht="20.100000000000001" customHeight="1">
      <c r="A10" s="2471"/>
      <c r="B10" s="2478"/>
      <c r="C10" s="2475"/>
      <c r="D10" s="2475"/>
      <c r="E10" s="2475"/>
      <c r="F10" s="2475"/>
      <c r="G10" s="2471"/>
      <c r="H10" s="2471"/>
      <c r="I10" s="2479">
        <f>SUM(I7:I9)</f>
        <v>251.19</v>
      </c>
      <c r="J10" s="2480">
        <f>'Pipe data'!G20</f>
        <v>123.69927804166667</v>
      </c>
      <c r="K10" s="2475">
        <v>1</v>
      </c>
      <c r="L10" s="2481">
        <f>ROUND(I10*J10,0)</f>
        <v>31072</v>
      </c>
      <c r="O10" s="2408"/>
    </row>
    <row r="11" spans="1:15" ht="20.100000000000001" customHeight="1">
      <c r="A11" s="2471"/>
      <c r="B11" s="2478"/>
      <c r="C11" s="2475"/>
      <c r="D11" s="2475"/>
      <c r="E11" s="2475"/>
      <c r="F11" s="2475"/>
      <c r="G11" s="2471"/>
      <c r="H11" s="2471"/>
      <c r="I11" s="2482" t="s">
        <v>31</v>
      </c>
      <c r="J11" s="2480"/>
      <c r="K11" s="2475" t="s">
        <v>31</v>
      </c>
      <c r="L11" s="2481"/>
    </row>
    <row r="12" spans="1:15" ht="45.6" hidden="1" customHeight="1">
      <c r="A12" s="2483">
        <v>2</v>
      </c>
      <c r="B12" s="3628" t="str">
        <f>'Pipe data'!B55:G55</f>
        <v>Sand  Filling  in foundation trenches as per drawing and technical specification Clause 304 of MORTH including overhead charges &amp; Contractors profit etc complete.</v>
      </c>
      <c r="C12" s="3629"/>
      <c r="D12" s="3629"/>
      <c r="E12" s="3629"/>
      <c r="F12" s="3629"/>
      <c r="G12" s="3629"/>
      <c r="H12" s="3629"/>
      <c r="I12" s="3629"/>
      <c r="J12" s="3629"/>
      <c r="K12" s="3629"/>
      <c r="L12" s="2484"/>
      <c r="N12" s="2408"/>
    </row>
    <row r="13" spans="1:15" s="2407" customFormat="1" ht="20.399999999999999" hidden="1" customHeight="1">
      <c r="A13" s="2485"/>
      <c r="B13" s="2486" t="s">
        <v>1145</v>
      </c>
      <c r="C13" s="2487">
        <v>1</v>
      </c>
      <c r="D13" s="2487" t="s">
        <v>921</v>
      </c>
      <c r="E13" s="2487">
        <v>1</v>
      </c>
      <c r="F13" s="2488">
        <v>0</v>
      </c>
      <c r="G13" s="2488">
        <v>3</v>
      </c>
      <c r="H13" s="2488">
        <v>0.15</v>
      </c>
      <c r="I13" s="2488">
        <f>ROUND(C13*E13*F13*G13*H13,2)</f>
        <v>0</v>
      </c>
      <c r="J13" s="2489"/>
      <c r="K13" s="2489"/>
      <c r="L13" s="2490"/>
      <c r="O13" s="2491"/>
    </row>
    <row r="14" spans="1:15" ht="15" hidden="1" customHeight="1">
      <c r="A14" s="2483"/>
      <c r="B14" s="2492"/>
      <c r="C14" s="2493"/>
      <c r="D14" s="2493"/>
      <c r="E14" s="2493"/>
      <c r="F14" s="2493"/>
      <c r="G14" s="2471"/>
      <c r="H14" s="2471"/>
      <c r="I14" s="2482">
        <f>SUM(I13:I13)</f>
        <v>0</v>
      </c>
      <c r="J14" s="2480">
        <f>'Pipe data'!G72</f>
        <v>1237.43</v>
      </c>
      <c r="K14" s="2475">
        <v>1</v>
      </c>
      <c r="L14" s="2481">
        <f>ROUND(I14*J14,0)</f>
        <v>0</v>
      </c>
    </row>
    <row r="15" spans="1:15" ht="15" hidden="1" customHeight="1">
      <c r="A15" s="2483"/>
      <c r="B15" s="2492"/>
      <c r="C15" s="2493"/>
      <c r="D15" s="2493"/>
      <c r="E15" s="2493"/>
      <c r="F15" s="2493"/>
      <c r="G15" s="2471"/>
      <c r="H15" s="2471"/>
      <c r="I15" s="2482" t="s">
        <v>31</v>
      </c>
      <c r="J15" s="2480"/>
      <c r="K15" s="2475" t="s">
        <v>31</v>
      </c>
      <c r="L15" s="2481"/>
    </row>
    <row r="16" spans="1:15" ht="108" customHeight="1">
      <c r="A16" s="2483">
        <v>2</v>
      </c>
      <c r="B16" s="3629"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629"/>
      <c r="D16" s="3629"/>
      <c r="E16" s="3629"/>
      <c r="F16" s="3629"/>
      <c r="G16" s="3629"/>
      <c r="H16" s="3629"/>
      <c r="I16" s="3629"/>
      <c r="J16" s="3629"/>
      <c r="K16" s="3629"/>
      <c r="L16" s="2484"/>
    </row>
    <row r="17" spans="1:12" ht="20.100000000000001" customHeight="1">
      <c r="A17" s="2471"/>
      <c r="B17" s="2472" t="s">
        <v>1142</v>
      </c>
      <c r="C17" s="2473">
        <v>1</v>
      </c>
      <c r="D17" s="2473" t="s">
        <v>921</v>
      </c>
      <c r="E17" s="2473">
        <v>2</v>
      </c>
      <c r="F17" s="2474">
        <v>8.4499999999999993</v>
      </c>
      <c r="G17" s="2474">
        <v>3.5</v>
      </c>
      <c r="H17" s="2474">
        <v>0.15</v>
      </c>
      <c r="I17" s="2474">
        <f>ROUND(PRODUCT(C17:H17),2)</f>
        <v>8.8699999999999992</v>
      </c>
      <c r="J17" s="2475"/>
      <c r="K17" s="2475"/>
      <c r="L17" s="2494"/>
    </row>
    <row r="18" spans="1:12" ht="20.100000000000001" customHeight="1">
      <c r="A18" s="2471"/>
      <c r="B18" s="2472" t="s">
        <v>1143</v>
      </c>
      <c r="C18" s="2473">
        <v>1</v>
      </c>
      <c r="D18" s="2473" t="s">
        <v>921</v>
      </c>
      <c r="E18" s="2473">
        <v>1</v>
      </c>
      <c r="F18" s="2474">
        <v>8.3800000000000008</v>
      </c>
      <c r="G18" s="2474">
        <v>3.35</v>
      </c>
      <c r="H18" s="2474">
        <v>0.15</v>
      </c>
      <c r="I18" s="2474">
        <f>ROUND(PRODUCT(C18:H18),2)</f>
        <v>4.21</v>
      </c>
      <c r="J18" s="2475"/>
      <c r="K18" s="2475"/>
      <c r="L18" s="2494"/>
    </row>
    <row r="19" spans="1:12" ht="35.1" customHeight="1">
      <c r="A19" s="2471"/>
      <c r="B19" s="2472" t="s">
        <v>1144</v>
      </c>
      <c r="C19" s="2473">
        <v>2</v>
      </c>
      <c r="D19" s="2473" t="s">
        <v>921</v>
      </c>
      <c r="E19" s="2473">
        <v>2</v>
      </c>
      <c r="F19" s="2474">
        <v>3.5</v>
      </c>
      <c r="G19" s="2477" t="s">
        <v>2772</v>
      </c>
      <c r="H19" s="2474">
        <v>0.15</v>
      </c>
      <c r="I19" s="2474">
        <f>ROUND(PRODUCT(C19:H19)*(2.38+1.85)/2,2)</f>
        <v>4.4400000000000004</v>
      </c>
      <c r="J19" s="2475"/>
      <c r="K19" s="2475"/>
      <c r="L19" s="2494"/>
    </row>
    <row r="20" spans="1:12" ht="20.100000000000001" customHeight="1">
      <c r="A20" s="2471"/>
      <c r="B20" s="2495"/>
      <c r="C20" s="2496"/>
      <c r="D20" s="2496"/>
      <c r="E20" s="2496"/>
      <c r="F20" s="2497"/>
      <c r="G20" s="2497"/>
      <c r="H20" s="2497"/>
      <c r="I20" s="2479">
        <f>SUM(I17:I19)</f>
        <v>17.52</v>
      </c>
      <c r="J20" s="2480">
        <f>'Slab-Culverts Data'!J31</f>
        <v>5748.72</v>
      </c>
      <c r="K20" s="2475">
        <v>1</v>
      </c>
      <c r="L20" s="2481">
        <f>ROUND(I20*J20,0)</f>
        <v>100718</v>
      </c>
    </row>
    <row r="21" spans="1:12" ht="20.100000000000001" customHeight="1">
      <c r="A21" s="2471"/>
      <c r="B21" s="2478"/>
      <c r="C21" s="2475"/>
      <c r="D21" s="2475"/>
      <c r="E21" s="2475"/>
      <c r="F21" s="2471"/>
      <c r="G21" s="2471"/>
      <c r="H21" s="2471"/>
      <c r="I21" s="2482" t="s">
        <v>31</v>
      </c>
      <c r="J21" s="2480"/>
      <c r="K21" s="2475" t="s">
        <v>31</v>
      </c>
      <c r="L21" s="2481"/>
    </row>
    <row r="22" spans="1:12" ht="103.5" customHeight="1">
      <c r="A22" s="2483">
        <v>3</v>
      </c>
      <c r="B22" s="3628"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2" s="3629"/>
      <c r="D22" s="3629"/>
      <c r="E22" s="3629"/>
      <c r="F22" s="3629"/>
      <c r="G22" s="3629"/>
      <c r="H22" s="3629"/>
      <c r="I22" s="3629"/>
      <c r="J22" s="3629"/>
      <c r="K22" s="3629"/>
      <c r="L22" s="2484"/>
    </row>
    <row r="23" spans="1:12" ht="20.100000000000001" customHeight="1">
      <c r="A23" s="2471"/>
      <c r="B23" s="2498" t="s">
        <v>1146</v>
      </c>
      <c r="C23" s="2471"/>
      <c r="D23" s="2471"/>
      <c r="E23" s="2471"/>
      <c r="F23" s="2475"/>
      <c r="G23" s="2475"/>
      <c r="H23" s="2475"/>
      <c r="I23" s="2475"/>
      <c r="J23" s="2475"/>
      <c r="K23" s="2475"/>
      <c r="L23" s="2494"/>
    </row>
    <row r="24" spans="1:12" s="2500" customFormat="1" ht="20.100000000000001" customHeight="1">
      <c r="A24" s="2472"/>
      <c r="B24" s="2472" t="s">
        <v>1147</v>
      </c>
      <c r="C24" s="2473">
        <v>1</v>
      </c>
      <c r="D24" s="2473" t="s">
        <v>921</v>
      </c>
      <c r="E24" s="2473">
        <v>2</v>
      </c>
      <c r="F24" s="2474">
        <v>8.25</v>
      </c>
      <c r="G24" s="2474">
        <v>3.3</v>
      </c>
      <c r="H24" s="2474">
        <v>0.2</v>
      </c>
      <c r="I24" s="2474">
        <f>ROUNDDOWN(PRODUCT(C24:H24),2)</f>
        <v>10.89</v>
      </c>
      <c r="J24" s="2473"/>
      <c r="K24" s="2473"/>
      <c r="L24" s="2499"/>
    </row>
    <row r="25" spans="1:12" s="2500" customFormat="1" ht="20.100000000000001" customHeight="1">
      <c r="A25" s="2472"/>
      <c r="B25" s="2472" t="s">
        <v>1148</v>
      </c>
      <c r="C25" s="2473">
        <v>1</v>
      </c>
      <c r="D25" s="2473" t="s">
        <v>921</v>
      </c>
      <c r="E25" s="2473">
        <v>2</v>
      </c>
      <c r="F25" s="2474">
        <f>F24</f>
        <v>8.25</v>
      </c>
      <c r="G25" s="2474">
        <v>2.9</v>
      </c>
      <c r="H25" s="2474">
        <v>0.2</v>
      </c>
      <c r="I25" s="2474">
        <f>ROUNDDOWN(PRODUCT(C25:H25),2)</f>
        <v>9.57</v>
      </c>
      <c r="J25" s="2473"/>
      <c r="K25" s="2473"/>
      <c r="L25" s="2499"/>
    </row>
    <row r="26" spans="1:12" s="2500" customFormat="1" ht="20.100000000000001" customHeight="1">
      <c r="A26" s="2472"/>
      <c r="B26" s="2472" t="s">
        <v>1149</v>
      </c>
      <c r="C26" s="2473">
        <v>1</v>
      </c>
      <c r="D26" s="2473" t="s">
        <v>921</v>
      </c>
      <c r="E26" s="2473">
        <v>2</v>
      </c>
      <c r="F26" s="2474">
        <f>F25</f>
        <v>8.25</v>
      </c>
      <c r="G26" s="2474">
        <v>2.5</v>
      </c>
      <c r="H26" s="2474">
        <v>0.4</v>
      </c>
      <c r="I26" s="2474">
        <f>ROUNDDOWN(PRODUCT(C26:H26),2)</f>
        <v>16.5</v>
      </c>
      <c r="J26" s="2473"/>
      <c r="K26" s="2473"/>
      <c r="L26" s="2499"/>
    </row>
    <row r="27" spans="1:12" s="2500" customFormat="1" ht="35.1" customHeight="1">
      <c r="A27" s="2472"/>
      <c r="B27" s="2472" t="s">
        <v>1150</v>
      </c>
      <c r="C27" s="2473">
        <v>1</v>
      </c>
      <c r="D27" s="2473" t="s">
        <v>921</v>
      </c>
      <c r="E27" s="2473">
        <v>2</v>
      </c>
      <c r="F27" s="2474">
        <f>F26</f>
        <v>8.25</v>
      </c>
      <c r="G27" s="2477" t="s">
        <v>2773</v>
      </c>
      <c r="H27" s="2474">
        <v>0.4</v>
      </c>
      <c r="I27" s="2474">
        <f>ROUNDDOWN(PRODUCT(C27:H27)*(2.5+2.1)/2,2)</f>
        <v>15.18</v>
      </c>
      <c r="J27" s="2473"/>
      <c r="K27" s="2473"/>
      <c r="L27" s="2499"/>
    </row>
    <row r="28" spans="1:12" s="2500" customFormat="1" ht="20.100000000000001" customHeight="1">
      <c r="A28" s="2472"/>
      <c r="B28" s="2472" t="s">
        <v>1151</v>
      </c>
      <c r="C28" s="2473">
        <v>1</v>
      </c>
      <c r="D28" s="2473" t="s">
        <v>921</v>
      </c>
      <c r="E28" s="2473">
        <v>1</v>
      </c>
      <c r="F28" s="2474">
        <v>8.3800000000000008</v>
      </c>
      <c r="G28" s="2474">
        <v>3.15</v>
      </c>
      <c r="H28" s="2474">
        <v>0.5</v>
      </c>
      <c r="I28" s="2474">
        <f>ROUNDDOWN(PRODUCT(C28:H28),2)</f>
        <v>13.19</v>
      </c>
      <c r="J28" s="2473"/>
      <c r="K28" s="2473"/>
      <c r="L28" s="2499"/>
    </row>
    <row r="29" spans="1:12" s="2500" customFormat="1" ht="20.100000000000001" customHeight="1">
      <c r="A29" s="2472"/>
      <c r="B29" s="2472" t="s">
        <v>1148</v>
      </c>
      <c r="C29" s="2473">
        <v>1</v>
      </c>
      <c r="D29" s="2473" t="s">
        <v>921</v>
      </c>
      <c r="E29" s="2473">
        <v>1</v>
      </c>
      <c r="F29" s="2474">
        <f>F28</f>
        <v>8.3800000000000008</v>
      </c>
      <c r="G29" s="2474">
        <v>2.5499999999999998</v>
      </c>
      <c r="H29" s="2474">
        <v>0.5</v>
      </c>
      <c r="I29" s="2474">
        <f>ROUNDDOWN(PRODUCT(C29:H29),2)</f>
        <v>10.68</v>
      </c>
      <c r="J29" s="2473"/>
      <c r="K29" s="2473"/>
      <c r="L29" s="2499"/>
    </row>
    <row r="30" spans="1:12" s="2500" customFormat="1" ht="20.100000000000001" customHeight="1">
      <c r="A30" s="2472"/>
      <c r="B30" s="2472" t="s">
        <v>1149</v>
      </c>
      <c r="C30" s="2473">
        <v>1</v>
      </c>
      <c r="D30" s="2473" t="s">
        <v>921</v>
      </c>
      <c r="E30" s="2473">
        <v>1</v>
      </c>
      <c r="F30" s="2474">
        <f>F29</f>
        <v>8.3800000000000008</v>
      </c>
      <c r="G30" s="2474">
        <v>1.95</v>
      </c>
      <c r="H30" s="2474">
        <v>0.5</v>
      </c>
      <c r="I30" s="2474">
        <f>ROUNDDOWN(PRODUCT(C30:H30),2)</f>
        <v>8.17</v>
      </c>
      <c r="J30" s="2473"/>
      <c r="K30" s="2473"/>
      <c r="L30" s="2499"/>
    </row>
    <row r="31" spans="1:12" s="2500" customFormat="1" ht="35.1" customHeight="1">
      <c r="A31" s="2472"/>
      <c r="B31" s="2472" t="s">
        <v>1144</v>
      </c>
      <c r="C31" s="2473">
        <v>2</v>
      </c>
      <c r="D31" s="2473" t="s">
        <v>921</v>
      </c>
      <c r="E31" s="2473">
        <v>2</v>
      </c>
      <c r="F31" s="2474">
        <v>3.5</v>
      </c>
      <c r="G31" s="2477" t="s">
        <v>2774</v>
      </c>
      <c r="H31" s="2474">
        <v>0.4</v>
      </c>
      <c r="I31" s="2474">
        <f>ROUNDDOWN(PRODUCT(C31:H31)*(2.18+1.65)/2,2)</f>
        <v>10.72</v>
      </c>
      <c r="J31" s="2473"/>
      <c r="K31" s="2473"/>
      <c r="L31" s="2499"/>
    </row>
    <row r="32" spans="1:12" s="2500" customFormat="1" ht="35.1" customHeight="1">
      <c r="A32" s="2472"/>
      <c r="B32" s="2472" t="s">
        <v>1152</v>
      </c>
      <c r="C32" s="2473">
        <v>2</v>
      </c>
      <c r="D32" s="2473" t="s">
        <v>921</v>
      </c>
      <c r="E32" s="2473">
        <v>2</v>
      </c>
      <c r="F32" s="2474">
        <v>3.5</v>
      </c>
      <c r="G32" s="2477" t="s">
        <v>2775</v>
      </c>
      <c r="H32" s="2474">
        <v>0.4</v>
      </c>
      <c r="I32" s="2474">
        <f>ROUNDDOWN(PRODUCT(C32:H32)*(1.78+1.25)/2,2)</f>
        <v>8.48</v>
      </c>
      <c r="J32" s="2473"/>
      <c r="K32" s="2473"/>
      <c r="L32" s="2499"/>
    </row>
    <row r="33" spans="1:12" s="2500" customFormat="1" ht="35.1" customHeight="1">
      <c r="A33" s="2472"/>
      <c r="B33" s="2472" t="s">
        <v>1153</v>
      </c>
      <c r="C33" s="2473">
        <v>2</v>
      </c>
      <c r="D33" s="2473" t="s">
        <v>921</v>
      </c>
      <c r="E33" s="2473">
        <v>2</v>
      </c>
      <c r="F33" s="2474">
        <v>3.5</v>
      </c>
      <c r="G33" s="2477" t="s">
        <v>2776</v>
      </c>
      <c r="H33" s="2474">
        <v>0.4</v>
      </c>
      <c r="I33" s="2474">
        <f>ROUNDDOWN(PRODUCT(C33:H33)*(1.58+1.05)/2,2)</f>
        <v>7.36</v>
      </c>
      <c r="J33" s="2473"/>
      <c r="K33" s="2473"/>
      <c r="L33" s="2499"/>
    </row>
    <row r="34" spans="1:12" ht="20.100000000000001" customHeight="1">
      <c r="A34" s="2471"/>
      <c r="B34" s="2496"/>
      <c r="C34" s="2496"/>
      <c r="D34" s="2496"/>
      <c r="E34" s="2496"/>
      <c r="F34" s="2497"/>
      <c r="G34" s="2497"/>
      <c r="H34" s="2497"/>
      <c r="I34" s="2479">
        <f>SUM(I24:I33)</f>
        <v>110.74</v>
      </c>
      <c r="J34" s="2480">
        <f>'Slab-Culverts Data'!J62</f>
        <v>6425.92</v>
      </c>
      <c r="K34" s="2475">
        <v>1</v>
      </c>
      <c r="L34" s="2481">
        <f>ROUND(I34*J34,0)</f>
        <v>711606</v>
      </c>
    </row>
    <row r="35" spans="1:12" ht="20.100000000000001" customHeight="1">
      <c r="A35" s="2471"/>
      <c r="B35" s="2478"/>
      <c r="C35" s="2475"/>
      <c r="D35" s="2475"/>
      <c r="E35" s="2475"/>
      <c r="F35" s="2471"/>
      <c r="G35" s="2471"/>
      <c r="H35" s="2471"/>
      <c r="I35" s="2482" t="s">
        <v>31</v>
      </c>
      <c r="J35" s="2480"/>
      <c r="K35" s="2475" t="s">
        <v>31</v>
      </c>
      <c r="L35" s="2481"/>
    </row>
    <row r="36" spans="1:12" ht="105.75" customHeight="1">
      <c r="A36" s="2483">
        <v>4</v>
      </c>
      <c r="B36" s="3628"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6" s="3629"/>
      <c r="D36" s="3629"/>
      <c r="E36" s="3629"/>
      <c r="F36" s="3629"/>
      <c r="G36" s="3629"/>
      <c r="H36" s="3629"/>
      <c r="I36" s="3629"/>
      <c r="J36" s="3629"/>
      <c r="K36" s="3629"/>
      <c r="L36" s="2481"/>
    </row>
    <row r="37" spans="1:12" ht="35.1" customHeight="1">
      <c r="A37" s="2471"/>
      <c r="B37" s="2472" t="s">
        <v>1154</v>
      </c>
      <c r="C37" s="2473">
        <v>1</v>
      </c>
      <c r="D37" s="2473" t="s">
        <v>921</v>
      </c>
      <c r="E37" s="2473">
        <f>E26</f>
        <v>2</v>
      </c>
      <c r="F37" s="2474">
        <v>8.25</v>
      </c>
      <c r="G37" s="2477" t="s">
        <v>2777</v>
      </c>
      <c r="H37" s="2474">
        <v>1.5</v>
      </c>
      <c r="I37" s="2474">
        <f>ROUNDDOWN(PRODUCT(C37:H37)*(2.1+1.3)/2,2)</f>
        <v>42.07</v>
      </c>
      <c r="J37" s="2480"/>
      <c r="K37" s="2475"/>
      <c r="L37" s="2481"/>
    </row>
    <row r="38" spans="1:12" ht="35.1" customHeight="1">
      <c r="A38" s="2471"/>
      <c r="B38" s="2472" t="s">
        <v>1155</v>
      </c>
      <c r="C38" s="2473">
        <v>1</v>
      </c>
      <c r="D38" s="2473" t="s">
        <v>921</v>
      </c>
      <c r="E38" s="2473">
        <v>1</v>
      </c>
      <c r="F38" s="2474">
        <v>8.25</v>
      </c>
      <c r="G38" s="2477" t="s">
        <v>2778</v>
      </c>
      <c r="H38" s="2474">
        <v>1.5</v>
      </c>
      <c r="I38" s="2474">
        <f>ROUNDDOWN(PRODUCT(C38:H38)*(0.76+1.35)/2,2)</f>
        <v>13.05</v>
      </c>
      <c r="J38" s="2480"/>
      <c r="K38" s="2475"/>
      <c r="L38" s="2481"/>
    </row>
    <row r="39" spans="1:12" ht="28.5" customHeight="1">
      <c r="A39" s="2471"/>
      <c r="B39" s="2501" t="s">
        <v>1156</v>
      </c>
      <c r="C39" s="2502" t="s">
        <v>1157</v>
      </c>
      <c r="D39" s="2502" t="s">
        <v>921</v>
      </c>
      <c r="E39" s="2502">
        <f>E38</f>
        <v>1</v>
      </c>
      <c r="F39" s="2503" t="s">
        <v>1158</v>
      </c>
      <c r="G39" s="2504"/>
      <c r="H39" s="2505">
        <v>1.5</v>
      </c>
      <c r="I39" s="2506">
        <f>ROUND(PRODUCT(C39:H39)*(3.14/8)*(1.35^2+0.76^2)/2,2)</f>
        <v>0.71</v>
      </c>
      <c r="J39" s="2480"/>
      <c r="K39" s="2475"/>
      <c r="L39" s="2481"/>
    </row>
    <row r="40" spans="1:12" ht="20.100000000000001" customHeight="1">
      <c r="A40" s="2471"/>
      <c r="B40" s="2472" t="s">
        <v>1159</v>
      </c>
      <c r="C40" s="2473">
        <v>1</v>
      </c>
      <c r="D40" s="2473" t="s">
        <v>921</v>
      </c>
      <c r="E40" s="2473">
        <v>2</v>
      </c>
      <c r="F40" s="2474">
        <v>8.25</v>
      </c>
      <c r="G40" s="2474">
        <v>0.3</v>
      </c>
      <c r="H40" s="2474">
        <v>1</v>
      </c>
      <c r="I40" s="2474">
        <f>ROUNDDOWN(PRODUCT(C40:H40),2)</f>
        <v>4.95</v>
      </c>
      <c r="J40" s="2480"/>
      <c r="K40" s="2475"/>
      <c r="L40" s="2481"/>
    </row>
    <row r="41" spans="1:12" ht="35.1" customHeight="1">
      <c r="A41" s="2471"/>
      <c r="B41" s="2501" t="s">
        <v>1160</v>
      </c>
      <c r="C41" s="2502">
        <v>2</v>
      </c>
      <c r="D41" s="2502" t="s">
        <v>921</v>
      </c>
      <c r="E41" s="2502">
        <v>2</v>
      </c>
      <c r="F41" s="2504">
        <v>3.5</v>
      </c>
      <c r="G41" s="2477" t="s">
        <v>2779</v>
      </c>
      <c r="H41" s="2474">
        <v>1.79</v>
      </c>
      <c r="I41" s="2474">
        <f>ROUNDDOWN(PRODUCT(C41:H41)*(0.94+0.5)/2,2)</f>
        <v>18.04</v>
      </c>
      <c r="J41" s="2480"/>
      <c r="K41" s="2475"/>
      <c r="L41" s="2481"/>
    </row>
    <row r="42" spans="1:12" ht="20.100000000000001" customHeight="1">
      <c r="A42" s="2471"/>
      <c r="B42" s="2507"/>
      <c r="C42" s="2496"/>
      <c r="D42" s="2496"/>
      <c r="E42" s="2496"/>
      <c r="F42" s="2497"/>
      <c r="G42" s="2497"/>
      <c r="H42" s="2497"/>
      <c r="I42" s="2479">
        <f>SUM(I37:I41)</f>
        <v>78.820000000000007</v>
      </c>
      <c r="J42" s="2480">
        <f>'Slab-Culverts Data'!J206</f>
        <v>6796.65</v>
      </c>
      <c r="K42" s="2475">
        <v>1</v>
      </c>
      <c r="L42" s="2481">
        <f>ROUND(I42*J42,0)</f>
        <v>535712</v>
      </c>
    </row>
    <row r="43" spans="1:12" ht="20.100000000000001" customHeight="1">
      <c r="A43" s="2471"/>
      <c r="B43" s="2478"/>
      <c r="C43" s="2475"/>
      <c r="D43" s="2475"/>
      <c r="E43" s="2475"/>
      <c r="F43" s="2471"/>
      <c r="G43" s="2471"/>
      <c r="H43" s="2471"/>
      <c r="I43" s="2482" t="s">
        <v>31</v>
      </c>
      <c r="J43" s="2480"/>
      <c r="K43" s="2475" t="s">
        <v>31</v>
      </c>
      <c r="L43" s="2481"/>
    </row>
    <row r="44" spans="1:12" ht="4.5" customHeight="1">
      <c r="A44" s="2483"/>
      <c r="B44" s="2492"/>
      <c r="C44" s="2493"/>
      <c r="D44" s="2493"/>
      <c r="E44" s="2493"/>
      <c r="F44" s="2471"/>
      <c r="G44" s="2471"/>
      <c r="H44" s="2471"/>
      <c r="I44" s="2482"/>
      <c r="J44" s="2480"/>
      <c r="K44" s="2475"/>
      <c r="L44" s="2481"/>
    </row>
    <row r="45" spans="1:12" ht="107.25" customHeight="1">
      <c r="A45" s="2483">
        <v>5</v>
      </c>
      <c r="B45" s="3629" t="str">
        <f>'Slab-Culverts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45" s="3629"/>
      <c r="D45" s="3629"/>
      <c r="E45" s="3629"/>
      <c r="F45" s="3629"/>
      <c r="G45" s="3629"/>
      <c r="H45" s="3629"/>
      <c r="I45" s="3629"/>
      <c r="J45" s="3629"/>
      <c r="K45" s="3629"/>
      <c r="L45" s="2481"/>
    </row>
    <row r="46" spans="1:12" ht="27" customHeight="1">
      <c r="A46" s="2471"/>
      <c r="B46" s="2501" t="s">
        <v>1161</v>
      </c>
      <c r="C46" s="2473">
        <v>1</v>
      </c>
      <c r="D46" s="2473" t="s">
        <v>921</v>
      </c>
      <c r="E46" s="2473">
        <f>E37</f>
        <v>2</v>
      </c>
      <c r="F46" s="2474">
        <f>F37</f>
        <v>8.25</v>
      </c>
      <c r="G46" s="2504">
        <v>1.1000000000000001</v>
      </c>
      <c r="H46" s="2474">
        <v>0.5</v>
      </c>
      <c r="I46" s="2474">
        <f>ROUND(PRODUCT(C46:H46),2)</f>
        <v>9.08</v>
      </c>
      <c r="J46" s="2475"/>
      <c r="K46" s="2475"/>
      <c r="L46" s="2481"/>
    </row>
    <row r="47" spans="1:12" ht="20.100000000000001" customHeight="1">
      <c r="A47" s="2471"/>
      <c r="B47" s="2472" t="s">
        <v>1143</v>
      </c>
      <c r="C47" s="2473">
        <v>1</v>
      </c>
      <c r="D47" s="2473" t="s">
        <v>921</v>
      </c>
      <c r="E47" s="2473">
        <f>E38</f>
        <v>1</v>
      </c>
      <c r="F47" s="2474">
        <v>8.25</v>
      </c>
      <c r="G47" s="2474">
        <v>0.96</v>
      </c>
      <c r="H47" s="2474">
        <v>0.5</v>
      </c>
      <c r="I47" s="2474">
        <f>ROUND(PRODUCT(C47:H47),2)</f>
        <v>3.96</v>
      </c>
      <c r="J47" s="2475"/>
      <c r="K47" s="2475"/>
      <c r="L47" s="2481"/>
    </row>
    <row r="48" spans="1:12" ht="32.25" customHeight="1">
      <c r="A48" s="2471"/>
      <c r="B48" s="2501" t="s">
        <v>1156</v>
      </c>
      <c r="C48" s="2502" t="s">
        <v>1162</v>
      </c>
      <c r="D48" s="2502" t="s">
        <v>921</v>
      </c>
      <c r="E48" s="2502">
        <f>E47</f>
        <v>1</v>
      </c>
      <c r="F48" s="2474">
        <v>0.96</v>
      </c>
      <c r="G48" s="2474">
        <v>0.96</v>
      </c>
      <c r="H48" s="2505">
        <v>0.5</v>
      </c>
      <c r="I48" s="2474">
        <f>ROUND(PRODUCT(C48:H48)*(3.14/4),2)</f>
        <v>0.36</v>
      </c>
      <c r="J48" s="2475"/>
      <c r="K48" s="2475"/>
      <c r="L48" s="2481"/>
    </row>
    <row r="49" spans="1:14" s="2509" customFormat="1" ht="20.100000000000001" customHeight="1">
      <c r="A49" s="2501"/>
      <c r="B49" s="2501" t="s">
        <v>1163</v>
      </c>
      <c r="C49" s="2502">
        <v>1</v>
      </c>
      <c r="D49" s="2502" t="s">
        <v>921</v>
      </c>
      <c r="E49" s="2502">
        <v>2</v>
      </c>
      <c r="F49" s="2506">
        <v>8.25</v>
      </c>
      <c r="G49" s="2506">
        <v>0.62</v>
      </c>
      <c r="H49" s="2505">
        <v>0.5</v>
      </c>
      <c r="I49" s="2506">
        <f>ROUNDDOWN(PRODUCT(C49:H49),2)</f>
        <v>5.1100000000000003</v>
      </c>
      <c r="J49" s="2502"/>
      <c r="K49" s="2502"/>
      <c r="L49" s="2508"/>
    </row>
    <row r="50" spans="1:14" s="2509" customFormat="1" ht="20.100000000000001" customHeight="1">
      <c r="A50" s="2501"/>
      <c r="B50" s="2501" t="s">
        <v>1164</v>
      </c>
      <c r="C50" s="2502">
        <v>1</v>
      </c>
      <c r="D50" s="2502" t="s">
        <v>921</v>
      </c>
      <c r="E50" s="2502">
        <v>2</v>
      </c>
      <c r="F50" s="2506">
        <v>20.52</v>
      </c>
      <c r="G50" s="2505">
        <v>0.52500000000000002</v>
      </c>
      <c r="H50" s="2505">
        <v>0.3</v>
      </c>
      <c r="I50" s="2506">
        <f>ROUNDDOWN(PRODUCT(C50:H50),2)</f>
        <v>6.46</v>
      </c>
      <c r="J50" s="2502"/>
      <c r="K50" s="2502"/>
      <c r="L50" s="2508"/>
    </row>
    <row r="51" spans="1:14" ht="20.100000000000001" customHeight="1">
      <c r="A51" s="2471"/>
      <c r="B51" s="2478"/>
      <c r="C51" s="2475"/>
      <c r="D51" s="2475"/>
      <c r="E51" s="2475"/>
      <c r="F51" s="2471"/>
      <c r="G51" s="2471"/>
      <c r="H51" s="2471"/>
      <c r="I51" s="2412">
        <f>SUM(I46:I50)</f>
        <v>24.97</v>
      </c>
      <c r="J51" s="2480">
        <f>'Slab-Culverts Data'!J267</f>
        <v>7713.58</v>
      </c>
      <c r="K51" s="2475">
        <v>1</v>
      </c>
      <c r="L51" s="2481">
        <f>ROUND(I51*J51,0)</f>
        <v>192608</v>
      </c>
    </row>
    <row r="52" spans="1:14" ht="16.5" customHeight="1">
      <c r="A52" s="2471"/>
      <c r="B52" s="2478"/>
      <c r="C52" s="2475"/>
      <c r="D52" s="2475"/>
      <c r="E52" s="2475"/>
      <c r="F52" s="2471"/>
      <c r="G52" s="2471"/>
      <c r="H52" s="2471"/>
      <c r="I52" s="2482" t="s">
        <v>31</v>
      </c>
      <c r="J52" s="2480"/>
      <c r="K52" s="2475" t="s">
        <v>31</v>
      </c>
      <c r="L52" s="2481"/>
    </row>
    <row r="53" spans="1:14" ht="6" customHeight="1">
      <c r="A53" s="2483"/>
      <c r="B53" s="2492"/>
      <c r="C53" s="2493"/>
      <c r="D53" s="2493"/>
      <c r="E53" s="2493"/>
      <c r="F53" s="2471"/>
      <c r="G53" s="2471"/>
      <c r="H53" s="2471"/>
      <c r="I53" s="2482"/>
      <c r="J53" s="2480"/>
      <c r="K53" s="2475"/>
      <c r="L53" s="2481"/>
    </row>
    <row r="54" spans="1:14" ht="102.6" customHeight="1">
      <c r="A54" s="2483">
        <v>7</v>
      </c>
      <c r="B54" s="3629" t="str">
        <f>'Slab-Culverts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54" s="3629"/>
      <c r="D54" s="3629"/>
      <c r="E54" s="3629"/>
      <c r="F54" s="3629"/>
      <c r="G54" s="3629"/>
      <c r="H54" s="3629"/>
      <c r="I54" s="3629"/>
      <c r="J54" s="3629"/>
      <c r="K54" s="3629"/>
      <c r="L54" s="2481"/>
    </row>
    <row r="55" spans="1:14" ht="15.6" customHeight="1">
      <c r="A55" s="2483"/>
      <c r="B55" s="2492" t="s">
        <v>1165</v>
      </c>
      <c r="C55" s="2493"/>
      <c r="D55" s="2493"/>
      <c r="E55" s="2493"/>
      <c r="F55" s="2493"/>
      <c r="G55" s="2493"/>
      <c r="H55" s="2493"/>
      <c r="I55" s="2493"/>
      <c r="J55" s="2493"/>
      <c r="K55" s="2493"/>
      <c r="L55" s="2484"/>
    </row>
    <row r="56" spans="1:14" s="2515" customFormat="1" ht="18" customHeight="1">
      <c r="A56" s="2487"/>
      <c r="B56" s="2510" t="s">
        <v>1166</v>
      </c>
      <c r="C56" s="2487">
        <v>1</v>
      </c>
      <c r="D56" s="2487" t="s">
        <v>921</v>
      </c>
      <c r="E56" s="2487">
        <v>2</v>
      </c>
      <c r="F56" s="2506">
        <v>8.25</v>
      </c>
      <c r="G56" s="2506">
        <v>6.76</v>
      </c>
      <c r="H56" s="2505">
        <v>0.5</v>
      </c>
      <c r="I56" s="2488">
        <f>ROUND(C56*E56*F56*G56*H56,2)</f>
        <v>55.77</v>
      </c>
      <c r="J56" s="2488"/>
      <c r="K56" s="2511"/>
      <c r="L56" s="2512"/>
      <c r="M56" s="2513"/>
      <c r="N56" s="2514"/>
    </row>
    <row r="57" spans="1:14" ht="15" customHeight="1">
      <c r="A57" s="2483"/>
      <c r="B57" s="2492"/>
      <c r="C57" s="2493"/>
      <c r="D57" s="2493"/>
      <c r="E57" s="2493"/>
      <c r="F57" s="2471"/>
      <c r="G57" s="2480"/>
      <c r="H57" s="2471"/>
      <c r="I57" s="2482">
        <f>I56</f>
        <v>55.77</v>
      </c>
      <c r="J57" s="2480">
        <f>'Slab-Culverts Data'!J366</f>
        <v>8387.5499999999993</v>
      </c>
      <c r="K57" s="2475">
        <v>1</v>
      </c>
      <c r="L57" s="2481">
        <f>ROUND(I57*J57,0)</f>
        <v>467774</v>
      </c>
    </row>
    <row r="58" spans="1:14" ht="15" customHeight="1">
      <c r="A58" s="2483"/>
      <c r="B58" s="2492"/>
      <c r="C58" s="2493"/>
      <c r="D58" s="2493"/>
      <c r="E58" s="2493"/>
      <c r="F58" s="2471"/>
      <c r="G58" s="2471"/>
      <c r="H58" s="2471"/>
      <c r="I58" s="2482" t="s">
        <v>31</v>
      </c>
      <c r="J58" s="2480"/>
      <c r="K58" s="2475" t="s">
        <v>31</v>
      </c>
      <c r="L58" s="2481"/>
    </row>
    <row r="59" spans="1:14" ht="58.5" customHeight="1">
      <c r="A59" s="2483">
        <v>6</v>
      </c>
      <c r="B59" s="3629" t="str">
        <f>'Slab-Culverts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9" s="3629"/>
      <c r="D59" s="3629"/>
      <c r="E59" s="3629"/>
      <c r="F59" s="3629"/>
      <c r="G59" s="3629"/>
      <c r="H59" s="3629"/>
      <c r="I59" s="3629"/>
      <c r="J59" s="3629"/>
      <c r="K59" s="3629"/>
      <c r="L59" s="2481"/>
    </row>
    <row r="60" spans="1:14" ht="35.1" customHeight="1">
      <c r="A60" s="2483"/>
      <c r="B60" s="2516" t="s">
        <v>1167</v>
      </c>
      <c r="C60" s="2517">
        <v>1</v>
      </c>
      <c r="D60" s="2517" t="s">
        <v>921</v>
      </c>
      <c r="E60" s="2517">
        <v>2</v>
      </c>
      <c r="F60" s="2518">
        <v>3.5</v>
      </c>
      <c r="G60" s="2518">
        <v>6.6</v>
      </c>
      <c r="H60" s="2519" t="s">
        <v>2780</v>
      </c>
      <c r="I60" s="2518">
        <f>ROUNDDOWN(PRODUCT(C60:H60)*(2+0.5)/2,2)</f>
        <v>57.75</v>
      </c>
      <c r="J60" s="2488"/>
      <c r="K60" s="2511"/>
      <c r="L60" s="2512"/>
    </row>
    <row r="61" spans="1:14" ht="20.100000000000001" customHeight="1">
      <c r="A61" s="2483"/>
      <c r="B61" s="2492"/>
      <c r="C61" s="2493"/>
      <c r="D61" s="2493"/>
      <c r="E61" s="2493"/>
      <c r="F61" s="2471"/>
      <c r="G61" s="2480"/>
      <c r="H61" s="2471"/>
      <c r="I61" s="2412">
        <f>I60</f>
        <v>57.75</v>
      </c>
      <c r="J61" s="2480">
        <f>'Slab-Culverts Data'!J625</f>
        <v>691.79</v>
      </c>
      <c r="K61" s="2475">
        <v>1</v>
      </c>
      <c r="L61" s="2481">
        <f>ROUND(I61*J61,0)</f>
        <v>39951</v>
      </c>
    </row>
    <row r="62" spans="1:14" ht="17.25" customHeight="1">
      <c r="A62" s="2483"/>
      <c r="B62" s="2492"/>
      <c r="C62" s="2493"/>
      <c r="D62" s="2493"/>
      <c r="E62" s="2493"/>
      <c r="F62" s="2471"/>
      <c r="G62" s="2471"/>
      <c r="H62" s="2471"/>
      <c r="I62" s="2482" t="s">
        <v>31</v>
      </c>
      <c r="J62" s="2480"/>
      <c r="K62" s="2475" t="s">
        <v>31</v>
      </c>
      <c r="L62" s="2481"/>
    </row>
    <row r="63" spans="1:14" ht="132" customHeight="1">
      <c r="A63" s="2483">
        <v>7</v>
      </c>
      <c r="B63" s="3629"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63" s="3629"/>
      <c r="D63" s="3629"/>
      <c r="E63" s="3629"/>
      <c r="F63" s="3629"/>
      <c r="G63" s="3629"/>
      <c r="H63" s="3629"/>
      <c r="I63" s="3629"/>
      <c r="J63" s="3629"/>
      <c r="K63" s="3629"/>
      <c r="L63" s="2481"/>
    </row>
    <row r="64" spans="1:14" s="2528" customFormat="1" ht="20.100000000000001" customHeight="1">
      <c r="A64" s="2520"/>
      <c r="B64" s="2521" t="s">
        <v>1168</v>
      </c>
      <c r="C64" s="2520">
        <v>1</v>
      </c>
      <c r="D64" s="2520" t="s">
        <v>921</v>
      </c>
      <c r="E64" s="2520">
        <v>2</v>
      </c>
      <c r="F64" s="2522">
        <v>7.5</v>
      </c>
      <c r="G64" s="2522">
        <v>6.76</v>
      </c>
      <c r="H64" s="2523">
        <v>7.4999999999999997E-2</v>
      </c>
      <c r="I64" s="2506">
        <f>ROUNDDOWN(PRODUCT(C64:H64),2)</f>
        <v>7.6</v>
      </c>
      <c r="J64" s="2522"/>
      <c r="K64" s="2524"/>
      <c r="L64" s="2525"/>
      <c r="M64" s="2526"/>
      <c r="N64" s="2527"/>
    </row>
    <row r="65" spans="1:12" ht="20.100000000000001" customHeight="1">
      <c r="A65" s="2471"/>
      <c r="B65" s="2478"/>
      <c r="C65" s="2475"/>
      <c r="D65" s="2475"/>
      <c r="E65" s="2475"/>
      <c r="F65" s="2471"/>
      <c r="G65" s="2480"/>
      <c r="H65" s="2471"/>
      <c r="I65" s="2412">
        <f>SUM(I64)</f>
        <v>7.6</v>
      </c>
      <c r="J65" s="2480">
        <f>'Slab-Culverts Data'!J428</f>
        <v>7079.99</v>
      </c>
      <c r="K65" s="2475">
        <v>1</v>
      </c>
      <c r="L65" s="2481">
        <f>ROUND(I65*J65,0)</f>
        <v>53808</v>
      </c>
    </row>
    <row r="66" spans="1:12" ht="20.100000000000001" customHeight="1">
      <c r="A66" s="2471"/>
      <c r="B66" s="2478"/>
      <c r="C66" s="2475"/>
      <c r="D66" s="2475"/>
      <c r="E66" s="2475"/>
      <c r="F66" s="2471"/>
      <c r="G66" s="2471"/>
      <c r="H66" s="2471"/>
      <c r="I66" s="2482" t="s">
        <v>31</v>
      </c>
      <c r="J66" s="2480"/>
      <c r="K66" s="2475" t="s">
        <v>31</v>
      </c>
      <c r="L66" s="2481"/>
    </row>
    <row r="67" spans="1:12" s="2531" customFormat="1" ht="118.5" customHeight="1">
      <c r="A67" s="2529">
        <v>8</v>
      </c>
      <c r="B67" s="3629"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67" s="3629"/>
      <c r="D67" s="3629"/>
      <c r="E67" s="3629"/>
      <c r="F67" s="3629"/>
      <c r="G67" s="3629"/>
      <c r="H67" s="3629"/>
      <c r="I67" s="3629"/>
      <c r="J67" s="3629"/>
      <c r="K67" s="3629"/>
      <c r="L67" s="2530"/>
    </row>
    <row r="68" spans="1:12" ht="35.1" customHeight="1">
      <c r="A68" s="2471"/>
      <c r="B68" s="2472" t="s">
        <v>1169</v>
      </c>
      <c r="C68" s="2473">
        <v>1</v>
      </c>
      <c r="D68" s="2473" t="s">
        <v>921</v>
      </c>
      <c r="E68" s="2473">
        <v>2</v>
      </c>
      <c r="F68" s="2474">
        <v>5</v>
      </c>
      <c r="G68" s="2477" t="s">
        <v>2781</v>
      </c>
      <c r="H68" s="2477" t="s">
        <v>2782</v>
      </c>
      <c r="I68" s="2474">
        <f>ROUND(PRODUCT(C68:H68)*(13.5+7.5)/2*(2+0.3)/2,2)</f>
        <v>120.75</v>
      </c>
      <c r="J68" s="2473"/>
      <c r="K68" s="2473"/>
      <c r="L68" s="2499"/>
    </row>
    <row r="69" spans="1:12" ht="20.100000000000001" customHeight="1">
      <c r="A69" s="2471"/>
      <c r="B69" s="2532"/>
      <c r="C69" s="2496"/>
      <c r="D69" s="2496"/>
      <c r="E69" s="2496"/>
      <c r="F69" s="2533"/>
      <c r="G69" s="2533"/>
      <c r="H69" s="2533"/>
      <c r="I69" s="2479">
        <f>SUM(I68:I68)</f>
        <v>120.75</v>
      </c>
      <c r="J69" s="2533">
        <f>'Road data'!G188</f>
        <v>318.8</v>
      </c>
      <c r="K69" s="2534" t="s">
        <v>1170</v>
      </c>
      <c r="L69" s="2481">
        <f>ROUND(I69*J69,0)</f>
        <v>38495</v>
      </c>
    </row>
    <row r="70" spans="1:12" ht="20.100000000000001" customHeight="1">
      <c r="A70" s="2471"/>
      <c r="B70" s="2478"/>
      <c r="C70" s="2475"/>
      <c r="D70" s="2475"/>
      <c r="E70" s="2475"/>
      <c r="F70" s="2471"/>
      <c r="G70" s="2471"/>
      <c r="H70" s="2471"/>
      <c r="I70" s="2482" t="s">
        <v>31</v>
      </c>
      <c r="J70" s="2480"/>
      <c r="K70" s="2475"/>
      <c r="L70" s="2481"/>
    </row>
    <row r="71" spans="1:12" ht="107.25" customHeight="1">
      <c r="A71" s="2483">
        <v>9</v>
      </c>
      <c r="B71" s="3629" t="str">
        <f>'Slab-Culverts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71" s="3629"/>
      <c r="D71" s="3629"/>
      <c r="E71" s="3629"/>
      <c r="F71" s="3629"/>
      <c r="G71" s="3629"/>
      <c r="H71" s="3629"/>
      <c r="I71" s="3629"/>
      <c r="J71" s="3629"/>
      <c r="K71" s="3629"/>
      <c r="L71" s="2535"/>
    </row>
    <row r="72" spans="1:12" ht="20.100000000000001" customHeight="1">
      <c r="A72" s="2483"/>
      <c r="B72" s="2516" t="s">
        <v>1169</v>
      </c>
      <c r="C72" s="2517">
        <v>1</v>
      </c>
      <c r="D72" s="2517" t="s">
        <v>921</v>
      </c>
      <c r="E72" s="2517">
        <v>2</v>
      </c>
      <c r="F72" s="2518">
        <f>F60</f>
        <v>3.5</v>
      </c>
      <c r="G72" s="2518">
        <v>7.5</v>
      </c>
      <c r="H72" s="2518">
        <v>0.15</v>
      </c>
      <c r="I72" s="2518">
        <f>ROUND(PRODUCT(C72:H72),2)</f>
        <v>7.88</v>
      </c>
      <c r="J72" s="2517"/>
      <c r="K72" s="2517"/>
      <c r="L72" s="2536"/>
    </row>
    <row r="73" spans="1:12" ht="20.100000000000001" customHeight="1">
      <c r="A73" s="2483"/>
      <c r="B73" s="2537"/>
      <c r="C73" s="2538"/>
      <c r="D73" s="2538"/>
      <c r="E73" s="2538"/>
      <c r="F73" s="2539"/>
      <c r="G73" s="2539"/>
      <c r="H73" s="2539"/>
      <c r="I73" s="2540">
        <f>SUM(I72:I72)</f>
        <v>7.88</v>
      </c>
      <c r="J73" s="2539">
        <f>'Slab-Culverts Data'!J535</f>
        <v>6182.18</v>
      </c>
      <c r="K73" s="2541" t="s">
        <v>1170</v>
      </c>
      <c r="L73" s="2481">
        <f>ROUND(I73*J73,0)</f>
        <v>48716</v>
      </c>
    </row>
    <row r="74" spans="1:12" ht="20.100000000000001" customHeight="1">
      <c r="A74" s="2483"/>
      <c r="B74" s="2492"/>
      <c r="C74" s="2493"/>
      <c r="D74" s="2493"/>
      <c r="E74" s="2493"/>
      <c r="F74" s="2471"/>
      <c r="G74" s="2471"/>
      <c r="H74" s="2471"/>
      <c r="I74" s="2482" t="s">
        <v>31</v>
      </c>
      <c r="J74" s="2480"/>
      <c r="K74" s="2475"/>
      <c r="L74" s="2481"/>
    </row>
    <row r="75" spans="1:12" ht="134.25" customHeight="1">
      <c r="A75" s="2483">
        <v>10</v>
      </c>
      <c r="B75" s="3629" t="str">
        <f>'Slab-Culverts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75" s="3629"/>
      <c r="D75" s="3629"/>
      <c r="E75" s="3629"/>
      <c r="F75" s="3629"/>
      <c r="G75" s="3629"/>
      <c r="H75" s="3629"/>
      <c r="I75" s="3629"/>
      <c r="J75" s="3629"/>
      <c r="K75" s="3629"/>
      <c r="L75" s="2535"/>
    </row>
    <row r="76" spans="1:12" ht="20.100000000000001" customHeight="1">
      <c r="A76" s="2471"/>
      <c r="B76" s="2472" t="s">
        <v>1171</v>
      </c>
      <c r="C76" s="2473">
        <v>1</v>
      </c>
      <c r="D76" s="2473" t="s">
        <v>921</v>
      </c>
      <c r="E76" s="2473">
        <v>2</v>
      </c>
      <c r="F76" s="2474">
        <v>3.5</v>
      </c>
      <c r="G76" s="2474">
        <v>7.5</v>
      </c>
      <c r="H76" s="2474">
        <v>0.15</v>
      </c>
      <c r="I76" s="2474">
        <f>ROUND(PRODUCT(C76:H76),2)</f>
        <v>7.88</v>
      </c>
      <c r="J76" s="2473"/>
      <c r="K76" s="2473"/>
      <c r="L76" s="2499"/>
    </row>
    <row r="77" spans="1:12" ht="20.100000000000001" customHeight="1">
      <c r="A77" s="2471"/>
      <c r="B77" s="2532"/>
      <c r="C77" s="2496"/>
      <c r="D77" s="2496"/>
      <c r="E77" s="2496"/>
      <c r="F77" s="2533"/>
      <c r="G77" s="2533"/>
      <c r="H77" s="2533"/>
      <c r="I77" s="2479">
        <f>SUM(I76:I76)</f>
        <v>7.88</v>
      </c>
      <c r="J77" s="2533">
        <f>'Slab-Culverts Data'!J504</f>
        <v>7175.39</v>
      </c>
      <c r="K77" s="2534" t="s">
        <v>1170</v>
      </c>
      <c r="L77" s="2542">
        <f>ROUND(I77*J77,0)</f>
        <v>56542</v>
      </c>
    </row>
    <row r="78" spans="1:12" ht="20.100000000000001" customHeight="1">
      <c r="A78" s="2471"/>
      <c r="B78" s="2532"/>
      <c r="C78" s="2496"/>
      <c r="D78" s="2496"/>
      <c r="E78" s="2496"/>
      <c r="F78" s="2533"/>
      <c r="G78" s="2533"/>
      <c r="H78" s="2533"/>
      <c r="I78" s="2482" t="s">
        <v>31</v>
      </c>
      <c r="J78" s="2533"/>
      <c r="K78" s="2534"/>
      <c r="L78" s="2542"/>
    </row>
    <row r="79" spans="1:12" ht="90.75" customHeight="1">
      <c r="A79" s="2483">
        <v>11</v>
      </c>
      <c r="B79" s="3629" t="str">
        <f>'Slab-Culverts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9" s="3629"/>
      <c r="D79" s="3629"/>
      <c r="E79" s="3629"/>
      <c r="F79" s="3629"/>
      <c r="G79" s="3629"/>
      <c r="H79" s="3629"/>
      <c r="I79" s="3629"/>
      <c r="J79" s="3629"/>
      <c r="K79" s="3629"/>
      <c r="L79" s="2535"/>
    </row>
    <row r="80" spans="1:12" ht="20.100000000000001" customHeight="1">
      <c r="A80" s="2471"/>
      <c r="B80" s="2472"/>
      <c r="C80" s="2473">
        <v>1</v>
      </c>
      <c r="D80" s="2473" t="s">
        <v>921</v>
      </c>
      <c r="E80" s="2473">
        <v>2</v>
      </c>
      <c r="F80" s="2474">
        <v>20.52</v>
      </c>
      <c r="G80" s="2474"/>
      <c r="H80" s="2474"/>
      <c r="I80" s="2474">
        <f>ROUND(PRODUCT(C80:H80),2)</f>
        <v>41.04</v>
      </c>
      <c r="J80" s="2473"/>
      <c r="K80" s="2473"/>
      <c r="L80" s="2499"/>
    </row>
    <row r="81" spans="1:12" ht="20.100000000000001" customHeight="1">
      <c r="A81" s="2471"/>
      <c r="B81" s="2532"/>
      <c r="C81" s="2496"/>
      <c r="D81" s="2496"/>
      <c r="E81" s="2496"/>
      <c r="F81" s="2533"/>
      <c r="G81" s="2533"/>
      <c r="H81" s="2533"/>
      <c r="I81" s="2479">
        <f>SUM(I80:I80)</f>
        <v>41.04</v>
      </c>
      <c r="J81" s="2533">
        <f>'Slab-Culverts Data'!J673</f>
        <v>617.67139145468752</v>
      </c>
      <c r="K81" s="2534" t="s">
        <v>1054</v>
      </c>
      <c r="L81" s="2542">
        <f>ROUND(I81*J81,0)</f>
        <v>25349</v>
      </c>
    </row>
    <row r="82" spans="1:12" ht="20.100000000000001" customHeight="1">
      <c r="A82" s="2471"/>
      <c r="B82" s="2532"/>
      <c r="C82" s="2496"/>
      <c r="D82" s="2496"/>
      <c r="E82" s="2496"/>
      <c r="F82" s="2533"/>
      <c r="G82" s="2533"/>
      <c r="H82" s="2533"/>
      <c r="I82" s="2482" t="s">
        <v>1054</v>
      </c>
      <c r="J82" s="2533"/>
      <c r="K82" s="2534"/>
      <c r="L82" s="2542"/>
    </row>
    <row r="83" spans="1:12" ht="110.25" customHeight="1">
      <c r="A83" s="2483">
        <v>12</v>
      </c>
      <c r="B83" s="3629" t="str">
        <f>'Slab-Culverts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83" s="3629"/>
      <c r="D83" s="3629"/>
      <c r="E83" s="3629"/>
      <c r="F83" s="3629"/>
      <c r="G83" s="3629"/>
      <c r="H83" s="3629"/>
      <c r="I83" s="3629"/>
      <c r="J83" s="3629"/>
      <c r="K83" s="3629"/>
      <c r="L83" s="2535"/>
    </row>
    <row r="84" spans="1:12" ht="20.100000000000001" customHeight="1">
      <c r="A84" s="2471"/>
      <c r="B84" s="2472"/>
      <c r="C84" s="2473">
        <v>2</v>
      </c>
      <c r="D84" s="2473" t="s">
        <v>921</v>
      </c>
      <c r="E84" s="2473">
        <v>2</v>
      </c>
      <c r="F84" s="2474">
        <v>15</v>
      </c>
      <c r="G84" s="2474"/>
      <c r="H84" s="2474"/>
      <c r="I84" s="2474">
        <f>ROUND(PRODUCT(C84:H84),2)</f>
        <v>60</v>
      </c>
      <c r="J84" s="2473"/>
      <c r="K84" s="2473"/>
      <c r="L84" s="2499"/>
    </row>
    <row r="85" spans="1:12" ht="20.100000000000001" customHeight="1">
      <c r="A85" s="2471"/>
      <c r="B85" s="2532"/>
      <c r="C85" s="2496"/>
      <c r="D85" s="2496"/>
      <c r="E85" s="2496"/>
      <c r="F85" s="2533"/>
      <c r="G85" s="2533"/>
      <c r="H85" s="2533"/>
      <c r="I85" s="2479">
        <f>SUM(I84:I84)</f>
        <v>60</v>
      </c>
      <c r="J85" s="2533">
        <f>'Slab-Culverts Data'!J312</f>
        <v>614.33766666666668</v>
      </c>
      <c r="K85" s="2534" t="s">
        <v>1054</v>
      </c>
      <c r="L85" s="2542">
        <f>ROUND(I85*J85,0)</f>
        <v>36860</v>
      </c>
    </row>
    <row r="86" spans="1:12" ht="20.100000000000001" customHeight="1">
      <c r="A86" s="2471"/>
      <c r="B86" s="2532"/>
      <c r="C86" s="2496"/>
      <c r="D86" s="2496"/>
      <c r="E86" s="2496"/>
      <c r="F86" s="2533"/>
      <c r="G86" s="2533"/>
      <c r="H86" s="2533"/>
      <c r="I86" s="2482" t="s">
        <v>1054</v>
      </c>
      <c r="J86" s="2533"/>
      <c r="K86" s="2534"/>
      <c r="L86" s="2542"/>
    </row>
    <row r="87" spans="1:12" ht="138.75" customHeight="1">
      <c r="A87" s="2483">
        <v>13</v>
      </c>
      <c r="B87" s="3629" t="str">
        <f>'Slab-Culverts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87" s="3629"/>
      <c r="D87" s="3629"/>
      <c r="E87" s="3629"/>
      <c r="F87" s="3629"/>
      <c r="G87" s="3629"/>
      <c r="H87" s="3629"/>
      <c r="I87" s="3629"/>
      <c r="J87" s="3629"/>
      <c r="K87" s="3629"/>
      <c r="L87" s="2535"/>
    </row>
    <row r="88" spans="1:12" ht="20.100000000000001" customHeight="1">
      <c r="A88" s="2471"/>
      <c r="B88" s="2472"/>
      <c r="C88" s="2473">
        <v>1</v>
      </c>
      <c r="D88" s="2473" t="s">
        <v>921</v>
      </c>
      <c r="E88" s="2473">
        <v>2</v>
      </c>
      <c r="F88" s="2474">
        <v>14.5</v>
      </c>
      <c r="G88" s="2474">
        <v>0.23</v>
      </c>
      <c r="H88" s="2474">
        <v>2</v>
      </c>
      <c r="I88" s="2474">
        <f>ROUND(PRODUCT(C88:H88),2)</f>
        <v>13.34</v>
      </c>
      <c r="J88" s="2473"/>
      <c r="K88" s="2473"/>
      <c r="L88" s="2499"/>
    </row>
    <row r="89" spans="1:12" ht="20.100000000000001" customHeight="1">
      <c r="A89" s="2471"/>
      <c r="B89" s="2532"/>
      <c r="C89" s="2496"/>
      <c r="D89" s="2496"/>
      <c r="E89" s="2496"/>
      <c r="F89" s="2533"/>
      <c r="G89" s="2533"/>
      <c r="H89" s="2533"/>
      <c r="I89" s="2479">
        <f>SUM(I88:I88)</f>
        <v>13.34</v>
      </c>
      <c r="J89" s="2533">
        <f>'Slab-Culverts Data'!J335</f>
        <v>2427.13</v>
      </c>
      <c r="K89" s="2534" t="s">
        <v>73</v>
      </c>
      <c r="L89" s="2542">
        <f>ROUND(I89*J89,0)</f>
        <v>32378</v>
      </c>
    </row>
    <row r="90" spans="1:12" ht="20.100000000000001" customHeight="1">
      <c r="A90" s="2471"/>
      <c r="B90" s="2532"/>
      <c r="C90" s="2496"/>
      <c r="D90" s="2496"/>
      <c r="E90" s="2496"/>
      <c r="F90" s="2533"/>
      <c r="G90" s="2533"/>
      <c r="H90" s="2533"/>
      <c r="I90" s="2482" t="s">
        <v>31</v>
      </c>
      <c r="J90" s="2533"/>
      <c r="K90" s="2534"/>
      <c r="L90" s="2542"/>
    </row>
    <row r="91" spans="1:12" ht="67.5" customHeight="1">
      <c r="A91" s="2483">
        <v>14</v>
      </c>
      <c r="B91" s="3629"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91" s="3629"/>
      <c r="D91" s="3629"/>
      <c r="E91" s="3629"/>
      <c r="F91" s="3629"/>
      <c r="G91" s="3629"/>
      <c r="H91" s="3629"/>
      <c r="I91" s="3629"/>
      <c r="J91" s="3629"/>
      <c r="K91" s="3629"/>
      <c r="L91" s="2535"/>
    </row>
    <row r="92" spans="1:12" ht="20.100000000000001" customHeight="1">
      <c r="A92" s="2471"/>
      <c r="B92" s="2472" t="s">
        <v>1172</v>
      </c>
      <c r="C92" s="2473">
        <v>1</v>
      </c>
      <c r="D92" s="2473" t="s">
        <v>921</v>
      </c>
      <c r="E92" s="2473">
        <v>3</v>
      </c>
      <c r="F92" s="2474">
        <v>8.25</v>
      </c>
      <c r="G92" s="2474">
        <v>6</v>
      </c>
      <c r="H92" s="2474">
        <v>0.3</v>
      </c>
      <c r="I92" s="2474">
        <f>ROUND(PRODUCT(C92:H92),2)</f>
        <v>44.55</v>
      </c>
      <c r="J92" s="2473"/>
      <c r="K92" s="2473"/>
      <c r="L92" s="2499"/>
    </row>
    <row r="93" spans="1:12" ht="20.100000000000001" customHeight="1">
      <c r="A93" s="2471"/>
      <c r="B93" s="2472" t="s">
        <v>1173</v>
      </c>
      <c r="C93" s="2473">
        <v>1</v>
      </c>
      <c r="D93" s="2473" t="s">
        <v>921</v>
      </c>
      <c r="E93" s="2473">
        <v>1</v>
      </c>
      <c r="F93" s="2474">
        <v>28</v>
      </c>
      <c r="G93" s="2474">
        <v>1.5</v>
      </c>
      <c r="H93" s="2474">
        <v>0.3</v>
      </c>
      <c r="I93" s="2474">
        <f>ROUND(PRODUCT(C93:H93),2)</f>
        <v>12.6</v>
      </c>
      <c r="J93" s="2473"/>
      <c r="K93" s="2473"/>
      <c r="L93" s="2499"/>
    </row>
    <row r="94" spans="1:12" ht="20.100000000000001" customHeight="1">
      <c r="A94" s="2471"/>
      <c r="B94" s="2472" t="s">
        <v>1174</v>
      </c>
      <c r="C94" s="2473">
        <v>1</v>
      </c>
      <c r="D94" s="2473" t="s">
        <v>921</v>
      </c>
      <c r="E94" s="2473">
        <v>1</v>
      </c>
      <c r="F94" s="2474">
        <v>28</v>
      </c>
      <c r="G94" s="2474">
        <v>3</v>
      </c>
      <c r="H94" s="2474">
        <v>0.3</v>
      </c>
      <c r="I94" s="2474">
        <f>ROUND(PRODUCT(C94:H94),2)</f>
        <v>25.2</v>
      </c>
      <c r="J94" s="2473"/>
      <c r="K94" s="2473"/>
      <c r="L94" s="2499"/>
    </row>
    <row r="95" spans="1:12" ht="20.100000000000001" customHeight="1">
      <c r="A95" s="2471"/>
      <c r="B95" s="2532"/>
      <c r="C95" s="2496"/>
      <c r="D95" s="2496"/>
      <c r="E95" s="2496"/>
      <c r="F95" s="2533"/>
      <c r="G95" s="2533"/>
      <c r="H95" s="2533"/>
      <c r="I95" s="2479">
        <f>SUM(I92:I94)</f>
        <v>82.35</v>
      </c>
      <c r="J95" s="2533">
        <f>'Slab-Culverts Data'!J559</f>
        <v>2067.88</v>
      </c>
      <c r="K95" s="2534" t="s">
        <v>73</v>
      </c>
      <c r="L95" s="2542">
        <f>ROUND(I95*J95,0)</f>
        <v>170290</v>
      </c>
    </row>
    <row r="96" spans="1:12" ht="20.100000000000001" customHeight="1">
      <c r="A96" s="2471"/>
      <c r="B96" s="2478"/>
      <c r="C96" s="2475"/>
      <c r="D96" s="2475"/>
      <c r="E96" s="2475"/>
      <c r="F96" s="2471"/>
      <c r="G96" s="2471"/>
      <c r="H96" s="2471"/>
      <c r="I96" s="2482" t="s">
        <v>31</v>
      </c>
      <c r="J96" s="2480"/>
      <c r="K96" s="2475"/>
      <c r="L96" s="2481"/>
    </row>
    <row r="97" spans="1:12" ht="15" customHeight="1">
      <c r="A97" s="2483"/>
      <c r="B97" s="2492"/>
      <c r="C97" s="2493"/>
      <c r="D97" s="2493"/>
      <c r="E97" s="2493"/>
      <c r="F97" s="2471"/>
      <c r="G97" s="2471"/>
      <c r="H97" s="2471"/>
      <c r="I97" s="2482"/>
      <c r="J97" s="2480"/>
      <c r="K97" s="2475"/>
      <c r="L97" s="2481"/>
    </row>
    <row r="98" spans="1:12" ht="136.5" customHeight="1">
      <c r="A98" s="2483">
        <v>15</v>
      </c>
      <c r="B98" s="3629" t="str">
        <f>'Slab-Culverts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8" s="3629"/>
      <c r="D98" s="3629"/>
      <c r="E98" s="3629"/>
      <c r="F98" s="3629"/>
      <c r="G98" s="3629"/>
      <c r="H98" s="3629"/>
      <c r="I98" s="3629"/>
      <c r="J98" s="3629"/>
      <c r="K98" s="3629"/>
      <c r="L98" s="2481"/>
    </row>
    <row r="99" spans="1:12" ht="20.100000000000001" customHeight="1">
      <c r="A99" s="2471"/>
      <c r="B99" s="2478"/>
      <c r="C99" s="2475"/>
      <c r="D99" s="2475"/>
      <c r="E99" s="2475"/>
      <c r="F99" s="2471"/>
      <c r="G99" s="2471"/>
      <c r="H99" s="2471"/>
      <c r="I99" s="2412">
        <v>0.91800000000000004</v>
      </c>
      <c r="J99" s="2480">
        <f>'Slab-Culverts Data'!J175</f>
        <v>64656.02</v>
      </c>
      <c r="K99" s="2475">
        <v>1</v>
      </c>
      <c r="L99" s="2481">
        <f>ROUND(I99*J99,0)</f>
        <v>59354</v>
      </c>
    </row>
    <row r="100" spans="1:12" ht="20.100000000000001" customHeight="1">
      <c r="A100" s="2471"/>
      <c r="B100" s="2478"/>
      <c r="C100" s="2475"/>
      <c r="D100" s="2475"/>
      <c r="E100" s="2475"/>
      <c r="F100" s="2471"/>
      <c r="G100" s="2471"/>
      <c r="H100" s="2471"/>
      <c r="I100" s="2482" t="s">
        <v>66</v>
      </c>
      <c r="J100" s="2480"/>
      <c r="K100" s="2475" t="s">
        <v>66</v>
      </c>
      <c r="L100" s="2481"/>
    </row>
    <row r="101" spans="1:12" ht="15" customHeight="1">
      <c r="A101" s="2471"/>
      <c r="B101" s="2478"/>
      <c r="C101" s="2475"/>
      <c r="D101" s="2475"/>
      <c r="E101" s="2475"/>
      <c r="F101" s="2471"/>
      <c r="G101" s="2471"/>
      <c r="H101" s="2471"/>
      <c r="I101" s="2482"/>
      <c r="J101" s="2480"/>
      <c r="K101" s="2475"/>
      <c r="L101" s="2481"/>
    </row>
    <row r="102" spans="1:12" ht="132.75" customHeight="1">
      <c r="A102" s="2483">
        <v>16</v>
      </c>
      <c r="B102" s="3629" t="str">
        <f>'Slab-Culverts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102" s="3629"/>
      <c r="D102" s="3629"/>
      <c r="E102" s="3629"/>
      <c r="F102" s="3629"/>
      <c r="G102" s="3629"/>
      <c r="H102" s="3629"/>
      <c r="I102" s="3629"/>
      <c r="J102" s="3629"/>
      <c r="K102" s="3629"/>
      <c r="L102" s="2481"/>
    </row>
    <row r="103" spans="1:12" ht="20.100000000000001" customHeight="1">
      <c r="A103" s="2471"/>
      <c r="B103" s="2478"/>
      <c r="C103" s="2475"/>
      <c r="D103" s="2475"/>
      <c r="E103" s="2475"/>
      <c r="F103" s="2471"/>
      <c r="G103" s="2471"/>
      <c r="H103" s="2471"/>
      <c r="I103" s="2412">
        <v>0.91800000000000004</v>
      </c>
      <c r="J103" s="2480">
        <f>'Slab-Culverts Data'!J290</f>
        <v>64943.47</v>
      </c>
      <c r="K103" s="2475">
        <v>1</v>
      </c>
      <c r="L103" s="2481">
        <f>ROUND(I103*J103,0)</f>
        <v>59618</v>
      </c>
    </row>
    <row r="104" spans="1:12" ht="20.100000000000001" customHeight="1">
      <c r="A104" s="2471"/>
      <c r="B104" s="2478"/>
      <c r="C104" s="2475"/>
      <c r="D104" s="2475"/>
      <c r="E104" s="2475"/>
      <c r="F104" s="2471"/>
      <c r="G104" s="2471"/>
      <c r="H104" s="2471"/>
      <c r="I104" s="2482" t="s">
        <v>66</v>
      </c>
      <c r="J104" s="2480"/>
      <c r="K104" s="2475" t="s">
        <v>66</v>
      </c>
      <c r="L104" s="2481"/>
    </row>
    <row r="105" spans="1:12" ht="132" customHeight="1">
      <c r="A105" s="2483">
        <v>17</v>
      </c>
      <c r="B105" s="3629"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105" s="3629"/>
      <c r="D105" s="3629"/>
      <c r="E105" s="3629"/>
      <c r="F105" s="3629"/>
      <c r="G105" s="3629"/>
      <c r="H105" s="3629"/>
      <c r="I105" s="3629"/>
      <c r="J105" s="3629"/>
      <c r="K105" s="3629"/>
      <c r="L105" s="2484"/>
    </row>
    <row r="106" spans="1:12" ht="20.100000000000001" customHeight="1">
      <c r="A106" s="2471"/>
      <c r="B106" s="2478"/>
      <c r="C106" s="2475"/>
      <c r="D106" s="2475"/>
      <c r="E106" s="2475"/>
      <c r="F106" s="2471"/>
      <c r="G106" s="2471"/>
      <c r="H106" s="2471"/>
      <c r="I106" s="2412">
        <v>13</v>
      </c>
      <c r="J106" s="2480">
        <f>'Slab-Culverts Data'!J451</f>
        <v>66904.47</v>
      </c>
      <c r="K106" s="2475">
        <v>1</v>
      </c>
      <c r="L106" s="2481">
        <f>ROUND(I106*J106,0)</f>
        <v>869758</v>
      </c>
    </row>
    <row r="107" spans="1:12" ht="20.100000000000001" customHeight="1">
      <c r="A107" s="2543"/>
      <c r="B107" s="2544"/>
      <c r="C107" s="2545"/>
      <c r="D107" s="2545"/>
      <c r="E107" s="2545"/>
      <c r="F107" s="2543"/>
      <c r="G107" s="2543"/>
      <c r="H107" s="2543"/>
      <c r="I107" s="2546" t="s">
        <v>66</v>
      </c>
      <c r="J107" s="2547"/>
      <c r="K107" s="2545" t="s">
        <v>66</v>
      </c>
      <c r="L107" s="2548"/>
    </row>
    <row r="108" spans="1:12" ht="23.25" customHeight="1">
      <c r="A108" s="2549"/>
      <c r="B108" s="2544"/>
      <c r="C108" s="2545"/>
      <c r="D108" s="2545"/>
      <c r="E108" s="2545"/>
      <c r="F108" s="2543"/>
      <c r="G108" s="2543"/>
      <c r="H108" s="2543"/>
      <c r="I108" s="2546"/>
      <c r="J108" s="2550" t="s">
        <v>1175</v>
      </c>
      <c r="K108" s="2543"/>
      <c r="L108" s="2551">
        <f>SUM(L6:L107)</f>
        <v>3530609</v>
      </c>
    </row>
    <row r="109" spans="1:12" ht="12.75" customHeight="1">
      <c r="L109" s="2552"/>
    </row>
    <row r="112" spans="1:12" ht="18" customHeight="1">
      <c r="B112" s="2432"/>
      <c r="F112" s="2432" t="str">
        <f>GA!B34</f>
        <v>Asst Exe Engineer,</v>
      </c>
      <c r="I112" s="3440" t="s">
        <v>723</v>
      </c>
      <c r="J112" s="3440"/>
      <c r="K112" s="3440"/>
    </row>
    <row r="113" spans="1:20" ht="18" customHeight="1">
      <c r="B113" s="2432"/>
      <c r="F113" s="2432" t="str">
        <f>'Slab Culvert 1V 6m x 2m spa'!B113</f>
        <v>PRSD Maddur</v>
      </c>
      <c r="I113" s="3440" t="str">
        <f>'Slab Culvert 1V 6m x 2m spa'!F113</f>
        <v>PRSD, Maddur</v>
      </c>
      <c r="J113" s="3440"/>
      <c r="K113" s="3440"/>
    </row>
    <row r="114" spans="1:20">
      <c r="B114" s="2432"/>
      <c r="F114" s="2432"/>
      <c r="J114" s="2431"/>
      <c r="K114" s="2431"/>
    </row>
    <row r="115" spans="1:20">
      <c r="B115" s="2432"/>
      <c r="F115" s="2432"/>
      <c r="J115" s="2431"/>
      <c r="K115" s="2431"/>
    </row>
    <row r="116" spans="1:20">
      <c r="B116" s="2430"/>
      <c r="F116" s="2431"/>
      <c r="J116" s="2431"/>
      <c r="K116" s="2431"/>
    </row>
    <row r="117" spans="1:20" ht="18" customHeight="1">
      <c r="B117" s="2432"/>
      <c r="F117" s="2432" t="s">
        <v>725</v>
      </c>
      <c r="I117" s="3440" t="s">
        <v>455</v>
      </c>
      <c r="J117" s="3440"/>
      <c r="K117" s="3440"/>
      <c r="L117" s="2430"/>
    </row>
    <row r="118" spans="1:20" s="2429" customFormat="1" ht="18" customHeight="1">
      <c r="A118" s="2428"/>
      <c r="B118" s="2432"/>
      <c r="C118" s="2374"/>
      <c r="D118" s="2374"/>
      <c r="E118" s="2374"/>
      <c r="F118" s="2432" t="str">
        <f>'Slab Culvert 1V 6m x 2m spa'!J113</f>
        <v>PR Division, Narayanpet</v>
      </c>
      <c r="G118" s="2374"/>
      <c r="H118" s="2374"/>
      <c r="I118" s="3441">
        <f>'Slab Culvert 1V 6m x 2m spa'!I118</f>
        <v>0</v>
      </c>
      <c r="J118" s="3441"/>
      <c r="K118" s="3441"/>
      <c r="M118" s="2369"/>
      <c r="N118" s="2369"/>
      <c r="O118" s="2369"/>
      <c r="P118" s="2369"/>
      <c r="Q118" s="2369"/>
      <c r="R118" s="2369"/>
      <c r="S118" s="2369"/>
      <c r="T118" s="2369"/>
    </row>
  </sheetData>
  <protectedRanges>
    <protectedRange sqref="B112:B118 F112:F118" name="Range4"/>
    <protectedRange sqref="K112:K118 I112:I113 I117 J114:J116" name="Range4_1"/>
  </protectedRanges>
  <mergeCells count="29">
    <mergeCell ref="I112:K112"/>
    <mergeCell ref="I113:K113"/>
    <mergeCell ref="I117:K117"/>
    <mergeCell ref="I118:K118"/>
    <mergeCell ref="B87:K87"/>
    <mergeCell ref="B91:K91"/>
    <mergeCell ref="B98:K98"/>
    <mergeCell ref="B102:K102"/>
    <mergeCell ref="B105:K105"/>
    <mergeCell ref="B67:K67"/>
    <mergeCell ref="B71:K71"/>
    <mergeCell ref="B75:K75"/>
    <mergeCell ref="B79:K79"/>
    <mergeCell ref="B83:K83"/>
    <mergeCell ref="B36:K36"/>
    <mergeCell ref="B45:K45"/>
    <mergeCell ref="B54:K54"/>
    <mergeCell ref="B59:K59"/>
    <mergeCell ref="B63:K63"/>
    <mergeCell ref="C5:E5"/>
    <mergeCell ref="B6:K6"/>
    <mergeCell ref="B12:K12"/>
    <mergeCell ref="B16:K16"/>
    <mergeCell ref="B22:K22"/>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T48"/>
  <sheetViews>
    <sheetView view="pageBreakPreview" topLeftCell="A28" zoomScale="112" workbookViewId="0">
      <selection activeCell="H39" sqref="H39:J39"/>
    </sheetView>
  </sheetViews>
  <sheetFormatPr defaultColWidth="9.109375" defaultRowHeight="14.4"/>
  <cols>
    <col min="1" max="1" width="5" style="489" customWidth="1"/>
    <col min="2" max="2" width="20.109375" style="490" customWidth="1"/>
    <col min="3" max="3" width="3.5546875" style="491" customWidth="1"/>
    <col min="4" max="4" width="3.5546875" style="487" customWidth="1"/>
    <col min="5" max="5" width="3.5546875" style="492" customWidth="1"/>
    <col min="6" max="6" width="7.109375" style="487" customWidth="1"/>
    <col min="7" max="7" width="8.109375" style="487" customWidth="1"/>
    <col min="8" max="9" width="7.44140625" style="487" customWidth="1"/>
    <col min="10" max="10" width="9.44140625" style="487" customWidth="1"/>
    <col min="11" max="11" width="5.44140625" style="487" customWidth="1"/>
    <col min="12" max="12" width="11.88671875" style="486" customWidth="1"/>
    <col min="13" max="13" width="9.109375" style="490"/>
    <col min="14" max="14" width="9.6640625" style="490" customWidth="1"/>
    <col min="15" max="15" width="9.109375" style="490"/>
    <col min="16" max="16" width="6.44140625" style="490" customWidth="1"/>
    <col min="17" max="20" width="9.109375" style="490" hidden="1" customWidth="1"/>
    <col min="21" max="16384" width="9.109375" style="490"/>
  </cols>
  <sheetData>
    <row r="1" spans="1:14" ht="18" customHeight="1">
      <c r="A1" s="3630" t="s">
        <v>1176</v>
      </c>
      <c r="B1" s="3631"/>
      <c r="C1" s="3631"/>
      <c r="D1" s="3631"/>
      <c r="E1" s="3631"/>
      <c r="F1" s="3631"/>
      <c r="G1" s="3631"/>
      <c r="H1" s="3631"/>
      <c r="I1" s="3631"/>
      <c r="J1" s="3631"/>
      <c r="K1" s="3631"/>
      <c r="L1" s="3631"/>
    </row>
    <row r="2" spans="1:14" ht="36.75" customHeight="1">
      <c r="A2" s="3632" t="s">
        <v>445</v>
      </c>
      <c r="B2" s="3632"/>
      <c r="C2" s="494"/>
      <c r="D2" s="493"/>
      <c r="E2" s="495"/>
      <c r="F2" s="3633" t="s">
        <v>1177</v>
      </c>
      <c r="G2" s="3633"/>
      <c r="H2" s="3633"/>
      <c r="I2" s="3633"/>
      <c r="J2" s="3633"/>
      <c r="K2" s="3633"/>
      <c r="L2" s="3633"/>
    </row>
    <row r="3" spans="1:14" s="486" customFormat="1" ht="22.5" customHeight="1">
      <c r="A3" s="3630" t="s">
        <v>1178</v>
      </c>
      <c r="B3" s="3634"/>
      <c r="C3" s="3634"/>
      <c r="D3" s="3634"/>
      <c r="E3" s="3634"/>
      <c r="F3" s="3634"/>
      <c r="G3" s="3634"/>
      <c r="H3" s="3634"/>
      <c r="I3" s="3634"/>
      <c r="J3" s="3634"/>
      <c r="K3" s="3634"/>
      <c r="L3" s="3634"/>
    </row>
    <row r="4" spans="1:14" s="487" customFormat="1" ht="36.75" customHeight="1">
      <c r="A4" s="496" t="s">
        <v>1141</v>
      </c>
      <c r="B4" s="496" t="s">
        <v>917</v>
      </c>
      <c r="C4" s="3635" t="s">
        <v>918</v>
      </c>
      <c r="D4" s="3636"/>
      <c r="E4" s="3637"/>
      <c r="F4" s="496" t="s">
        <v>180</v>
      </c>
      <c r="G4" s="496" t="s">
        <v>919</v>
      </c>
      <c r="H4" s="496" t="s">
        <v>920</v>
      </c>
      <c r="I4" s="514" t="s">
        <v>3</v>
      </c>
      <c r="J4" s="498" t="s">
        <v>5</v>
      </c>
      <c r="K4" s="498" t="s">
        <v>607</v>
      </c>
      <c r="L4" s="496" t="s">
        <v>7</v>
      </c>
    </row>
    <row r="5" spans="1:14" s="487" customFormat="1">
      <c r="A5" s="497">
        <v>1</v>
      </c>
      <c r="B5" s="498">
        <v>2</v>
      </c>
      <c r="C5" s="3638">
        <v>3</v>
      </c>
      <c r="D5" s="3638"/>
      <c r="E5" s="3638"/>
      <c r="F5" s="498">
        <v>4</v>
      </c>
      <c r="G5" s="498">
        <v>5</v>
      </c>
      <c r="H5" s="498">
        <v>6</v>
      </c>
      <c r="I5" s="498">
        <v>7</v>
      </c>
      <c r="J5" s="498">
        <v>8</v>
      </c>
      <c r="K5" s="498">
        <v>9</v>
      </c>
      <c r="L5" s="498">
        <v>10</v>
      </c>
    </row>
    <row r="6" spans="1:14" ht="90.9" customHeight="1">
      <c r="A6" s="497">
        <v>1</v>
      </c>
      <c r="B6" s="3639" t="s">
        <v>1179</v>
      </c>
      <c r="C6" s="3639"/>
      <c r="D6" s="3639"/>
      <c r="E6" s="3639"/>
      <c r="F6" s="3639"/>
      <c r="G6" s="3639"/>
      <c r="H6" s="3639"/>
      <c r="I6" s="3639"/>
      <c r="J6" s="3639"/>
      <c r="K6" s="3639"/>
      <c r="L6" s="533"/>
    </row>
    <row r="7" spans="1:14" s="488" customFormat="1">
      <c r="A7" s="500"/>
      <c r="B7" s="501" t="s">
        <v>1180</v>
      </c>
      <c r="C7" s="502">
        <v>1</v>
      </c>
      <c r="D7" s="502" t="s">
        <v>921</v>
      </c>
      <c r="E7" s="500">
        <v>2</v>
      </c>
      <c r="F7" s="503">
        <v>13.3</v>
      </c>
      <c r="G7" s="503">
        <v>1.4</v>
      </c>
      <c r="H7" s="504">
        <v>1.5</v>
      </c>
      <c r="I7" s="534">
        <f>ROUND(C7*E7*F7*G7*H7,2)</f>
        <v>55.86</v>
      </c>
      <c r="J7" s="502"/>
      <c r="K7" s="535"/>
      <c r="L7" s="536"/>
    </row>
    <row r="8" spans="1:14" s="488" customFormat="1">
      <c r="A8" s="500"/>
      <c r="B8" s="501" t="s">
        <v>1181</v>
      </c>
      <c r="C8" s="502">
        <v>1</v>
      </c>
      <c r="D8" s="502" t="s">
        <v>921</v>
      </c>
      <c r="E8" s="500">
        <v>1</v>
      </c>
      <c r="F8" s="503">
        <f>7.5-2.8</f>
        <v>4.7</v>
      </c>
      <c r="G8" s="503">
        <v>5.3</v>
      </c>
      <c r="H8" s="504">
        <v>0.3</v>
      </c>
      <c r="I8" s="534">
        <f>ROUND(C8*E8*F8*G8*H8,2)</f>
        <v>7.47</v>
      </c>
      <c r="J8" s="502"/>
      <c r="K8" s="535"/>
      <c r="L8" s="536"/>
    </row>
    <row r="9" spans="1:14" s="488" customFormat="1">
      <c r="A9" s="500"/>
      <c r="B9" s="502"/>
      <c r="C9" s="505"/>
      <c r="D9" s="502"/>
      <c r="E9" s="501"/>
      <c r="F9" s="500"/>
      <c r="G9" s="500"/>
      <c r="H9" s="500"/>
      <c r="I9" s="537">
        <f>SUM(I7:I8)</f>
        <v>63.33</v>
      </c>
      <c r="J9" s="504">
        <f>'Pipe data'!G20</f>
        <v>123.69927804166667</v>
      </c>
      <c r="K9" s="502">
        <v>1</v>
      </c>
      <c r="L9" s="538">
        <f>ROUND(I9*J9,0)</f>
        <v>7834</v>
      </c>
    </row>
    <row r="10" spans="1:14">
      <c r="A10" s="497"/>
      <c r="B10" s="506"/>
      <c r="C10" s="507"/>
      <c r="D10" s="498"/>
      <c r="E10" s="508"/>
      <c r="F10" s="498"/>
      <c r="G10" s="498"/>
      <c r="H10" s="498"/>
      <c r="I10" s="539" t="s">
        <v>73</v>
      </c>
      <c r="J10" s="523"/>
      <c r="K10" s="496" t="s">
        <v>73</v>
      </c>
      <c r="L10" s="540"/>
    </row>
    <row r="11" spans="1:14" ht="30.75" customHeight="1">
      <c r="A11" s="497">
        <v>2</v>
      </c>
      <c r="B11" s="3640" t="s">
        <v>1182</v>
      </c>
      <c r="C11" s="3639"/>
      <c r="D11" s="3639"/>
      <c r="E11" s="3639"/>
      <c r="F11" s="3639"/>
      <c r="G11" s="3639"/>
      <c r="H11" s="3639"/>
      <c r="I11" s="3639"/>
      <c r="J11" s="3639"/>
      <c r="K11" s="3639"/>
      <c r="L11" s="541"/>
      <c r="N11" s="542"/>
    </row>
    <row r="12" spans="1:14" s="488" customFormat="1">
      <c r="A12" s="500"/>
      <c r="B12" s="501" t="s">
        <v>1180</v>
      </c>
      <c r="C12" s="502">
        <v>1</v>
      </c>
      <c r="D12" s="502" t="s">
        <v>921</v>
      </c>
      <c r="E12" s="500">
        <v>2</v>
      </c>
      <c r="F12" s="503">
        <f>F7</f>
        <v>13.3</v>
      </c>
      <c r="G12" s="503">
        <v>1.4</v>
      </c>
      <c r="H12" s="504">
        <v>0.1</v>
      </c>
      <c r="I12" s="534">
        <f t="shared" ref="I12:I13" si="0">ROUND(C12*E12*F12*G12*H12,2)</f>
        <v>3.72</v>
      </c>
      <c r="J12" s="502"/>
      <c r="K12" s="535"/>
      <c r="L12" s="536"/>
    </row>
    <row r="13" spans="1:14" s="488" customFormat="1">
      <c r="A13" s="500"/>
      <c r="B13" s="501" t="s">
        <v>1181</v>
      </c>
      <c r="C13" s="502">
        <v>1</v>
      </c>
      <c r="D13" s="502" t="s">
        <v>921</v>
      </c>
      <c r="E13" s="500">
        <v>1</v>
      </c>
      <c r="F13" s="503">
        <f>F8</f>
        <v>4.7</v>
      </c>
      <c r="G13" s="503">
        <f>G8</f>
        <v>5.3</v>
      </c>
      <c r="H13" s="504">
        <v>0.3</v>
      </c>
      <c r="I13" s="534">
        <f t="shared" si="0"/>
        <v>7.47</v>
      </c>
      <c r="J13" s="502"/>
      <c r="K13" s="535"/>
      <c r="L13" s="536"/>
    </row>
    <row r="14" spans="1:14" s="488" customFormat="1">
      <c r="A14" s="500"/>
      <c r="B14" s="510"/>
      <c r="C14" s="511"/>
      <c r="D14" s="500"/>
      <c r="E14" s="512"/>
      <c r="F14" s="513"/>
      <c r="G14" s="500"/>
      <c r="H14" s="500"/>
      <c r="I14" s="537">
        <f>SUM(I12:I13)</f>
        <v>11.19</v>
      </c>
      <c r="J14" s="543">
        <f>'Pipe data'!G72</f>
        <v>1237.43</v>
      </c>
      <c r="K14" s="502">
        <v>1</v>
      </c>
      <c r="L14" s="538">
        <f>ROUND(I14*J14,0)</f>
        <v>13847</v>
      </c>
    </row>
    <row r="15" spans="1:14">
      <c r="A15" s="497"/>
      <c r="B15" s="506"/>
      <c r="C15" s="507"/>
      <c r="D15" s="498"/>
      <c r="E15" s="508"/>
      <c r="F15" s="498"/>
      <c r="G15" s="498"/>
      <c r="H15" s="498"/>
      <c r="I15" s="539" t="s">
        <v>73</v>
      </c>
      <c r="J15" s="523"/>
      <c r="K15" s="496" t="s">
        <v>73</v>
      </c>
      <c r="L15" s="540"/>
    </row>
    <row r="16" spans="1:14" ht="94.2" customHeight="1">
      <c r="A16" s="497">
        <v>3</v>
      </c>
      <c r="B16" s="3639" t="s">
        <v>1183</v>
      </c>
      <c r="C16" s="3639"/>
      <c r="D16" s="3639"/>
      <c r="E16" s="3639"/>
      <c r="F16" s="3639"/>
      <c r="G16" s="3639"/>
      <c r="H16" s="3639"/>
      <c r="I16" s="3639"/>
      <c r="J16" s="3639"/>
      <c r="K16" s="496"/>
      <c r="L16" s="540"/>
    </row>
    <row r="17" spans="1:12" ht="19.2" customHeight="1">
      <c r="A17" s="497"/>
      <c r="B17" s="506" t="s">
        <v>1184</v>
      </c>
      <c r="C17" s="507">
        <v>1</v>
      </c>
      <c r="D17" s="498" t="s">
        <v>921</v>
      </c>
      <c r="E17" s="508">
        <v>2</v>
      </c>
      <c r="F17" s="514">
        <f>F12</f>
        <v>13.3</v>
      </c>
      <c r="G17" s="498">
        <v>1.4</v>
      </c>
      <c r="H17" s="498">
        <v>0.15</v>
      </c>
      <c r="I17" s="534">
        <f t="shared" ref="I17:I18" si="1">ROUND(C17*E17*F17*G17*H17,2)</f>
        <v>5.59</v>
      </c>
      <c r="J17" s="523"/>
      <c r="K17" s="496"/>
      <c r="L17" s="540"/>
    </row>
    <row r="18" spans="1:12" ht="19.2" customHeight="1">
      <c r="A18" s="497"/>
      <c r="B18" s="501" t="s">
        <v>1181</v>
      </c>
      <c r="C18" s="505">
        <v>1</v>
      </c>
      <c r="D18" s="502" t="s">
        <v>921</v>
      </c>
      <c r="E18" s="512">
        <v>1</v>
      </c>
      <c r="F18" s="503">
        <f>F13</f>
        <v>4.7</v>
      </c>
      <c r="G18" s="503">
        <f>G13</f>
        <v>5.3</v>
      </c>
      <c r="H18" s="504">
        <v>0.2</v>
      </c>
      <c r="I18" s="534">
        <f t="shared" si="1"/>
        <v>4.9800000000000004</v>
      </c>
      <c r="J18" s="523"/>
      <c r="K18" s="496"/>
      <c r="L18" s="540"/>
    </row>
    <row r="19" spans="1:12" ht="19.2" customHeight="1">
      <c r="A19" s="497"/>
      <c r="B19" s="506"/>
      <c r="C19" s="507"/>
      <c r="D19" s="498"/>
      <c r="E19" s="508"/>
      <c r="F19" s="498"/>
      <c r="G19" s="498"/>
      <c r="H19" s="498"/>
      <c r="I19" s="539">
        <f>SUM(I17:I18)</f>
        <v>10.57</v>
      </c>
      <c r="J19" s="523">
        <f>'Slab-Culverts Data'!J31</f>
        <v>5748.72</v>
      </c>
      <c r="K19" s="502">
        <v>1</v>
      </c>
      <c r="L19" s="538">
        <f>ROUND(I19*J19,0)</f>
        <v>60764</v>
      </c>
    </row>
    <row r="20" spans="1:12" ht="19.2" customHeight="1">
      <c r="A20" s="497"/>
      <c r="B20" s="506"/>
      <c r="C20" s="507"/>
      <c r="D20" s="498"/>
      <c r="E20" s="508"/>
      <c r="F20" s="498"/>
      <c r="G20" s="498"/>
      <c r="H20" s="498"/>
      <c r="I20" s="539" t="s">
        <v>73</v>
      </c>
      <c r="J20" s="523"/>
      <c r="K20" s="496" t="s">
        <v>73</v>
      </c>
      <c r="L20" s="540"/>
    </row>
    <row r="21" spans="1:12" ht="118.5" customHeight="1">
      <c r="A21" s="497">
        <f>1+A16</f>
        <v>4</v>
      </c>
      <c r="B21" s="3639" t="s">
        <v>1185</v>
      </c>
      <c r="C21" s="3639"/>
      <c r="D21" s="3639"/>
      <c r="E21" s="3639"/>
      <c r="F21" s="3639"/>
      <c r="G21" s="3639"/>
      <c r="H21" s="3639"/>
      <c r="I21" s="3639"/>
      <c r="J21" s="3639"/>
      <c r="K21" s="3639"/>
      <c r="L21" s="540"/>
    </row>
    <row r="22" spans="1:12" s="488" customFormat="1" ht="27.6" customHeight="1">
      <c r="A22" s="500"/>
      <c r="B22" s="515" t="s">
        <v>1186</v>
      </c>
      <c r="C22" s="516" t="s">
        <v>1187</v>
      </c>
      <c r="D22" s="516"/>
      <c r="E22" s="497">
        <v>2</v>
      </c>
      <c r="F22" s="517">
        <f>F12</f>
        <v>13.3</v>
      </c>
      <c r="G22" s="518">
        <v>1.4</v>
      </c>
      <c r="H22" s="518">
        <v>0.15</v>
      </c>
      <c r="I22" s="544">
        <f>ROUND(PRODUCT(C22:H22),2)</f>
        <v>5.59</v>
      </c>
      <c r="J22" s="535"/>
      <c r="K22" s="535"/>
      <c r="L22" s="536"/>
    </row>
    <row r="23" spans="1:12" s="488" customFormat="1" ht="27.6" customHeight="1">
      <c r="A23" s="500"/>
      <c r="B23" s="515" t="s">
        <v>1186</v>
      </c>
      <c r="C23" s="516" t="s">
        <v>1187</v>
      </c>
      <c r="D23" s="516"/>
      <c r="E23" s="519">
        <v>2</v>
      </c>
      <c r="F23" s="517">
        <f>F22</f>
        <v>13.3</v>
      </c>
      <c r="G23" s="520" t="s">
        <v>1188</v>
      </c>
      <c r="H23" s="518">
        <v>1.25</v>
      </c>
      <c r="I23" s="544">
        <f>ROUND(PRODUCT(C23:H23)*(1.25+1)/2,2)</f>
        <v>37.409999999999997</v>
      </c>
      <c r="J23" s="535"/>
      <c r="K23" s="535"/>
      <c r="L23" s="536"/>
    </row>
    <row r="24" spans="1:12">
      <c r="A24" s="497"/>
      <c r="B24" s="499"/>
      <c r="C24" s="521"/>
      <c r="D24" s="499"/>
      <c r="E24" s="499"/>
      <c r="F24" s="499"/>
      <c r="G24" s="499"/>
      <c r="H24" s="499"/>
      <c r="I24" s="545">
        <f>SUM(I22:I23)</f>
        <v>43</v>
      </c>
      <c r="J24" s="546">
        <f>'Pipe data'!$G$103</f>
        <v>6425.92</v>
      </c>
      <c r="K24" s="502">
        <v>1</v>
      </c>
      <c r="L24" s="538">
        <f>ROUND(I24*J24,0)</f>
        <v>276315</v>
      </c>
    </row>
    <row r="25" spans="1:12">
      <c r="A25" s="497"/>
      <c r="B25" s="499"/>
      <c r="C25" s="521"/>
      <c r="D25" s="499"/>
      <c r="E25" s="499"/>
      <c r="F25" s="499"/>
      <c r="G25" s="499"/>
      <c r="H25" s="499"/>
      <c r="I25" s="547" t="s">
        <v>73</v>
      </c>
      <c r="J25" s="499"/>
      <c r="K25" s="496" t="s">
        <v>73</v>
      </c>
      <c r="L25" s="540"/>
    </row>
    <row r="26" spans="1:12" ht="108" customHeight="1">
      <c r="A26" s="497">
        <f>1+A21</f>
        <v>5</v>
      </c>
      <c r="B26" s="3639" t="s">
        <v>1189</v>
      </c>
      <c r="C26" s="3639"/>
      <c r="D26" s="3639"/>
      <c r="E26" s="3639"/>
      <c r="F26" s="3639"/>
      <c r="G26" s="3639"/>
      <c r="H26" s="3639"/>
      <c r="I26" s="3639"/>
      <c r="J26" s="3639"/>
      <c r="K26" s="3639"/>
      <c r="L26" s="540"/>
    </row>
    <row r="27" spans="1:12" ht="32.4" customHeight="1">
      <c r="A27" s="497"/>
      <c r="B27" s="515" t="s">
        <v>1190</v>
      </c>
      <c r="C27" s="516" t="s">
        <v>1187</v>
      </c>
      <c r="D27" s="516"/>
      <c r="E27" s="497">
        <v>2</v>
      </c>
      <c r="F27" s="517">
        <f>F22</f>
        <v>13.3</v>
      </c>
      <c r="G27" s="520" t="s">
        <v>1191</v>
      </c>
      <c r="H27" s="518">
        <v>1.8</v>
      </c>
      <c r="I27" s="544">
        <f>ROUND(PRODUCT(C27:H27)*(0.4+1)/2,2)</f>
        <v>33.520000000000003</v>
      </c>
      <c r="J27" s="543"/>
      <c r="K27" s="502"/>
      <c r="L27" s="538"/>
    </row>
    <row r="28" spans="1:12" s="488" customFormat="1">
      <c r="A28" s="500"/>
      <c r="B28" s="515" t="s">
        <v>1192</v>
      </c>
      <c r="C28" s="516" t="s">
        <v>1187</v>
      </c>
      <c r="D28" s="516"/>
      <c r="E28" s="497">
        <v>2</v>
      </c>
      <c r="F28" s="517">
        <f>F23</f>
        <v>13.3</v>
      </c>
      <c r="G28" s="497">
        <v>0.45</v>
      </c>
      <c r="H28" s="518">
        <v>0.4</v>
      </c>
      <c r="I28" s="544">
        <f>ROUND(PRODUCT(C28:H28),2)</f>
        <v>4.79</v>
      </c>
      <c r="J28" s="535"/>
      <c r="K28" s="535"/>
      <c r="L28" s="536"/>
    </row>
    <row r="29" spans="1:12" s="488" customFormat="1" ht="28.8">
      <c r="A29" s="500"/>
      <c r="B29" s="522" t="s">
        <v>1193</v>
      </c>
      <c r="C29" s="516" t="s">
        <v>1194</v>
      </c>
      <c r="D29" s="516"/>
      <c r="E29" s="497">
        <v>-6</v>
      </c>
      <c r="F29" s="517">
        <v>1.1000000000000001</v>
      </c>
      <c r="G29" s="517">
        <v>1.1000000000000001</v>
      </c>
      <c r="H29" s="520" t="s">
        <v>1195</v>
      </c>
      <c r="I29" s="544">
        <f>ROUND(PRODUCT(C29:H29)*PI()/4*AVERAGE(1,0.6),2)</f>
        <v>-4.5599999999999996</v>
      </c>
      <c r="J29" s="535"/>
      <c r="K29" s="535"/>
      <c r="L29" s="536"/>
    </row>
    <row r="30" spans="1:12" ht="15" customHeight="1">
      <c r="A30" s="497"/>
      <c r="B30" s="3641"/>
      <c r="C30" s="3642"/>
      <c r="D30" s="3642"/>
      <c r="E30" s="3642"/>
      <c r="F30" s="3642"/>
      <c r="G30" s="498"/>
      <c r="H30" s="498"/>
      <c r="I30" s="537">
        <f>SUM(I27:I29)</f>
        <v>33.75</v>
      </c>
      <c r="J30" s="546">
        <f>'Pipe data'!G230</f>
        <v>6796.65</v>
      </c>
      <c r="K30" s="496">
        <v>1</v>
      </c>
      <c r="L30" s="540">
        <f>ROUND(I30*J30,0)</f>
        <v>229387</v>
      </c>
    </row>
    <row r="31" spans="1:12" ht="15" customHeight="1">
      <c r="A31" s="497"/>
      <c r="B31" s="506"/>
      <c r="C31" s="507"/>
      <c r="D31" s="498"/>
      <c r="E31" s="508"/>
      <c r="F31" s="498"/>
      <c r="G31" s="498"/>
      <c r="H31" s="498"/>
      <c r="I31" s="539" t="s">
        <v>73</v>
      </c>
      <c r="J31" s="523"/>
      <c r="K31" s="496" t="s">
        <v>31</v>
      </c>
      <c r="L31" s="540"/>
    </row>
    <row r="32" spans="1:12" ht="102" customHeight="1">
      <c r="A32" s="497">
        <f>1+A26</f>
        <v>6</v>
      </c>
      <c r="B32" s="3639" t="s">
        <v>1196</v>
      </c>
      <c r="C32" s="3639"/>
      <c r="D32" s="3639"/>
      <c r="E32" s="3639"/>
      <c r="F32" s="3639"/>
      <c r="G32" s="3639"/>
      <c r="H32" s="3639"/>
      <c r="I32" s="3639"/>
      <c r="J32" s="3639"/>
      <c r="K32" s="3639"/>
      <c r="L32" s="540"/>
    </row>
    <row r="33" spans="1:12" ht="15" customHeight="1">
      <c r="A33" s="497"/>
      <c r="B33" s="496" t="s">
        <v>1197</v>
      </c>
      <c r="C33" s="496">
        <v>3</v>
      </c>
      <c r="D33" s="496" t="s">
        <v>1198</v>
      </c>
      <c r="E33" s="498">
        <v>3</v>
      </c>
      <c r="F33" s="514">
        <v>2.5</v>
      </c>
      <c r="G33" s="498"/>
      <c r="H33" s="523"/>
      <c r="I33" s="539">
        <f>ROUND(PRODUCT(C33:H33),2)</f>
        <v>22.5</v>
      </c>
      <c r="J33" s="523">
        <f>'Pipe data'!G128</f>
        <v>13715.57</v>
      </c>
      <c r="K33" s="496">
        <v>1</v>
      </c>
      <c r="L33" s="540">
        <f>ROUND(I33*J33,0)</f>
        <v>308600</v>
      </c>
    </row>
    <row r="34" spans="1:12" ht="15" customHeight="1">
      <c r="A34" s="497"/>
      <c r="B34" s="506"/>
      <c r="C34" s="507"/>
      <c r="D34" s="498"/>
      <c r="E34" s="508"/>
      <c r="F34" s="498"/>
      <c r="G34" s="498"/>
      <c r="H34" s="498"/>
      <c r="I34" s="539" t="s">
        <v>107</v>
      </c>
      <c r="J34" s="523"/>
      <c r="K34" s="496" t="s">
        <v>107</v>
      </c>
      <c r="L34" s="540"/>
    </row>
    <row r="35" spans="1:12" ht="26.1" customHeight="1">
      <c r="A35" s="524"/>
      <c r="B35" s="525"/>
      <c r="C35" s="526"/>
      <c r="D35" s="527"/>
      <c r="E35" s="528"/>
      <c r="F35" s="527"/>
      <c r="G35" s="527"/>
      <c r="H35" s="527"/>
      <c r="I35" s="527"/>
      <c r="J35" s="548" t="s">
        <v>1175</v>
      </c>
      <c r="K35" s="527"/>
      <c r="L35" s="549">
        <f>SUM(L6:L34)</f>
        <v>896747</v>
      </c>
    </row>
    <row r="36" spans="1:12">
      <c r="J36" s="486"/>
      <c r="L36" s="550"/>
    </row>
    <row r="37" spans="1:12">
      <c r="J37" s="486"/>
      <c r="L37" s="550"/>
    </row>
    <row r="38" spans="1:12">
      <c r="J38" s="486"/>
      <c r="L38" s="550"/>
    </row>
    <row r="39" spans="1:12" ht="15" customHeight="1">
      <c r="B39" s="3643" t="s">
        <v>1199</v>
      </c>
      <c r="C39" s="3643"/>
      <c r="D39" s="3643"/>
      <c r="E39" s="3643"/>
      <c r="F39" s="3643"/>
      <c r="H39" s="3644" t="s">
        <v>723</v>
      </c>
      <c r="I39" s="3644"/>
      <c r="J39" s="3644"/>
    </row>
    <row r="40" spans="1:12">
      <c r="B40" s="3643" t="s">
        <v>1200</v>
      </c>
      <c r="C40" s="3643"/>
      <c r="D40" s="3643"/>
      <c r="E40" s="3643"/>
      <c r="F40" s="3643"/>
      <c r="H40" s="3645" t="s">
        <v>1201</v>
      </c>
      <c r="I40" s="3644"/>
      <c r="J40" s="3644"/>
    </row>
    <row r="41" spans="1:12">
      <c r="B41" s="530"/>
      <c r="C41" s="531"/>
      <c r="D41" s="530"/>
      <c r="E41" s="529"/>
      <c r="F41" s="530"/>
      <c r="H41" s="530"/>
      <c r="I41" s="530"/>
    </row>
    <row r="42" spans="1:12">
      <c r="B42" s="530"/>
      <c r="C42" s="531"/>
      <c r="D42" s="530"/>
      <c r="E42" s="529"/>
      <c r="F42" s="530"/>
      <c r="H42" s="530"/>
      <c r="I42" s="530"/>
    </row>
    <row r="43" spans="1:12">
      <c r="B43" s="532"/>
      <c r="C43" s="531"/>
      <c r="D43" s="532"/>
      <c r="E43" s="529"/>
      <c r="F43" s="532"/>
      <c r="H43" s="532"/>
      <c r="I43" s="530"/>
    </row>
    <row r="44" spans="1:12" ht="18" hidden="1" customHeight="1">
      <c r="B44" s="3644" t="s">
        <v>725</v>
      </c>
      <c r="C44" s="3644"/>
      <c r="D44" s="3644"/>
      <c r="E44" s="3644"/>
      <c r="F44" s="3644"/>
      <c r="H44" s="3644" t="s">
        <v>455</v>
      </c>
      <c r="I44" s="3644"/>
      <c r="J44" s="3644"/>
    </row>
    <row r="45" spans="1:12" ht="15" hidden="1" customHeight="1">
      <c r="B45" s="3644" t="s">
        <v>1202</v>
      </c>
      <c r="C45" s="3644"/>
      <c r="D45" s="3644"/>
      <c r="E45" s="3644"/>
      <c r="F45" s="3644"/>
      <c r="H45" s="3644" t="s">
        <v>1203</v>
      </c>
      <c r="I45" s="3644"/>
      <c r="J45" s="3644"/>
    </row>
    <row r="46" spans="1:12">
      <c r="B46" s="490" t="s">
        <v>725</v>
      </c>
    </row>
    <row r="47" spans="1:12">
      <c r="B47" s="490" t="s">
        <v>1202</v>
      </c>
      <c r="I47" s="487" t="s">
        <v>455</v>
      </c>
    </row>
    <row r="48" spans="1:12">
      <c r="I48" s="487" t="s">
        <v>1203</v>
      </c>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5" tint="-0.249977111117893"/>
  </sheetPr>
  <dimension ref="A1:T37"/>
  <sheetViews>
    <sheetView topLeftCell="A22" workbookViewId="0">
      <selection activeCell="A32" sqref="A32"/>
    </sheetView>
  </sheetViews>
  <sheetFormatPr defaultColWidth="9.109375" defaultRowHeight="13.8"/>
  <cols>
    <col min="1" max="1" width="4.33203125" style="421" customWidth="1"/>
    <col min="2" max="2" width="34.88671875" style="422" customWidth="1"/>
    <col min="3" max="5" width="3.109375" style="419" customWidth="1"/>
    <col min="6" max="6" width="7.44140625" style="419" customWidth="1"/>
    <col min="7" max="7" width="10.5546875" style="419" customWidth="1"/>
    <col min="8" max="8" width="6.88671875" style="419" customWidth="1"/>
    <col min="9" max="9" width="7.88671875" style="419" customWidth="1"/>
    <col min="10" max="10" width="9.6640625" style="419" customWidth="1"/>
    <col min="11" max="11" width="6.109375" style="419" customWidth="1"/>
    <col min="12" max="12" width="13.44140625" style="418" customWidth="1"/>
    <col min="13" max="13" width="9.109375" style="422"/>
    <col min="14" max="14" width="13.88671875" style="422" customWidth="1"/>
    <col min="15" max="15" width="11.109375" style="422" customWidth="1"/>
    <col min="16" max="16" width="6.44140625" style="422" customWidth="1"/>
    <col min="17" max="20" width="9.109375" style="422" hidden="1" customWidth="1"/>
    <col min="21" max="16384" width="9.109375" style="422"/>
  </cols>
  <sheetData>
    <row r="1" spans="1:15" ht="18" customHeight="1">
      <c r="A1" s="3646" t="s">
        <v>1139</v>
      </c>
      <c r="B1" s="3647"/>
      <c r="C1" s="3647"/>
      <c r="D1" s="3647"/>
      <c r="E1" s="3647"/>
      <c r="F1" s="3647"/>
      <c r="G1" s="3647"/>
      <c r="H1" s="3647"/>
      <c r="I1" s="3647"/>
      <c r="J1" s="3647"/>
      <c r="K1" s="3647"/>
      <c r="L1" s="3647"/>
    </row>
    <row r="2" spans="1:15" ht="30" customHeight="1">
      <c r="A2" s="3648" t="s">
        <v>445</v>
      </c>
      <c r="B2" s="3648"/>
      <c r="C2" s="3649" t="str">
        <f>'Input Data'!E1</f>
        <v xml:space="preserve">BT Renewal from Balabadraipally to Danamma Thanda of Gundumal Mandal in Narayanpet District </v>
      </c>
      <c r="D2" s="3649"/>
      <c r="E2" s="3649"/>
      <c r="F2" s="3649"/>
      <c r="G2" s="3649"/>
      <c r="H2" s="3649"/>
      <c r="I2" s="3649"/>
      <c r="J2" s="3649"/>
      <c r="K2" s="3649"/>
      <c r="L2" s="3649"/>
    </row>
    <row r="3" spans="1:15" s="418" customFormat="1" ht="21.75" customHeight="1">
      <c r="A3" s="3650" t="s">
        <v>1204</v>
      </c>
      <c r="B3" s="3650"/>
      <c r="C3" s="3650"/>
      <c r="D3" s="3650"/>
      <c r="E3" s="3650"/>
      <c r="F3" s="3650"/>
      <c r="G3" s="3650"/>
      <c r="H3" s="3650"/>
      <c r="I3" s="3650"/>
      <c r="J3" s="3650"/>
      <c r="K3" s="3650"/>
      <c r="L3" s="3650"/>
    </row>
    <row r="4" spans="1:15" s="419" customFormat="1" ht="33" customHeight="1">
      <c r="A4" s="423" t="s">
        <v>1141</v>
      </c>
      <c r="B4" s="424" t="s">
        <v>917</v>
      </c>
      <c r="C4" s="3651" t="s">
        <v>918</v>
      </c>
      <c r="D4" s="3652"/>
      <c r="E4" s="3653"/>
      <c r="F4" s="424" t="s">
        <v>180</v>
      </c>
      <c r="G4" s="424" t="s">
        <v>919</v>
      </c>
      <c r="H4" s="424" t="s">
        <v>920</v>
      </c>
      <c r="I4" s="458" t="s">
        <v>3</v>
      </c>
      <c r="J4" s="426" t="s">
        <v>5</v>
      </c>
      <c r="K4" s="426" t="s">
        <v>607</v>
      </c>
      <c r="L4" s="424" t="s">
        <v>7</v>
      </c>
    </row>
    <row r="5" spans="1:15" s="418" customFormat="1">
      <c r="A5" s="425">
        <v>1</v>
      </c>
      <c r="B5" s="426">
        <v>2</v>
      </c>
      <c r="C5" s="3654">
        <v>3</v>
      </c>
      <c r="D5" s="3655"/>
      <c r="E5" s="3656"/>
      <c r="F5" s="426">
        <v>4</v>
      </c>
      <c r="G5" s="426">
        <v>5</v>
      </c>
      <c r="H5" s="426">
        <v>6</v>
      </c>
      <c r="I5" s="459">
        <v>7</v>
      </c>
      <c r="J5" s="426">
        <v>8</v>
      </c>
      <c r="K5" s="426">
        <v>9</v>
      </c>
      <c r="L5" s="426">
        <v>10</v>
      </c>
    </row>
    <row r="6" spans="1:15" ht="87.75" customHeight="1">
      <c r="A6" s="427">
        <v>1</v>
      </c>
      <c r="B6" s="3657"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57"/>
      <c r="D6" s="3657"/>
      <c r="E6" s="3657"/>
      <c r="F6" s="3657"/>
      <c r="G6" s="3657"/>
      <c r="H6" s="3657"/>
      <c r="I6" s="3657"/>
      <c r="J6" s="3657"/>
      <c r="K6" s="3657"/>
      <c r="L6" s="460"/>
      <c r="O6" s="461"/>
    </row>
    <row r="7" spans="1:15" ht="22.2" customHeight="1">
      <c r="A7" s="431"/>
      <c r="B7" s="434" t="s">
        <v>1205</v>
      </c>
      <c r="C7" s="435">
        <v>1</v>
      </c>
      <c r="D7" s="435" t="s">
        <v>921</v>
      </c>
      <c r="E7" s="435">
        <v>1</v>
      </c>
      <c r="F7" s="436">
        <v>15</v>
      </c>
      <c r="G7" s="436">
        <v>1.5</v>
      </c>
      <c r="H7" s="436">
        <v>0.9</v>
      </c>
      <c r="I7" s="436">
        <f>ROUND(C7*E7*F7*G7*H7,2)</f>
        <v>20.25</v>
      </c>
      <c r="J7" s="435"/>
      <c r="K7" s="433"/>
      <c r="L7" s="463"/>
      <c r="O7" s="461"/>
    </row>
    <row r="8" spans="1:15" ht="15" customHeight="1">
      <c r="A8" s="431"/>
      <c r="B8" s="434"/>
      <c r="C8" s="434"/>
      <c r="D8" s="434"/>
      <c r="E8" s="434"/>
      <c r="F8" s="433"/>
      <c r="G8" s="431"/>
      <c r="H8" s="431"/>
      <c r="I8" s="464">
        <f>SUM(I7:I7)</f>
        <v>20.25</v>
      </c>
      <c r="J8" s="436">
        <f>'Pipe data'!G20</f>
        <v>123.69927804166667</v>
      </c>
      <c r="K8" s="435">
        <v>1</v>
      </c>
      <c r="L8" s="465">
        <f>ROUND(I8*J8,0)</f>
        <v>2505</v>
      </c>
      <c r="O8" s="461"/>
    </row>
    <row r="9" spans="1:15" ht="15" customHeight="1">
      <c r="A9" s="431"/>
      <c r="B9" s="434"/>
      <c r="C9" s="434"/>
      <c r="D9" s="434"/>
      <c r="E9" s="434"/>
      <c r="F9" s="433"/>
      <c r="G9" s="431"/>
      <c r="H9" s="431"/>
      <c r="I9" s="466" t="s">
        <v>31</v>
      </c>
      <c r="J9" s="436"/>
      <c r="K9" s="435" t="s">
        <v>31</v>
      </c>
      <c r="L9" s="465"/>
    </row>
    <row r="10" spans="1:15" ht="12.75" customHeight="1">
      <c r="A10" s="437"/>
      <c r="B10" s="438"/>
      <c r="C10" s="438"/>
      <c r="D10" s="438"/>
      <c r="E10" s="438"/>
      <c r="F10" s="439"/>
      <c r="G10" s="431"/>
      <c r="H10" s="431"/>
      <c r="I10" s="466"/>
      <c r="J10" s="436"/>
      <c r="K10" s="435"/>
      <c r="L10" s="465"/>
    </row>
    <row r="11" spans="1:15" ht="33" hidden="1" customHeight="1">
      <c r="A11" s="437">
        <v>2</v>
      </c>
      <c r="B11" s="3658" t="str">
        <f>'Pipe data'!B55:G55</f>
        <v>Sand  Filling  in foundation trenches as per drawing and technical specification Clause 304 of MORTH including overhead charges &amp; Contractors profit etc complete.</v>
      </c>
      <c r="C11" s="3659"/>
      <c r="D11" s="3659"/>
      <c r="E11" s="3659"/>
      <c r="F11" s="3659"/>
      <c r="G11" s="3659"/>
      <c r="H11" s="3659"/>
      <c r="I11" s="3659"/>
      <c r="J11" s="3659"/>
      <c r="K11" s="3659"/>
      <c r="L11" s="467"/>
      <c r="N11" s="461"/>
    </row>
    <row r="12" spans="1:15" s="420" customFormat="1" ht="33" hidden="1" customHeight="1">
      <c r="A12" s="837"/>
      <c r="B12" s="838" t="s">
        <v>1206</v>
      </c>
      <c r="C12" s="839">
        <v>1</v>
      </c>
      <c r="D12" s="839" t="s">
        <v>921</v>
      </c>
      <c r="E12" s="839">
        <v>1</v>
      </c>
      <c r="F12" s="841">
        <f>+F7</f>
        <v>15</v>
      </c>
      <c r="G12" s="841">
        <v>1.2</v>
      </c>
      <c r="H12" s="841">
        <v>0.1</v>
      </c>
      <c r="I12" s="841"/>
      <c r="J12" s="839"/>
      <c r="K12" s="850"/>
      <c r="L12" s="851"/>
      <c r="O12" s="478"/>
    </row>
    <row r="13" spans="1:15" ht="19.5" hidden="1" customHeight="1">
      <c r="A13" s="437"/>
      <c r="B13" s="438"/>
      <c r="C13" s="438"/>
      <c r="D13" s="438"/>
      <c r="E13" s="438"/>
      <c r="F13" s="439"/>
      <c r="G13" s="431"/>
      <c r="H13" s="431"/>
      <c r="I13" s="466">
        <f>SUM(I12)</f>
        <v>0</v>
      </c>
      <c r="J13" s="436">
        <f>'Pipe data'!G72</f>
        <v>1237.43</v>
      </c>
      <c r="K13" s="435">
        <v>1</v>
      </c>
      <c r="L13" s="465">
        <f>ROUND(I13*J13,0)</f>
        <v>0</v>
      </c>
    </row>
    <row r="14" spans="1:15" ht="15" hidden="1" customHeight="1">
      <c r="A14" s="437"/>
      <c r="B14" s="438"/>
      <c r="C14" s="438"/>
      <c r="D14" s="438"/>
      <c r="E14" s="438"/>
      <c r="F14" s="439"/>
      <c r="G14" s="431"/>
      <c r="H14" s="431"/>
      <c r="I14" s="466" t="s">
        <v>31</v>
      </c>
      <c r="J14" s="436"/>
      <c r="K14" s="435" t="s">
        <v>31</v>
      </c>
      <c r="L14" s="465"/>
    </row>
    <row r="15" spans="1:15" hidden="1">
      <c r="A15" s="437"/>
      <c r="B15" s="438"/>
      <c r="C15" s="438"/>
      <c r="D15" s="438"/>
      <c r="E15" s="438"/>
      <c r="F15" s="439"/>
      <c r="G15" s="431"/>
      <c r="H15" s="431"/>
      <c r="I15" s="466"/>
      <c r="J15" s="436"/>
      <c r="K15" s="435"/>
      <c r="L15" s="465"/>
    </row>
    <row r="16" spans="1:15" ht="92.25" customHeight="1">
      <c r="A16" s="437">
        <v>2</v>
      </c>
      <c r="B16" s="3658"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659"/>
      <c r="D16" s="3659"/>
      <c r="E16" s="3659"/>
      <c r="F16" s="3659"/>
      <c r="G16" s="3659"/>
      <c r="H16" s="3659"/>
      <c r="I16" s="3659"/>
      <c r="J16" s="3659"/>
      <c r="K16" s="3659"/>
      <c r="L16" s="467"/>
    </row>
    <row r="17" spans="1:15" ht="17.25" customHeight="1">
      <c r="A17" s="431"/>
      <c r="B17" s="434" t="s">
        <v>1207</v>
      </c>
      <c r="C17" s="435">
        <v>1</v>
      </c>
      <c r="D17" s="435" t="s">
        <v>921</v>
      </c>
      <c r="E17" s="435">
        <v>1</v>
      </c>
      <c r="F17" s="436">
        <f>+F12</f>
        <v>15</v>
      </c>
      <c r="G17" s="436">
        <v>1.5</v>
      </c>
      <c r="H17" s="436">
        <v>0.3</v>
      </c>
      <c r="I17" s="436">
        <f>ROUND(C17*E17*F17*G17*H17,2)</f>
        <v>6.75</v>
      </c>
      <c r="J17" s="435"/>
      <c r="K17" s="433"/>
      <c r="L17" s="463"/>
      <c r="O17" s="461"/>
    </row>
    <row r="18" spans="1:15" ht="15" customHeight="1">
      <c r="A18" s="431"/>
      <c r="B18" s="434"/>
      <c r="C18" s="434"/>
      <c r="D18" s="434"/>
      <c r="E18" s="434"/>
      <c r="F18" s="431"/>
      <c r="G18" s="431"/>
      <c r="H18" s="431"/>
      <c r="I18" s="464">
        <f>SUM(I17)</f>
        <v>6.75</v>
      </c>
      <c r="J18" s="436">
        <f>'Slab-Culverts Data'!J31</f>
        <v>5748.72</v>
      </c>
      <c r="K18" s="435">
        <v>1</v>
      </c>
      <c r="L18" s="465">
        <f>ROUND(I18*J18,0)</f>
        <v>38804</v>
      </c>
    </row>
    <row r="19" spans="1:15" ht="15" customHeight="1">
      <c r="A19" s="431"/>
      <c r="B19" s="434"/>
      <c r="C19" s="434"/>
      <c r="D19" s="434"/>
      <c r="E19" s="434"/>
      <c r="F19" s="431"/>
      <c r="G19" s="431"/>
      <c r="H19" s="431"/>
      <c r="I19" s="466" t="s">
        <v>31</v>
      </c>
      <c r="J19" s="436"/>
      <c r="K19" s="435" t="s">
        <v>31</v>
      </c>
      <c r="L19" s="465"/>
    </row>
    <row r="20" spans="1:15" ht="15" customHeight="1">
      <c r="A20" s="431"/>
      <c r="B20" s="434"/>
      <c r="C20" s="434"/>
      <c r="D20" s="434"/>
      <c r="E20" s="434"/>
      <c r="F20" s="431"/>
      <c r="G20" s="431"/>
      <c r="H20" s="431"/>
      <c r="I20" s="466"/>
      <c r="J20" s="436"/>
      <c r="K20" s="435"/>
      <c r="L20" s="465"/>
    </row>
    <row r="21" spans="1:15" ht="89.25" customHeight="1">
      <c r="A21" s="437">
        <v>3</v>
      </c>
      <c r="B21" s="3658"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1" s="3659"/>
      <c r="D21" s="3659"/>
      <c r="E21" s="3659"/>
      <c r="F21" s="3659"/>
      <c r="G21" s="3659"/>
      <c r="H21" s="3659"/>
      <c r="I21" s="3659"/>
      <c r="J21" s="3659"/>
      <c r="K21" s="3659"/>
      <c r="L21" s="853"/>
      <c r="O21" s="461"/>
    </row>
    <row r="22" spans="1:15" ht="26.4">
      <c r="A22" s="431"/>
      <c r="B22" s="434" t="s">
        <v>1208</v>
      </c>
      <c r="C22" s="435">
        <v>1</v>
      </c>
      <c r="D22" s="435" t="s">
        <v>921</v>
      </c>
      <c r="E22" s="435">
        <v>1</v>
      </c>
      <c r="F22" s="442">
        <f>F17</f>
        <v>15</v>
      </c>
      <c r="G22" s="443" t="s">
        <v>1209</v>
      </c>
      <c r="H22" s="442">
        <v>0.6</v>
      </c>
      <c r="I22" s="1200">
        <f>PRODUCT(D22:H22)*(1.3+0.9)/2</f>
        <v>9.9</v>
      </c>
      <c r="J22" s="435"/>
      <c r="K22" s="433"/>
      <c r="L22" s="463"/>
      <c r="O22" s="461"/>
    </row>
    <row r="23" spans="1:15" ht="31.5" customHeight="1">
      <c r="A23" s="431"/>
      <c r="B23" s="434"/>
      <c r="C23" s="435"/>
      <c r="D23" s="435"/>
      <c r="E23" s="435"/>
      <c r="F23" s="436"/>
      <c r="G23" s="436"/>
      <c r="H23" s="436"/>
      <c r="I23" s="464">
        <f>SUM(I22)</f>
        <v>9.9</v>
      </c>
      <c r="J23" s="436">
        <f>'Slab-Culverts Data'!J62</f>
        <v>6425.92</v>
      </c>
      <c r="K23" s="435">
        <v>1</v>
      </c>
      <c r="L23" s="465">
        <f>ROUND(I23*J23,0)</f>
        <v>63617</v>
      </c>
      <c r="O23" s="461"/>
    </row>
    <row r="24" spans="1:15">
      <c r="A24" s="431"/>
      <c r="B24" s="434"/>
      <c r="C24" s="435"/>
      <c r="D24" s="435"/>
      <c r="E24" s="435"/>
      <c r="F24" s="436"/>
      <c r="G24" s="436"/>
      <c r="H24" s="436"/>
      <c r="I24" s="466" t="s">
        <v>73</v>
      </c>
      <c r="J24" s="435"/>
      <c r="K24" s="435" t="s">
        <v>31</v>
      </c>
      <c r="L24" s="463"/>
      <c r="O24" s="461"/>
    </row>
    <row r="25" spans="1:15" ht="88.5" customHeight="1">
      <c r="A25" s="437">
        <v>4</v>
      </c>
      <c r="B25" s="3658"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5" s="3659"/>
      <c r="D25" s="3659"/>
      <c r="E25" s="3659"/>
      <c r="F25" s="3659"/>
      <c r="G25" s="3659"/>
      <c r="H25" s="3659"/>
      <c r="I25" s="3659"/>
      <c r="J25" s="3659"/>
      <c r="K25" s="3659"/>
      <c r="L25" s="853"/>
      <c r="O25" s="461"/>
    </row>
    <row r="26" spans="1:15" ht="26.4">
      <c r="A26" s="431"/>
      <c r="B26" s="434" t="s">
        <v>1208</v>
      </c>
      <c r="C26" s="435">
        <v>1</v>
      </c>
      <c r="D26" s="435" t="s">
        <v>921</v>
      </c>
      <c r="E26" s="435">
        <v>1</v>
      </c>
      <c r="F26" s="442">
        <f>F22</f>
        <v>15</v>
      </c>
      <c r="G26" s="443" t="s">
        <v>1210</v>
      </c>
      <c r="H26" s="442">
        <v>1.5</v>
      </c>
      <c r="I26" s="1200">
        <f>PRODUCT(D26:H26)*(0.4+0.9)/2</f>
        <v>14.625</v>
      </c>
      <c r="J26" s="435"/>
      <c r="K26" s="433"/>
      <c r="L26" s="463"/>
      <c r="O26" s="461"/>
    </row>
    <row r="27" spans="1:15" ht="31.5" customHeight="1">
      <c r="A27" s="431"/>
      <c r="B27" s="434"/>
      <c r="C27" s="435"/>
      <c r="D27" s="435"/>
      <c r="E27" s="435"/>
      <c r="F27" s="436"/>
      <c r="G27" s="436"/>
      <c r="H27" s="436"/>
      <c r="I27" s="464">
        <f>SUM(I26)</f>
        <v>14.625</v>
      </c>
      <c r="J27" s="436">
        <f>'Slab-Culverts Data'!J206</f>
        <v>6796.65</v>
      </c>
      <c r="K27" s="435">
        <v>1</v>
      </c>
      <c r="L27" s="465">
        <f>ROUND(I27*J27,0)</f>
        <v>99401</v>
      </c>
      <c r="O27" s="461"/>
    </row>
    <row r="28" spans="1:15">
      <c r="A28" s="444"/>
      <c r="B28" s="445"/>
      <c r="C28" s="470"/>
      <c r="D28" s="470"/>
      <c r="E28" s="470"/>
      <c r="F28" s="469"/>
      <c r="G28" s="469"/>
      <c r="H28" s="469"/>
      <c r="I28" s="468" t="s">
        <v>73</v>
      </c>
      <c r="J28" s="470"/>
      <c r="K28" s="470" t="s">
        <v>31</v>
      </c>
      <c r="L28" s="1201"/>
      <c r="O28" s="461"/>
    </row>
    <row r="29" spans="1:15" ht="23.25" customHeight="1">
      <c r="A29" s="446"/>
      <c r="B29" s="448"/>
      <c r="C29" s="448"/>
      <c r="D29" s="448"/>
      <c r="E29" s="448"/>
      <c r="F29" s="450"/>
      <c r="G29" s="450"/>
      <c r="H29" s="450"/>
      <c r="I29" s="464"/>
      <c r="J29" s="481" t="s">
        <v>1175</v>
      </c>
      <c r="K29" s="482"/>
      <c r="L29" s="483">
        <f>SUM(L6:L27)</f>
        <v>204327</v>
      </c>
    </row>
    <row r="30" spans="1:15" ht="12.75" customHeight="1">
      <c r="L30" s="484"/>
    </row>
    <row r="32" spans="1:15" ht="14.25" customHeight="1">
      <c r="B32" s="456"/>
      <c r="F32" s="456" t="str">
        <f>GA!B34</f>
        <v>Asst Exe Engineer,</v>
      </c>
      <c r="I32" s="3660" t="s">
        <v>723</v>
      </c>
      <c r="J32" s="3660"/>
      <c r="K32" s="3660"/>
    </row>
    <row r="33" spans="2:11" ht="14.25" customHeight="1">
      <c r="B33" s="456"/>
      <c r="F33" s="456" t="str">
        <f>'Slab Culvert 2V 6m x 2m spa'!F113</f>
        <v>PRSD Maddur</v>
      </c>
      <c r="I33" s="3660" t="str">
        <f>'Slab Culvert 2V 6m x 2m spa'!I113</f>
        <v>PRSD, Maddur</v>
      </c>
      <c r="J33" s="3660"/>
      <c r="K33" s="3660"/>
    </row>
    <row r="34" spans="2:11" ht="14.25" customHeight="1">
      <c r="B34" s="456"/>
      <c r="F34" s="456"/>
      <c r="I34" s="485"/>
      <c r="J34" s="485"/>
      <c r="K34" s="485"/>
    </row>
    <row r="35" spans="2:11">
      <c r="B35" s="457"/>
      <c r="F35" s="457"/>
      <c r="J35" s="457"/>
      <c r="K35" s="485"/>
    </row>
    <row r="36" spans="2:11" ht="14.25" customHeight="1">
      <c r="B36" s="456"/>
      <c r="F36" s="456" t="s">
        <v>725</v>
      </c>
      <c r="I36" s="3660" t="s">
        <v>455</v>
      </c>
      <c r="J36" s="3660"/>
      <c r="K36" s="3660"/>
    </row>
    <row r="37" spans="2:11">
      <c r="B37" s="456"/>
      <c r="F37" s="456" t="str">
        <f>'Slab Culvert 2V 6m x 2m spa'!F118</f>
        <v>PR Division, Narayanpet</v>
      </c>
      <c r="I37" s="3661">
        <f>'Slab Culvert 2V 6m x 2m spa'!I118</f>
        <v>0</v>
      </c>
      <c r="J37" s="3661"/>
      <c r="K37" s="3661"/>
    </row>
  </sheetData>
  <protectedRanges>
    <protectedRange sqref="B32:B37 F32:F37" name="Range4"/>
    <protectedRange sqref="I36 K32:K37 I32:I34 J35" name="Range4_1"/>
  </protectedRanges>
  <mergeCells count="15">
    <mergeCell ref="B25:K25"/>
    <mergeCell ref="I32:K32"/>
    <mergeCell ref="I33:K33"/>
    <mergeCell ref="I36:K36"/>
    <mergeCell ref="I37:K37"/>
    <mergeCell ref="C5:E5"/>
    <mergeCell ref="B6:K6"/>
    <mergeCell ref="B11:K11"/>
    <mergeCell ref="B16:K16"/>
    <mergeCell ref="B21:K21"/>
    <mergeCell ref="A1:L1"/>
    <mergeCell ref="A2:B2"/>
    <mergeCell ref="C2:L2"/>
    <mergeCell ref="A3:L3"/>
    <mergeCell ref="C4:E4"/>
  </mergeCells>
  <printOptions horizontalCentered="1" headings="1"/>
  <pageMargins left="0.59055118110236204" right="0.196850393700787" top="0.59055118110236204" bottom="0.59055118110236204" header="0.31496062992126" footer="0.31496062992126"/>
  <pageSetup paperSize="9" scale="85"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5" tint="-0.249977111117893"/>
  </sheetPr>
  <dimension ref="A1:L682"/>
  <sheetViews>
    <sheetView view="pageBreakPreview" topLeftCell="A657" zoomScaleNormal="85" workbookViewId="0">
      <selection activeCell="C678" sqref="C678"/>
    </sheetView>
  </sheetViews>
  <sheetFormatPr defaultColWidth="9.109375" defaultRowHeight="15.6"/>
  <cols>
    <col min="1" max="1" width="5.109375" style="945" customWidth="1"/>
    <col min="2" max="2" width="11.109375" style="945" customWidth="1"/>
    <col min="3" max="3" width="9.6640625" style="903" customWidth="1"/>
    <col min="4" max="4" width="9.88671875" style="903" customWidth="1"/>
    <col min="5" max="5" width="10.5546875" style="903" customWidth="1"/>
    <col min="6" max="6" width="8.5546875" style="903" customWidth="1"/>
    <col min="7" max="7" width="8.88671875" style="903" customWidth="1"/>
    <col min="8" max="8" width="12.33203125" style="903" customWidth="1"/>
    <col min="9" max="9" width="6.6640625" style="903" customWidth="1"/>
    <col min="10" max="10" width="14.109375" style="1104" customWidth="1"/>
    <col min="11" max="11" width="14" style="903" customWidth="1"/>
    <col min="12" max="16384" width="9.109375" style="903"/>
  </cols>
  <sheetData>
    <row r="1" spans="1:10" ht="24.75" customHeight="1">
      <c r="A1" s="1105"/>
      <c r="B1" s="3662" t="s">
        <v>1578</v>
      </c>
      <c r="C1" s="3663"/>
      <c r="D1" s="3663"/>
      <c r="E1" s="3663"/>
      <c r="F1" s="3663"/>
      <c r="G1" s="3663"/>
      <c r="H1" s="3663"/>
      <c r="I1" s="3663"/>
      <c r="J1" s="3663"/>
    </row>
    <row r="2" spans="1:10" s="1102" customFormat="1" ht="41.25" customHeight="1">
      <c r="A2" s="1106"/>
      <c r="B2" s="1107" t="s">
        <v>1</v>
      </c>
      <c r="C2" s="1108"/>
      <c r="D2" s="3664" t="str">
        <f>'Input Data'!E1</f>
        <v xml:space="preserve">BT Renewal from Balabadraipally to Danamma Thanda of Gundumal Mandal in Narayanpet District </v>
      </c>
      <c r="E2" s="3665"/>
      <c r="F2" s="3665"/>
      <c r="G2" s="3665"/>
      <c r="H2" s="3665"/>
      <c r="I2" s="3665"/>
      <c r="J2" s="3665"/>
    </row>
    <row r="3" spans="1:10" ht="32.25" customHeight="1">
      <c r="A3" s="1105" t="s">
        <v>2</v>
      </c>
      <c r="B3" s="3666" t="s">
        <v>3</v>
      </c>
      <c r="C3" s="3666"/>
      <c r="D3" s="3667" t="s">
        <v>4</v>
      </c>
      <c r="E3" s="3667"/>
      <c r="F3" s="3667"/>
      <c r="G3" s="3667"/>
      <c r="H3" s="1109" t="s">
        <v>5</v>
      </c>
      <c r="I3" s="1109" t="s">
        <v>6</v>
      </c>
      <c r="J3" s="1128" t="s">
        <v>7</v>
      </c>
    </row>
    <row r="4" spans="1:10" ht="17.25" customHeight="1">
      <c r="A4" s="1111"/>
      <c r="B4" s="1111" t="s">
        <v>1579</v>
      </c>
      <c r="C4" s="1112"/>
      <c r="D4" s="1111"/>
      <c r="E4" s="1111"/>
      <c r="F4" s="1111"/>
      <c r="G4" s="1111"/>
      <c r="H4" s="1111"/>
      <c r="I4" s="1111"/>
      <c r="J4" s="1111"/>
    </row>
    <row r="5" spans="1:10" s="902" customFormat="1" ht="111.6" customHeight="1">
      <c r="A5" s="1113">
        <f>'Pipe data'!A180+1</f>
        <v>8</v>
      </c>
      <c r="B5" s="3668" t="s">
        <v>1580</v>
      </c>
      <c r="C5" s="3668"/>
      <c r="D5" s="3668"/>
      <c r="E5" s="3668"/>
      <c r="F5" s="3668"/>
      <c r="G5" s="3668"/>
      <c r="H5" s="3668"/>
      <c r="I5" s="3668"/>
      <c r="J5" s="3668"/>
    </row>
    <row r="6" spans="1:10" s="902" customFormat="1" ht="20.100000000000001" customHeight="1">
      <c r="A6" s="953"/>
      <c r="B6" s="1105"/>
      <c r="C6" s="953"/>
      <c r="D6" s="1114" t="s">
        <v>10</v>
      </c>
      <c r="E6" s="953"/>
      <c r="F6" s="1115" t="s">
        <v>1581</v>
      </c>
      <c r="G6" s="953"/>
      <c r="H6" s="953"/>
      <c r="I6" s="953"/>
      <c r="J6" s="953"/>
    </row>
    <row r="7" spans="1:10" s="902" customFormat="1" ht="20.100000000000001" customHeight="1">
      <c r="A7" s="953"/>
      <c r="B7" s="1105"/>
      <c r="C7" s="953"/>
      <c r="D7" s="1114" t="s">
        <v>56</v>
      </c>
      <c r="E7" s="953"/>
      <c r="F7" s="953"/>
      <c r="G7" s="953"/>
      <c r="H7" s="953"/>
      <c r="I7" s="953"/>
      <c r="J7" s="953"/>
    </row>
    <row r="8" spans="1:10" s="902" customFormat="1" ht="20.100000000000001" customHeight="1">
      <c r="A8" s="953"/>
      <c r="B8" s="1110" t="s">
        <v>36</v>
      </c>
      <c r="C8" s="1116" t="s">
        <v>37</v>
      </c>
      <c r="D8" s="953"/>
      <c r="E8" s="953"/>
      <c r="F8" s="953"/>
      <c r="G8" s="953"/>
      <c r="H8" s="953"/>
      <c r="I8" s="953"/>
      <c r="J8" s="953"/>
    </row>
    <row r="9" spans="1:10" s="902" customFormat="1" ht="20.100000000000001" customHeight="1">
      <c r="A9" s="953"/>
      <c r="B9" s="1117">
        <v>0.64</v>
      </c>
      <c r="C9" s="1118" t="s">
        <v>57</v>
      </c>
      <c r="D9" s="1114" t="s">
        <v>14</v>
      </c>
      <c r="E9" s="953"/>
      <c r="F9" s="953"/>
      <c r="G9" s="953"/>
      <c r="H9" s="1117">
        <f>+'SSR-rates'!$K$58</f>
        <v>575</v>
      </c>
      <c r="I9" s="1117" t="s">
        <v>38</v>
      </c>
      <c r="J9" s="1129">
        <f>ROUND(B9*H9,2)</f>
        <v>368</v>
      </c>
    </row>
    <row r="10" spans="1:10" s="902" customFormat="1" ht="20.100000000000001" customHeight="1">
      <c r="A10" s="953"/>
      <c r="B10" s="1117">
        <v>1</v>
      </c>
      <c r="C10" s="1118" t="s">
        <v>57</v>
      </c>
      <c r="D10" s="1114" t="s">
        <v>58</v>
      </c>
      <c r="E10" s="953"/>
      <c r="F10" s="953"/>
      <c r="G10" s="953"/>
      <c r="H10" s="1117">
        <f>+'SSR-rates'!$K$54</f>
        <v>615</v>
      </c>
      <c r="I10" s="1117" t="s">
        <v>38</v>
      </c>
      <c r="J10" s="1129">
        <f>ROUND(B10*H10,2)</f>
        <v>615</v>
      </c>
    </row>
    <row r="11" spans="1:10" s="902" customFormat="1" ht="20.100000000000001" customHeight="1">
      <c r="A11" s="953"/>
      <c r="B11" s="1117">
        <v>15</v>
      </c>
      <c r="C11" s="1118" t="s">
        <v>57</v>
      </c>
      <c r="D11" s="1114" t="s">
        <v>59</v>
      </c>
      <c r="E11" s="953"/>
      <c r="F11" s="953"/>
      <c r="G11" s="953"/>
      <c r="H11" s="1117">
        <f>+'SSR-rates'!$K$58</f>
        <v>575</v>
      </c>
      <c r="I11" s="1117" t="s">
        <v>38</v>
      </c>
      <c r="J11" s="1129">
        <f>ROUND(B11*H11,2)</f>
        <v>8625</v>
      </c>
    </row>
    <row r="12" spans="1:10" ht="20.100000000000001" customHeight="1">
      <c r="A12" s="1110"/>
      <c r="B12" s="1119">
        <f>+'Input Data'!D23</f>
        <v>0</v>
      </c>
      <c r="C12" s="1120"/>
      <c r="D12" s="953" t="s">
        <v>17</v>
      </c>
      <c r="E12" s="953"/>
      <c r="F12" s="1118"/>
      <c r="G12" s="1118"/>
      <c r="H12" s="1117">
        <f>SUM(J9:J11)</f>
        <v>9608</v>
      </c>
      <c r="I12" s="1105"/>
      <c r="J12" s="1129">
        <f>B12*H12</f>
        <v>0</v>
      </c>
    </row>
    <row r="13" spans="1:10" s="902" customFormat="1" ht="20.100000000000001" customHeight="1">
      <c r="A13" s="953"/>
      <c r="B13" s="1117"/>
      <c r="C13" s="953"/>
      <c r="D13" s="1114" t="s">
        <v>60</v>
      </c>
      <c r="E13" s="953"/>
      <c r="F13" s="953"/>
      <c r="G13" s="953"/>
      <c r="H13" s="1117"/>
      <c r="I13" s="1117"/>
      <c r="J13" s="1130">
        <f>SUM(J9:J12)</f>
        <v>9608</v>
      </c>
    </row>
    <row r="14" spans="1:10" s="902" customFormat="1" ht="20.100000000000001" customHeight="1">
      <c r="A14" s="953"/>
      <c r="B14" s="1110" t="s">
        <v>39</v>
      </c>
      <c r="C14" s="1116" t="s">
        <v>61</v>
      </c>
      <c r="D14" s="953"/>
      <c r="E14" s="953"/>
      <c r="F14" s="953"/>
      <c r="G14" s="953"/>
      <c r="H14" s="953"/>
      <c r="I14" s="1117"/>
      <c r="J14" s="1129"/>
    </row>
    <row r="15" spans="1:10" s="902" customFormat="1" ht="20.100000000000001" customHeight="1">
      <c r="A15" s="953"/>
      <c r="B15" s="1117">
        <v>13.5</v>
      </c>
      <c r="C15" s="1118" t="s">
        <v>31</v>
      </c>
      <c r="D15" s="1114" t="s">
        <v>1582</v>
      </c>
      <c r="E15" s="953"/>
      <c r="F15" s="953"/>
      <c r="G15" s="953"/>
      <c r="H15" s="1117">
        <f>lead!$J$14</f>
        <v>1732.2187651278443</v>
      </c>
      <c r="I15" s="1117" t="s">
        <v>31</v>
      </c>
      <c r="J15" s="1129">
        <f>ROUND(B15*H15,2)</f>
        <v>23384.95</v>
      </c>
    </row>
    <row r="16" spans="1:10" s="902" customFormat="1" ht="45" customHeight="1">
      <c r="A16" s="953"/>
      <c r="B16" s="1117">
        <f>6.75/2</f>
        <v>3.375</v>
      </c>
      <c r="C16" s="1118" t="s">
        <v>31</v>
      </c>
      <c r="D16" s="3669" t="s">
        <v>1442</v>
      </c>
      <c r="E16" s="3669"/>
      <c r="F16" s="3669"/>
      <c r="G16" s="3669"/>
      <c r="H16" s="1121">
        <f>lead!$J$31</f>
        <v>1850.9213132068826</v>
      </c>
      <c r="I16" s="1117" t="s">
        <v>31</v>
      </c>
      <c r="J16" s="1129">
        <f>ROUND(B16*H16,2)</f>
        <v>6246.86</v>
      </c>
    </row>
    <row r="17" spans="1:10" s="902" customFormat="1" ht="35.1" customHeight="1">
      <c r="A17" s="953"/>
      <c r="B17" s="1117">
        <f>B16</f>
        <v>3.375</v>
      </c>
      <c r="C17" s="1118" t="s">
        <v>31</v>
      </c>
      <c r="D17" s="3669" t="s">
        <v>1443</v>
      </c>
      <c r="E17" s="3669"/>
      <c r="F17" s="3669"/>
      <c r="G17" s="3669"/>
      <c r="H17" s="1121">
        <f>lead!$J$33</f>
        <v>1473.2187651278443</v>
      </c>
      <c r="I17" s="1117" t="s">
        <v>31</v>
      </c>
      <c r="J17" s="1129">
        <f>ROUND(B17*H17,2)</f>
        <v>4972.1099999999997</v>
      </c>
    </row>
    <row r="18" spans="1:10" s="902" customFormat="1" ht="20.100000000000001" customHeight="1">
      <c r="A18" s="953"/>
      <c r="B18" s="1117">
        <v>3.45</v>
      </c>
      <c r="C18" s="1118" t="s">
        <v>66</v>
      </c>
      <c r="D18" s="1114" t="s">
        <v>67</v>
      </c>
      <c r="E18" s="953"/>
      <c r="F18" s="953"/>
      <c r="G18" s="953"/>
      <c r="H18" s="1117">
        <f>lead!$J$36</f>
        <v>5000</v>
      </c>
      <c r="I18" s="1117" t="s">
        <v>66</v>
      </c>
      <c r="J18" s="1129">
        <f>ROUND(B18*H18,2)</f>
        <v>17250</v>
      </c>
    </row>
    <row r="19" spans="1:10" s="902" customFormat="1" ht="20.100000000000001" customHeight="1">
      <c r="A19" s="953"/>
      <c r="B19" s="1122"/>
      <c r="C19" s="1120"/>
      <c r="D19" s="1114" t="s">
        <v>60</v>
      </c>
      <c r="E19" s="953"/>
      <c r="F19" s="953"/>
      <c r="G19" s="953"/>
      <c r="H19" s="1117"/>
      <c r="I19" s="1117"/>
      <c r="J19" s="1130">
        <f>SUM(J15:J18)</f>
        <v>51853.919999999998</v>
      </c>
    </row>
    <row r="20" spans="1:10" s="902" customFormat="1" ht="20.100000000000001" customHeight="1">
      <c r="A20" s="953"/>
      <c r="B20" s="1110" t="s">
        <v>1583</v>
      </c>
      <c r="C20" s="1116" t="s">
        <v>40</v>
      </c>
      <c r="D20" s="953"/>
      <c r="E20" s="953"/>
      <c r="F20" s="953"/>
      <c r="G20" s="953"/>
      <c r="H20" s="1117"/>
      <c r="I20" s="1117"/>
      <c r="J20" s="1129"/>
    </row>
    <row r="21" spans="1:10" s="902" customFormat="1" ht="20.100000000000001" customHeight="1">
      <c r="A21" s="953"/>
      <c r="B21" s="1117">
        <v>6</v>
      </c>
      <c r="C21" s="1118" t="s">
        <v>41</v>
      </c>
      <c r="D21" s="1114" t="s">
        <v>68</v>
      </c>
      <c r="E21" s="953"/>
      <c r="F21" s="953"/>
      <c r="G21" s="953"/>
      <c r="H21" s="1117">
        <f>'SSR-rates'!K88</f>
        <v>697.9</v>
      </c>
      <c r="I21" s="1117" t="s">
        <v>41</v>
      </c>
      <c r="J21" s="1129">
        <f>ROUND(B21*H21,2)</f>
        <v>4187.3999999999996</v>
      </c>
    </row>
    <row r="22" spans="1:10" s="902" customFormat="1" ht="20.100000000000001" customHeight="1">
      <c r="A22" s="1110"/>
      <c r="B22" s="1117">
        <v>6</v>
      </c>
      <c r="C22" s="1118" t="s">
        <v>41</v>
      </c>
      <c r="D22" s="1114" t="s">
        <v>1584</v>
      </c>
      <c r="E22" s="953"/>
      <c r="F22" s="953"/>
      <c r="G22" s="953"/>
      <c r="H22" s="1117">
        <f>'SSR-rates'!K87</f>
        <v>1323.5</v>
      </c>
      <c r="I22" s="1117" t="s">
        <v>41</v>
      </c>
      <c r="J22" s="1129">
        <f>ROUND(B22*H22,2)</f>
        <v>7941</v>
      </c>
    </row>
    <row r="23" spans="1:10" s="902" customFormat="1" ht="20.100000000000001" customHeight="1">
      <c r="A23" s="1110"/>
      <c r="B23" s="1117">
        <v>3</v>
      </c>
      <c r="C23" s="1118" t="s">
        <v>41</v>
      </c>
      <c r="D23" s="1114" t="s">
        <v>213</v>
      </c>
      <c r="E23" s="953"/>
      <c r="F23" s="953"/>
      <c r="G23" s="953"/>
      <c r="H23" s="1117">
        <f>'SSR-rates'!K69</f>
        <v>769</v>
      </c>
      <c r="I23" s="1117" t="s">
        <v>41</v>
      </c>
      <c r="J23" s="1129">
        <f>ROUND(B23*H23,2)</f>
        <v>2307</v>
      </c>
    </row>
    <row r="24" spans="1:10" s="902" customFormat="1" ht="20.100000000000001" customHeight="1">
      <c r="A24" s="1110"/>
      <c r="B24" s="1117"/>
      <c r="C24" s="1120"/>
      <c r="D24" s="1114" t="s">
        <v>60</v>
      </c>
      <c r="E24" s="953"/>
      <c r="F24" s="953"/>
      <c r="G24" s="953"/>
      <c r="H24" s="1117"/>
      <c r="I24" s="1117"/>
      <c r="J24" s="1130">
        <f>SUM(J21:J23)</f>
        <v>14435.4</v>
      </c>
    </row>
    <row r="25" spans="1:10" s="902" customFormat="1" ht="20.100000000000001" customHeight="1">
      <c r="A25" s="1110"/>
      <c r="B25" s="1110" t="s">
        <v>45</v>
      </c>
      <c r="C25" s="1123" t="s">
        <v>1092</v>
      </c>
      <c r="D25" s="953"/>
      <c r="E25" s="953"/>
      <c r="F25" s="1118"/>
      <c r="G25" s="1118"/>
      <c r="H25" s="1118"/>
      <c r="I25" s="1118"/>
      <c r="J25" s="1130"/>
    </row>
    <row r="26" spans="1:10" s="902" customFormat="1" ht="20.100000000000001" customHeight="1">
      <c r="A26" s="953"/>
      <c r="B26" s="1124">
        <f>'Input Data'!$D$24</f>
        <v>0.13614999999999999</v>
      </c>
      <c r="C26" s="1123" t="s">
        <v>1092</v>
      </c>
      <c r="D26" s="953"/>
      <c r="E26" s="953"/>
      <c r="F26" s="1118"/>
      <c r="G26" s="1118"/>
      <c r="H26" s="1118"/>
      <c r="I26" s="1118"/>
      <c r="J26" s="1129">
        <f>ROUND((J13+J19+J24)*B26,2)</f>
        <v>10333.42</v>
      </c>
    </row>
    <row r="27" spans="1:10" s="902" customFormat="1" ht="20.100000000000001" customHeight="1">
      <c r="A27" s="953"/>
      <c r="B27" s="1125">
        <f>'Input Data'!$E$24</f>
        <v>0</v>
      </c>
      <c r="C27" s="1126" t="s">
        <v>1093</v>
      </c>
      <c r="D27" s="953"/>
      <c r="E27" s="953"/>
      <c r="F27" s="1118"/>
      <c r="G27" s="1118"/>
      <c r="H27" s="1120">
        <f>J13+J19+J24+J26</f>
        <v>86230.739999999991</v>
      </c>
      <c r="I27" s="1118"/>
      <c r="J27" s="1129">
        <f>H27*B27</f>
        <v>0</v>
      </c>
    </row>
    <row r="28" spans="1:10" s="902" customFormat="1" ht="20.100000000000001" customHeight="1">
      <c r="A28" s="953"/>
      <c r="B28" s="1110" t="s">
        <v>47</v>
      </c>
      <c r="C28" s="1123" t="s">
        <v>89</v>
      </c>
      <c r="D28" s="953"/>
      <c r="E28" s="953"/>
      <c r="F28" s="1118"/>
      <c r="G28" s="1118"/>
      <c r="H28" s="1118"/>
      <c r="I28" s="1118"/>
      <c r="J28" s="1130">
        <f>J13+J19+J24+J26+J27</f>
        <v>86230.739999999991</v>
      </c>
    </row>
    <row r="29" spans="1:10" s="902" customFormat="1" ht="20.100000000000001" customHeight="1">
      <c r="A29" s="953"/>
      <c r="B29" s="1122"/>
      <c r="C29" s="1118"/>
      <c r="D29" s="1116" t="s">
        <v>1555</v>
      </c>
      <c r="E29" s="953"/>
      <c r="F29" s="953"/>
      <c r="G29" s="953"/>
      <c r="H29" s="1117"/>
      <c r="I29" s="1117"/>
      <c r="J29" s="1130">
        <f>SUM(J28:J28)</f>
        <v>86230.739999999991</v>
      </c>
    </row>
    <row r="30" spans="1:10" s="902" customFormat="1" ht="20.100000000000001" customHeight="1">
      <c r="A30" s="953"/>
      <c r="B30" s="1117"/>
      <c r="C30" s="1118"/>
      <c r="D30" s="1114" t="s">
        <v>81</v>
      </c>
      <c r="E30" s="953"/>
      <c r="F30" s="953"/>
      <c r="G30" s="953"/>
      <c r="H30" s="1117"/>
      <c r="I30" s="1117"/>
      <c r="J30" s="1129">
        <f>ROUND(J29/15,2)</f>
        <v>5748.72</v>
      </c>
    </row>
    <row r="31" spans="1:10" s="902" customFormat="1" ht="20.100000000000001" customHeight="1">
      <c r="A31" s="1127"/>
      <c r="B31" s="1105"/>
      <c r="C31" s="953"/>
      <c r="D31" s="1114" t="s">
        <v>52</v>
      </c>
      <c r="E31" s="953"/>
      <c r="F31" s="953"/>
      <c r="G31" s="953"/>
      <c r="H31" s="1117"/>
      <c r="I31" s="1117"/>
      <c r="J31" s="1131">
        <f>ROUND(J30,2)</f>
        <v>5748.72</v>
      </c>
    </row>
    <row r="32" spans="1:10" s="902" customFormat="1" ht="20.100000000000001" customHeight="1">
      <c r="A32" s="953"/>
      <c r="B32" s="1105"/>
      <c r="C32" s="953"/>
      <c r="D32" s="1114"/>
      <c r="E32" s="953"/>
      <c r="F32" s="953"/>
      <c r="G32" s="953"/>
      <c r="H32" s="1117"/>
      <c r="I32" s="1117"/>
      <c r="J32" s="1130" t="s">
        <v>53</v>
      </c>
    </row>
    <row r="33" spans="1:10" s="902" customFormat="1" ht="115.2" customHeight="1">
      <c r="A33" s="1113">
        <f>A5+1</f>
        <v>9</v>
      </c>
      <c r="B33" s="3668" t="s">
        <v>1585</v>
      </c>
      <c r="C33" s="3668"/>
      <c r="D33" s="3668"/>
      <c r="E33" s="3668"/>
      <c r="F33" s="3668"/>
      <c r="G33" s="3668"/>
      <c r="H33" s="3668"/>
      <c r="I33" s="3668"/>
      <c r="J33" s="3668"/>
    </row>
    <row r="34" spans="1:10" s="902" customFormat="1" ht="20.100000000000001" customHeight="1">
      <c r="A34" s="953"/>
      <c r="B34" s="1105"/>
      <c r="C34" s="953"/>
      <c r="D34" s="1114" t="s">
        <v>10</v>
      </c>
      <c r="E34" s="953"/>
      <c r="F34" s="953"/>
      <c r="G34" s="953"/>
      <c r="H34" s="953"/>
      <c r="I34" s="953"/>
      <c r="J34" s="953"/>
    </row>
    <row r="35" spans="1:10" s="902" customFormat="1" ht="20.100000000000001" customHeight="1">
      <c r="A35" s="953"/>
      <c r="B35" s="1105"/>
      <c r="C35" s="953"/>
      <c r="D35" s="1114" t="s">
        <v>56</v>
      </c>
      <c r="E35" s="953"/>
      <c r="F35" s="953"/>
      <c r="G35" s="953"/>
      <c r="H35" s="953"/>
      <c r="I35" s="953"/>
      <c r="J35" s="953"/>
    </row>
    <row r="36" spans="1:10" s="902" customFormat="1" ht="20.100000000000001" customHeight="1">
      <c r="A36" s="953"/>
      <c r="B36" s="1110" t="s">
        <v>36</v>
      </c>
      <c r="C36" s="1116" t="s">
        <v>37</v>
      </c>
      <c r="D36" s="953"/>
      <c r="E36" s="953"/>
      <c r="F36" s="953"/>
      <c r="G36" s="953"/>
      <c r="H36" s="953"/>
      <c r="I36" s="953"/>
      <c r="J36" s="953"/>
    </row>
    <row r="37" spans="1:10" s="902" customFormat="1" ht="20.100000000000001" customHeight="1">
      <c r="A37" s="953"/>
      <c r="B37" s="1117">
        <v>0.86</v>
      </c>
      <c r="C37" s="1118" t="s">
        <v>57</v>
      </c>
      <c r="D37" s="1114" t="s">
        <v>14</v>
      </c>
      <c r="E37" s="953"/>
      <c r="F37" s="953"/>
      <c r="G37" s="953"/>
      <c r="H37" s="1117">
        <f>+'SSR-rates'!$K$58</f>
        <v>575</v>
      </c>
      <c r="I37" s="1117" t="s">
        <v>38</v>
      </c>
      <c r="J37" s="1129">
        <f>ROUND(B37*H37,2)</f>
        <v>494.5</v>
      </c>
    </row>
    <row r="38" spans="1:10" s="902" customFormat="1" ht="20.100000000000001" customHeight="1">
      <c r="A38" s="953"/>
      <c r="B38" s="1117">
        <v>1.5</v>
      </c>
      <c r="C38" s="1118" t="s">
        <v>57</v>
      </c>
      <c r="D38" s="1114" t="s">
        <v>58</v>
      </c>
      <c r="E38" s="953"/>
      <c r="F38" s="953"/>
      <c r="G38" s="953"/>
      <c r="H38" s="1117">
        <f>+'SSR-rates'!$K$54</f>
        <v>615</v>
      </c>
      <c r="I38" s="1117" t="s">
        <v>38</v>
      </c>
      <c r="J38" s="1129">
        <f>ROUND(B38*H38,2)</f>
        <v>922.5</v>
      </c>
    </row>
    <row r="39" spans="1:10" s="902" customFormat="1" ht="20.100000000000001" customHeight="1">
      <c r="A39" s="953"/>
      <c r="B39" s="1117">
        <v>20</v>
      </c>
      <c r="C39" s="1118" t="s">
        <v>57</v>
      </c>
      <c r="D39" s="1114" t="s">
        <v>59</v>
      </c>
      <c r="E39" s="953"/>
      <c r="F39" s="953"/>
      <c r="G39" s="953"/>
      <c r="H39" s="1117">
        <f>+'SSR-rates'!$K$58</f>
        <v>575</v>
      </c>
      <c r="I39" s="1117" t="s">
        <v>38</v>
      </c>
      <c r="J39" s="1129">
        <f>ROUND(B39*H39,2)</f>
        <v>11500</v>
      </c>
    </row>
    <row r="40" spans="1:10" ht="20.100000000000001" customHeight="1">
      <c r="A40" s="1110"/>
      <c r="B40" s="1119">
        <f>+'Input Data'!D23</f>
        <v>0</v>
      </c>
      <c r="C40" s="1120"/>
      <c r="D40" s="953" t="s">
        <v>17</v>
      </c>
      <c r="E40" s="953"/>
      <c r="F40" s="1118"/>
      <c r="G40" s="1118"/>
      <c r="H40" s="1117">
        <f>SUM(J37:J39)</f>
        <v>12917</v>
      </c>
      <c r="I40" s="1105"/>
      <c r="J40" s="1129">
        <f>B40*H40</f>
        <v>0</v>
      </c>
    </row>
    <row r="41" spans="1:10" s="902" customFormat="1" ht="20.100000000000001" customHeight="1">
      <c r="A41" s="953"/>
      <c r="B41" s="1117"/>
      <c r="C41" s="953"/>
      <c r="D41" s="1114" t="s">
        <v>60</v>
      </c>
      <c r="E41" s="953"/>
      <c r="F41" s="953"/>
      <c r="G41" s="953"/>
      <c r="H41" s="1117"/>
      <c r="I41" s="1117"/>
      <c r="J41" s="1130">
        <f>SUM(J37:J40)</f>
        <v>12917</v>
      </c>
    </row>
    <row r="42" spans="1:10" s="902" customFormat="1" ht="20.100000000000001" customHeight="1">
      <c r="A42" s="953"/>
      <c r="B42" s="1110" t="s">
        <v>39</v>
      </c>
      <c r="C42" s="1116" t="s">
        <v>61</v>
      </c>
      <c r="D42" s="953"/>
      <c r="E42" s="953"/>
      <c r="F42" s="953"/>
      <c r="G42" s="953"/>
      <c r="H42" s="953"/>
      <c r="I42" s="1117"/>
      <c r="J42" s="1129"/>
    </row>
    <row r="43" spans="1:10" s="902" customFormat="1" ht="20.100000000000001" customHeight="1">
      <c r="A43" s="953"/>
      <c r="B43" s="1117">
        <v>8.1</v>
      </c>
      <c r="C43" s="1118" t="s">
        <v>31</v>
      </c>
      <c r="D43" s="1114" t="s">
        <v>1582</v>
      </c>
      <c r="E43" s="953"/>
      <c r="F43" s="953"/>
      <c r="G43" s="953"/>
      <c r="H43" s="1117">
        <f>+lead!$J$14</f>
        <v>1732.2187651278443</v>
      </c>
      <c r="I43" s="1117" t="s">
        <v>31</v>
      </c>
      <c r="J43" s="1129">
        <f t="shared" ref="J43:J48" si="0">ROUND(B43*H43,2)</f>
        <v>14030.97</v>
      </c>
    </row>
    <row r="44" spans="1:10" ht="20.100000000000001" customHeight="1">
      <c r="A44" s="1118"/>
      <c r="B44" s="1117">
        <v>4.05</v>
      </c>
      <c r="C44" s="1118" t="s">
        <v>31</v>
      </c>
      <c r="D44" s="953" t="s">
        <v>63</v>
      </c>
      <c r="E44" s="953"/>
      <c r="F44" s="953"/>
      <c r="G44" s="953"/>
      <c r="H44" s="1117">
        <f>+lead!$J$16</f>
        <v>2031.2187651278443</v>
      </c>
      <c r="I44" s="1117" t="s">
        <v>31</v>
      </c>
      <c r="J44" s="1114">
        <f t="shared" si="0"/>
        <v>8226.44</v>
      </c>
    </row>
    <row r="45" spans="1:10" ht="20.100000000000001" customHeight="1">
      <c r="A45" s="1118"/>
      <c r="B45" s="1117">
        <v>1.35</v>
      </c>
      <c r="C45" s="1118" t="s">
        <v>31</v>
      </c>
      <c r="D45" s="953" t="s">
        <v>64</v>
      </c>
      <c r="E45" s="953"/>
      <c r="F45" s="953"/>
      <c r="G45" s="953"/>
      <c r="H45" s="1117">
        <f>+lead!$J$18</f>
        <v>1780.2187651278443</v>
      </c>
      <c r="I45" s="1117" t="s">
        <v>31</v>
      </c>
      <c r="J45" s="1114">
        <f t="shared" si="0"/>
        <v>2403.3000000000002</v>
      </c>
    </row>
    <row r="46" spans="1:10" s="902" customFormat="1" ht="45" customHeight="1">
      <c r="A46" s="953"/>
      <c r="B46" s="1122">
        <f>6.75/2</f>
        <v>3.375</v>
      </c>
      <c r="C46" s="1118" t="s">
        <v>31</v>
      </c>
      <c r="D46" s="3669" t="s">
        <v>1442</v>
      </c>
      <c r="E46" s="3669"/>
      <c r="F46" s="3669"/>
      <c r="G46" s="3669"/>
      <c r="H46" s="1121">
        <f>lead!$J$31</f>
        <v>1850.9213132068826</v>
      </c>
      <c r="I46" s="1117" t="s">
        <v>31</v>
      </c>
      <c r="J46" s="1129">
        <f t="shared" si="0"/>
        <v>6246.86</v>
      </c>
    </row>
    <row r="47" spans="1:10" s="902" customFormat="1" ht="35.1" customHeight="1">
      <c r="A47" s="953"/>
      <c r="B47" s="1122">
        <f>6.75/2</f>
        <v>3.375</v>
      </c>
      <c r="C47" s="1118" t="s">
        <v>31</v>
      </c>
      <c r="D47" s="3669" t="s">
        <v>1443</v>
      </c>
      <c r="E47" s="3669"/>
      <c r="F47" s="3669"/>
      <c r="G47" s="3669"/>
      <c r="H47" s="1121">
        <f>lead!$J$33</f>
        <v>1473.2187651278443</v>
      </c>
      <c r="I47" s="1117" t="s">
        <v>31</v>
      </c>
      <c r="J47" s="1129">
        <f t="shared" si="0"/>
        <v>4972.1099999999997</v>
      </c>
    </row>
    <row r="48" spans="1:10" s="902" customFormat="1" ht="20.100000000000001" customHeight="1">
      <c r="A48" s="953"/>
      <c r="B48" s="1117">
        <v>4.13</v>
      </c>
      <c r="C48" s="1118" t="s">
        <v>66</v>
      </c>
      <c r="D48" s="1114" t="s">
        <v>67</v>
      </c>
      <c r="E48" s="953"/>
      <c r="F48" s="953"/>
      <c r="G48" s="953"/>
      <c r="H48" s="1117">
        <f>lead!J36</f>
        <v>5000</v>
      </c>
      <c r="I48" s="1117" t="s">
        <v>66</v>
      </c>
      <c r="J48" s="1129">
        <f t="shared" si="0"/>
        <v>20650</v>
      </c>
    </row>
    <row r="49" spans="1:10" s="902" customFormat="1" ht="20.100000000000001" customHeight="1">
      <c r="A49" s="953"/>
      <c r="B49" s="1122"/>
      <c r="C49" s="1120"/>
      <c r="D49" s="1114" t="s">
        <v>60</v>
      </c>
      <c r="E49" s="953"/>
      <c r="F49" s="953"/>
      <c r="G49" s="953"/>
      <c r="H49" s="1117"/>
      <c r="I49" s="1117"/>
      <c r="J49" s="1130">
        <f>SUM(J43:J48)</f>
        <v>56529.68</v>
      </c>
    </row>
    <row r="50" spans="1:10" s="902" customFormat="1" ht="20.100000000000001" customHeight="1">
      <c r="A50" s="953"/>
      <c r="B50" s="1110" t="s">
        <v>1583</v>
      </c>
      <c r="C50" s="1116" t="s">
        <v>40</v>
      </c>
      <c r="D50" s="953"/>
      <c r="E50" s="953"/>
      <c r="F50" s="953"/>
      <c r="G50" s="953"/>
      <c r="H50" s="1117"/>
      <c r="I50" s="1117"/>
      <c r="J50" s="1129"/>
    </row>
    <row r="51" spans="1:10" s="902" customFormat="1" ht="20.100000000000001" customHeight="1">
      <c r="A51" s="953"/>
      <c r="B51" s="1117">
        <v>6</v>
      </c>
      <c r="C51" s="1118" t="s">
        <v>41</v>
      </c>
      <c r="D51" s="1114" t="s">
        <v>68</v>
      </c>
      <c r="E51" s="953"/>
      <c r="F51" s="953"/>
      <c r="G51" s="953"/>
      <c r="H51" s="1117">
        <f>+'SSR-rates'!$K$88</f>
        <v>697.9</v>
      </c>
      <c r="I51" s="1117" t="s">
        <v>41</v>
      </c>
      <c r="J51" s="1129">
        <f>ROUND(B51*H51,2)</f>
        <v>4187.3999999999996</v>
      </c>
    </row>
    <row r="52" spans="1:10" s="902" customFormat="1" ht="20.100000000000001" customHeight="1">
      <c r="A52" s="1110"/>
      <c r="B52" s="1117">
        <v>6</v>
      </c>
      <c r="C52" s="1118" t="s">
        <v>41</v>
      </c>
      <c r="D52" s="1114" t="s">
        <v>1584</v>
      </c>
      <c r="E52" s="953"/>
      <c r="F52" s="953"/>
      <c r="G52" s="953"/>
      <c r="H52" s="1117">
        <f>+'SSR-rates'!$K$87</f>
        <v>1323.5</v>
      </c>
      <c r="I52" s="1117" t="s">
        <v>41</v>
      </c>
      <c r="J52" s="1129">
        <f>ROUND(B52*H52,2)</f>
        <v>7941</v>
      </c>
    </row>
    <row r="53" spans="1:10" s="902" customFormat="1" ht="20.100000000000001" customHeight="1">
      <c r="A53" s="1110"/>
      <c r="B53" s="1117"/>
      <c r="C53" s="1120"/>
      <c r="D53" s="1114" t="s">
        <v>60</v>
      </c>
      <c r="E53" s="953"/>
      <c r="F53" s="953"/>
      <c r="G53" s="953"/>
      <c r="H53" s="1117"/>
      <c r="I53" s="1117"/>
      <c r="J53" s="1130">
        <f>SUM(J51:J52)</f>
        <v>12128.4</v>
      </c>
    </row>
    <row r="54" spans="1:10" ht="20.100000000000001" customHeight="1">
      <c r="A54" s="1118"/>
      <c r="B54" s="1110" t="s">
        <v>45</v>
      </c>
      <c r="C54" s="1116" t="s">
        <v>71</v>
      </c>
      <c r="D54" s="953"/>
      <c r="E54" s="953"/>
      <c r="F54" s="953"/>
      <c r="G54" s="953"/>
      <c r="H54" s="1117"/>
      <c r="I54" s="1117"/>
      <c r="J54" s="1114"/>
    </row>
    <row r="55" spans="1:10" ht="20.100000000000001" customHeight="1">
      <c r="A55" s="1118"/>
      <c r="B55" s="1117">
        <v>4</v>
      </c>
      <c r="C55" s="1118" t="s">
        <v>29</v>
      </c>
      <c r="D55" s="953" t="s">
        <v>1586</v>
      </c>
      <c r="E55" s="953"/>
      <c r="F55" s="953"/>
      <c r="G55" s="953"/>
      <c r="H55" s="1117">
        <f>+J53+J49+J41</f>
        <v>81575.08</v>
      </c>
      <c r="I55" s="1105" t="s">
        <v>73</v>
      </c>
      <c r="J55" s="1114">
        <f>ROUND(B55*H55/100,2)</f>
        <v>3263</v>
      </c>
    </row>
    <row r="56" spans="1:10" s="902" customFormat="1" ht="20.100000000000001" customHeight="1">
      <c r="A56" s="1110"/>
      <c r="B56" s="1110" t="s">
        <v>45</v>
      </c>
      <c r="C56" s="1123" t="s">
        <v>1092</v>
      </c>
      <c r="D56" s="953"/>
      <c r="E56" s="953"/>
      <c r="F56" s="1118"/>
      <c r="G56" s="1118"/>
      <c r="H56" s="1118"/>
      <c r="I56" s="1118"/>
      <c r="J56" s="1130"/>
    </row>
    <row r="57" spans="1:10" s="902" customFormat="1" ht="20.100000000000001" customHeight="1">
      <c r="A57" s="953"/>
      <c r="B57" s="1124">
        <f>'Input Data'!$D$24</f>
        <v>0.13614999999999999</v>
      </c>
      <c r="C57" s="1123" t="s">
        <v>1092</v>
      </c>
      <c r="D57" s="953"/>
      <c r="E57" s="953"/>
      <c r="F57" s="1118"/>
      <c r="G57" s="1118"/>
      <c r="H57" s="1118"/>
      <c r="I57" s="1118"/>
      <c r="J57" s="1129">
        <f>ROUND((J41+J49+J53+J55)*B57,2)</f>
        <v>11550.7</v>
      </c>
    </row>
    <row r="58" spans="1:10" s="902" customFormat="1" ht="20.100000000000001" customHeight="1">
      <c r="A58" s="953"/>
      <c r="B58" s="1125">
        <f>'Input Data'!$E$24</f>
        <v>0</v>
      </c>
      <c r="C58" s="1126" t="s">
        <v>1093</v>
      </c>
      <c r="D58" s="953"/>
      <c r="E58" s="953"/>
      <c r="F58" s="1118"/>
      <c r="G58" s="1118"/>
      <c r="H58" s="1120">
        <f>J41+J49+J53+J55+J57</f>
        <v>96388.779999999984</v>
      </c>
      <c r="I58" s="1118"/>
      <c r="J58" s="1129">
        <f>H58*B58</f>
        <v>0</v>
      </c>
    </row>
    <row r="59" spans="1:10" s="902" customFormat="1" ht="20.100000000000001" customHeight="1">
      <c r="A59" s="953"/>
      <c r="B59" s="1110" t="s">
        <v>47</v>
      </c>
      <c r="C59" s="1123" t="s">
        <v>89</v>
      </c>
      <c r="D59" s="953"/>
      <c r="E59" s="953"/>
      <c r="F59" s="1118"/>
      <c r="G59" s="1118"/>
      <c r="H59" s="1118"/>
      <c r="I59" s="1118"/>
      <c r="J59" s="1130">
        <f>J41+J49+J53+J55+J57+J58</f>
        <v>96388.779999999984</v>
      </c>
    </row>
    <row r="60" spans="1:10" s="902" customFormat="1" ht="20.100000000000001" customHeight="1">
      <c r="A60" s="953"/>
      <c r="B60" s="1122"/>
      <c r="C60" s="1118"/>
      <c r="D60" s="1116" t="s">
        <v>1555</v>
      </c>
      <c r="E60" s="953"/>
      <c r="F60" s="953"/>
      <c r="G60" s="953"/>
      <c r="H60" s="1117"/>
      <c r="I60" s="1117"/>
      <c r="J60" s="1130">
        <f>SUM(J59:J59)</f>
        <v>96388.779999999984</v>
      </c>
    </row>
    <row r="61" spans="1:10" s="902" customFormat="1" ht="20.100000000000001" customHeight="1">
      <c r="A61" s="953"/>
      <c r="B61" s="1117"/>
      <c r="C61" s="1118"/>
      <c r="D61" s="1114" t="s">
        <v>81</v>
      </c>
      <c r="E61" s="953"/>
      <c r="F61" s="953"/>
      <c r="G61" s="953"/>
      <c r="H61" s="1117"/>
      <c r="I61" s="1117"/>
      <c r="J61" s="1129">
        <f>ROUND(J60/15,2)</f>
        <v>6425.92</v>
      </c>
    </row>
    <row r="62" spans="1:10" s="902" customFormat="1" ht="20.100000000000001" customHeight="1">
      <c r="A62" s="1127"/>
      <c r="B62" s="1105"/>
      <c r="C62" s="953"/>
      <c r="D62" s="1114" t="s">
        <v>52</v>
      </c>
      <c r="E62" s="953"/>
      <c r="F62" s="953"/>
      <c r="G62" s="953"/>
      <c r="H62" s="1117"/>
      <c r="I62" s="1117"/>
      <c r="J62" s="1131">
        <f>ROUND(J61,2)</f>
        <v>6425.92</v>
      </c>
    </row>
    <row r="63" spans="1:10" s="902" customFormat="1" ht="20.100000000000001" customHeight="1">
      <c r="A63" s="953"/>
      <c r="B63" s="1105"/>
      <c r="C63" s="953"/>
      <c r="D63" s="1114"/>
      <c r="E63" s="953"/>
      <c r="F63" s="953"/>
      <c r="G63" s="953"/>
      <c r="H63" s="1117"/>
      <c r="I63" s="1117"/>
      <c r="J63" s="1130" t="s">
        <v>53</v>
      </c>
    </row>
    <row r="64" spans="1:10" s="1102" customFormat="1" ht="111.6" customHeight="1">
      <c r="A64" s="1113">
        <f>A33+1</f>
        <v>10</v>
      </c>
      <c r="B64" s="3670" t="s">
        <v>1587</v>
      </c>
      <c r="C64" s="3670"/>
      <c r="D64" s="3670"/>
      <c r="E64" s="3670"/>
      <c r="F64" s="3670"/>
      <c r="G64" s="3670"/>
      <c r="H64" s="3670"/>
      <c r="I64" s="3670"/>
      <c r="J64" s="3670"/>
    </row>
    <row r="65" spans="1:10" s="902" customFormat="1" ht="20.100000000000001" customHeight="1">
      <c r="A65" s="953"/>
      <c r="B65" s="1105"/>
      <c r="C65" s="953"/>
      <c r="D65" s="1114" t="s">
        <v>10</v>
      </c>
      <c r="E65" s="953"/>
      <c r="F65" s="953"/>
      <c r="G65" s="953"/>
      <c r="H65" s="953"/>
      <c r="I65" s="953"/>
      <c r="J65" s="953"/>
    </row>
    <row r="66" spans="1:10" s="902" customFormat="1" ht="20.100000000000001" customHeight="1">
      <c r="A66" s="953"/>
      <c r="B66" s="1105"/>
      <c r="C66" s="953"/>
      <c r="D66" s="1114" t="s">
        <v>56</v>
      </c>
      <c r="E66" s="953"/>
      <c r="F66" s="953"/>
      <c r="G66" s="953"/>
      <c r="H66" s="953"/>
      <c r="I66" s="953"/>
      <c r="J66" s="953"/>
    </row>
    <row r="67" spans="1:10" s="902" customFormat="1" ht="20.100000000000001" customHeight="1">
      <c r="A67" s="953"/>
      <c r="B67" s="1110" t="s">
        <v>36</v>
      </c>
      <c r="C67" s="1116" t="s">
        <v>37</v>
      </c>
      <c r="D67" s="953"/>
      <c r="E67" s="953"/>
      <c r="F67" s="953"/>
      <c r="G67" s="953"/>
      <c r="H67" s="953"/>
      <c r="I67" s="953"/>
      <c r="J67" s="953"/>
    </row>
    <row r="68" spans="1:10" s="902" customFormat="1" ht="20.100000000000001" customHeight="1">
      <c r="A68" s="953"/>
      <c r="B68" s="1117">
        <v>0.86</v>
      </c>
      <c r="C68" s="1118" t="s">
        <v>57</v>
      </c>
      <c r="D68" s="1114" t="s">
        <v>14</v>
      </c>
      <c r="E68" s="953"/>
      <c r="F68" s="953"/>
      <c r="G68" s="953"/>
      <c r="H68" s="1117">
        <f>'SSR-rates'!$K$58</f>
        <v>575</v>
      </c>
      <c r="I68" s="1117" t="s">
        <v>38</v>
      </c>
      <c r="J68" s="1129">
        <f>ROUND(B68*H68,2)</f>
        <v>494.5</v>
      </c>
    </row>
    <row r="69" spans="1:10" s="902" customFormat="1" ht="20.100000000000001" customHeight="1">
      <c r="A69" s="953"/>
      <c r="B69" s="1117">
        <v>1.5</v>
      </c>
      <c r="C69" s="1118" t="s">
        <v>57</v>
      </c>
      <c r="D69" s="1114" t="s">
        <v>58</v>
      </c>
      <c r="E69" s="953"/>
      <c r="F69" s="953"/>
      <c r="G69" s="953"/>
      <c r="H69" s="1117">
        <f>+'SSR-rates'!$K$54</f>
        <v>615</v>
      </c>
      <c r="I69" s="1117" t="s">
        <v>38</v>
      </c>
      <c r="J69" s="1129">
        <f>ROUND(B69*H69,2)</f>
        <v>922.5</v>
      </c>
    </row>
    <row r="70" spans="1:10" s="902" customFormat="1" ht="20.100000000000001" customHeight="1">
      <c r="A70" s="953"/>
      <c r="B70" s="1117">
        <v>20</v>
      </c>
      <c r="C70" s="1118" t="s">
        <v>57</v>
      </c>
      <c r="D70" s="1114" t="s">
        <v>59</v>
      </c>
      <c r="E70" s="953"/>
      <c r="F70" s="953"/>
      <c r="G70" s="953"/>
      <c r="H70" s="1117">
        <f>'SSR-rates'!$K$60</f>
        <v>575</v>
      </c>
      <c r="I70" s="1117" t="s">
        <v>38</v>
      </c>
      <c r="J70" s="1129">
        <f>ROUND(B70*H70,2)</f>
        <v>11500</v>
      </c>
    </row>
    <row r="71" spans="1:10" ht="20.100000000000001" customHeight="1">
      <c r="A71" s="1110"/>
      <c r="B71" s="1119">
        <f>+'Input Data'!D23</f>
        <v>0</v>
      </c>
      <c r="C71" s="1120"/>
      <c r="D71" s="953" t="s">
        <v>17</v>
      </c>
      <c r="E71" s="953"/>
      <c r="F71" s="1118"/>
      <c r="G71" s="1118"/>
      <c r="H71" s="1117">
        <f t="shared" ref="H71" si="1">+H40</f>
        <v>12917</v>
      </c>
      <c r="I71" s="1105"/>
      <c r="J71" s="1129">
        <f>B71*H71</f>
        <v>0</v>
      </c>
    </row>
    <row r="72" spans="1:10" s="902" customFormat="1" ht="20.100000000000001" customHeight="1">
      <c r="A72" s="953"/>
      <c r="B72" s="1117"/>
      <c r="C72" s="953"/>
      <c r="D72" s="1114" t="s">
        <v>60</v>
      </c>
      <c r="E72" s="953"/>
      <c r="F72" s="953"/>
      <c r="G72" s="953"/>
      <c r="H72" s="1117"/>
      <c r="I72" s="1117"/>
      <c r="J72" s="1130">
        <f>SUM(J68:J71)</f>
        <v>12917</v>
      </c>
    </row>
    <row r="73" spans="1:10" s="902" customFormat="1" ht="20.100000000000001" customHeight="1">
      <c r="A73" s="953"/>
      <c r="B73" s="1110" t="s">
        <v>39</v>
      </c>
      <c r="C73" s="1116" t="s">
        <v>61</v>
      </c>
      <c r="D73" s="953"/>
      <c r="E73" s="953"/>
      <c r="F73" s="953"/>
      <c r="G73" s="953"/>
      <c r="H73" s="953"/>
      <c r="I73" s="1117"/>
      <c r="J73" s="1129"/>
    </row>
    <row r="74" spans="1:10" s="902" customFormat="1" ht="20.100000000000001" customHeight="1">
      <c r="A74" s="953"/>
      <c r="B74" s="1117">
        <v>5.4</v>
      </c>
      <c r="C74" s="1118" t="s">
        <v>31</v>
      </c>
      <c r="D74" s="1114" t="s">
        <v>1582</v>
      </c>
      <c r="E74" s="953"/>
      <c r="F74" s="953"/>
      <c r="G74" s="953"/>
      <c r="H74" s="1117">
        <f>+lead!$J$14</f>
        <v>1732.2187651278443</v>
      </c>
      <c r="I74" s="1117" t="s">
        <v>31</v>
      </c>
      <c r="J74" s="1129">
        <f t="shared" ref="J74:J79" si="2">ROUND(B74*H74,2)</f>
        <v>9353.98</v>
      </c>
    </row>
    <row r="75" spans="1:10" ht="20.100000000000001" customHeight="1">
      <c r="A75" s="1118"/>
      <c r="B75" s="1117">
        <v>5.4</v>
      </c>
      <c r="C75" s="1118" t="s">
        <v>31</v>
      </c>
      <c r="D75" s="953" t="s">
        <v>63</v>
      </c>
      <c r="E75" s="953"/>
      <c r="F75" s="953"/>
      <c r="G75" s="953"/>
      <c r="H75" s="1117">
        <f>+lead!$J$16</f>
        <v>2031.2187651278443</v>
      </c>
      <c r="I75" s="1117" t="s">
        <v>31</v>
      </c>
      <c r="J75" s="1114">
        <f t="shared" si="2"/>
        <v>10968.58</v>
      </c>
    </row>
    <row r="76" spans="1:10" ht="20.100000000000001" customHeight="1">
      <c r="A76" s="1118"/>
      <c r="B76" s="1117">
        <v>2.7</v>
      </c>
      <c r="C76" s="1118" t="s">
        <v>31</v>
      </c>
      <c r="D76" s="953" t="s">
        <v>64</v>
      </c>
      <c r="E76" s="953"/>
      <c r="F76" s="953"/>
      <c r="G76" s="953"/>
      <c r="H76" s="1117">
        <f>+lead!$J$18</f>
        <v>1780.2187651278443</v>
      </c>
      <c r="I76" s="1117" t="s">
        <v>31</v>
      </c>
      <c r="J76" s="1114">
        <f t="shared" si="2"/>
        <v>4806.59</v>
      </c>
    </row>
    <row r="77" spans="1:10" s="902" customFormat="1" ht="45" customHeight="1">
      <c r="A77" s="953"/>
      <c r="B77" s="1122">
        <f>6.75/2</f>
        <v>3.375</v>
      </c>
      <c r="C77" s="1118" t="s">
        <v>31</v>
      </c>
      <c r="D77" s="3669" t="s">
        <v>1442</v>
      </c>
      <c r="E77" s="3669"/>
      <c r="F77" s="3669"/>
      <c r="G77" s="3669"/>
      <c r="H77" s="1121">
        <f>lead!$J$31</f>
        <v>1850.9213132068826</v>
      </c>
      <c r="I77" s="1117" t="s">
        <v>31</v>
      </c>
      <c r="J77" s="1129">
        <f t="shared" si="2"/>
        <v>6246.86</v>
      </c>
    </row>
    <row r="78" spans="1:10" s="902" customFormat="1" ht="35.1" customHeight="1">
      <c r="A78" s="953"/>
      <c r="B78" s="1122">
        <f>6.75/2</f>
        <v>3.375</v>
      </c>
      <c r="C78" s="1118" t="s">
        <v>31</v>
      </c>
      <c r="D78" s="3669" t="s">
        <v>1443</v>
      </c>
      <c r="E78" s="3669"/>
      <c r="F78" s="3669"/>
      <c r="G78" s="3669"/>
      <c r="H78" s="1121">
        <f>lead!$J$33</f>
        <v>1473.2187651278443</v>
      </c>
      <c r="I78" s="1117" t="s">
        <v>31</v>
      </c>
      <c r="J78" s="1129">
        <f t="shared" si="2"/>
        <v>4972.1099999999997</v>
      </c>
    </row>
    <row r="79" spans="1:10" s="902" customFormat="1" ht="20.100000000000001" customHeight="1">
      <c r="A79" s="953"/>
      <c r="B79" s="1117">
        <v>5.16</v>
      </c>
      <c r="C79" s="1118" t="s">
        <v>66</v>
      </c>
      <c r="D79" s="1114" t="s">
        <v>67</v>
      </c>
      <c r="E79" s="953"/>
      <c r="F79" s="953"/>
      <c r="G79" s="953"/>
      <c r="H79" s="1117">
        <f>+lead!$J$36</f>
        <v>5000</v>
      </c>
      <c r="I79" s="1117" t="s">
        <v>66</v>
      </c>
      <c r="J79" s="1129">
        <f t="shared" si="2"/>
        <v>25800</v>
      </c>
    </row>
    <row r="80" spans="1:10" s="902" customFormat="1" ht="20.100000000000001" customHeight="1">
      <c r="A80" s="953"/>
      <c r="B80" s="1122"/>
      <c r="C80" s="1120"/>
      <c r="D80" s="1114" t="s">
        <v>60</v>
      </c>
      <c r="E80" s="953"/>
      <c r="F80" s="953"/>
      <c r="G80" s="953"/>
      <c r="H80" s="1117"/>
      <c r="I80" s="1117"/>
      <c r="J80" s="1130">
        <f>SUM(J74:J79)</f>
        <v>62148.119999999995</v>
      </c>
    </row>
    <row r="81" spans="1:10" s="902" customFormat="1" ht="20.100000000000001" customHeight="1">
      <c r="A81" s="953"/>
      <c r="B81" s="1110" t="s">
        <v>1583</v>
      </c>
      <c r="C81" s="1116" t="s">
        <v>40</v>
      </c>
      <c r="D81" s="953"/>
      <c r="E81" s="953"/>
      <c r="F81" s="953"/>
      <c r="G81" s="953"/>
      <c r="H81" s="1117"/>
      <c r="I81" s="1117"/>
      <c r="J81" s="1129"/>
    </row>
    <row r="82" spans="1:10" s="902" customFormat="1" ht="20.100000000000001" customHeight="1">
      <c r="A82" s="953"/>
      <c r="B82" s="1117">
        <v>6</v>
      </c>
      <c r="C82" s="1118" t="s">
        <v>41</v>
      </c>
      <c r="D82" s="1114" t="s">
        <v>68</v>
      </c>
      <c r="E82" s="953"/>
      <c r="F82" s="953"/>
      <c r="G82" s="953"/>
      <c r="H82" s="1117">
        <f>+'SSR-rates'!$K$88</f>
        <v>697.9</v>
      </c>
      <c r="I82" s="1117" t="s">
        <v>41</v>
      </c>
      <c r="J82" s="1129">
        <f>ROUND(B82*H82,2)</f>
        <v>4187.3999999999996</v>
      </c>
    </row>
    <row r="83" spans="1:10" s="902" customFormat="1" ht="20.100000000000001" customHeight="1">
      <c r="A83" s="1110"/>
      <c r="B83" s="1117">
        <v>6</v>
      </c>
      <c r="C83" s="1118" t="s">
        <v>41</v>
      </c>
      <c r="D83" s="1114" t="s">
        <v>69</v>
      </c>
      <c r="E83" s="953"/>
      <c r="F83" s="953"/>
      <c r="G83" s="953"/>
      <c r="H83" s="1117">
        <f>+'SSR-rates'!$K$87</f>
        <v>1323.5</v>
      </c>
      <c r="I83" s="1117" t="s">
        <v>41</v>
      </c>
      <c r="J83" s="1129">
        <f>ROUND(B83*H83,2)</f>
        <v>7941</v>
      </c>
    </row>
    <row r="84" spans="1:10" s="902" customFormat="1" ht="20.100000000000001" customHeight="1">
      <c r="A84" s="1110"/>
      <c r="B84" s="1117"/>
      <c r="C84" s="1120"/>
      <c r="D84" s="1114" t="s">
        <v>60</v>
      </c>
      <c r="E84" s="953"/>
      <c r="F84" s="953"/>
      <c r="G84" s="953"/>
      <c r="H84" s="1117"/>
      <c r="I84" s="1117"/>
      <c r="J84" s="1130">
        <f>SUM(J82:J83)</f>
        <v>12128.4</v>
      </c>
    </row>
    <row r="85" spans="1:10" ht="20.100000000000001" customHeight="1">
      <c r="A85" s="1118"/>
      <c r="B85" s="1110" t="s">
        <v>45</v>
      </c>
      <c r="C85" s="1116" t="s">
        <v>71</v>
      </c>
      <c r="D85" s="953"/>
      <c r="E85" s="953"/>
      <c r="F85" s="953"/>
      <c r="G85" s="953"/>
      <c r="H85" s="1117"/>
      <c r="I85" s="1117"/>
      <c r="J85" s="1114"/>
    </row>
    <row r="86" spans="1:10" ht="20.100000000000001" customHeight="1">
      <c r="A86" s="1118"/>
      <c r="B86" s="1117">
        <v>4</v>
      </c>
      <c r="C86" s="1118" t="s">
        <v>29</v>
      </c>
      <c r="D86" s="953" t="s">
        <v>1586</v>
      </c>
      <c r="E86" s="953"/>
      <c r="F86" s="953"/>
      <c r="G86" s="953"/>
      <c r="H86" s="1117">
        <f>+J84+J80+J72</f>
        <v>87193.51999999999</v>
      </c>
      <c r="I86" s="1105" t="s">
        <v>73</v>
      </c>
      <c r="J86" s="1114">
        <f>ROUND(B86*H86/100,2)</f>
        <v>3487.74</v>
      </c>
    </row>
    <row r="87" spans="1:10" s="902" customFormat="1" ht="20.100000000000001" customHeight="1">
      <c r="A87" s="1110"/>
      <c r="B87" s="1110" t="s">
        <v>45</v>
      </c>
      <c r="C87" s="1123" t="s">
        <v>1092</v>
      </c>
      <c r="D87" s="953"/>
      <c r="E87" s="953"/>
      <c r="F87" s="1118"/>
      <c r="G87" s="1118"/>
      <c r="H87" s="1118"/>
      <c r="I87" s="1118"/>
      <c r="J87" s="1130"/>
    </row>
    <row r="88" spans="1:10" s="902" customFormat="1" ht="20.100000000000001" customHeight="1">
      <c r="A88" s="953"/>
      <c r="B88" s="1124">
        <f>'Input Data'!$D$24</f>
        <v>0.13614999999999999</v>
      </c>
      <c r="C88" s="1123" t="s">
        <v>1092</v>
      </c>
      <c r="D88" s="953"/>
      <c r="E88" s="953"/>
      <c r="F88" s="1118"/>
      <c r="G88" s="1118"/>
      <c r="H88" s="1120"/>
      <c r="I88" s="1118"/>
      <c r="J88" s="1129">
        <f>ROUND((J72+J80+J84+J86)*B88,2)</f>
        <v>12346.25</v>
      </c>
    </row>
    <row r="89" spans="1:10" s="902" customFormat="1" ht="20.100000000000001" customHeight="1">
      <c r="A89" s="953"/>
      <c r="B89" s="1125">
        <f>'Input Data'!$E$24</f>
        <v>0</v>
      </c>
      <c r="C89" s="1126" t="s">
        <v>1093</v>
      </c>
      <c r="D89" s="953"/>
      <c r="E89" s="953"/>
      <c r="F89" s="1118"/>
      <c r="G89" s="1118"/>
      <c r="H89" s="1120">
        <f>J72+J80+J84+J86+J88</f>
        <v>103027.51</v>
      </c>
      <c r="I89" s="1118"/>
      <c r="J89" s="1129">
        <f>H89*B89</f>
        <v>0</v>
      </c>
    </row>
    <row r="90" spans="1:10" s="902" customFormat="1" ht="20.100000000000001" customHeight="1">
      <c r="A90" s="953"/>
      <c r="B90" s="1110" t="s">
        <v>47</v>
      </c>
      <c r="C90" s="1123" t="s">
        <v>89</v>
      </c>
      <c r="D90" s="953"/>
      <c r="E90" s="953"/>
      <c r="F90" s="1118"/>
      <c r="G90" s="1118"/>
      <c r="H90" s="1118"/>
      <c r="I90" s="1118"/>
      <c r="J90" s="1130">
        <f>J72+J80+J84+J86+J88+J89</f>
        <v>103027.51</v>
      </c>
    </row>
    <row r="91" spans="1:10" s="902" customFormat="1" ht="20.100000000000001" customHeight="1">
      <c r="A91" s="953"/>
      <c r="B91" s="1122"/>
      <c r="C91" s="1118"/>
      <c r="D91" s="1116" t="s">
        <v>1555</v>
      </c>
      <c r="E91" s="953"/>
      <c r="F91" s="953"/>
      <c r="G91" s="953"/>
      <c r="H91" s="1117"/>
      <c r="I91" s="1117"/>
      <c r="J91" s="1130">
        <f>SUM(J90:J90)</f>
        <v>103027.51</v>
      </c>
    </row>
    <row r="92" spans="1:10" s="902" customFormat="1" ht="20.100000000000001" customHeight="1">
      <c r="A92" s="953"/>
      <c r="B92" s="1117"/>
      <c r="C92" s="1118"/>
      <c r="D92" s="1114" t="s">
        <v>81</v>
      </c>
      <c r="E92" s="953"/>
      <c r="F92" s="953"/>
      <c r="G92" s="953"/>
      <c r="H92" s="1117"/>
      <c r="I92" s="953"/>
      <c r="J92" s="1129">
        <f>ROUND(J91/15,2)</f>
        <v>6868.5</v>
      </c>
    </row>
    <row r="93" spans="1:10" s="902" customFormat="1" ht="20.100000000000001" customHeight="1">
      <c r="A93" s="1127"/>
      <c r="B93" s="1105"/>
      <c r="C93" s="953"/>
      <c r="D93" s="1114" t="s">
        <v>52</v>
      </c>
      <c r="E93" s="953"/>
      <c r="F93" s="953"/>
      <c r="G93" s="953"/>
      <c r="H93" s="1117"/>
      <c r="I93" s="953"/>
      <c r="J93" s="1131">
        <f>ROUND(J92,2)</f>
        <v>6868.5</v>
      </c>
    </row>
    <row r="94" spans="1:10" s="902" customFormat="1" ht="20.100000000000001" customHeight="1">
      <c r="A94" s="953"/>
      <c r="B94" s="1105"/>
      <c r="C94" s="953"/>
      <c r="D94" s="1114"/>
      <c r="E94" s="953"/>
      <c r="F94" s="953"/>
      <c r="G94" s="953"/>
      <c r="H94" s="1117"/>
      <c r="I94" s="953"/>
      <c r="J94" s="1130" t="s">
        <v>53</v>
      </c>
    </row>
    <row r="95" spans="1:10" ht="135" customHeight="1">
      <c r="A95" s="1132">
        <f>A64+1</f>
        <v>11</v>
      </c>
      <c r="B95" s="3671" t="s">
        <v>1588</v>
      </c>
      <c r="C95" s="3671"/>
      <c r="D95" s="3671"/>
      <c r="E95" s="3671"/>
      <c r="F95" s="3671"/>
      <c r="G95" s="3671"/>
      <c r="H95" s="3671"/>
      <c r="I95" s="3671"/>
      <c r="J95" s="3671"/>
    </row>
    <row r="96" spans="1:10" ht="20.100000000000001" customHeight="1">
      <c r="A96" s="1118"/>
      <c r="B96" s="1105"/>
      <c r="C96" s="953"/>
      <c r="D96" s="1114" t="s">
        <v>10</v>
      </c>
      <c r="E96" s="953"/>
      <c r="F96" s="1123" t="s">
        <v>169</v>
      </c>
      <c r="G96" s="953"/>
      <c r="H96" s="953"/>
      <c r="I96" s="953"/>
      <c r="J96" s="953"/>
    </row>
    <row r="97" spans="1:10" ht="20.100000000000001" customHeight="1">
      <c r="A97" s="1118"/>
      <c r="B97" s="1105"/>
      <c r="C97" s="953"/>
      <c r="D97" s="1114" t="s">
        <v>1589</v>
      </c>
      <c r="E97" s="953"/>
      <c r="F97" s="953"/>
      <c r="G97" s="953"/>
      <c r="H97" s="953"/>
      <c r="I97" s="953"/>
      <c r="J97" s="953"/>
    </row>
    <row r="98" spans="1:10" ht="20.100000000000001" customHeight="1">
      <c r="A98" s="1118"/>
      <c r="B98" s="1110" t="s">
        <v>36</v>
      </c>
      <c r="C98" s="1116" t="s">
        <v>37</v>
      </c>
      <c r="D98" s="953"/>
      <c r="E98" s="953"/>
      <c r="F98" s="953"/>
      <c r="G98" s="953"/>
      <c r="H98" s="953"/>
      <c r="I98" s="953"/>
      <c r="J98" s="953"/>
    </row>
    <row r="99" spans="1:10" ht="20.100000000000001" customHeight="1">
      <c r="A99" s="1118"/>
      <c r="B99" s="1117">
        <v>0.86</v>
      </c>
      <c r="C99" s="1118" t="s">
        <v>57</v>
      </c>
      <c r="D99" s="1114" t="s">
        <v>156</v>
      </c>
      <c r="E99" s="953"/>
      <c r="F99" s="953"/>
      <c r="G99" s="953"/>
      <c r="H99" s="1117">
        <f>+'SSR-rates'!$K$58</f>
        <v>575</v>
      </c>
      <c r="I99" s="1105" t="s">
        <v>38</v>
      </c>
      <c r="J99" s="1114">
        <f>ROUND(B99*H99,2)</f>
        <v>494.5</v>
      </c>
    </row>
    <row r="100" spans="1:10" ht="20.100000000000001" customHeight="1">
      <c r="A100" s="1118"/>
      <c r="B100" s="1117">
        <v>1.5</v>
      </c>
      <c r="C100" s="1118" t="s">
        <v>57</v>
      </c>
      <c r="D100" s="1114" t="s">
        <v>58</v>
      </c>
      <c r="E100" s="953"/>
      <c r="F100" s="953"/>
      <c r="G100" s="953"/>
      <c r="H100" s="1117">
        <f>+'SSR-rates'!$K$54</f>
        <v>615</v>
      </c>
      <c r="I100" s="1105" t="s">
        <v>38</v>
      </c>
      <c r="J100" s="1114">
        <f>ROUND(B100*H100,2)</f>
        <v>922.5</v>
      </c>
    </row>
    <row r="101" spans="1:10" ht="20.100000000000001" customHeight="1">
      <c r="A101" s="1118"/>
      <c r="B101" s="1117">
        <v>20</v>
      </c>
      <c r="C101" s="1118" t="s">
        <v>57</v>
      </c>
      <c r="D101" s="1114" t="s">
        <v>59</v>
      </c>
      <c r="E101" s="953"/>
      <c r="F101" s="953"/>
      <c r="G101" s="953"/>
      <c r="H101" s="1117">
        <f>'SSR-rates'!$K$60</f>
        <v>575</v>
      </c>
      <c r="I101" s="1105" t="s">
        <v>38</v>
      </c>
      <c r="J101" s="1114">
        <f>ROUND(B101*H101,2)</f>
        <v>11500</v>
      </c>
    </row>
    <row r="102" spans="1:10" ht="20.100000000000001" customHeight="1">
      <c r="A102" s="1123"/>
      <c r="B102" s="1119">
        <f>'Input Data'!$D$23</f>
        <v>0</v>
      </c>
      <c r="C102" s="1120"/>
      <c r="D102" s="953" t="s">
        <v>17</v>
      </c>
      <c r="E102" s="953"/>
      <c r="F102" s="1118"/>
      <c r="G102" s="1118"/>
      <c r="H102" s="1117">
        <f>SUM(J99:J101)</f>
        <v>12917</v>
      </c>
      <c r="I102" s="1105"/>
      <c r="J102" s="1114">
        <f>B102*H102</f>
        <v>0</v>
      </c>
    </row>
    <row r="103" spans="1:10" ht="20.100000000000001" customHeight="1">
      <c r="A103" s="1118"/>
      <c r="B103" s="1117"/>
      <c r="C103" s="1118"/>
      <c r="D103" s="1114" t="s">
        <v>60</v>
      </c>
      <c r="E103" s="953"/>
      <c r="F103" s="953"/>
      <c r="G103" s="953"/>
      <c r="H103" s="1117"/>
      <c r="I103" s="1117"/>
      <c r="J103" s="1114">
        <f>SUM(J99:J102)</f>
        <v>12917</v>
      </c>
    </row>
    <row r="104" spans="1:10" ht="20.100000000000001" customHeight="1">
      <c r="A104" s="1118"/>
      <c r="B104" s="1110" t="s">
        <v>39</v>
      </c>
      <c r="C104" s="1116" t="s">
        <v>61</v>
      </c>
      <c r="D104" s="953"/>
      <c r="E104" s="953"/>
      <c r="F104" s="953"/>
      <c r="G104" s="953"/>
      <c r="H104" s="1117"/>
      <c r="I104" s="1117"/>
      <c r="J104" s="1114"/>
    </row>
    <row r="105" spans="1:10" ht="20.100000000000001" customHeight="1">
      <c r="A105" s="1118"/>
      <c r="B105" s="1117">
        <v>8.1</v>
      </c>
      <c r="C105" s="1118" t="s">
        <v>31</v>
      </c>
      <c r="D105" s="953" t="s">
        <v>63</v>
      </c>
      <c r="E105" s="953"/>
      <c r="F105" s="953"/>
      <c r="G105" s="953"/>
      <c r="H105" s="1117">
        <f>lead!$J$16</f>
        <v>2031.2187651278443</v>
      </c>
      <c r="I105" s="1117" t="s">
        <v>31</v>
      </c>
      <c r="J105" s="1114">
        <f>ROUND(B105*H105,2)</f>
        <v>16452.87</v>
      </c>
    </row>
    <row r="106" spans="1:10" ht="20.100000000000001" customHeight="1">
      <c r="A106" s="1118"/>
      <c r="B106" s="1117">
        <v>5.4</v>
      </c>
      <c r="C106" s="1118" t="s">
        <v>31</v>
      </c>
      <c r="D106" s="953" t="s">
        <v>64</v>
      </c>
      <c r="E106" s="953"/>
      <c r="F106" s="953"/>
      <c r="G106" s="953"/>
      <c r="H106" s="1117">
        <f>lead!$J$18</f>
        <v>1780.2187651278443</v>
      </c>
      <c r="I106" s="1117" t="s">
        <v>31</v>
      </c>
      <c r="J106" s="1114">
        <f>ROUND(B106*H106,2)</f>
        <v>9613.18</v>
      </c>
    </row>
    <row r="107" spans="1:10" ht="45" customHeight="1">
      <c r="A107" s="1118"/>
      <c r="B107" s="1122">
        <f>6.75/2</f>
        <v>3.375</v>
      </c>
      <c r="C107" s="1118" t="s">
        <v>31</v>
      </c>
      <c r="D107" s="3669" t="s">
        <v>1442</v>
      </c>
      <c r="E107" s="3669"/>
      <c r="F107" s="3669"/>
      <c r="G107" s="3669"/>
      <c r="H107" s="1121">
        <f>lead!$J$31</f>
        <v>1850.9213132068826</v>
      </c>
      <c r="I107" s="1117" t="s">
        <v>31</v>
      </c>
      <c r="J107" s="1129">
        <f>ROUND(B107*H107,2)</f>
        <v>6246.86</v>
      </c>
    </row>
    <row r="108" spans="1:10" ht="35.1" customHeight="1">
      <c r="A108" s="1118"/>
      <c r="B108" s="1122">
        <f>6.75/2</f>
        <v>3.375</v>
      </c>
      <c r="C108" s="1118" t="s">
        <v>31</v>
      </c>
      <c r="D108" s="3669" t="s">
        <v>1443</v>
      </c>
      <c r="E108" s="3669"/>
      <c r="F108" s="3669"/>
      <c r="G108" s="3669"/>
      <c r="H108" s="1121">
        <f>lead!$J$33</f>
        <v>1473.2187651278443</v>
      </c>
      <c r="I108" s="1117" t="s">
        <v>31</v>
      </c>
      <c r="J108" s="1129">
        <f>ROUND(B108*H108,2)</f>
        <v>4972.1099999999997</v>
      </c>
    </row>
    <row r="109" spans="1:10" ht="20.100000000000001" customHeight="1">
      <c r="A109" s="1118"/>
      <c r="B109" s="1122">
        <v>6.05</v>
      </c>
      <c r="C109" s="1118" t="s">
        <v>66</v>
      </c>
      <c r="D109" s="1114" t="s">
        <v>67</v>
      </c>
      <c r="E109" s="953"/>
      <c r="F109" s="953"/>
      <c r="G109" s="953"/>
      <c r="H109" s="1117">
        <f>lead!$J$36</f>
        <v>5000</v>
      </c>
      <c r="I109" s="1117" t="s">
        <v>66</v>
      </c>
      <c r="J109" s="1114">
        <f>ROUND(B109*H109,2)</f>
        <v>30250</v>
      </c>
    </row>
    <row r="110" spans="1:10" ht="20.100000000000001" customHeight="1">
      <c r="A110" s="1118"/>
      <c r="B110" s="1117"/>
      <c r="C110" s="953"/>
      <c r="D110" s="1114" t="s">
        <v>60</v>
      </c>
      <c r="E110" s="953"/>
      <c r="F110" s="953"/>
      <c r="G110" s="953"/>
      <c r="H110" s="1117"/>
      <c r="I110" s="1117"/>
      <c r="J110" s="1114">
        <f>SUM(J105:J109)</f>
        <v>67535.01999999999</v>
      </c>
    </row>
    <row r="111" spans="1:10" ht="20.100000000000001" customHeight="1">
      <c r="A111" s="1118"/>
      <c r="B111" s="1110" t="s">
        <v>27</v>
      </c>
      <c r="C111" s="1116" t="s">
        <v>40</v>
      </c>
      <c r="D111" s="953"/>
      <c r="E111" s="953"/>
      <c r="F111" s="953"/>
      <c r="G111" s="953"/>
      <c r="H111" s="1117"/>
      <c r="I111" s="1117"/>
      <c r="J111" s="1114"/>
    </row>
    <row r="112" spans="1:10" ht="20.100000000000001" customHeight="1">
      <c r="A112" s="1118"/>
      <c r="B112" s="1117">
        <v>6</v>
      </c>
      <c r="C112" s="1118" t="s">
        <v>41</v>
      </c>
      <c r="D112" s="1114" t="s">
        <v>68</v>
      </c>
      <c r="E112" s="953"/>
      <c r="F112" s="953"/>
      <c r="G112" s="953"/>
      <c r="H112" s="1117">
        <f>+'SSR-rates'!$K$88</f>
        <v>697.9</v>
      </c>
      <c r="I112" s="1117" t="s">
        <v>41</v>
      </c>
      <c r="J112" s="1114">
        <f t="shared" ref="J112:J113" si="3">ROUND(B112*H112,2)</f>
        <v>4187.3999999999996</v>
      </c>
    </row>
    <row r="113" spans="1:10" ht="20.100000000000001" customHeight="1">
      <c r="A113" s="1118"/>
      <c r="B113" s="1117">
        <v>6</v>
      </c>
      <c r="C113" s="1118" t="s">
        <v>41</v>
      </c>
      <c r="D113" s="1114" t="s">
        <v>1584</v>
      </c>
      <c r="E113" s="953"/>
      <c r="F113" s="953"/>
      <c r="G113" s="953"/>
      <c r="H113" s="1117">
        <f>+'SSR-rates'!$K$87</f>
        <v>1323.5</v>
      </c>
      <c r="I113" s="1117" t="s">
        <v>41</v>
      </c>
      <c r="J113" s="1114">
        <f t="shared" si="3"/>
        <v>7941</v>
      </c>
    </row>
    <row r="114" spans="1:10" ht="20.100000000000001" customHeight="1">
      <c r="A114" s="1118"/>
      <c r="B114" s="1117"/>
      <c r="C114" s="1120"/>
      <c r="D114" s="1114" t="s">
        <v>60</v>
      </c>
      <c r="E114" s="953"/>
      <c r="F114" s="953"/>
      <c r="G114" s="953"/>
      <c r="H114" s="1117"/>
      <c r="I114" s="1117"/>
      <c r="J114" s="1114">
        <f>SUM(J112:J113)</f>
        <v>12128.4</v>
      </c>
    </row>
    <row r="115" spans="1:10" ht="20.100000000000001" customHeight="1">
      <c r="A115" s="1118"/>
      <c r="B115" s="1110" t="s">
        <v>45</v>
      </c>
      <c r="C115" s="1116" t="s">
        <v>71</v>
      </c>
      <c r="D115" s="953"/>
      <c r="E115" s="953"/>
      <c r="F115" s="953"/>
      <c r="G115" s="953"/>
      <c r="H115" s="1117"/>
      <c r="I115" s="1117"/>
      <c r="J115" s="1114"/>
    </row>
    <row r="116" spans="1:10" ht="20.100000000000001" customHeight="1">
      <c r="A116" s="1118"/>
      <c r="B116" s="1117">
        <v>3.75</v>
      </c>
      <c r="C116" s="1118" t="s">
        <v>29</v>
      </c>
      <c r="D116" s="953" t="s">
        <v>157</v>
      </c>
      <c r="E116" s="953"/>
      <c r="F116" s="953"/>
      <c r="G116" s="953"/>
      <c r="H116" s="1117">
        <f>J103+J110+J114</f>
        <v>92580.419999999984</v>
      </c>
      <c r="I116" s="1105" t="s">
        <v>73</v>
      </c>
      <c r="J116" s="1114">
        <f>ROUND(B116*H116/100,2)</f>
        <v>3471.77</v>
      </c>
    </row>
    <row r="117" spans="1:10" ht="20.100000000000001" customHeight="1">
      <c r="A117" s="1123"/>
      <c r="B117" s="1110" t="s">
        <v>47</v>
      </c>
      <c r="C117" s="1123" t="s">
        <v>1246</v>
      </c>
      <c r="D117" s="953"/>
      <c r="E117" s="953"/>
      <c r="F117" s="1118"/>
      <c r="G117" s="1118"/>
      <c r="H117" s="1118"/>
      <c r="I117" s="1118"/>
      <c r="J117" s="1116"/>
    </row>
    <row r="118" spans="1:10" ht="35.1" customHeight="1">
      <c r="A118" s="1123"/>
      <c r="B118" s="1124">
        <f>'Input Data'!$D$24</f>
        <v>0.13614999999999999</v>
      </c>
      <c r="C118" s="3672" t="str">
        <f>"Over head charges &amp; CP "&amp;'Input Data'!$D$24*100&amp;"%  on (A) + (B)+(C)+(D)"</f>
        <v>Over head charges &amp; CP 13.615%  on (A) + (B)+(C)+(D)</v>
      </c>
      <c r="D118" s="3672"/>
      <c r="E118" s="3672"/>
      <c r="F118" s="3672"/>
      <c r="G118" s="3672"/>
      <c r="H118" s="1120">
        <f>J116+J114+J110+J103</f>
        <v>96052.189999999988</v>
      </c>
      <c r="I118" s="1118"/>
      <c r="J118" s="1114">
        <f>H118*B118</f>
        <v>13077.505668499998</v>
      </c>
    </row>
    <row r="119" spans="1:10" ht="20.100000000000001" customHeight="1">
      <c r="A119" s="1123"/>
      <c r="B119" s="1125">
        <f>'Input Data'!$E$24</f>
        <v>0</v>
      </c>
      <c r="C119" s="1126" t="s">
        <v>1093</v>
      </c>
      <c r="D119" s="1121"/>
      <c r="E119" s="1121"/>
      <c r="F119" s="1121"/>
      <c r="G119" s="1121"/>
      <c r="H119" s="1120">
        <f>J103+J110+J114+J116+J118</f>
        <v>109129.69566849999</v>
      </c>
      <c r="I119" s="1118"/>
      <c r="J119" s="1114">
        <f>H119*B119</f>
        <v>0</v>
      </c>
    </row>
    <row r="120" spans="1:10" ht="20.100000000000001" customHeight="1">
      <c r="A120" s="1123"/>
      <c r="B120" s="1110" t="s">
        <v>76</v>
      </c>
      <c r="C120" s="1123" t="s">
        <v>77</v>
      </c>
      <c r="D120" s="953"/>
      <c r="E120" s="953"/>
      <c r="F120" s="1118"/>
      <c r="G120" s="1118"/>
      <c r="H120" s="1118"/>
      <c r="I120" s="1118"/>
      <c r="J120" s="1133">
        <f>J103+J110+J114+J116+J118+J119</f>
        <v>109129.69566849999</v>
      </c>
    </row>
    <row r="121" spans="1:10" ht="20.100000000000001" customHeight="1">
      <c r="A121" s="1118"/>
      <c r="B121" s="1117"/>
      <c r="C121" s="1118"/>
      <c r="D121" s="1116" t="s">
        <v>1555</v>
      </c>
      <c r="E121" s="953"/>
      <c r="F121" s="953"/>
      <c r="G121" s="953"/>
      <c r="H121" s="1117"/>
      <c r="I121" s="1117"/>
      <c r="J121" s="1133">
        <f>SUM(J120:J120)</f>
        <v>109129.69566849999</v>
      </c>
    </row>
    <row r="122" spans="1:10" ht="20.100000000000001" customHeight="1">
      <c r="A122" s="1118"/>
      <c r="B122" s="1117"/>
      <c r="C122" s="1118"/>
      <c r="D122" s="1114" t="s">
        <v>81</v>
      </c>
      <c r="E122" s="953"/>
      <c r="F122" s="953"/>
      <c r="G122" s="953"/>
      <c r="H122" s="1117"/>
      <c r="I122" s="1117"/>
      <c r="J122" s="1114">
        <f>ROUND(J121/15,2)</f>
        <v>7275.31</v>
      </c>
    </row>
    <row r="123" spans="1:10" ht="20.100000000000001" customHeight="1">
      <c r="A123" s="1118"/>
      <c r="B123" s="1105"/>
      <c r="C123" s="953"/>
      <c r="D123" s="1114" t="s">
        <v>52</v>
      </c>
      <c r="E123" s="953"/>
      <c r="F123" s="953"/>
      <c r="G123" s="953"/>
      <c r="H123" s="1117"/>
      <c r="I123" s="1117"/>
      <c r="J123" s="1134">
        <f>ROUND(J122,2)</f>
        <v>7275.31</v>
      </c>
    </row>
    <row r="124" spans="1:10" ht="20.100000000000001" customHeight="1">
      <c r="A124" s="1118"/>
      <c r="B124" s="1105"/>
      <c r="C124" s="953"/>
      <c r="D124" s="1114"/>
      <c r="E124" s="953"/>
      <c r="F124" s="953"/>
      <c r="G124" s="953"/>
      <c r="H124" s="1117"/>
      <c r="I124" s="1117"/>
      <c r="J124" s="1130" t="s">
        <v>53</v>
      </c>
    </row>
    <row r="125" spans="1:10" ht="124.2" customHeight="1">
      <c r="A125" s="1132">
        <f>A95+1</f>
        <v>12</v>
      </c>
      <c r="B125" s="3671" t="s">
        <v>1590</v>
      </c>
      <c r="C125" s="3671"/>
      <c r="D125" s="3671"/>
      <c r="E125" s="3671"/>
      <c r="F125" s="3671"/>
      <c r="G125" s="3671"/>
      <c r="H125" s="3671"/>
      <c r="I125" s="3671"/>
      <c r="J125" s="3671"/>
    </row>
    <row r="126" spans="1:10" ht="20.100000000000001" customHeight="1">
      <c r="A126" s="1118"/>
      <c r="B126" s="1105"/>
      <c r="C126" s="953"/>
      <c r="D126" s="1114" t="s">
        <v>10</v>
      </c>
      <c r="E126" s="953"/>
      <c r="F126" s="1123" t="s">
        <v>1591</v>
      </c>
      <c r="G126" s="953"/>
      <c r="H126" s="953"/>
      <c r="I126" s="953"/>
      <c r="J126" s="953"/>
    </row>
    <row r="127" spans="1:10" ht="20.100000000000001" customHeight="1">
      <c r="A127" s="1118"/>
      <c r="B127" s="1105"/>
      <c r="C127" s="953"/>
      <c r="D127" s="1114" t="s">
        <v>1589</v>
      </c>
      <c r="E127" s="953"/>
      <c r="F127" s="953"/>
      <c r="G127" s="953"/>
      <c r="H127" s="953"/>
      <c r="I127" s="953"/>
      <c r="J127" s="953"/>
    </row>
    <row r="128" spans="1:10" ht="20.100000000000001" customHeight="1">
      <c r="A128" s="1118"/>
      <c r="B128" s="1110" t="s">
        <v>36</v>
      </c>
      <c r="C128" s="1116" t="s">
        <v>37</v>
      </c>
      <c r="D128" s="953"/>
      <c r="E128" s="953"/>
      <c r="F128" s="953"/>
      <c r="G128" s="953"/>
      <c r="H128" s="953"/>
      <c r="I128" s="953"/>
      <c r="J128" s="953"/>
    </row>
    <row r="129" spans="1:10" ht="20.100000000000001" customHeight="1">
      <c r="A129" s="1118"/>
      <c r="B129" s="1117">
        <v>0.86</v>
      </c>
      <c r="C129" s="1118" t="s">
        <v>57</v>
      </c>
      <c r="D129" s="1114" t="s">
        <v>156</v>
      </c>
      <c r="E129" s="953"/>
      <c r="F129" s="953"/>
      <c r="G129" s="953"/>
      <c r="H129" s="1117">
        <f>'SSR-rates'!$K$58</f>
        <v>575</v>
      </c>
      <c r="I129" s="1105" t="s">
        <v>38</v>
      </c>
      <c r="J129" s="1114">
        <f>ROUND(B129*H129,2)</f>
        <v>494.5</v>
      </c>
    </row>
    <row r="130" spans="1:10" ht="20.100000000000001" customHeight="1">
      <c r="A130" s="1118"/>
      <c r="B130" s="1117">
        <v>1.5</v>
      </c>
      <c r="C130" s="1118" t="s">
        <v>57</v>
      </c>
      <c r="D130" s="1114" t="s">
        <v>58</v>
      </c>
      <c r="E130" s="953"/>
      <c r="F130" s="953"/>
      <c r="G130" s="953"/>
      <c r="H130" s="1117">
        <f>+'SSR-rates'!$K$54</f>
        <v>615</v>
      </c>
      <c r="I130" s="1105" t="s">
        <v>38</v>
      </c>
      <c r="J130" s="1114">
        <f>ROUND(B130*H130,2)</f>
        <v>922.5</v>
      </c>
    </row>
    <row r="131" spans="1:10" ht="20.100000000000001" customHeight="1">
      <c r="A131" s="1118"/>
      <c r="B131" s="1117">
        <v>20</v>
      </c>
      <c r="C131" s="1118" t="s">
        <v>57</v>
      </c>
      <c r="D131" s="1114" t="s">
        <v>59</v>
      </c>
      <c r="E131" s="953"/>
      <c r="F131" s="953"/>
      <c r="G131" s="953"/>
      <c r="H131" s="1117">
        <f>'SSR-rates'!$K$60</f>
        <v>575</v>
      </c>
      <c r="I131" s="1105" t="s">
        <v>38</v>
      </c>
      <c r="J131" s="1114">
        <f>ROUND(B131*H131,2)</f>
        <v>11500</v>
      </c>
    </row>
    <row r="132" spans="1:10" ht="20.100000000000001" customHeight="1">
      <c r="A132" s="1123"/>
      <c r="B132" s="1119">
        <f>'Input Data'!$D$23</f>
        <v>0</v>
      </c>
      <c r="C132" s="1120"/>
      <c r="D132" s="953" t="s">
        <v>17</v>
      </c>
      <c r="E132" s="953"/>
      <c r="F132" s="1118"/>
      <c r="G132" s="1118"/>
      <c r="H132" s="1117">
        <f>SUM(J129:J131)</f>
        <v>12917</v>
      </c>
      <c r="I132" s="1105"/>
      <c r="J132" s="1114">
        <f>B132*H132</f>
        <v>0</v>
      </c>
    </row>
    <row r="133" spans="1:10" ht="20.100000000000001" customHeight="1">
      <c r="A133" s="1118"/>
      <c r="B133" s="1117"/>
      <c r="C133" s="1118"/>
      <c r="D133" s="1114" t="s">
        <v>60</v>
      </c>
      <c r="E133" s="953"/>
      <c r="F133" s="953"/>
      <c r="G133" s="953"/>
      <c r="H133" s="1117"/>
      <c r="I133" s="1117"/>
      <c r="J133" s="1114">
        <f>SUM(J129:J132)</f>
        <v>12917</v>
      </c>
    </row>
    <row r="134" spans="1:10" ht="20.100000000000001" customHeight="1">
      <c r="A134" s="1118"/>
      <c r="B134" s="1110" t="s">
        <v>39</v>
      </c>
      <c r="C134" s="1116" t="s">
        <v>61</v>
      </c>
      <c r="D134" s="953"/>
      <c r="E134" s="953"/>
      <c r="F134" s="953"/>
      <c r="G134" s="953"/>
      <c r="H134" s="1117"/>
      <c r="I134" s="1117"/>
      <c r="J134" s="1114"/>
    </row>
    <row r="135" spans="1:10" ht="20.100000000000001" customHeight="1">
      <c r="A135" s="1118"/>
      <c r="B135" s="1117">
        <v>8.1</v>
      </c>
      <c r="C135" s="1118" t="s">
        <v>31</v>
      </c>
      <c r="D135" s="953" t="s">
        <v>63</v>
      </c>
      <c r="E135" s="953"/>
      <c r="F135" s="953"/>
      <c r="G135" s="953"/>
      <c r="H135" s="1117">
        <f>lead!$J$16</f>
        <v>2031.2187651278443</v>
      </c>
      <c r="I135" s="1117" t="s">
        <v>31</v>
      </c>
      <c r="J135" s="1114">
        <f>ROUND(B135*H135,2)</f>
        <v>16452.87</v>
      </c>
    </row>
    <row r="136" spans="1:10" ht="20.100000000000001" customHeight="1">
      <c r="A136" s="1118"/>
      <c r="B136" s="1117">
        <v>5.4</v>
      </c>
      <c r="C136" s="1118" t="s">
        <v>31</v>
      </c>
      <c r="D136" s="953" t="s">
        <v>64</v>
      </c>
      <c r="E136" s="953"/>
      <c r="F136" s="953"/>
      <c r="G136" s="953"/>
      <c r="H136" s="1117">
        <f>lead!$J$18</f>
        <v>1780.2187651278443</v>
      </c>
      <c r="I136" s="1117" t="s">
        <v>31</v>
      </c>
      <c r="J136" s="1114">
        <f>ROUND(B136*H136,2)</f>
        <v>9613.18</v>
      </c>
    </row>
    <row r="137" spans="1:10" ht="45" customHeight="1">
      <c r="A137" s="1118"/>
      <c r="B137" s="1122">
        <f>6.75/2</f>
        <v>3.375</v>
      </c>
      <c r="C137" s="1118" t="s">
        <v>31</v>
      </c>
      <c r="D137" s="3669" t="s">
        <v>1442</v>
      </c>
      <c r="E137" s="3669"/>
      <c r="F137" s="3669"/>
      <c r="G137" s="3669"/>
      <c r="H137" s="1121">
        <f>lead!$J$31</f>
        <v>1850.9213132068826</v>
      </c>
      <c r="I137" s="1117" t="s">
        <v>31</v>
      </c>
      <c r="J137" s="1129">
        <f>ROUND(B137*H137,2)</f>
        <v>6246.86</v>
      </c>
    </row>
    <row r="138" spans="1:10" ht="35.1" customHeight="1">
      <c r="A138" s="1118"/>
      <c r="B138" s="1122">
        <f>6.75/2</f>
        <v>3.375</v>
      </c>
      <c r="C138" s="1118" t="s">
        <v>31</v>
      </c>
      <c r="D138" s="3669" t="s">
        <v>1443</v>
      </c>
      <c r="E138" s="3669"/>
      <c r="F138" s="3669"/>
      <c r="G138" s="3669"/>
      <c r="H138" s="1121">
        <f>lead!$J$33</f>
        <v>1473.2187651278443</v>
      </c>
      <c r="I138" s="1117" t="s">
        <v>31</v>
      </c>
      <c r="J138" s="1129">
        <f>ROUND(B138*H138,2)</f>
        <v>4972.1099999999997</v>
      </c>
    </row>
    <row r="139" spans="1:10" ht="20.100000000000001" customHeight="1">
      <c r="A139" s="1118"/>
      <c r="B139" s="1122">
        <v>5.21</v>
      </c>
      <c r="C139" s="1118" t="s">
        <v>66</v>
      </c>
      <c r="D139" s="1114" t="s">
        <v>67</v>
      </c>
      <c r="E139" s="953"/>
      <c r="F139" s="953"/>
      <c r="G139" s="953"/>
      <c r="H139" s="1117">
        <f>lead!$J$36</f>
        <v>5000</v>
      </c>
      <c r="I139" s="1117" t="s">
        <v>66</v>
      </c>
      <c r="J139" s="1114">
        <f>ROUND(B139*H139,2)</f>
        <v>26050</v>
      </c>
    </row>
    <row r="140" spans="1:10" ht="20.100000000000001" customHeight="1">
      <c r="A140" s="1118"/>
      <c r="B140" s="1117"/>
      <c r="C140" s="953"/>
      <c r="D140" s="1114" t="s">
        <v>60</v>
      </c>
      <c r="E140" s="953"/>
      <c r="F140" s="953"/>
      <c r="G140" s="953"/>
      <c r="H140" s="1117"/>
      <c r="I140" s="1117"/>
      <c r="J140" s="1114">
        <f>SUM(J135:J139)</f>
        <v>63335.02</v>
      </c>
    </row>
    <row r="141" spans="1:10" ht="20.100000000000001" customHeight="1">
      <c r="A141" s="1118"/>
      <c r="B141" s="1110" t="s">
        <v>27</v>
      </c>
      <c r="C141" s="1116" t="s">
        <v>40</v>
      </c>
      <c r="D141" s="953"/>
      <c r="E141" s="953"/>
      <c r="F141" s="953"/>
      <c r="G141" s="953"/>
      <c r="H141" s="1117"/>
      <c r="I141" s="1117"/>
      <c r="J141" s="1114"/>
    </row>
    <row r="142" spans="1:10" ht="20.100000000000001" customHeight="1">
      <c r="A142" s="1118"/>
      <c r="B142" s="1117">
        <v>6</v>
      </c>
      <c r="C142" s="1118" t="s">
        <v>41</v>
      </c>
      <c r="D142" s="1114" t="s">
        <v>68</v>
      </c>
      <c r="E142" s="953"/>
      <c r="F142" s="953"/>
      <c r="G142" s="953"/>
      <c r="H142" s="1117">
        <f>+'SSR-rates'!$K$88</f>
        <v>697.9</v>
      </c>
      <c r="I142" s="1117" t="s">
        <v>41</v>
      </c>
      <c r="J142" s="1114">
        <f t="shared" ref="J142:J143" si="4">ROUND(B142*H142,2)</f>
        <v>4187.3999999999996</v>
      </c>
    </row>
    <row r="143" spans="1:10" ht="20.100000000000001" customHeight="1">
      <c r="A143" s="1118"/>
      <c r="B143" s="1117">
        <v>6</v>
      </c>
      <c r="C143" s="1118" t="s">
        <v>41</v>
      </c>
      <c r="D143" s="1114" t="s">
        <v>1584</v>
      </c>
      <c r="E143" s="953"/>
      <c r="F143" s="953"/>
      <c r="G143" s="953"/>
      <c r="H143" s="1117">
        <f>+'SSR-rates'!$K$87</f>
        <v>1323.5</v>
      </c>
      <c r="I143" s="1117" t="s">
        <v>41</v>
      </c>
      <c r="J143" s="1114">
        <f t="shared" si="4"/>
        <v>7941</v>
      </c>
    </row>
    <row r="144" spans="1:10" ht="20.100000000000001" customHeight="1">
      <c r="A144" s="1118"/>
      <c r="B144" s="1117"/>
      <c r="C144" s="1120"/>
      <c r="D144" s="1114" t="s">
        <v>60</v>
      </c>
      <c r="E144" s="953"/>
      <c r="F144" s="953"/>
      <c r="G144" s="953"/>
      <c r="H144" s="1117"/>
      <c r="I144" s="1117"/>
      <c r="J144" s="1114">
        <f>SUM(J142:J143)</f>
        <v>12128.4</v>
      </c>
    </row>
    <row r="145" spans="1:10" ht="20.100000000000001" customHeight="1">
      <c r="A145" s="1118"/>
      <c r="B145" s="1110" t="s">
        <v>45</v>
      </c>
      <c r="C145" s="1116" t="s">
        <v>71</v>
      </c>
      <c r="D145" s="953"/>
      <c r="E145" s="953"/>
      <c r="F145" s="953"/>
      <c r="G145" s="953"/>
      <c r="H145" s="1117"/>
      <c r="I145" s="1117"/>
      <c r="J145" s="1114"/>
    </row>
    <row r="146" spans="1:10" ht="20.100000000000001" customHeight="1">
      <c r="A146" s="1118"/>
      <c r="B146" s="1117">
        <v>4</v>
      </c>
      <c r="C146" s="1118" t="s">
        <v>29</v>
      </c>
      <c r="D146" s="953" t="s">
        <v>1586</v>
      </c>
      <c r="E146" s="953"/>
      <c r="F146" s="953"/>
      <c r="G146" s="953"/>
      <c r="H146" s="1117">
        <f>J133+J140+J144</f>
        <v>88380.419999999984</v>
      </c>
      <c r="I146" s="1105" t="s">
        <v>73</v>
      </c>
      <c r="J146" s="1114">
        <f>ROUND(B146*H146/100,2)</f>
        <v>3535.22</v>
      </c>
    </row>
    <row r="147" spans="1:10" ht="20.100000000000001" customHeight="1">
      <c r="A147" s="1123"/>
      <c r="B147" s="1110" t="s">
        <v>47</v>
      </c>
      <c r="C147" s="1123" t="s">
        <v>1092</v>
      </c>
      <c r="D147" s="953"/>
      <c r="E147" s="953"/>
      <c r="F147" s="1118"/>
      <c r="G147" s="1118"/>
      <c r="H147" s="1118"/>
      <c r="I147" s="1118"/>
      <c r="J147" s="1116"/>
    </row>
    <row r="148" spans="1:10" ht="35.1" customHeight="1">
      <c r="A148" s="1123"/>
      <c r="B148" s="1124">
        <f>'Input Data'!$D$24</f>
        <v>0.13614999999999999</v>
      </c>
      <c r="C148" s="3672" t="str">
        <f>"Over head charges &amp; CP  "&amp;'Input Data'!$D$24*100&amp;"%  on (A) + (B)+(C)+(D)"</f>
        <v>Over head charges &amp; CP  13.615%  on (A) + (B)+(C)+(D)</v>
      </c>
      <c r="D148" s="3672"/>
      <c r="E148" s="3672"/>
      <c r="F148" s="3672"/>
      <c r="G148" s="3672"/>
      <c r="H148" s="1120">
        <f>J146+J144+J140+J133</f>
        <v>91915.64</v>
      </c>
      <c r="I148" s="1118"/>
      <c r="J148" s="1114">
        <f>H148*B148</f>
        <v>12514.314386</v>
      </c>
    </row>
    <row r="149" spans="1:10" ht="20.100000000000001" customHeight="1">
      <c r="A149" s="1123"/>
      <c r="B149" s="1125">
        <f>'Input Data'!$E$24</f>
        <v>0</v>
      </c>
      <c r="C149" s="1126" t="s">
        <v>1093</v>
      </c>
      <c r="D149" s="1121"/>
      <c r="E149" s="1121"/>
      <c r="F149" s="1121"/>
      <c r="G149" s="1121"/>
      <c r="H149" s="1120">
        <f>J148+J146+J144+J140+J133</f>
        <v>104429.954386</v>
      </c>
      <c r="I149" s="1118"/>
      <c r="J149" s="1114">
        <f>H149*B149</f>
        <v>0</v>
      </c>
    </row>
    <row r="150" spans="1:10" ht="20.100000000000001" customHeight="1">
      <c r="A150" s="1123"/>
      <c r="B150" s="1110" t="s">
        <v>76</v>
      </c>
      <c r="C150" s="1123" t="s">
        <v>77</v>
      </c>
      <c r="D150" s="953"/>
      <c r="E150" s="953"/>
      <c r="F150" s="1118"/>
      <c r="G150" s="1118"/>
      <c r="H150" s="1118"/>
      <c r="I150" s="1118"/>
      <c r="J150" s="1116">
        <f>J133+J140+J144+J146+J148+J149</f>
        <v>104429.95438599998</v>
      </c>
    </row>
    <row r="151" spans="1:10" ht="20.100000000000001" customHeight="1">
      <c r="A151" s="1118"/>
      <c r="B151" s="1117"/>
      <c r="C151" s="1118"/>
      <c r="D151" s="1116" t="s">
        <v>1555</v>
      </c>
      <c r="E151" s="953"/>
      <c r="F151" s="953"/>
      <c r="G151" s="953"/>
      <c r="H151" s="1117"/>
      <c r="I151" s="1117"/>
      <c r="J151" s="1116">
        <f>SUM(J150:J150)</f>
        <v>104429.95438599998</v>
      </c>
    </row>
    <row r="152" spans="1:10" ht="20.100000000000001" customHeight="1">
      <c r="A152" s="1118"/>
      <c r="B152" s="1117"/>
      <c r="C152" s="1118"/>
      <c r="D152" s="1114" t="s">
        <v>81</v>
      </c>
      <c r="E152" s="953"/>
      <c r="F152" s="953"/>
      <c r="G152" s="953"/>
      <c r="H152" s="1117"/>
      <c r="I152" s="1117"/>
      <c r="J152" s="1114">
        <f>ROUND(J151/15,2)</f>
        <v>6962</v>
      </c>
    </row>
    <row r="153" spans="1:10" ht="20.100000000000001" customHeight="1">
      <c r="A153" s="1118"/>
      <c r="B153" s="1105"/>
      <c r="C153" s="953"/>
      <c r="D153" s="1114" t="s">
        <v>52</v>
      </c>
      <c r="E153" s="953"/>
      <c r="F153" s="953"/>
      <c r="G153" s="953"/>
      <c r="H153" s="1117"/>
      <c r="I153" s="1117"/>
      <c r="J153" s="1134">
        <f>ROUND(J152,2)</f>
        <v>6962</v>
      </c>
    </row>
    <row r="154" spans="1:10" ht="20.100000000000001" customHeight="1">
      <c r="A154" s="1118"/>
      <c r="B154" s="1105"/>
      <c r="C154" s="953"/>
      <c r="D154" s="1114"/>
      <c r="E154" s="953"/>
      <c r="F154" s="953"/>
      <c r="G154" s="953"/>
      <c r="H154" s="1117"/>
      <c r="I154" s="1117"/>
      <c r="J154" s="1130" t="s">
        <v>53</v>
      </c>
    </row>
    <row r="155" spans="1:10" ht="141.6" customHeight="1">
      <c r="A155" s="1132">
        <f>A125+1</f>
        <v>13</v>
      </c>
      <c r="B155" s="3673" t="s">
        <v>1592</v>
      </c>
      <c r="C155" s="3673"/>
      <c r="D155" s="3673"/>
      <c r="E155" s="3673"/>
      <c r="F155" s="3673"/>
      <c r="G155" s="3673"/>
      <c r="H155" s="3673"/>
      <c r="I155" s="3673"/>
      <c r="J155" s="3673"/>
    </row>
    <row r="156" spans="1:10" ht="20.100000000000001" customHeight="1">
      <c r="A156" s="1135"/>
      <c r="B156" s="1136"/>
      <c r="C156" s="1136"/>
      <c r="D156" s="3674" t="s">
        <v>185</v>
      </c>
      <c r="E156" s="3674"/>
      <c r="F156" s="3674"/>
      <c r="G156" s="3674"/>
      <c r="H156" s="1136"/>
      <c r="I156" s="1136"/>
      <c r="J156" s="1150"/>
    </row>
    <row r="157" spans="1:10" ht="20.100000000000001" customHeight="1">
      <c r="A157" s="1135"/>
      <c r="B157" s="1136"/>
      <c r="C157" s="1136"/>
      <c r="D157" s="3675" t="s">
        <v>186</v>
      </c>
      <c r="E157" s="3675"/>
      <c r="F157" s="3675"/>
      <c r="G157" s="3675"/>
      <c r="H157" s="1136"/>
      <c r="I157" s="1136"/>
      <c r="J157" s="1150"/>
    </row>
    <row r="158" spans="1:10" ht="20.100000000000001" customHeight="1">
      <c r="A158" s="1135"/>
      <c r="B158" s="1136"/>
      <c r="C158" s="1138"/>
      <c r="D158" s="3675" t="s">
        <v>187</v>
      </c>
      <c r="E158" s="3675"/>
      <c r="F158" s="3675"/>
      <c r="G158" s="3675"/>
      <c r="H158" s="1136"/>
      <c r="I158" s="1136"/>
      <c r="J158" s="1150"/>
    </row>
    <row r="159" spans="1:10" ht="20.100000000000001" customHeight="1">
      <c r="A159" s="1135"/>
      <c r="B159" s="1136"/>
      <c r="C159" s="1139"/>
      <c r="D159" s="3676" t="s">
        <v>12</v>
      </c>
      <c r="E159" s="3676"/>
      <c r="F159" s="3676"/>
      <c r="G159" s="3676"/>
      <c r="H159" s="1136"/>
      <c r="I159" s="1136"/>
      <c r="J159" s="1150"/>
    </row>
    <row r="160" spans="1:10" ht="20.100000000000001" customHeight="1">
      <c r="A160" s="1135"/>
      <c r="B160" s="1138">
        <v>0.4</v>
      </c>
      <c r="C160" s="1141" t="s">
        <v>13</v>
      </c>
      <c r="D160" s="3677" t="s">
        <v>14</v>
      </c>
      <c r="E160" s="3677"/>
      <c r="F160" s="3677"/>
      <c r="G160" s="3677"/>
      <c r="H160" s="1143">
        <f>'SSR-rates'!$K$58</f>
        <v>575</v>
      </c>
      <c r="I160" s="1138">
        <v>1</v>
      </c>
      <c r="J160" s="1151">
        <f>ROUND(B160*H160,2)</f>
        <v>230</v>
      </c>
    </row>
    <row r="161" spans="1:11" ht="20.100000000000001" customHeight="1">
      <c r="A161" s="1135"/>
      <c r="B161" s="1138">
        <v>2</v>
      </c>
      <c r="C161" s="1141" t="s">
        <v>13</v>
      </c>
      <c r="D161" s="3677" t="s">
        <v>188</v>
      </c>
      <c r="E161" s="3677"/>
      <c r="F161" s="3677"/>
      <c r="G161" s="3677"/>
      <c r="H161" s="1143">
        <f>'SSR-rates'!$K$92</f>
        <v>640</v>
      </c>
      <c r="I161" s="1138">
        <v>1</v>
      </c>
      <c r="J161" s="1151">
        <f>ROUND(B161*H161,2)</f>
        <v>1280</v>
      </c>
    </row>
    <row r="162" spans="1:11" ht="20.100000000000001" customHeight="1">
      <c r="A162" s="1135"/>
      <c r="B162" s="1138">
        <v>6</v>
      </c>
      <c r="C162" s="1141" t="s">
        <v>13</v>
      </c>
      <c r="D162" s="3677" t="s">
        <v>59</v>
      </c>
      <c r="E162" s="3677"/>
      <c r="F162" s="3677"/>
      <c r="G162" s="3677"/>
      <c r="H162" s="1143">
        <f>'SSR-rates'!$K$60</f>
        <v>575</v>
      </c>
      <c r="I162" s="1138">
        <v>1</v>
      </c>
      <c r="J162" s="1151">
        <f>ROUND(B162*H162,2)</f>
        <v>3450</v>
      </c>
    </row>
    <row r="163" spans="1:11" ht="20.100000000000001" customHeight="1">
      <c r="A163" s="1135"/>
      <c r="B163" s="1119">
        <f>'Input Data'!$D$23</f>
        <v>0</v>
      </c>
      <c r="C163" s="1120"/>
      <c r="D163" s="953" t="s">
        <v>17</v>
      </c>
      <c r="E163" s="953"/>
      <c r="F163" s="1118"/>
      <c r="G163" s="1118"/>
      <c r="H163" s="1117">
        <f>SUM(J160:J162)</f>
        <v>4960</v>
      </c>
      <c r="I163" s="1105"/>
      <c r="J163" s="1117">
        <f>B163*H163</f>
        <v>0</v>
      </c>
    </row>
    <row r="164" spans="1:11" ht="20.100000000000001" customHeight="1">
      <c r="A164" s="1135"/>
      <c r="B164" s="1138"/>
      <c r="C164" s="1144"/>
      <c r="D164" s="3678" t="s">
        <v>18</v>
      </c>
      <c r="E164" s="3678"/>
      <c r="F164" s="3678"/>
      <c r="G164" s="3678"/>
      <c r="H164" s="1138"/>
      <c r="I164" s="1152" t="s">
        <v>19</v>
      </c>
      <c r="J164" s="1153">
        <f>SUM(J160:J163)</f>
        <v>4960</v>
      </c>
    </row>
    <row r="165" spans="1:11" ht="20.100000000000001" customHeight="1">
      <c r="A165" s="1135"/>
      <c r="B165" s="1138"/>
      <c r="C165" s="1146"/>
      <c r="D165" s="3676" t="s">
        <v>189</v>
      </c>
      <c r="E165" s="3676"/>
      <c r="F165" s="3676"/>
      <c r="G165" s="3676"/>
      <c r="H165" s="1138"/>
      <c r="I165" s="1138"/>
      <c r="J165" s="1151"/>
    </row>
    <row r="166" spans="1:11" ht="20.100000000000001" customHeight="1">
      <c r="A166" s="1135"/>
      <c r="B166" s="1138">
        <v>1.05</v>
      </c>
      <c r="C166" s="1141" t="s">
        <v>66</v>
      </c>
      <c r="D166" s="3677" t="s">
        <v>190</v>
      </c>
      <c r="E166" s="3677"/>
      <c r="F166" s="3677"/>
      <c r="G166" s="3677"/>
      <c r="H166" s="1138">
        <f>lead!$J$37</f>
        <v>49000</v>
      </c>
      <c r="I166" s="1138">
        <v>1</v>
      </c>
      <c r="J166" s="1151">
        <f>ROUND(B166*H166,2)</f>
        <v>51450</v>
      </c>
    </row>
    <row r="167" spans="1:11" ht="20.100000000000001" customHeight="1">
      <c r="A167" s="1135"/>
      <c r="B167" s="1138">
        <v>6</v>
      </c>
      <c r="C167" s="1141" t="s">
        <v>191</v>
      </c>
      <c r="D167" s="3678" t="s">
        <v>192</v>
      </c>
      <c r="E167" s="3678"/>
      <c r="F167" s="3678"/>
      <c r="G167" s="3678"/>
      <c r="H167" s="1138">
        <f>'SSR-rates'!$K$93</f>
        <v>83</v>
      </c>
      <c r="I167" s="1138">
        <v>1</v>
      </c>
      <c r="J167" s="1151">
        <f>H167*B167</f>
        <v>498</v>
      </c>
    </row>
    <row r="168" spans="1:11" ht="20.100000000000001" customHeight="1">
      <c r="A168" s="1135"/>
      <c r="B168" s="1138"/>
      <c r="C168" s="1144"/>
      <c r="D168" s="3678" t="s">
        <v>18</v>
      </c>
      <c r="E168" s="3678"/>
      <c r="F168" s="3678"/>
      <c r="G168" s="3678"/>
      <c r="H168" s="1138"/>
      <c r="I168" s="1152" t="s">
        <v>25</v>
      </c>
      <c r="J168" s="1153">
        <f>SUM(J166:J167)</f>
        <v>51948</v>
      </c>
    </row>
    <row r="169" spans="1:11" ht="20.100000000000001" customHeight="1">
      <c r="A169" s="1135"/>
      <c r="B169" s="1143"/>
      <c r="C169" s="1147"/>
      <c r="D169" s="3679" t="s">
        <v>26</v>
      </c>
      <c r="E169" s="3679"/>
      <c r="F169" s="3679"/>
      <c r="G169" s="3679"/>
      <c r="H169" s="1143"/>
      <c r="I169" s="1154"/>
      <c r="J169" s="1155">
        <f>J164+J168</f>
        <v>56908</v>
      </c>
    </row>
    <row r="170" spans="1:11" ht="35.1" customHeight="1">
      <c r="A170" s="1135"/>
      <c r="B170" s="1124">
        <f>'Input Data'!$D$24</f>
        <v>0.13614999999999999</v>
      </c>
      <c r="C170" s="1147"/>
      <c r="D170" s="3680" t="s">
        <v>1593</v>
      </c>
      <c r="E170" s="3680"/>
      <c r="F170" s="3680"/>
      <c r="G170" s="3680"/>
      <c r="H170" s="1143">
        <f>J169</f>
        <v>56908</v>
      </c>
      <c r="I170" s="1156"/>
      <c r="J170" s="1157">
        <f>H170*B170</f>
        <v>7748.0241999999998</v>
      </c>
    </row>
    <row r="171" spans="1:11" ht="20.100000000000001" customHeight="1">
      <c r="A171" s="1135"/>
      <c r="B171" s="1125">
        <f>'Input Data'!$E$24</f>
        <v>0</v>
      </c>
      <c r="C171" s="1126" t="s">
        <v>1093</v>
      </c>
      <c r="D171" s="3676"/>
      <c r="E171" s="3676"/>
      <c r="F171" s="3676"/>
      <c r="G171" s="3676"/>
      <c r="H171" s="1143">
        <f>J170+J168+J164</f>
        <v>64656.0242</v>
      </c>
      <c r="I171" s="1156"/>
      <c r="J171" s="1157">
        <f>H171*B171</f>
        <v>0</v>
      </c>
    </row>
    <row r="172" spans="1:11" ht="20.100000000000001" customHeight="1">
      <c r="A172" s="1135"/>
      <c r="B172" s="1143"/>
      <c r="C172" s="1147"/>
      <c r="D172" s="3676"/>
      <c r="E172" s="3676"/>
      <c r="F172" s="3676"/>
      <c r="G172" s="3676"/>
      <c r="H172" s="1143"/>
      <c r="I172" s="1156"/>
      <c r="J172" s="1155"/>
    </row>
    <row r="173" spans="1:11" ht="20.100000000000001" customHeight="1">
      <c r="A173" s="1135"/>
      <c r="B173" s="1143">
        <v>1</v>
      </c>
      <c r="C173" s="1147" t="s">
        <v>66</v>
      </c>
      <c r="D173" s="3678" t="str">
        <f>CONCATENATE("TOTAL Cost for ",B173,"  ",C173,"  =  (A+B+C)",)</f>
        <v>TOTAL Cost for 1  MT  =  (A+B+C)</v>
      </c>
      <c r="E173" s="3678"/>
      <c r="F173" s="3678"/>
      <c r="G173" s="3678"/>
      <c r="H173" s="1143"/>
      <c r="I173" s="1143"/>
      <c r="J173" s="1157">
        <f>SUM(J169:J171)</f>
        <v>64656.0242</v>
      </c>
    </row>
    <row r="174" spans="1:11" ht="20.100000000000001" customHeight="1">
      <c r="A174" s="1135"/>
      <c r="B174" s="1143"/>
      <c r="C174" s="1143"/>
      <c r="D174" s="3678" t="str">
        <f>CONCATENATE("Rate per  1  ",C173)</f>
        <v>Rate per  1  MT</v>
      </c>
      <c r="E174" s="3678"/>
      <c r="F174" s="3678"/>
      <c r="G174" s="3678"/>
      <c r="H174" s="1143"/>
      <c r="I174" s="1143"/>
      <c r="J174" s="1151">
        <f>J173/B173</f>
        <v>64656.0242</v>
      </c>
    </row>
    <row r="175" spans="1:11" ht="20.100000000000001" customHeight="1">
      <c r="A175" s="1135"/>
      <c r="B175" s="1138"/>
      <c r="C175" s="1138"/>
      <c r="D175" s="3674" t="str">
        <f>D174</f>
        <v>Rate per  1  MT</v>
      </c>
      <c r="E175" s="3674"/>
      <c r="F175" s="3674"/>
      <c r="G175" s="3674"/>
      <c r="H175" s="1143"/>
      <c r="I175" s="1143"/>
      <c r="J175" s="1153">
        <f>ROUND(J174,2)</f>
        <v>64656.02</v>
      </c>
      <c r="K175" s="903">
        <v>57233</v>
      </c>
    </row>
    <row r="176" spans="1:11" ht="20.100000000000001" customHeight="1">
      <c r="A176" s="953"/>
      <c r="B176" s="1110" t="s">
        <v>1594</v>
      </c>
      <c r="C176" s="953"/>
      <c r="D176" s="1114"/>
      <c r="E176" s="953"/>
      <c r="F176" s="953"/>
      <c r="G176" s="953"/>
      <c r="H176" s="1117"/>
      <c r="I176" s="1117"/>
      <c r="J176" s="1130"/>
    </row>
    <row r="177" spans="1:10" s="902" customFormat="1" ht="126" customHeight="1">
      <c r="A177" s="1113">
        <v>4</v>
      </c>
      <c r="B177" s="3668" t="s">
        <v>1595</v>
      </c>
      <c r="C177" s="3668"/>
      <c r="D177" s="3668"/>
      <c r="E177" s="3668"/>
      <c r="F177" s="3668"/>
      <c r="G177" s="3668"/>
      <c r="H177" s="3668"/>
      <c r="I177" s="3668"/>
      <c r="J177" s="3668"/>
    </row>
    <row r="178" spans="1:10" s="902" customFormat="1" ht="20.100000000000001" customHeight="1">
      <c r="A178" s="953"/>
      <c r="B178" s="1105"/>
      <c r="C178" s="953"/>
      <c r="D178" s="1114" t="s">
        <v>10</v>
      </c>
      <c r="E178" s="953"/>
      <c r="F178" s="1149" t="s">
        <v>1596</v>
      </c>
      <c r="G178" s="953"/>
      <c r="H178" s="953"/>
      <c r="I178" s="953"/>
      <c r="J178" s="953"/>
    </row>
    <row r="179" spans="1:10" s="902" customFormat="1" ht="20.100000000000001" customHeight="1">
      <c r="A179" s="953"/>
      <c r="B179" s="1105"/>
      <c r="C179" s="953"/>
      <c r="D179" s="1114" t="s">
        <v>56</v>
      </c>
      <c r="E179" s="953"/>
      <c r="F179" s="953"/>
      <c r="G179" s="953"/>
      <c r="H179" s="953"/>
      <c r="I179" s="953"/>
      <c r="J179" s="953"/>
    </row>
    <row r="180" spans="1:10" s="902" customFormat="1" ht="20.100000000000001" customHeight="1">
      <c r="A180" s="953"/>
      <c r="B180" s="1110" t="s">
        <v>36</v>
      </c>
      <c r="C180" s="1116" t="s">
        <v>37</v>
      </c>
      <c r="D180" s="953"/>
      <c r="E180" s="953"/>
      <c r="F180" s="953"/>
      <c r="G180" s="953"/>
      <c r="H180" s="953"/>
      <c r="I180" s="953"/>
      <c r="J180" s="953"/>
    </row>
    <row r="181" spans="1:10" s="902" customFormat="1" ht="20.100000000000001" customHeight="1">
      <c r="A181" s="953"/>
      <c r="B181" s="1117">
        <v>0.86</v>
      </c>
      <c r="C181" s="1118" t="s">
        <v>57</v>
      </c>
      <c r="D181" s="1114" t="s">
        <v>14</v>
      </c>
      <c r="E181" s="953"/>
      <c r="F181" s="953"/>
      <c r="G181" s="953"/>
      <c r="H181" s="1117">
        <f>+'SSR-rates'!$K$58</f>
        <v>575</v>
      </c>
      <c r="I181" s="1117" t="s">
        <v>38</v>
      </c>
      <c r="J181" s="1129">
        <f>ROUND(B181*H181,2)</f>
        <v>494.5</v>
      </c>
    </row>
    <row r="182" spans="1:10" s="902" customFormat="1" ht="20.100000000000001" customHeight="1">
      <c r="A182" s="953"/>
      <c r="B182" s="1117">
        <v>1.5</v>
      </c>
      <c r="C182" s="1118" t="s">
        <v>57</v>
      </c>
      <c r="D182" s="1114" t="s">
        <v>58</v>
      </c>
      <c r="E182" s="953"/>
      <c r="F182" s="953"/>
      <c r="G182" s="953"/>
      <c r="H182" s="1117">
        <f>+'SSR-rates'!$K$54</f>
        <v>615</v>
      </c>
      <c r="I182" s="1117" t="s">
        <v>38</v>
      </c>
      <c r="J182" s="1129">
        <f>ROUND(B182*H182,2)</f>
        <v>922.5</v>
      </c>
    </row>
    <row r="183" spans="1:10" s="902" customFormat="1" ht="20.100000000000001" customHeight="1">
      <c r="A183" s="953"/>
      <c r="B183" s="1117">
        <v>20</v>
      </c>
      <c r="C183" s="1118" t="s">
        <v>57</v>
      </c>
      <c r="D183" s="1114" t="s">
        <v>59</v>
      </c>
      <c r="E183" s="953"/>
      <c r="F183" s="953"/>
      <c r="G183" s="953"/>
      <c r="H183" s="1117">
        <f>+'SSR-rates'!$K$60</f>
        <v>575</v>
      </c>
      <c r="I183" s="1117" t="s">
        <v>38</v>
      </c>
      <c r="J183" s="1129">
        <f>ROUND(B183*H183,2)</f>
        <v>11500</v>
      </c>
    </row>
    <row r="184" spans="1:10" ht="20.100000000000001" customHeight="1">
      <c r="A184" s="1110"/>
      <c r="B184" s="1119">
        <f>+'Input Data'!D23</f>
        <v>0</v>
      </c>
      <c r="C184" s="1120"/>
      <c r="D184" s="953" t="s">
        <v>17</v>
      </c>
      <c r="E184" s="953"/>
      <c r="F184" s="1118"/>
      <c r="G184" s="1118"/>
      <c r="H184" s="1117">
        <f>SUM(J181:J183)</f>
        <v>12917</v>
      </c>
      <c r="I184" s="1105"/>
      <c r="J184" s="1129">
        <f>B184*H184</f>
        <v>0</v>
      </c>
    </row>
    <row r="185" spans="1:10" s="902" customFormat="1" ht="20.100000000000001" customHeight="1">
      <c r="A185" s="953"/>
      <c r="B185" s="1117"/>
      <c r="C185" s="953"/>
      <c r="D185" s="1114" t="s">
        <v>60</v>
      </c>
      <c r="E185" s="953"/>
      <c r="F185" s="953"/>
      <c r="G185" s="953"/>
      <c r="H185" s="1117"/>
      <c r="I185" s="1117"/>
      <c r="J185" s="1130">
        <f>SUM(J181:J184)</f>
        <v>12917</v>
      </c>
    </row>
    <row r="186" spans="1:10" s="902" customFormat="1" ht="20.100000000000001" customHeight="1">
      <c r="A186" s="953"/>
      <c r="B186" s="1110" t="s">
        <v>39</v>
      </c>
      <c r="C186" s="1116" t="s">
        <v>61</v>
      </c>
      <c r="D186" s="953"/>
      <c r="E186" s="953"/>
      <c r="F186" s="953"/>
      <c r="G186" s="953"/>
      <c r="H186" s="953"/>
      <c r="I186" s="1117"/>
      <c r="J186" s="1129"/>
    </row>
    <row r="187" spans="1:10" s="902" customFormat="1" ht="20.100000000000001" customHeight="1">
      <c r="A187" s="953"/>
      <c r="B187" s="1117">
        <v>8.1</v>
      </c>
      <c r="C187" s="1118" t="s">
        <v>31</v>
      </c>
      <c r="D187" s="1114" t="s">
        <v>1582</v>
      </c>
      <c r="E187" s="953"/>
      <c r="F187" s="953"/>
      <c r="G187" s="953"/>
      <c r="H187" s="1117">
        <f>+lead!$J$14</f>
        <v>1732.2187651278443</v>
      </c>
      <c r="I187" s="1117" t="s">
        <v>31</v>
      </c>
      <c r="J187" s="1129">
        <f t="shared" ref="J187:J192" si="5">ROUND(B187*H187,2)</f>
        <v>14030.97</v>
      </c>
    </row>
    <row r="188" spans="1:10" ht="20.100000000000001" customHeight="1">
      <c r="A188" s="1118"/>
      <c r="B188" s="1117">
        <v>4.05</v>
      </c>
      <c r="C188" s="1118" t="s">
        <v>31</v>
      </c>
      <c r="D188" s="953" t="s">
        <v>63</v>
      </c>
      <c r="E188" s="953"/>
      <c r="F188" s="953"/>
      <c r="G188" s="953"/>
      <c r="H188" s="1117">
        <f>+lead!$J$16</f>
        <v>2031.2187651278443</v>
      </c>
      <c r="I188" s="1117" t="s">
        <v>31</v>
      </c>
      <c r="J188" s="1114">
        <f t="shared" si="5"/>
        <v>8226.44</v>
      </c>
    </row>
    <row r="189" spans="1:10" ht="20.100000000000001" customHeight="1">
      <c r="A189" s="1118"/>
      <c r="B189" s="1117">
        <v>1.35</v>
      </c>
      <c r="C189" s="1118" t="s">
        <v>31</v>
      </c>
      <c r="D189" s="953" t="s">
        <v>64</v>
      </c>
      <c r="E189" s="953"/>
      <c r="F189" s="953"/>
      <c r="G189" s="953"/>
      <c r="H189" s="1117">
        <f>+lead!$J$18</f>
        <v>1780.2187651278443</v>
      </c>
      <c r="I189" s="1117" t="s">
        <v>31</v>
      </c>
      <c r="J189" s="1114">
        <f t="shared" si="5"/>
        <v>2403.3000000000002</v>
      </c>
    </row>
    <row r="190" spans="1:10" s="902" customFormat="1" ht="45" customHeight="1">
      <c r="A190" s="953"/>
      <c r="B190" s="1122">
        <f>6.75/2</f>
        <v>3.375</v>
      </c>
      <c r="C190" s="1118" t="s">
        <v>31</v>
      </c>
      <c r="D190" s="3669" t="s">
        <v>1442</v>
      </c>
      <c r="E190" s="3669"/>
      <c r="F190" s="3669"/>
      <c r="G190" s="3669"/>
      <c r="H190" s="1121">
        <f>lead!$J$31</f>
        <v>1850.9213132068826</v>
      </c>
      <c r="I190" s="1117" t="s">
        <v>31</v>
      </c>
      <c r="J190" s="1129">
        <f t="shared" si="5"/>
        <v>6246.86</v>
      </c>
    </row>
    <row r="191" spans="1:10" s="902" customFormat="1" ht="35.1" customHeight="1">
      <c r="A191" s="953"/>
      <c r="B191" s="1122">
        <f>6.75/2</f>
        <v>3.375</v>
      </c>
      <c r="C191" s="1118" t="s">
        <v>31</v>
      </c>
      <c r="D191" s="3669" t="s">
        <v>1443</v>
      </c>
      <c r="E191" s="3669"/>
      <c r="F191" s="3669"/>
      <c r="G191" s="3669"/>
      <c r="H191" s="1121">
        <f>lead!$J$33</f>
        <v>1473.2187651278443</v>
      </c>
      <c r="I191" s="1117" t="s">
        <v>31</v>
      </c>
      <c r="J191" s="1129">
        <f t="shared" si="5"/>
        <v>4972.1099999999997</v>
      </c>
    </row>
    <row r="192" spans="1:10" s="902" customFormat="1" ht="20.100000000000001" customHeight="1">
      <c r="A192" s="953"/>
      <c r="B192" s="1117">
        <v>4.13</v>
      </c>
      <c r="C192" s="1118" t="s">
        <v>66</v>
      </c>
      <c r="D192" s="1114" t="s">
        <v>67</v>
      </c>
      <c r="E192" s="953"/>
      <c r="F192" s="953"/>
      <c r="G192" s="953"/>
      <c r="H192" s="1117">
        <f>+lead!$J$36</f>
        <v>5000</v>
      </c>
      <c r="I192" s="1117" t="s">
        <v>66</v>
      </c>
      <c r="J192" s="1129">
        <f t="shared" si="5"/>
        <v>20650</v>
      </c>
    </row>
    <row r="193" spans="1:10" s="902" customFormat="1" ht="20.100000000000001" customHeight="1">
      <c r="A193" s="953"/>
      <c r="B193" s="1122"/>
      <c r="C193" s="1120"/>
      <c r="D193" s="1114" t="s">
        <v>60</v>
      </c>
      <c r="E193" s="953"/>
      <c r="F193" s="953"/>
      <c r="G193" s="953"/>
      <c r="H193" s="1117"/>
      <c r="I193" s="1117"/>
      <c r="J193" s="1130">
        <f>SUM(J187:J192)</f>
        <v>56529.68</v>
      </c>
    </row>
    <row r="194" spans="1:10" s="902" customFormat="1" ht="20.100000000000001" customHeight="1">
      <c r="A194" s="953"/>
      <c r="B194" s="1110" t="s">
        <v>1583</v>
      </c>
      <c r="C194" s="1116" t="s">
        <v>40</v>
      </c>
      <c r="D194" s="953"/>
      <c r="E194" s="953"/>
      <c r="F194" s="953"/>
      <c r="G194" s="953"/>
      <c r="H194" s="1117"/>
      <c r="I194" s="1117"/>
      <c r="J194" s="1129"/>
    </row>
    <row r="195" spans="1:10" s="902" customFormat="1" ht="20.100000000000001" customHeight="1">
      <c r="A195" s="953"/>
      <c r="B195" s="1117">
        <v>6</v>
      </c>
      <c r="C195" s="1118" t="s">
        <v>41</v>
      </c>
      <c r="D195" s="1114" t="s">
        <v>68</v>
      </c>
      <c r="E195" s="953"/>
      <c r="F195" s="953"/>
      <c r="G195" s="953"/>
      <c r="H195" s="1117">
        <f>+'SSR-rates'!$K$88</f>
        <v>697.9</v>
      </c>
      <c r="I195" s="1117" t="s">
        <v>41</v>
      </c>
      <c r="J195" s="1129">
        <f>ROUND(B195*H195,2)</f>
        <v>4187.3999999999996</v>
      </c>
    </row>
    <row r="196" spans="1:10" s="902" customFormat="1" ht="20.100000000000001" customHeight="1">
      <c r="A196" s="1110"/>
      <c r="B196" s="1117">
        <v>6</v>
      </c>
      <c r="C196" s="1118" t="s">
        <v>41</v>
      </c>
      <c r="D196" s="1114" t="s">
        <v>1584</v>
      </c>
      <c r="E196" s="953"/>
      <c r="F196" s="953"/>
      <c r="G196" s="953"/>
      <c r="H196" s="1117">
        <f>+'SSR-rates'!$K$87</f>
        <v>1323.5</v>
      </c>
      <c r="I196" s="1117" t="s">
        <v>41</v>
      </c>
      <c r="J196" s="1158">
        <f>ROUND(B196*H196,2)</f>
        <v>7941</v>
      </c>
    </row>
    <row r="197" spans="1:10" s="902" customFormat="1" ht="20.100000000000001" customHeight="1">
      <c r="A197" s="1110"/>
      <c r="B197" s="1117"/>
      <c r="C197" s="1120"/>
      <c r="D197" s="1114" t="s">
        <v>60</v>
      </c>
      <c r="E197" s="953"/>
      <c r="F197" s="953"/>
      <c r="G197" s="953"/>
      <c r="H197" s="1117"/>
      <c r="I197" s="1117"/>
      <c r="J197" s="1130">
        <f>SUM(J195:J196)</f>
        <v>12128.4</v>
      </c>
    </row>
    <row r="198" spans="1:10" ht="20.100000000000001" customHeight="1">
      <c r="A198" s="1118"/>
      <c r="B198" s="1110" t="s">
        <v>45</v>
      </c>
      <c r="C198" s="1116" t="s">
        <v>71</v>
      </c>
      <c r="D198" s="953"/>
      <c r="E198" s="953"/>
      <c r="F198" s="953"/>
      <c r="G198" s="953"/>
      <c r="H198" s="1117"/>
      <c r="I198" s="1117"/>
      <c r="J198" s="1114"/>
    </row>
    <row r="199" spans="1:10" ht="20.100000000000001" customHeight="1">
      <c r="A199" s="1118"/>
      <c r="B199" s="1117">
        <v>10</v>
      </c>
      <c r="C199" s="1118" t="s">
        <v>29</v>
      </c>
      <c r="D199" s="953" t="s">
        <v>1597</v>
      </c>
      <c r="E199" s="953"/>
      <c r="F199" s="953"/>
      <c r="G199" s="953"/>
      <c r="H199" s="1117">
        <f>+J197+J193+J185</f>
        <v>81575.08</v>
      </c>
      <c r="I199" s="1105" t="s">
        <v>73</v>
      </c>
      <c r="J199" s="1114">
        <f>ROUND(B199*H199/100,2)</f>
        <v>8157.51</v>
      </c>
    </row>
    <row r="200" spans="1:10" s="902" customFormat="1" ht="20.100000000000001" customHeight="1">
      <c r="A200" s="1110"/>
      <c r="B200" s="1110" t="s">
        <v>45</v>
      </c>
      <c r="C200" s="1123" t="s">
        <v>1092</v>
      </c>
      <c r="D200" s="953"/>
      <c r="E200" s="953"/>
      <c r="F200" s="1118"/>
      <c r="G200" s="1118"/>
      <c r="H200" s="1118"/>
      <c r="I200" s="1118"/>
      <c r="J200" s="1130"/>
    </row>
    <row r="201" spans="1:10" s="902" customFormat="1" ht="20.100000000000001" customHeight="1">
      <c r="A201" s="953"/>
      <c r="B201" s="1124">
        <f>'Input Data'!$D$24</f>
        <v>0.13614999999999999</v>
      </c>
      <c r="C201" s="1123" t="s">
        <v>1092</v>
      </c>
      <c r="D201" s="953"/>
      <c r="E201" s="953"/>
      <c r="F201" s="1118"/>
      <c r="G201" s="1118"/>
      <c r="H201" s="1118"/>
      <c r="I201" s="1118"/>
      <c r="J201" s="1129">
        <f>ROUND((J185+J193+J197+J199)*B201,2)</f>
        <v>12217.09</v>
      </c>
    </row>
    <row r="202" spans="1:10" s="902" customFormat="1" ht="20.100000000000001" customHeight="1">
      <c r="A202" s="953"/>
      <c r="B202" s="1125">
        <f>'Input Data'!$E$24</f>
        <v>0</v>
      </c>
      <c r="C202" s="1126" t="s">
        <v>1093</v>
      </c>
      <c r="D202" s="953"/>
      <c r="E202" s="953"/>
      <c r="F202" s="1118"/>
      <c r="G202" s="1118"/>
      <c r="H202" s="1120">
        <f>J201+J199+J197+J193+J185</f>
        <v>101949.68</v>
      </c>
      <c r="I202" s="1118"/>
      <c r="J202" s="1129">
        <f>H202*B202</f>
        <v>0</v>
      </c>
    </row>
    <row r="203" spans="1:10" s="902" customFormat="1" ht="20.100000000000001" customHeight="1">
      <c r="A203" s="953"/>
      <c r="B203" s="1110" t="s">
        <v>47</v>
      </c>
      <c r="C203" s="1123" t="s">
        <v>89</v>
      </c>
      <c r="D203" s="953"/>
      <c r="E203" s="953"/>
      <c r="F203" s="1118"/>
      <c r="G203" s="1118"/>
      <c r="H203" s="1118"/>
      <c r="I203" s="1118"/>
      <c r="J203" s="1130">
        <f>J185+J193+J197+J199+J201+J202</f>
        <v>101949.67999999998</v>
      </c>
    </row>
    <row r="204" spans="1:10" s="902" customFormat="1" ht="20.100000000000001" customHeight="1">
      <c r="A204" s="953"/>
      <c r="B204" s="1122"/>
      <c r="C204" s="1118"/>
      <c r="D204" s="1116" t="s">
        <v>1555</v>
      </c>
      <c r="E204" s="953"/>
      <c r="F204" s="953"/>
      <c r="G204" s="953"/>
      <c r="H204" s="1117"/>
      <c r="I204" s="1117"/>
      <c r="J204" s="1130">
        <f>SUM(J203:J203)</f>
        <v>101949.67999999998</v>
      </c>
    </row>
    <row r="205" spans="1:10" s="902" customFormat="1" ht="20.100000000000001" customHeight="1">
      <c r="A205" s="953"/>
      <c r="B205" s="1117"/>
      <c r="C205" s="1118"/>
      <c r="D205" s="1114" t="s">
        <v>81</v>
      </c>
      <c r="E205" s="953"/>
      <c r="F205" s="953"/>
      <c r="G205" s="953"/>
      <c r="H205" s="1117"/>
      <c r="I205" s="1117"/>
      <c r="J205" s="1129">
        <f>ROUND(J204/15,2)</f>
        <v>6796.65</v>
      </c>
    </row>
    <row r="206" spans="1:10" s="902" customFormat="1" ht="20.100000000000001" customHeight="1">
      <c r="A206" s="1127"/>
      <c r="B206" s="1105"/>
      <c r="C206" s="953"/>
      <c r="D206" s="1114" t="s">
        <v>52</v>
      </c>
      <c r="E206" s="953"/>
      <c r="F206" s="953"/>
      <c r="G206" s="953"/>
      <c r="H206" s="1117"/>
      <c r="I206" s="1117"/>
      <c r="J206" s="1131">
        <f>ROUND(J205,2)</f>
        <v>6796.65</v>
      </c>
    </row>
    <row r="207" spans="1:10" s="902" customFormat="1" ht="20.100000000000001" customHeight="1">
      <c r="A207" s="953"/>
      <c r="B207" s="1105"/>
      <c r="C207" s="953"/>
      <c r="D207" s="1114"/>
      <c r="E207" s="953"/>
      <c r="F207" s="953"/>
      <c r="G207" s="953"/>
      <c r="H207" s="1117"/>
      <c r="I207" s="1117"/>
      <c r="J207" s="1130" t="s">
        <v>53</v>
      </c>
    </row>
    <row r="208" spans="1:10" s="1102" customFormat="1" ht="111" customHeight="1">
      <c r="A208" s="1113">
        <f>A177+1</f>
        <v>5</v>
      </c>
      <c r="B208" s="3670" t="s">
        <v>1598</v>
      </c>
      <c r="C208" s="3670"/>
      <c r="D208" s="3670"/>
      <c r="E208" s="3670"/>
      <c r="F208" s="3670"/>
      <c r="G208" s="3670"/>
      <c r="H208" s="3670"/>
      <c r="I208" s="3670"/>
      <c r="J208" s="3670"/>
    </row>
    <row r="209" spans="1:10" s="902" customFormat="1" ht="20.100000000000001" customHeight="1">
      <c r="A209" s="953"/>
      <c r="B209" s="1105"/>
      <c r="C209" s="953"/>
      <c r="D209" s="1114" t="s">
        <v>10</v>
      </c>
      <c r="E209" s="953"/>
      <c r="F209" s="953"/>
      <c r="G209" s="953"/>
      <c r="H209" s="953"/>
      <c r="I209" s="953"/>
      <c r="J209" s="953"/>
    </row>
    <row r="210" spans="1:10" s="902" customFormat="1" ht="20.100000000000001" customHeight="1">
      <c r="A210" s="953"/>
      <c r="B210" s="1105"/>
      <c r="C210" s="953"/>
      <c r="D210" s="1114" t="s">
        <v>56</v>
      </c>
      <c r="E210" s="953"/>
      <c r="F210" s="953"/>
      <c r="G210" s="953"/>
      <c r="H210" s="953"/>
      <c r="I210" s="953"/>
      <c r="J210" s="953"/>
    </row>
    <row r="211" spans="1:10" s="902" customFormat="1" ht="20.100000000000001" customHeight="1">
      <c r="A211" s="953"/>
      <c r="B211" s="1110" t="s">
        <v>36</v>
      </c>
      <c r="C211" s="1116" t="s">
        <v>37</v>
      </c>
      <c r="D211" s="953"/>
      <c r="E211" s="953"/>
      <c r="F211" s="953"/>
      <c r="G211" s="953"/>
      <c r="H211" s="953"/>
      <c r="I211" s="953"/>
      <c r="J211" s="953"/>
    </row>
    <row r="212" spans="1:10" s="902" customFormat="1" ht="20.100000000000001" customHeight="1">
      <c r="A212" s="953"/>
      <c r="B212" s="1117">
        <v>0.86</v>
      </c>
      <c r="C212" s="1118" t="s">
        <v>57</v>
      </c>
      <c r="D212" s="1114" t="s">
        <v>14</v>
      </c>
      <c r="E212" s="953"/>
      <c r="F212" s="953"/>
      <c r="G212" s="953"/>
      <c r="H212" s="1117">
        <f>'SSR-rates'!$K$58</f>
        <v>575</v>
      </c>
      <c r="I212" s="1117" t="s">
        <v>38</v>
      </c>
      <c r="J212" s="1129">
        <f>ROUND(B212*H212,2)</f>
        <v>494.5</v>
      </c>
    </row>
    <row r="213" spans="1:10" s="902" customFormat="1" ht="20.100000000000001" customHeight="1">
      <c r="A213" s="953"/>
      <c r="B213" s="1117">
        <v>1.5</v>
      </c>
      <c r="C213" s="1118" t="s">
        <v>57</v>
      </c>
      <c r="D213" s="1114" t="s">
        <v>58</v>
      </c>
      <c r="E213" s="953"/>
      <c r="F213" s="953"/>
      <c r="G213" s="953"/>
      <c r="H213" s="1117">
        <f>+'SSR-rates'!$K$54</f>
        <v>615</v>
      </c>
      <c r="I213" s="1117" t="s">
        <v>38</v>
      </c>
      <c r="J213" s="1129">
        <f>ROUND(B213*H213,2)</f>
        <v>922.5</v>
      </c>
    </row>
    <row r="214" spans="1:10" s="902" customFormat="1" ht="20.100000000000001" customHeight="1">
      <c r="A214" s="953"/>
      <c r="B214" s="1117">
        <v>20</v>
      </c>
      <c r="C214" s="1118" t="s">
        <v>57</v>
      </c>
      <c r="D214" s="1114" t="s">
        <v>59</v>
      </c>
      <c r="E214" s="953"/>
      <c r="F214" s="953"/>
      <c r="G214" s="953"/>
      <c r="H214" s="1117">
        <f>'SSR-rates'!$K$60</f>
        <v>575</v>
      </c>
      <c r="I214" s="1117" t="s">
        <v>38</v>
      </c>
      <c r="J214" s="1129">
        <f>ROUND(B214*H214,2)</f>
        <v>11500</v>
      </c>
    </row>
    <row r="215" spans="1:10" ht="20.100000000000001" customHeight="1">
      <c r="A215" s="1110"/>
      <c r="B215" s="1119">
        <f>+'Input Data'!$D$23</f>
        <v>0</v>
      </c>
      <c r="C215" s="1120"/>
      <c r="D215" s="953" t="s">
        <v>17</v>
      </c>
      <c r="E215" s="953"/>
      <c r="F215" s="1118"/>
      <c r="G215" s="1118"/>
      <c r="H215" s="1117">
        <f>SUM(J212:J214)</f>
        <v>12917</v>
      </c>
      <c r="I215" s="1105"/>
      <c r="J215" s="1129">
        <f>B215*H215</f>
        <v>0</v>
      </c>
    </row>
    <row r="216" spans="1:10" s="902" customFormat="1" ht="20.100000000000001" customHeight="1">
      <c r="A216" s="953"/>
      <c r="B216" s="1117"/>
      <c r="C216" s="953"/>
      <c r="D216" s="1114" t="s">
        <v>60</v>
      </c>
      <c r="E216" s="953"/>
      <c r="F216" s="953"/>
      <c r="G216" s="953"/>
      <c r="H216" s="1117"/>
      <c r="I216" s="1117"/>
      <c r="J216" s="1130">
        <f>SUM(J212:J215)</f>
        <v>12917</v>
      </c>
    </row>
    <row r="217" spans="1:10" s="902" customFormat="1" ht="20.100000000000001" customHeight="1">
      <c r="A217" s="953"/>
      <c r="B217" s="1110" t="s">
        <v>39</v>
      </c>
      <c r="C217" s="1116" t="s">
        <v>61</v>
      </c>
      <c r="D217" s="953"/>
      <c r="E217" s="953"/>
      <c r="F217" s="953"/>
      <c r="G217" s="953"/>
      <c r="H217" s="953"/>
      <c r="I217" s="1117"/>
      <c r="J217" s="1129"/>
    </row>
    <row r="218" spans="1:10" s="902" customFormat="1" ht="20.100000000000001" customHeight="1">
      <c r="A218" s="953"/>
      <c r="B218" s="1117">
        <v>5.4</v>
      </c>
      <c r="C218" s="1118" t="s">
        <v>31</v>
      </c>
      <c r="D218" s="1114" t="s">
        <v>1582</v>
      </c>
      <c r="E218" s="953"/>
      <c r="F218" s="953"/>
      <c r="G218" s="953"/>
      <c r="H218" s="1117">
        <f>+lead!$J$14</f>
        <v>1732.2187651278443</v>
      </c>
      <c r="I218" s="1117" t="s">
        <v>31</v>
      </c>
      <c r="J218" s="1129">
        <f t="shared" ref="J218:J223" si="6">ROUND(B218*H218,2)</f>
        <v>9353.98</v>
      </c>
    </row>
    <row r="219" spans="1:10" ht="20.100000000000001" customHeight="1">
      <c r="A219" s="1118"/>
      <c r="B219" s="1117">
        <v>5.4</v>
      </c>
      <c r="C219" s="1118" t="s">
        <v>31</v>
      </c>
      <c r="D219" s="953" t="s">
        <v>63</v>
      </c>
      <c r="E219" s="953"/>
      <c r="F219" s="953"/>
      <c r="G219" s="953"/>
      <c r="H219" s="1117">
        <f>+lead!$J$16</f>
        <v>2031.2187651278443</v>
      </c>
      <c r="I219" s="1117" t="s">
        <v>31</v>
      </c>
      <c r="J219" s="1114">
        <f t="shared" si="6"/>
        <v>10968.58</v>
      </c>
    </row>
    <row r="220" spans="1:10" ht="20.100000000000001" customHeight="1">
      <c r="A220" s="1118"/>
      <c r="B220" s="1117">
        <v>2.7</v>
      </c>
      <c r="C220" s="1118" t="s">
        <v>31</v>
      </c>
      <c r="D220" s="953" t="s">
        <v>64</v>
      </c>
      <c r="E220" s="953"/>
      <c r="F220" s="953"/>
      <c r="G220" s="953"/>
      <c r="H220" s="1117">
        <f>+lead!$J$18</f>
        <v>1780.2187651278443</v>
      </c>
      <c r="I220" s="1117" t="s">
        <v>31</v>
      </c>
      <c r="J220" s="1114">
        <f t="shared" si="6"/>
        <v>4806.59</v>
      </c>
    </row>
    <row r="221" spans="1:10" s="902" customFormat="1" ht="45" customHeight="1">
      <c r="A221" s="953"/>
      <c r="B221" s="1122">
        <f>6.75/2</f>
        <v>3.375</v>
      </c>
      <c r="C221" s="1118" t="s">
        <v>31</v>
      </c>
      <c r="D221" s="3669" t="s">
        <v>1442</v>
      </c>
      <c r="E221" s="3669"/>
      <c r="F221" s="3669"/>
      <c r="G221" s="3669"/>
      <c r="H221" s="1121">
        <f>lead!$J$31</f>
        <v>1850.9213132068826</v>
      </c>
      <c r="I221" s="1117" t="s">
        <v>31</v>
      </c>
      <c r="J221" s="1129">
        <f t="shared" si="6"/>
        <v>6246.86</v>
      </c>
    </row>
    <row r="222" spans="1:10" s="902" customFormat="1" ht="35.1" customHeight="1">
      <c r="A222" s="953"/>
      <c r="B222" s="1122">
        <f>6.75/2</f>
        <v>3.375</v>
      </c>
      <c r="C222" s="1118" t="s">
        <v>31</v>
      </c>
      <c r="D222" s="3669" t="s">
        <v>1443</v>
      </c>
      <c r="E222" s="3669"/>
      <c r="F222" s="3669"/>
      <c r="G222" s="3669"/>
      <c r="H222" s="1121">
        <f>lead!$J$33</f>
        <v>1473.2187651278443</v>
      </c>
      <c r="I222" s="1117" t="s">
        <v>31</v>
      </c>
      <c r="J222" s="1129">
        <f t="shared" si="6"/>
        <v>4972.1099999999997</v>
      </c>
    </row>
    <row r="223" spans="1:10" s="902" customFormat="1" ht="20.100000000000001" customHeight="1">
      <c r="A223" s="953"/>
      <c r="B223" s="1117">
        <v>5.16</v>
      </c>
      <c r="C223" s="1118" t="s">
        <v>66</v>
      </c>
      <c r="D223" s="1114" t="s">
        <v>67</v>
      </c>
      <c r="E223" s="953"/>
      <c r="F223" s="953"/>
      <c r="G223" s="953"/>
      <c r="H223" s="1117">
        <f>+lead!$J$36</f>
        <v>5000</v>
      </c>
      <c r="I223" s="1117" t="s">
        <v>66</v>
      </c>
      <c r="J223" s="1129">
        <f t="shared" si="6"/>
        <v>25800</v>
      </c>
    </row>
    <row r="224" spans="1:10" s="902" customFormat="1" ht="20.100000000000001" customHeight="1">
      <c r="A224" s="953"/>
      <c r="B224" s="1122"/>
      <c r="C224" s="1120"/>
      <c r="D224" s="1114" t="s">
        <v>60</v>
      </c>
      <c r="E224" s="953"/>
      <c r="F224" s="953"/>
      <c r="G224" s="953"/>
      <c r="H224" s="1117"/>
      <c r="I224" s="1117"/>
      <c r="J224" s="1130">
        <f>SUM(J218:J223)</f>
        <v>62148.119999999995</v>
      </c>
    </row>
    <row r="225" spans="1:10" s="902" customFormat="1" ht="20.100000000000001" customHeight="1">
      <c r="A225" s="953"/>
      <c r="B225" s="1110" t="s">
        <v>1583</v>
      </c>
      <c r="C225" s="1116" t="s">
        <v>40</v>
      </c>
      <c r="D225" s="953"/>
      <c r="E225" s="953"/>
      <c r="F225" s="953"/>
      <c r="G225" s="953"/>
      <c r="H225" s="1117"/>
      <c r="I225" s="1117"/>
      <c r="J225" s="1129"/>
    </row>
    <row r="226" spans="1:10" s="902" customFormat="1" ht="20.100000000000001" customHeight="1">
      <c r="A226" s="953"/>
      <c r="B226" s="1117">
        <v>6</v>
      </c>
      <c r="C226" s="1118" t="s">
        <v>41</v>
      </c>
      <c r="D226" s="1114" t="s">
        <v>68</v>
      </c>
      <c r="E226" s="953"/>
      <c r="F226" s="953"/>
      <c r="G226" s="953"/>
      <c r="H226" s="1117">
        <f>+'SSR-rates'!K88</f>
        <v>697.9</v>
      </c>
      <c r="I226" s="1117" t="s">
        <v>41</v>
      </c>
      <c r="J226" s="1129">
        <f>ROUND(B226*H226,2)</f>
        <v>4187.3999999999996</v>
      </c>
    </row>
    <row r="227" spans="1:10" s="902" customFormat="1" ht="20.100000000000001" customHeight="1">
      <c r="A227" s="1110"/>
      <c r="B227" s="1117">
        <v>6</v>
      </c>
      <c r="C227" s="1118" t="s">
        <v>41</v>
      </c>
      <c r="D227" s="1114" t="s">
        <v>1584</v>
      </c>
      <c r="E227" s="953"/>
      <c r="F227" s="953"/>
      <c r="G227" s="953"/>
      <c r="H227" s="1117">
        <f>+'SSR-rates'!K87</f>
        <v>1323.5</v>
      </c>
      <c r="I227" s="1117" t="s">
        <v>41</v>
      </c>
      <c r="J227" s="1129">
        <f>ROUND(B227*H227,2)</f>
        <v>7941</v>
      </c>
    </row>
    <row r="228" spans="1:10" s="902" customFormat="1" ht="20.100000000000001" customHeight="1">
      <c r="A228" s="1110"/>
      <c r="B228" s="1117"/>
      <c r="C228" s="1120"/>
      <c r="D228" s="1114" t="s">
        <v>60</v>
      </c>
      <c r="E228" s="953"/>
      <c r="F228" s="953"/>
      <c r="G228" s="953"/>
      <c r="H228" s="1117"/>
      <c r="I228" s="1117"/>
      <c r="J228" s="1130">
        <f>SUM(J226:J227)</f>
        <v>12128.4</v>
      </c>
    </row>
    <row r="229" spans="1:10" ht="20.100000000000001" customHeight="1">
      <c r="A229" s="1118"/>
      <c r="B229" s="1110" t="s">
        <v>45</v>
      </c>
      <c r="C229" s="1116" t="s">
        <v>71</v>
      </c>
      <c r="D229" s="953"/>
      <c r="E229" s="953"/>
      <c r="F229" s="953"/>
      <c r="G229" s="953"/>
      <c r="H229" s="1117"/>
      <c r="I229" s="1117"/>
      <c r="J229" s="1114"/>
    </row>
    <row r="230" spans="1:10" ht="20.100000000000001" customHeight="1">
      <c r="A230" s="1118"/>
      <c r="B230" s="1117">
        <v>10</v>
      </c>
      <c r="C230" s="1118" t="s">
        <v>29</v>
      </c>
      <c r="D230" s="953" t="s">
        <v>72</v>
      </c>
      <c r="E230" s="953"/>
      <c r="F230" s="953"/>
      <c r="G230" s="953"/>
      <c r="H230" s="1117">
        <f>+J228+J224+J216</f>
        <v>87193.51999999999</v>
      </c>
      <c r="I230" s="1105" t="s">
        <v>73</v>
      </c>
      <c r="J230" s="1114">
        <f>ROUND(B230*H230/100,2)</f>
        <v>8719.35</v>
      </c>
    </row>
    <row r="231" spans="1:10" s="902" customFormat="1" ht="20.100000000000001" customHeight="1">
      <c r="A231" s="1110"/>
      <c r="B231" s="1110" t="s">
        <v>45</v>
      </c>
      <c r="C231" s="1123" t="s">
        <v>1092</v>
      </c>
      <c r="D231" s="953"/>
      <c r="E231" s="953"/>
      <c r="F231" s="1118"/>
      <c r="G231" s="1118"/>
      <c r="H231" s="1118"/>
      <c r="I231" s="1118"/>
      <c r="J231" s="1130"/>
    </row>
    <row r="232" spans="1:10" s="902" customFormat="1" ht="20.100000000000001" customHeight="1">
      <c r="A232" s="953"/>
      <c r="B232" s="1124">
        <f>'Input Data'!$D$24</f>
        <v>0.13614999999999999</v>
      </c>
      <c r="C232" s="1123" t="s">
        <v>1092</v>
      </c>
      <c r="D232" s="953"/>
      <c r="E232" s="953"/>
      <c r="F232" s="1118"/>
      <c r="G232" s="1118"/>
      <c r="H232" s="1118"/>
      <c r="I232" s="1118"/>
      <c r="J232" s="1129">
        <f>ROUND((J216+J224+J228+J230)*B232,2)</f>
        <v>13058.54</v>
      </c>
    </row>
    <row r="233" spans="1:10" s="902" customFormat="1" ht="20.100000000000001" customHeight="1">
      <c r="A233" s="953"/>
      <c r="B233" s="1125">
        <f>'Input Data'!$E$24</f>
        <v>0</v>
      </c>
      <c r="C233" s="1126" t="s">
        <v>1093</v>
      </c>
      <c r="D233" s="953"/>
      <c r="E233" s="953"/>
      <c r="F233" s="1118"/>
      <c r="G233" s="1118"/>
      <c r="H233" s="1120">
        <f>J232+J230+J228+J224+J216</f>
        <v>108971.41</v>
      </c>
      <c r="I233" s="1118"/>
      <c r="J233" s="1129">
        <f>H233*B233</f>
        <v>0</v>
      </c>
    </row>
    <row r="234" spans="1:10" s="902" customFormat="1" ht="20.100000000000001" customHeight="1">
      <c r="A234" s="953"/>
      <c r="B234" s="1110" t="s">
        <v>47</v>
      </c>
      <c r="C234" s="1123" t="s">
        <v>89</v>
      </c>
      <c r="D234" s="953"/>
      <c r="E234" s="953"/>
      <c r="F234" s="1118"/>
      <c r="G234" s="1118"/>
      <c r="H234" s="1118"/>
      <c r="I234" s="1118"/>
      <c r="J234" s="1130">
        <f>H233+J233</f>
        <v>108971.41</v>
      </c>
    </row>
    <row r="235" spans="1:10" s="902" customFormat="1" ht="20.100000000000001" customHeight="1">
      <c r="A235" s="953"/>
      <c r="B235" s="1122"/>
      <c r="C235" s="1118"/>
      <c r="D235" s="1116" t="s">
        <v>1555</v>
      </c>
      <c r="E235" s="953"/>
      <c r="F235" s="953"/>
      <c r="G235" s="953"/>
      <c r="H235" s="1117"/>
      <c r="I235" s="1117"/>
      <c r="J235" s="1130">
        <f>SUM(J234:J234)</f>
        <v>108971.41</v>
      </c>
    </row>
    <row r="236" spans="1:10" s="902" customFormat="1" ht="20.100000000000001" customHeight="1">
      <c r="A236" s="953"/>
      <c r="B236" s="1117"/>
      <c r="C236" s="1118"/>
      <c r="D236" s="1114" t="s">
        <v>81</v>
      </c>
      <c r="E236" s="953"/>
      <c r="F236" s="953"/>
      <c r="G236" s="953"/>
      <c r="H236" s="1117"/>
      <c r="I236" s="953"/>
      <c r="J236" s="1129">
        <f>ROUND(J235/15,2)</f>
        <v>7264.76</v>
      </c>
    </row>
    <row r="237" spans="1:10" s="902" customFormat="1" ht="20.100000000000001" customHeight="1">
      <c r="A237" s="1127"/>
      <c r="B237" s="1105"/>
      <c r="C237" s="953"/>
      <c r="D237" s="1114" t="s">
        <v>52</v>
      </c>
      <c r="E237" s="953"/>
      <c r="F237" s="953"/>
      <c r="G237" s="953"/>
      <c r="H237" s="1117"/>
      <c r="I237" s="953"/>
      <c r="J237" s="1159">
        <f>ROUND(J236,2)</f>
        <v>7264.76</v>
      </c>
    </row>
    <row r="238" spans="1:10" s="902" customFormat="1" ht="20.100000000000001" customHeight="1">
      <c r="A238" s="953"/>
      <c r="B238" s="1105"/>
      <c r="C238" s="953"/>
      <c r="D238" s="1114"/>
      <c r="E238" s="953"/>
      <c r="F238" s="953"/>
      <c r="G238" s="953"/>
      <c r="H238" s="1117"/>
      <c r="I238" s="953"/>
      <c r="J238" s="1130" t="s">
        <v>53</v>
      </c>
    </row>
    <row r="239" spans="1:10" s="1102" customFormat="1" ht="114.6" customHeight="1">
      <c r="A239" s="1113">
        <f>A208+1</f>
        <v>6</v>
      </c>
      <c r="B239" s="3670" t="s">
        <v>1599</v>
      </c>
      <c r="C239" s="3670"/>
      <c r="D239" s="3670"/>
      <c r="E239" s="3670"/>
      <c r="F239" s="3670"/>
      <c r="G239" s="3670"/>
      <c r="H239" s="3670"/>
      <c r="I239" s="3670"/>
      <c r="J239" s="3670"/>
    </row>
    <row r="240" spans="1:10" s="902" customFormat="1" ht="20.100000000000001" customHeight="1">
      <c r="A240" s="953"/>
      <c r="B240" s="1105"/>
      <c r="C240" s="953"/>
      <c r="D240" s="1114" t="s">
        <v>10</v>
      </c>
      <c r="E240" s="953"/>
      <c r="F240" s="953"/>
      <c r="G240" s="953"/>
      <c r="H240" s="953"/>
      <c r="I240" s="953"/>
      <c r="J240" s="953"/>
    </row>
    <row r="241" spans="1:10" s="902" customFormat="1" ht="20.100000000000001" customHeight="1">
      <c r="A241" s="953"/>
      <c r="B241" s="1105"/>
      <c r="C241" s="953"/>
      <c r="D241" s="1114" t="s">
        <v>56</v>
      </c>
      <c r="E241" s="953"/>
      <c r="F241" s="953"/>
      <c r="G241" s="953"/>
      <c r="H241" s="953"/>
      <c r="I241" s="953"/>
      <c r="J241" s="953"/>
    </row>
    <row r="242" spans="1:10" s="902" customFormat="1" ht="20.100000000000001" customHeight="1">
      <c r="A242" s="953"/>
      <c r="B242" s="1110" t="s">
        <v>36</v>
      </c>
      <c r="C242" s="1116" t="s">
        <v>37</v>
      </c>
      <c r="D242" s="953"/>
      <c r="E242" s="953"/>
      <c r="F242" s="953"/>
      <c r="G242" s="953"/>
      <c r="H242" s="953"/>
      <c r="I242" s="953"/>
      <c r="J242" s="953"/>
    </row>
    <row r="243" spans="1:10" s="902" customFormat="1" ht="20.100000000000001" customHeight="1">
      <c r="A243" s="953"/>
      <c r="B243" s="1117">
        <v>0.86</v>
      </c>
      <c r="C243" s="1118" t="s">
        <v>57</v>
      </c>
      <c r="D243" s="1114" t="s">
        <v>14</v>
      </c>
      <c r="E243" s="953"/>
      <c r="F243" s="953"/>
      <c r="G243" s="953"/>
      <c r="H243" s="1117">
        <f>'SSR-rates'!$K$58</f>
        <v>575</v>
      </c>
      <c r="I243" s="1117" t="s">
        <v>38</v>
      </c>
      <c r="J243" s="1129">
        <f>ROUND(B243*H243,2)</f>
        <v>494.5</v>
      </c>
    </row>
    <row r="244" spans="1:10" s="902" customFormat="1" ht="20.100000000000001" customHeight="1">
      <c r="A244" s="953"/>
      <c r="B244" s="1117">
        <v>1.5</v>
      </c>
      <c r="C244" s="1118" t="s">
        <v>57</v>
      </c>
      <c r="D244" s="1114" t="s">
        <v>58</v>
      </c>
      <c r="E244" s="953"/>
      <c r="F244" s="953"/>
      <c r="G244" s="953"/>
      <c r="H244" s="1117">
        <f>+'SSR-rates'!$K$54</f>
        <v>615</v>
      </c>
      <c r="I244" s="1117" t="s">
        <v>38</v>
      </c>
      <c r="J244" s="1129">
        <f>ROUND(B244*H244,2)</f>
        <v>922.5</v>
      </c>
    </row>
    <row r="245" spans="1:10" s="902" customFormat="1" ht="20.100000000000001" customHeight="1">
      <c r="A245" s="953"/>
      <c r="B245" s="1117">
        <v>20</v>
      </c>
      <c r="C245" s="1118" t="s">
        <v>57</v>
      </c>
      <c r="D245" s="1114" t="s">
        <v>59</v>
      </c>
      <c r="E245" s="953"/>
      <c r="F245" s="953"/>
      <c r="G245" s="953"/>
      <c r="H245" s="1117">
        <f>'SSR-rates'!$K$60</f>
        <v>575</v>
      </c>
      <c r="I245" s="1117" t="s">
        <v>38</v>
      </c>
      <c r="J245" s="1129">
        <f>ROUND(B245*H245,2)</f>
        <v>11500</v>
      </c>
    </row>
    <row r="246" spans="1:10" ht="20.100000000000001" customHeight="1">
      <c r="A246" s="1110"/>
      <c r="B246" s="1119">
        <f>+'Input Data'!D23</f>
        <v>0</v>
      </c>
      <c r="C246" s="1120"/>
      <c r="D246" s="953" t="s">
        <v>17</v>
      </c>
      <c r="E246" s="953"/>
      <c r="F246" s="1118"/>
      <c r="G246" s="1118"/>
      <c r="H246" s="1117">
        <f>SUM(J243:J245)</f>
        <v>12917</v>
      </c>
      <c r="I246" s="1105"/>
      <c r="J246" s="1129">
        <f>B246*H246</f>
        <v>0</v>
      </c>
    </row>
    <row r="247" spans="1:10" s="902" customFormat="1" ht="20.100000000000001" customHeight="1">
      <c r="A247" s="953"/>
      <c r="B247" s="1117"/>
      <c r="C247" s="953"/>
      <c r="D247" s="1114" t="s">
        <v>60</v>
      </c>
      <c r="E247" s="953"/>
      <c r="F247" s="953"/>
      <c r="G247" s="953"/>
      <c r="H247" s="1117"/>
      <c r="I247" s="1117"/>
      <c r="J247" s="1130">
        <f>SUM(J243:J246)</f>
        <v>12917</v>
      </c>
    </row>
    <row r="248" spans="1:10" s="902" customFormat="1" ht="20.100000000000001" customHeight="1">
      <c r="A248" s="953"/>
      <c r="B248" s="1110" t="s">
        <v>39</v>
      </c>
      <c r="C248" s="1116" t="s">
        <v>61</v>
      </c>
      <c r="D248" s="953"/>
      <c r="E248" s="953"/>
      <c r="F248" s="953"/>
      <c r="G248" s="953"/>
      <c r="H248" s="953"/>
      <c r="I248" s="1117"/>
      <c r="J248" s="1129"/>
    </row>
    <row r="249" spans="1:10" ht="20.100000000000001" customHeight="1">
      <c r="A249" s="1118"/>
      <c r="B249" s="1117">
        <v>8.1</v>
      </c>
      <c r="C249" s="1118" t="s">
        <v>31</v>
      </c>
      <c r="D249" s="953" t="s">
        <v>63</v>
      </c>
      <c r="E249" s="953"/>
      <c r="F249" s="953"/>
      <c r="G249" s="953"/>
      <c r="H249" s="1117">
        <f>+lead!$J$16</f>
        <v>2031.2187651278443</v>
      </c>
      <c r="I249" s="1117" t="s">
        <v>31</v>
      </c>
      <c r="J249" s="1114">
        <f>ROUND(B249*H249,2)</f>
        <v>16452.87</v>
      </c>
    </row>
    <row r="250" spans="1:10" ht="20.100000000000001" customHeight="1">
      <c r="A250" s="1118"/>
      <c r="B250" s="1117">
        <v>5.4</v>
      </c>
      <c r="C250" s="1118" t="s">
        <v>31</v>
      </c>
      <c r="D250" s="953" t="s">
        <v>64</v>
      </c>
      <c r="E250" s="953"/>
      <c r="F250" s="953"/>
      <c r="G250" s="953"/>
      <c r="H250" s="1117">
        <f>+lead!$J$18</f>
        <v>1780.2187651278443</v>
      </c>
      <c r="I250" s="1117" t="s">
        <v>31</v>
      </c>
      <c r="J250" s="1114">
        <f>ROUND(B250*H250,2)</f>
        <v>9613.18</v>
      </c>
    </row>
    <row r="251" spans="1:10" s="902" customFormat="1" ht="45" customHeight="1">
      <c r="A251" s="953"/>
      <c r="B251" s="1122">
        <f>6.75/2</f>
        <v>3.375</v>
      </c>
      <c r="C251" s="1118" t="s">
        <v>31</v>
      </c>
      <c r="D251" s="3669" t="s">
        <v>1442</v>
      </c>
      <c r="E251" s="3669"/>
      <c r="F251" s="3669"/>
      <c r="G251" s="3669"/>
      <c r="H251" s="1121">
        <f>lead!$J$31</f>
        <v>1850.9213132068826</v>
      </c>
      <c r="I251" s="1117" t="s">
        <v>31</v>
      </c>
      <c r="J251" s="1129">
        <f>ROUND(B251*H251,2)</f>
        <v>6246.86</v>
      </c>
    </row>
    <row r="252" spans="1:10" s="902" customFormat="1" ht="35.1" customHeight="1">
      <c r="A252" s="953"/>
      <c r="B252" s="1122">
        <f>6.75/2</f>
        <v>3.375</v>
      </c>
      <c r="C252" s="1118" t="s">
        <v>31</v>
      </c>
      <c r="D252" s="3669" t="s">
        <v>1443</v>
      </c>
      <c r="E252" s="3669"/>
      <c r="F252" s="3669"/>
      <c r="G252" s="3669"/>
      <c r="H252" s="1121">
        <f>lead!$J$33</f>
        <v>1473.2187651278443</v>
      </c>
      <c r="I252" s="1117" t="s">
        <v>31</v>
      </c>
      <c r="J252" s="1129">
        <f>ROUND(B252*H252,2)</f>
        <v>4972.1099999999997</v>
      </c>
    </row>
    <row r="253" spans="1:10" s="902" customFormat="1" ht="20.100000000000001" customHeight="1">
      <c r="A253" s="953"/>
      <c r="B253" s="1117">
        <v>6.05</v>
      </c>
      <c r="C253" s="1118" t="s">
        <v>66</v>
      </c>
      <c r="D253" s="1114" t="s">
        <v>67</v>
      </c>
      <c r="E253" s="953"/>
      <c r="F253" s="953"/>
      <c r="G253" s="953"/>
      <c r="H253" s="1117">
        <f>+lead!$J$36</f>
        <v>5000</v>
      </c>
      <c r="I253" s="1117" t="s">
        <v>66</v>
      </c>
      <c r="J253" s="1129">
        <f>ROUND(B253*H253,2)</f>
        <v>30250</v>
      </c>
    </row>
    <row r="254" spans="1:10" s="902" customFormat="1" ht="20.100000000000001" customHeight="1">
      <c r="A254" s="953"/>
      <c r="B254" s="1122"/>
      <c r="C254" s="1120"/>
      <c r="D254" s="1114" t="s">
        <v>60</v>
      </c>
      <c r="E254" s="953"/>
      <c r="F254" s="953"/>
      <c r="G254" s="953"/>
      <c r="H254" s="1117"/>
      <c r="I254" s="1117"/>
      <c r="J254" s="1130">
        <f>SUM(J249:J253)</f>
        <v>67535.01999999999</v>
      </c>
    </row>
    <row r="255" spans="1:10" s="902" customFormat="1" ht="20.100000000000001" customHeight="1">
      <c r="A255" s="953"/>
      <c r="B255" s="1110" t="s">
        <v>1583</v>
      </c>
      <c r="C255" s="1116" t="s">
        <v>40</v>
      </c>
      <c r="D255" s="953"/>
      <c r="E255" s="953"/>
      <c r="F255" s="953"/>
      <c r="G255" s="953"/>
      <c r="H255" s="1117"/>
      <c r="I255" s="1117"/>
      <c r="J255" s="1129"/>
    </row>
    <row r="256" spans="1:10" s="902" customFormat="1" ht="20.100000000000001" customHeight="1">
      <c r="A256" s="953"/>
      <c r="B256" s="1117">
        <v>6</v>
      </c>
      <c r="C256" s="1118" t="s">
        <v>41</v>
      </c>
      <c r="D256" s="1114" t="s">
        <v>68</v>
      </c>
      <c r="E256" s="953"/>
      <c r="F256" s="953"/>
      <c r="G256" s="953"/>
      <c r="H256" s="1117">
        <f>+'SSR-rates'!$K$88</f>
        <v>697.9</v>
      </c>
      <c r="I256" s="1117" t="s">
        <v>41</v>
      </c>
      <c r="J256" s="1129">
        <f>ROUND(B256*H256,2)</f>
        <v>4187.3999999999996</v>
      </c>
    </row>
    <row r="257" spans="1:10" s="902" customFormat="1" ht="20.100000000000001" customHeight="1">
      <c r="A257" s="1110"/>
      <c r="B257" s="1117">
        <v>6</v>
      </c>
      <c r="C257" s="1118" t="s">
        <v>41</v>
      </c>
      <c r="D257" s="1114" t="s">
        <v>1584</v>
      </c>
      <c r="E257" s="953"/>
      <c r="F257" s="953"/>
      <c r="G257" s="953"/>
      <c r="H257" s="1117">
        <f>+'SSR-rates'!$K$87</f>
        <v>1323.5</v>
      </c>
      <c r="I257" s="1117" t="s">
        <v>41</v>
      </c>
      <c r="J257" s="1129">
        <f>ROUND(B257*H257,2)</f>
        <v>7941</v>
      </c>
    </row>
    <row r="258" spans="1:10" s="902" customFormat="1" ht="20.100000000000001" customHeight="1">
      <c r="A258" s="1110"/>
      <c r="B258" s="1117"/>
      <c r="C258" s="1120"/>
      <c r="D258" s="1114" t="s">
        <v>60</v>
      </c>
      <c r="E258" s="953"/>
      <c r="F258" s="953"/>
      <c r="G258" s="953"/>
      <c r="H258" s="1117"/>
      <c r="I258" s="1117"/>
      <c r="J258" s="1130">
        <f>SUM(J256:J257)</f>
        <v>12128.4</v>
      </c>
    </row>
    <row r="259" spans="1:10" ht="20.100000000000001" customHeight="1">
      <c r="A259" s="1118"/>
      <c r="B259" s="1110" t="s">
        <v>45</v>
      </c>
      <c r="C259" s="1116" t="s">
        <v>71</v>
      </c>
      <c r="D259" s="953"/>
      <c r="E259" s="953"/>
      <c r="F259" s="953"/>
      <c r="G259" s="953"/>
      <c r="H259" s="1117"/>
      <c r="I259" s="1117"/>
      <c r="J259" s="1114"/>
    </row>
    <row r="260" spans="1:10" ht="20.100000000000001" customHeight="1">
      <c r="A260" s="1118"/>
      <c r="B260" s="1117">
        <v>10</v>
      </c>
      <c r="C260" s="1118" t="s">
        <v>29</v>
      </c>
      <c r="D260" s="953" t="s">
        <v>72</v>
      </c>
      <c r="E260" s="953"/>
      <c r="F260" s="953"/>
      <c r="G260" s="953"/>
      <c r="H260" s="1117">
        <f>+J258+J254+J247</f>
        <v>92580.419999999984</v>
      </c>
      <c r="I260" s="1105" t="s">
        <v>73</v>
      </c>
      <c r="J260" s="1114">
        <f>ROUND(B260*H260/100,2)</f>
        <v>9258.0400000000009</v>
      </c>
    </row>
    <row r="261" spans="1:10" s="902" customFormat="1" ht="20.100000000000001" customHeight="1">
      <c r="A261" s="1110"/>
      <c r="B261" s="1110" t="s">
        <v>45</v>
      </c>
      <c r="C261" s="1123" t="s">
        <v>1092</v>
      </c>
      <c r="D261" s="953"/>
      <c r="E261" s="953"/>
      <c r="F261" s="1118"/>
      <c r="G261" s="1118"/>
      <c r="H261" s="1118"/>
      <c r="I261" s="1118"/>
      <c r="J261" s="1130"/>
    </row>
    <row r="262" spans="1:10" s="902" customFormat="1" ht="20.100000000000001" customHeight="1">
      <c r="A262" s="953"/>
      <c r="B262" s="1124">
        <f>'Input Data'!$D$24</f>
        <v>0.13614999999999999</v>
      </c>
      <c r="C262" s="1123" t="s">
        <v>1092</v>
      </c>
      <c r="D262" s="953"/>
      <c r="E262" s="953"/>
      <c r="F262" s="1118"/>
      <c r="G262" s="1118"/>
      <c r="H262" s="1118"/>
      <c r="I262" s="1118"/>
      <c r="J262" s="1129">
        <f>ROUND((J247+J254+J258+J260)*B262,2)</f>
        <v>13865.31</v>
      </c>
    </row>
    <row r="263" spans="1:10" s="902" customFormat="1" ht="20.100000000000001" customHeight="1">
      <c r="A263" s="953"/>
      <c r="B263" s="1125">
        <f>'Input Data'!$E$24</f>
        <v>0</v>
      </c>
      <c r="C263" s="1126" t="s">
        <v>1093</v>
      </c>
      <c r="D263" s="953"/>
      <c r="E263" s="953"/>
      <c r="F263" s="1118"/>
      <c r="G263" s="1118"/>
      <c r="H263" s="1120">
        <f>J262+J260+J258+J254+J247</f>
        <v>115703.76999999999</v>
      </c>
      <c r="I263" s="1118"/>
      <c r="J263" s="1129">
        <f>H263*B263</f>
        <v>0</v>
      </c>
    </row>
    <row r="264" spans="1:10" s="902" customFormat="1" ht="20.100000000000001" customHeight="1">
      <c r="A264" s="953"/>
      <c r="B264" s="1110" t="s">
        <v>47</v>
      </c>
      <c r="C264" s="1123" t="s">
        <v>89</v>
      </c>
      <c r="D264" s="953"/>
      <c r="E264" s="953"/>
      <c r="F264" s="1118"/>
      <c r="G264" s="1118"/>
      <c r="H264" s="1118"/>
      <c r="I264" s="1118"/>
      <c r="J264" s="1130">
        <f>J247+J254+J258+J260+J262+J263</f>
        <v>115703.76999999999</v>
      </c>
    </row>
    <row r="265" spans="1:10" s="902" customFormat="1" ht="20.100000000000001" customHeight="1">
      <c r="A265" s="953"/>
      <c r="B265" s="1122"/>
      <c r="C265" s="1118"/>
      <c r="D265" s="1116" t="s">
        <v>1555</v>
      </c>
      <c r="E265" s="953"/>
      <c r="F265" s="953"/>
      <c r="G265" s="953"/>
      <c r="H265" s="1117"/>
      <c r="I265" s="1117"/>
      <c r="J265" s="1130">
        <f>SUM(J264:J264)</f>
        <v>115703.76999999999</v>
      </c>
    </row>
    <row r="266" spans="1:10" s="902" customFormat="1" ht="20.100000000000001" customHeight="1">
      <c r="A266" s="953"/>
      <c r="B266" s="1117"/>
      <c r="C266" s="1118"/>
      <c r="D266" s="1114" t="s">
        <v>81</v>
      </c>
      <c r="E266" s="953"/>
      <c r="F266" s="953"/>
      <c r="G266" s="953"/>
      <c r="H266" s="1117"/>
      <c r="I266" s="953"/>
      <c r="J266" s="1129">
        <f>ROUND(J265/15,2)</f>
        <v>7713.58</v>
      </c>
    </row>
    <row r="267" spans="1:10" s="902" customFormat="1" ht="20.100000000000001" customHeight="1">
      <c r="A267" s="1127"/>
      <c r="B267" s="1105"/>
      <c r="C267" s="953"/>
      <c r="D267" s="1114" t="s">
        <v>52</v>
      </c>
      <c r="E267" s="953"/>
      <c r="F267" s="953"/>
      <c r="G267" s="953"/>
      <c r="H267" s="1117"/>
      <c r="I267" s="953"/>
      <c r="J267" s="1131">
        <f>ROUND(J266,2)</f>
        <v>7713.58</v>
      </c>
    </row>
    <row r="268" spans="1:10" s="902" customFormat="1" ht="20.100000000000001" customHeight="1">
      <c r="A268" s="953"/>
      <c r="B268" s="1105"/>
      <c r="C268" s="953"/>
      <c r="D268" s="1114"/>
      <c r="E268" s="953"/>
      <c r="F268" s="953"/>
      <c r="G268" s="953"/>
      <c r="H268" s="1117"/>
      <c r="I268" s="953"/>
      <c r="J268" s="1130" t="s">
        <v>53</v>
      </c>
    </row>
    <row r="269" spans="1:10" ht="138" customHeight="1">
      <c r="A269" s="1132">
        <f>A239+1</f>
        <v>7</v>
      </c>
      <c r="B269" s="3673" t="s">
        <v>1600</v>
      </c>
      <c r="C269" s="3673"/>
      <c r="D269" s="3673"/>
      <c r="E269" s="3673"/>
      <c r="F269" s="3673"/>
      <c r="G269" s="3673"/>
      <c r="H269" s="3673"/>
      <c r="I269" s="3673"/>
      <c r="J269" s="3673"/>
    </row>
    <row r="270" spans="1:10" ht="20.100000000000001" customHeight="1">
      <c r="A270" s="1135"/>
      <c r="B270" s="1136"/>
      <c r="C270" s="1136"/>
      <c r="D270" s="3674" t="s">
        <v>195</v>
      </c>
      <c r="E270" s="3674"/>
      <c r="F270" s="3674"/>
      <c r="G270" s="3674"/>
      <c r="H270" s="1136"/>
      <c r="I270" s="1136"/>
      <c r="J270" s="1150"/>
    </row>
    <row r="271" spans="1:10" ht="20.100000000000001" customHeight="1">
      <c r="A271" s="1135"/>
      <c r="B271" s="1136"/>
      <c r="C271" s="1136"/>
      <c r="D271" s="3675" t="s">
        <v>186</v>
      </c>
      <c r="E271" s="3675"/>
      <c r="F271" s="3675"/>
      <c r="G271" s="3675"/>
      <c r="H271" s="1136"/>
      <c r="I271" s="1136"/>
      <c r="J271" s="1150"/>
    </row>
    <row r="272" spans="1:10" ht="20.100000000000001" customHeight="1">
      <c r="A272" s="1135"/>
      <c r="B272" s="1136"/>
      <c r="C272" s="1138"/>
      <c r="D272" s="3675" t="s">
        <v>187</v>
      </c>
      <c r="E272" s="3675"/>
      <c r="F272" s="3675"/>
      <c r="G272" s="3675"/>
      <c r="H272" s="1136"/>
      <c r="I272" s="1136"/>
      <c r="J272" s="1150"/>
    </row>
    <row r="273" spans="1:10" ht="20.100000000000001" customHeight="1">
      <c r="A273" s="1135"/>
      <c r="B273" s="1136"/>
      <c r="C273" s="1139"/>
      <c r="D273" s="3676" t="s">
        <v>12</v>
      </c>
      <c r="E273" s="3676"/>
      <c r="F273" s="3676"/>
      <c r="G273" s="3676"/>
      <c r="H273" s="1136"/>
      <c r="I273" s="1136"/>
      <c r="J273" s="1150"/>
    </row>
    <row r="274" spans="1:10" ht="20.100000000000001" customHeight="1">
      <c r="A274" s="1135"/>
      <c r="B274" s="1138">
        <v>0.34</v>
      </c>
      <c r="C274" s="1141" t="s">
        <v>13</v>
      </c>
      <c r="D274" s="3677" t="s">
        <v>14</v>
      </c>
      <c r="E274" s="3677"/>
      <c r="F274" s="3677"/>
      <c r="G274" s="3677"/>
      <c r="H274" s="1143">
        <f>'SSR-rates'!$K$58</f>
        <v>575</v>
      </c>
      <c r="I274" s="1138">
        <v>1</v>
      </c>
      <c r="J274" s="1151">
        <f>ROUND(B274*H274,2)</f>
        <v>195.5</v>
      </c>
    </row>
    <row r="275" spans="1:10" ht="20.100000000000001" customHeight="1">
      <c r="A275" s="1135"/>
      <c r="B275" s="1138">
        <v>2</v>
      </c>
      <c r="C275" s="1141" t="s">
        <v>13</v>
      </c>
      <c r="D275" s="3677" t="s">
        <v>188</v>
      </c>
      <c r="E275" s="3677"/>
      <c r="F275" s="3677"/>
      <c r="G275" s="3677"/>
      <c r="H275" s="1143">
        <f>'SSR-rates'!$K$92</f>
        <v>640</v>
      </c>
      <c r="I275" s="1138">
        <v>1</v>
      </c>
      <c r="J275" s="1151">
        <f>ROUND(B275*H275,2)</f>
        <v>1280</v>
      </c>
    </row>
    <row r="276" spans="1:10" ht="20.100000000000001" customHeight="1">
      <c r="A276" s="1135"/>
      <c r="B276" s="1138">
        <v>6.5</v>
      </c>
      <c r="C276" s="1141" t="s">
        <v>13</v>
      </c>
      <c r="D276" s="3677" t="s">
        <v>59</v>
      </c>
      <c r="E276" s="3677"/>
      <c r="F276" s="3677"/>
      <c r="G276" s="3677"/>
      <c r="H276" s="1143">
        <f>'SSR-rates'!$K$60</f>
        <v>575</v>
      </c>
      <c r="I276" s="1138">
        <v>1</v>
      </c>
      <c r="J276" s="1151">
        <f>ROUND(B276*H276,2)</f>
        <v>3737.5</v>
      </c>
    </row>
    <row r="277" spans="1:10" ht="20.100000000000001" customHeight="1">
      <c r="A277" s="1135"/>
      <c r="B277" s="1119">
        <f>'Input Data'!$D$23</f>
        <v>0</v>
      </c>
      <c r="C277" s="1120"/>
      <c r="D277" s="953" t="s">
        <v>17</v>
      </c>
      <c r="E277" s="953"/>
      <c r="F277" s="1118"/>
      <c r="G277" s="1118"/>
      <c r="H277" s="1117">
        <f>SUM(J274:J276)</f>
        <v>5213</v>
      </c>
      <c r="I277" s="1105"/>
      <c r="J277" s="1129">
        <f>B277*H277</f>
        <v>0</v>
      </c>
    </row>
    <row r="278" spans="1:10" ht="20.100000000000001" customHeight="1">
      <c r="A278" s="1135"/>
      <c r="B278" s="1138"/>
      <c r="C278" s="1144"/>
      <c r="D278" s="3678" t="s">
        <v>18</v>
      </c>
      <c r="E278" s="3678"/>
      <c r="F278" s="3678"/>
      <c r="G278" s="3678"/>
      <c r="H278" s="1138"/>
      <c r="I278" s="1152" t="s">
        <v>19</v>
      </c>
      <c r="J278" s="1153">
        <f>SUM(J274:J277)</f>
        <v>5213</v>
      </c>
    </row>
    <row r="279" spans="1:10" ht="20.100000000000001" customHeight="1">
      <c r="A279" s="1135"/>
      <c r="B279" s="1138"/>
      <c r="C279" s="1146"/>
      <c r="D279" s="3676" t="s">
        <v>189</v>
      </c>
      <c r="E279" s="3676"/>
      <c r="F279" s="3676"/>
      <c r="G279" s="3676"/>
      <c r="H279" s="1138"/>
      <c r="I279" s="1138"/>
      <c r="J279" s="1151"/>
    </row>
    <row r="280" spans="1:10" ht="20.100000000000001" customHeight="1">
      <c r="A280" s="1135"/>
      <c r="B280" s="1138">
        <v>1.05</v>
      </c>
      <c r="C280" s="1141" t="s">
        <v>66</v>
      </c>
      <c r="D280" s="3677" t="s">
        <v>190</v>
      </c>
      <c r="E280" s="3677"/>
      <c r="F280" s="3677"/>
      <c r="G280" s="3677"/>
      <c r="H280" s="1138">
        <f>lead!$J$37</f>
        <v>49000</v>
      </c>
      <c r="I280" s="1138">
        <v>1</v>
      </c>
      <c r="J280" s="1151">
        <f>ROUND(B280*H280,2)</f>
        <v>51450</v>
      </c>
    </row>
    <row r="281" spans="1:10" ht="35.1" customHeight="1">
      <c r="A281" s="1118"/>
      <c r="B281" s="1160">
        <v>6</v>
      </c>
      <c r="C281" s="1145" t="s">
        <v>191</v>
      </c>
      <c r="D281" s="3681" t="s">
        <v>196</v>
      </c>
      <c r="E281" s="3681"/>
      <c r="F281" s="3681"/>
      <c r="G281" s="3681"/>
      <c r="H281" s="1160">
        <f>'SSR-rates'!$K$93</f>
        <v>83</v>
      </c>
      <c r="I281" s="1160">
        <v>1</v>
      </c>
      <c r="J281" s="1164">
        <f>H281*B281</f>
        <v>498</v>
      </c>
    </row>
    <row r="282" spans="1:10" ht="20.100000000000001" customHeight="1">
      <c r="A282" s="1135"/>
      <c r="B282" s="1138"/>
      <c r="C282" s="1144"/>
      <c r="D282" s="3678" t="s">
        <v>18</v>
      </c>
      <c r="E282" s="3678"/>
      <c r="F282" s="3678"/>
      <c r="G282" s="3678"/>
      <c r="H282" s="1138"/>
      <c r="I282" s="1152" t="s">
        <v>25</v>
      </c>
      <c r="J282" s="1153">
        <f>SUM(J280:J281)</f>
        <v>51948</v>
      </c>
    </row>
    <row r="283" spans="1:10" ht="35.1" customHeight="1">
      <c r="A283" s="1135"/>
      <c r="B283" s="1143"/>
      <c r="C283" s="1147"/>
      <c r="D283" s="3676" t="s">
        <v>26</v>
      </c>
      <c r="E283" s="3676"/>
      <c r="F283" s="3676"/>
      <c r="G283" s="3676"/>
      <c r="H283" s="1143"/>
      <c r="I283" s="1154"/>
      <c r="J283" s="1155">
        <f>J278+J282</f>
        <v>57161</v>
      </c>
    </row>
    <row r="284" spans="1:10" ht="20.100000000000001" customHeight="1">
      <c r="A284" s="1118"/>
      <c r="B284" s="1124">
        <f>'Input Data'!$D$24</f>
        <v>0.13614999999999999</v>
      </c>
      <c r="C284" s="1142"/>
      <c r="D284" s="3680" t="s">
        <v>1601</v>
      </c>
      <c r="E284" s="3680"/>
      <c r="F284" s="3680"/>
      <c r="G284" s="3680"/>
      <c r="H284" s="1160">
        <f>J283</f>
        <v>57161</v>
      </c>
      <c r="I284" s="1165"/>
      <c r="J284" s="1164">
        <f>H284*B284</f>
        <v>7782.4701499999992</v>
      </c>
    </row>
    <row r="285" spans="1:10" ht="20.100000000000001" customHeight="1">
      <c r="A285" s="1118"/>
      <c r="B285" s="1125">
        <f>'Input Data'!$E$24</f>
        <v>0</v>
      </c>
      <c r="C285" s="1126" t="s">
        <v>1093</v>
      </c>
      <c r="D285" s="1148"/>
      <c r="E285" s="1148"/>
      <c r="F285" s="1148"/>
      <c r="G285" s="1148"/>
      <c r="H285" s="1160">
        <f>J284+J282+J278</f>
        <v>64943.470150000001</v>
      </c>
      <c r="I285" s="1165"/>
      <c r="J285" s="1164">
        <f>H285*B285</f>
        <v>0</v>
      </c>
    </row>
    <row r="286" spans="1:10" ht="20.100000000000001" customHeight="1">
      <c r="A286" s="1135"/>
      <c r="B286" s="1143"/>
      <c r="C286" s="1147"/>
      <c r="D286" s="3676"/>
      <c r="E286" s="3676"/>
      <c r="F286" s="3676"/>
      <c r="G286" s="3676"/>
      <c r="H286" s="1143"/>
      <c r="I286" s="1156"/>
      <c r="J286" s="1157"/>
    </row>
    <row r="287" spans="1:10" ht="20.100000000000001" customHeight="1">
      <c r="A287" s="1135"/>
      <c r="B287" s="1143"/>
      <c r="C287" s="1147"/>
      <c r="D287" s="3676"/>
      <c r="E287" s="3676"/>
      <c r="F287" s="3676"/>
      <c r="G287" s="3676"/>
      <c r="H287" s="1143"/>
      <c r="I287" s="1156"/>
      <c r="J287" s="1155"/>
    </row>
    <row r="288" spans="1:10" ht="20.100000000000001" customHeight="1">
      <c r="A288" s="1135"/>
      <c r="B288" s="1143">
        <v>1</v>
      </c>
      <c r="C288" s="1147" t="s">
        <v>66</v>
      </c>
      <c r="D288" s="3678" t="str">
        <f>CONCATENATE("TOTAL Cost for ",B288,"  ",C288,"  =  (A+B+C)",)</f>
        <v>TOTAL Cost for 1  MT  =  (A+B+C)</v>
      </c>
      <c r="E288" s="3678"/>
      <c r="F288" s="3678"/>
      <c r="G288" s="3678"/>
      <c r="H288" s="1143"/>
      <c r="I288" s="1143"/>
      <c r="J288" s="1157">
        <f>SUM(J283:J286)</f>
        <v>64943.470150000001</v>
      </c>
    </row>
    <row r="289" spans="1:11" ht="20.100000000000001" customHeight="1">
      <c r="A289" s="1135"/>
      <c r="B289" s="1143"/>
      <c r="C289" s="1143"/>
      <c r="D289" s="3678" t="str">
        <f>CONCATENATE("Rate per  1  ",C288)</f>
        <v>Rate per  1  MT</v>
      </c>
      <c r="E289" s="3678"/>
      <c r="F289" s="3678"/>
      <c r="G289" s="3678"/>
      <c r="H289" s="1143"/>
      <c r="I289" s="1143"/>
      <c r="J289" s="1151">
        <f>J288/B288</f>
        <v>64943.470150000001</v>
      </c>
    </row>
    <row r="290" spans="1:11" ht="20.100000000000001" customHeight="1">
      <c r="A290" s="1135"/>
      <c r="B290" s="1138"/>
      <c r="C290" s="1138"/>
      <c r="D290" s="3674" t="str">
        <f>D289</f>
        <v>Rate per  1  MT</v>
      </c>
      <c r="E290" s="3674"/>
      <c r="F290" s="3674"/>
      <c r="G290" s="3674"/>
      <c r="H290" s="1143"/>
      <c r="I290" s="1143"/>
      <c r="J290" s="1153">
        <f>ROUND(J289,2)</f>
        <v>64943.47</v>
      </c>
      <c r="K290" s="903">
        <v>57086</v>
      </c>
    </row>
    <row r="291" spans="1:11" ht="109.5" customHeight="1">
      <c r="A291" s="1161">
        <f>A269+1</f>
        <v>8</v>
      </c>
      <c r="B291" s="3673" t="s">
        <v>200</v>
      </c>
      <c r="C291" s="3673"/>
      <c r="D291" s="3673"/>
      <c r="E291" s="3673"/>
      <c r="F291" s="3673"/>
      <c r="G291" s="3673"/>
      <c r="H291" s="3673"/>
      <c r="I291" s="3673"/>
      <c r="J291" s="3673"/>
    </row>
    <row r="292" spans="1:11" ht="20.100000000000001" customHeight="1">
      <c r="A292" s="1118"/>
      <c r="B292" s="1105"/>
      <c r="C292" s="953"/>
      <c r="D292" s="1114" t="s">
        <v>1602</v>
      </c>
      <c r="E292" s="953"/>
      <c r="F292" s="1123" t="s">
        <v>1603</v>
      </c>
      <c r="G292" s="953"/>
      <c r="H292" s="953"/>
      <c r="I292" s="953"/>
      <c r="J292" s="953"/>
    </row>
    <row r="293" spans="1:11" ht="20.100000000000001" customHeight="1">
      <c r="A293" s="1118"/>
      <c r="B293" s="1105"/>
      <c r="C293" s="953"/>
      <c r="D293" s="1114" t="s">
        <v>1604</v>
      </c>
      <c r="E293" s="953"/>
      <c r="F293" s="953"/>
      <c r="G293" s="953"/>
      <c r="H293" s="953"/>
      <c r="I293" s="953"/>
      <c r="J293" s="953"/>
    </row>
    <row r="294" spans="1:11" ht="20.100000000000001" customHeight="1">
      <c r="A294" s="1118"/>
      <c r="B294" s="1110" t="s">
        <v>36</v>
      </c>
      <c r="C294" s="1116" t="s">
        <v>37</v>
      </c>
      <c r="D294" s="953"/>
      <c r="E294" s="953"/>
      <c r="F294" s="953"/>
      <c r="G294" s="953"/>
      <c r="H294" s="953"/>
      <c r="I294" s="953"/>
      <c r="J294" s="953"/>
    </row>
    <row r="295" spans="1:11" ht="20.100000000000001" customHeight="1">
      <c r="A295" s="1118"/>
      <c r="B295" s="1117">
        <v>0.03</v>
      </c>
      <c r="C295" s="1118" t="s">
        <v>57</v>
      </c>
      <c r="D295" s="1114" t="s">
        <v>156</v>
      </c>
      <c r="E295" s="953"/>
      <c r="F295" s="953"/>
      <c r="G295" s="953"/>
      <c r="H295" s="1117">
        <f>'SSR-rates'!$K$58</f>
        <v>575</v>
      </c>
      <c r="I295" s="1105" t="s">
        <v>38</v>
      </c>
      <c r="J295" s="1114">
        <f>ROUND(B295*H295,2)</f>
        <v>17.25</v>
      </c>
    </row>
    <row r="296" spans="1:11" ht="20.100000000000001" customHeight="1">
      <c r="A296" s="1118"/>
      <c r="B296" s="1117">
        <v>0.5</v>
      </c>
      <c r="C296" s="1118" t="s">
        <v>57</v>
      </c>
      <c r="D296" s="1114" t="s">
        <v>58</v>
      </c>
      <c r="E296" s="953"/>
      <c r="F296" s="953"/>
      <c r="G296" s="953"/>
      <c r="H296" s="1117">
        <f>+'SSR-rates'!$K$96</f>
        <v>645</v>
      </c>
      <c r="I296" s="1105" t="s">
        <v>38</v>
      </c>
      <c r="J296" s="1114">
        <f>ROUND(B296*H296,2)</f>
        <v>322.5</v>
      </c>
    </row>
    <row r="297" spans="1:11" ht="20.100000000000001" customHeight="1">
      <c r="A297" s="1118"/>
      <c r="B297" s="1117">
        <v>0.25</v>
      </c>
      <c r="C297" s="1118" t="s">
        <v>57</v>
      </c>
      <c r="D297" s="1114" t="s">
        <v>59</v>
      </c>
      <c r="E297" s="953"/>
      <c r="F297" s="953"/>
      <c r="G297" s="953"/>
      <c r="H297" s="1117">
        <f>'SSR-rates'!$K$60</f>
        <v>575</v>
      </c>
      <c r="I297" s="1105" t="s">
        <v>38</v>
      </c>
      <c r="J297" s="1114">
        <f>ROUND(B297*H297,2)</f>
        <v>143.75</v>
      </c>
    </row>
    <row r="298" spans="1:11" ht="20.100000000000001" customHeight="1">
      <c r="A298" s="1123"/>
      <c r="B298" s="1119">
        <f>'Input Data'!$D$23</f>
        <v>0</v>
      </c>
      <c r="C298" s="1120"/>
      <c r="D298" s="953" t="s">
        <v>17</v>
      </c>
      <c r="E298" s="953"/>
      <c r="F298" s="1118"/>
      <c r="G298" s="1118"/>
      <c r="H298" s="1117">
        <f>SUM(J295:J297)</f>
        <v>483.5</v>
      </c>
      <c r="I298" s="1105"/>
      <c r="J298" s="1114">
        <f>B298*H298</f>
        <v>0</v>
      </c>
    </row>
    <row r="299" spans="1:11" ht="20.100000000000001" customHeight="1">
      <c r="A299" s="1118"/>
      <c r="B299" s="1117"/>
      <c r="C299" s="1118"/>
      <c r="D299" s="1114" t="s">
        <v>60</v>
      </c>
      <c r="E299" s="953"/>
      <c r="F299" s="953"/>
      <c r="G299" s="953"/>
      <c r="H299" s="1117"/>
      <c r="I299" s="1117"/>
      <c r="J299" s="1114">
        <f>SUM(J295:J298)</f>
        <v>483.5</v>
      </c>
    </row>
    <row r="300" spans="1:11" ht="20.100000000000001" customHeight="1">
      <c r="A300" s="1118"/>
      <c r="B300" s="1110" t="s">
        <v>39</v>
      </c>
      <c r="C300" s="1116" t="s">
        <v>61</v>
      </c>
      <c r="D300" s="953"/>
      <c r="E300" s="953"/>
      <c r="F300" s="953"/>
      <c r="G300" s="953"/>
      <c r="H300" s="1117"/>
      <c r="I300" s="1117"/>
      <c r="J300" s="1114"/>
    </row>
    <row r="301" spans="1:11" ht="35.1" customHeight="1">
      <c r="A301" s="1118"/>
      <c r="B301" s="1117">
        <v>31.5</v>
      </c>
      <c r="C301" s="1118" t="s">
        <v>107</v>
      </c>
      <c r="D301" s="953" t="s">
        <v>1605</v>
      </c>
      <c r="E301" s="953"/>
      <c r="F301" s="953"/>
      <c r="G301" s="953"/>
      <c r="H301" s="1143">
        <f>'SSR-rates'!$K$125</f>
        <v>267</v>
      </c>
      <c r="I301" s="1117" t="s">
        <v>31</v>
      </c>
      <c r="J301" s="1114">
        <f>ROUND(B301*H301,2)</f>
        <v>8410.5</v>
      </c>
    </row>
    <row r="302" spans="1:11" ht="20.100000000000001" customHeight="1">
      <c r="A302" s="1118"/>
      <c r="B302" s="1117">
        <v>30</v>
      </c>
      <c r="C302" s="1118" t="s">
        <v>710</v>
      </c>
      <c r="D302" s="953" t="s">
        <v>1606</v>
      </c>
      <c r="E302" s="953"/>
      <c r="F302" s="953"/>
      <c r="G302" s="953"/>
      <c r="H302" s="1143">
        <v>195</v>
      </c>
      <c r="I302" s="1117" t="s">
        <v>31</v>
      </c>
      <c r="J302" s="1114">
        <f>ROUND(B302*H302,2)</f>
        <v>5850</v>
      </c>
    </row>
    <row r="303" spans="1:11" ht="20.100000000000001" customHeight="1">
      <c r="A303" s="1118"/>
      <c r="B303" s="1117">
        <v>10</v>
      </c>
      <c r="C303" s="1118" t="s">
        <v>710</v>
      </c>
      <c r="D303" s="1114" t="s">
        <v>1607</v>
      </c>
      <c r="E303" s="953"/>
      <c r="F303" s="953"/>
      <c r="G303" s="953"/>
      <c r="H303" s="1143">
        <v>123</v>
      </c>
      <c r="I303" s="1117" t="s">
        <v>31</v>
      </c>
      <c r="J303" s="1114">
        <f>ROUND(B303*H303,2)</f>
        <v>1230</v>
      </c>
    </row>
    <row r="304" spans="1:11" ht="20.100000000000001" customHeight="1">
      <c r="A304" s="1118"/>
      <c r="B304" s="1122">
        <v>0.05</v>
      </c>
      <c r="C304" s="1118" t="s">
        <v>73</v>
      </c>
      <c r="D304" s="1114" t="s">
        <v>1608</v>
      </c>
      <c r="E304" s="953"/>
      <c r="F304" s="953"/>
      <c r="G304" s="953"/>
      <c r="H304" s="1117">
        <f>+'Road data'!$G$962</f>
        <v>4951.17</v>
      </c>
      <c r="I304" s="1117" t="s">
        <v>66</v>
      </c>
      <c r="J304" s="1114">
        <f>ROUND(B304*H304,2)</f>
        <v>247.56</v>
      </c>
    </row>
    <row r="305" spans="1:10" ht="20.100000000000001" customHeight="1">
      <c r="A305" s="1118"/>
      <c r="B305" s="1117"/>
      <c r="C305" s="953"/>
      <c r="D305" s="1114" t="s">
        <v>60</v>
      </c>
      <c r="E305" s="953"/>
      <c r="F305" s="953"/>
      <c r="G305" s="953"/>
      <c r="H305" s="1117"/>
      <c r="I305" s="1117"/>
      <c r="J305" s="1114">
        <f>SUM(J301:J304)</f>
        <v>15738.06</v>
      </c>
    </row>
    <row r="306" spans="1:10" ht="20.100000000000001" customHeight="1">
      <c r="A306" s="1123"/>
      <c r="B306" s="1110" t="s">
        <v>47</v>
      </c>
      <c r="C306" s="1123" t="s">
        <v>1092</v>
      </c>
      <c r="D306" s="953"/>
      <c r="E306" s="953"/>
      <c r="F306" s="1118"/>
      <c r="G306" s="1118"/>
      <c r="H306" s="1118"/>
      <c r="I306" s="1118"/>
      <c r="J306" s="1116"/>
    </row>
    <row r="307" spans="1:10" ht="35.1" customHeight="1">
      <c r="A307" s="1123"/>
      <c r="B307" s="1124">
        <f>'Input Data'!$D$24</f>
        <v>0.13614999999999999</v>
      </c>
      <c r="C307" s="3672" t="str">
        <f>"Over head charges &amp; CP  "&amp;'Input Data'!$D$24*100&amp;"%  on (A) + (B)+(C)+(D)"</f>
        <v>Over head charges &amp; CP  13.615%  on (A) + (B)+(C)+(D)</v>
      </c>
      <c r="D307" s="3672"/>
      <c r="E307" s="3672"/>
      <c r="F307" s="3672"/>
      <c r="G307" s="3672"/>
      <c r="H307" s="1117">
        <f>+J305+J299</f>
        <v>16221.56</v>
      </c>
      <c r="I307" s="1118"/>
      <c r="J307" s="1114">
        <f>H307*B307</f>
        <v>2208.5653939999997</v>
      </c>
    </row>
    <row r="308" spans="1:10" ht="20.100000000000001" customHeight="1">
      <c r="A308" s="1123"/>
      <c r="B308" s="1125">
        <f>'Input Data'!$E$24</f>
        <v>0</v>
      </c>
      <c r="C308" s="1126" t="s">
        <v>1093</v>
      </c>
      <c r="D308" s="1121"/>
      <c r="E308" s="1121"/>
      <c r="F308" s="1121"/>
      <c r="G308" s="1121"/>
      <c r="H308" s="1117">
        <f>J307+J305+J299</f>
        <v>18430.125393999999</v>
      </c>
      <c r="I308" s="1118"/>
      <c r="J308" s="1114">
        <f>H308*B308</f>
        <v>0</v>
      </c>
    </row>
    <row r="309" spans="1:10" ht="20.100000000000001" customHeight="1">
      <c r="A309" s="1123"/>
      <c r="B309" s="1110" t="s">
        <v>76</v>
      </c>
      <c r="C309" s="1123" t="s">
        <v>77</v>
      </c>
      <c r="D309" s="953"/>
      <c r="E309" s="953"/>
      <c r="F309" s="1118"/>
      <c r="G309" s="1118"/>
      <c r="H309" s="1118"/>
      <c r="I309" s="1118"/>
      <c r="J309" s="1133">
        <f>J299+J305+J307+J308</f>
        <v>18430.125393999999</v>
      </c>
    </row>
    <row r="310" spans="1:10" ht="20.100000000000001" customHeight="1">
      <c r="A310" s="1118"/>
      <c r="B310" s="1117"/>
      <c r="C310" s="1118"/>
      <c r="D310" s="1116" t="s">
        <v>1609</v>
      </c>
      <c r="E310" s="953"/>
      <c r="F310" s="953"/>
      <c r="G310" s="953"/>
      <c r="H310" s="1117"/>
      <c r="I310" s="1117"/>
      <c r="J310" s="1133">
        <f>SUM(J309:J309)</f>
        <v>18430.125393999999</v>
      </c>
    </row>
    <row r="311" spans="1:10" ht="20.100000000000001" customHeight="1">
      <c r="A311" s="1118"/>
      <c r="B311" s="1117"/>
      <c r="C311" s="1118"/>
      <c r="D311" s="1114" t="s">
        <v>1610</v>
      </c>
      <c r="E311" s="953"/>
      <c r="F311" s="953"/>
      <c r="G311" s="953"/>
      <c r="H311" s="1117"/>
      <c r="I311" s="1117"/>
      <c r="J311" s="1114">
        <f>ROUND(J310,2)/30</f>
        <v>614.33766666666668</v>
      </c>
    </row>
    <row r="312" spans="1:10" ht="20.100000000000001" customHeight="1">
      <c r="A312" s="1162"/>
      <c r="B312" s="1136"/>
      <c r="C312" s="1136"/>
      <c r="D312" s="3675" t="s">
        <v>52</v>
      </c>
      <c r="E312" s="3675"/>
      <c r="F312" s="3675"/>
      <c r="G312" s="1140"/>
      <c r="H312" s="953"/>
      <c r="I312" s="1139" t="s">
        <v>1611</v>
      </c>
      <c r="J312" s="1153">
        <f>J311</f>
        <v>614.33766666666668</v>
      </c>
    </row>
    <row r="313" spans="1:10" ht="129" customHeight="1">
      <c r="A313" s="1113">
        <f>A291+1</f>
        <v>9</v>
      </c>
      <c r="B313" s="3671" t="s">
        <v>1612</v>
      </c>
      <c r="C313" s="3671"/>
      <c r="D313" s="3671"/>
      <c r="E313" s="3671"/>
      <c r="F313" s="3671"/>
      <c r="G313" s="3671"/>
      <c r="H313" s="3671"/>
      <c r="I313" s="3671"/>
      <c r="J313" s="3671"/>
    </row>
    <row r="314" spans="1:10" ht="20.100000000000001" customHeight="1">
      <c r="A314" s="953"/>
      <c r="B314" s="1105"/>
      <c r="C314" s="953"/>
      <c r="D314" s="1114" t="s">
        <v>10</v>
      </c>
      <c r="E314" s="953"/>
      <c r="F314" s="1123" t="s">
        <v>140</v>
      </c>
      <c r="G314" s="953"/>
      <c r="H314" s="953"/>
      <c r="I314" s="953"/>
      <c r="J314" s="953"/>
    </row>
    <row r="315" spans="1:10" ht="20.100000000000001" customHeight="1">
      <c r="A315" s="953"/>
      <c r="B315" s="1105"/>
      <c r="C315" s="953"/>
      <c r="D315" s="1114" t="s">
        <v>84</v>
      </c>
      <c r="E315" s="953"/>
      <c r="F315" s="953"/>
      <c r="G315" s="953"/>
      <c r="H315" s="953"/>
      <c r="I315" s="953"/>
      <c r="J315" s="953"/>
    </row>
    <row r="316" spans="1:10" ht="20.100000000000001" customHeight="1">
      <c r="A316" s="953"/>
      <c r="B316" s="1110" t="s">
        <v>36</v>
      </c>
      <c r="C316" s="1116" t="s">
        <v>37</v>
      </c>
      <c r="D316" s="953"/>
      <c r="E316" s="953"/>
      <c r="F316" s="953"/>
      <c r="G316" s="953"/>
      <c r="H316" s="953"/>
      <c r="I316" s="953"/>
      <c r="J316" s="953"/>
    </row>
    <row r="317" spans="1:10" ht="20.100000000000001" customHeight="1">
      <c r="A317" s="953"/>
      <c r="B317" s="1117">
        <v>0.32</v>
      </c>
      <c r="C317" s="1118" t="s">
        <v>57</v>
      </c>
      <c r="D317" s="1114" t="s">
        <v>14</v>
      </c>
      <c r="E317" s="953"/>
      <c r="F317" s="953"/>
      <c r="G317" s="953"/>
      <c r="H317" s="1117">
        <f>'SSR-rates'!$K$58</f>
        <v>575</v>
      </c>
      <c r="I317" s="1105" t="s">
        <v>38</v>
      </c>
      <c r="J317" s="1114">
        <f>ROUND(B317*H317,2)</f>
        <v>184</v>
      </c>
    </row>
    <row r="318" spans="1:10" ht="20.100000000000001" customHeight="1">
      <c r="A318" s="953"/>
      <c r="B318" s="1117">
        <v>7</v>
      </c>
      <c r="C318" s="1118" t="s">
        <v>57</v>
      </c>
      <c r="D318" s="1114" t="s">
        <v>59</v>
      </c>
      <c r="E318" s="953"/>
      <c r="F318" s="953"/>
      <c r="G318" s="953"/>
      <c r="H318" s="1117">
        <f>'SSR-rates'!$K$60</f>
        <v>575</v>
      </c>
      <c r="I318" s="1105" t="s">
        <v>38</v>
      </c>
      <c r="J318" s="1114">
        <f>ROUND(B318*H318,2)</f>
        <v>4025</v>
      </c>
    </row>
    <row r="319" spans="1:10" ht="20.100000000000001" customHeight="1">
      <c r="A319" s="953"/>
      <c r="B319" s="1117">
        <v>1</v>
      </c>
      <c r="C319" s="1118" t="s">
        <v>57</v>
      </c>
      <c r="D319" s="1114" t="s">
        <v>59</v>
      </c>
      <c r="E319" s="953" t="s">
        <v>141</v>
      </c>
      <c r="F319" s="953"/>
      <c r="G319" s="953"/>
      <c r="H319" s="1163">
        <f>'SSR-rates'!$K$59</f>
        <v>575</v>
      </c>
      <c r="I319" s="1105" t="s">
        <v>38</v>
      </c>
      <c r="J319" s="1114">
        <f>ROUND(B319*H319,2)</f>
        <v>575</v>
      </c>
    </row>
    <row r="320" spans="1:10" ht="20.100000000000001" customHeight="1">
      <c r="A320" s="1110"/>
      <c r="B320" s="1119">
        <f>'Input Data'!$D$23</f>
        <v>0</v>
      </c>
      <c r="C320" s="1120"/>
      <c r="D320" s="953" t="s">
        <v>17</v>
      </c>
      <c r="E320" s="953"/>
      <c r="F320" s="1118"/>
      <c r="G320" s="1118"/>
      <c r="H320" s="1117">
        <f>SUM(J317:J319)</f>
        <v>4784</v>
      </c>
      <c r="I320" s="1105"/>
      <c r="J320" s="1114">
        <f>B320*H320</f>
        <v>0</v>
      </c>
    </row>
    <row r="321" spans="1:10" ht="20.100000000000001" customHeight="1">
      <c r="A321" s="953"/>
      <c r="B321" s="1117"/>
      <c r="C321" s="953"/>
      <c r="D321" s="1114" t="s">
        <v>60</v>
      </c>
      <c r="E321" s="953"/>
      <c r="F321" s="953"/>
      <c r="G321" s="953"/>
      <c r="H321" s="1117"/>
      <c r="I321" s="1117"/>
      <c r="J321" s="1114">
        <f>SUM(J317:J320)</f>
        <v>4784</v>
      </c>
    </row>
    <row r="322" spans="1:10" ht="20.100000000000001" customHeight="1">
      <c r="A322" s="953"/>
      <c r="B322" s="1110" t="s">
        <v>39</v>
      </c>
      <c r="C322" s="1116" t="s">
        <v>61</v>
      </c>
      <c r="D322" s="953"/>
      <c r="E322" s="953"/>
      <c r="F322" s="953"/>
      <c r="G322" s="953"/>
      <c r="H322" s="1117"/>
      <c r="I322" s="1117"/>
      <c r="J322" s="1114"/>
    </row>
    <row r="323" spans="1:10" ht="20.100000000000001" customHeight="1">
      <c r="A323" s="953"/>
      <c r="B323" s="1117">
        <v>6</v>
      </c>
      <c r="C323" s="1118" t="s">
        <v>31</v>
      </c>
      <c r="D323" s="1114" t="s">
        <v>142</v>
      </c>
      <c r="E323" s="953"/>
      <c r="F323" s="953"/>
      <c r="G323" s="953"/>
      <c r="H323" s="1117">
        <f>lead!$J$26</f>
        <v>1023.2187651278443</v>
      </c>
      <c r="I323" s="1117" t="s">
        <v>31</v>
      </c>
      <c r="J323" s="1114">
        <f>ROUND(B323*H323,2)</f>
        <v>6139.31</v>
      </c>
    </row>
    <row r="324" spans="1:10" ht="20.100000000000001" customHeight="1">
      <c r="A324" s="953"/>
      <c r="B324" s="1117">
        <v>6</v>
      </c>
      <c r="C324" s="1118" t="s">
        <v>31</v>
      </c>
      <c r="D324" s="1114" t="s">
        <v>143</v>
      </c>
      <c r="E324" s="953"/>
      <c r="F324" s="953"/>
      <c r="G324" s="953"/>
      <c r="H324" s="1117">
        <f>lead!$J$20</f>
        <v>1732.2187651278443</v>
      </c>
      <c r="I324" s="1117" t="s">
        <v>31</v>
      </c>
      <c r="J324" s="1114">
        <f>ROUND(B324*H324,2)</f>
        <v>10393.31</v>
      </c>
    </row>
    <row r="325" spans="1:10" ht="20.100000000000001" customHeight="1">
      <c r="A325" s="953"/>
      <c r="B325" s="1117"/>
      <c r="C325" s="1120"/>
      <c r="D325" s="1114" t="s">
        <v>60</v>
      </c>
      <c r="E325" s="953"/>
      <c r="F325" s="953"/>
      <c r="G325" s="953"/>
      <c r="H325" s="1117"/>
      <c r="I325" s="1117"/>
      <c r="J325" s="1114">
        <f>SUM(J323:J324)</f>
        <v>16532.62</v>
      </c>
    </row>
    <row r="326" spans="1:10" ht="20.100000000000001" customHeight="1">
      <c r="A326" s="953"/>
      <c r="B326" s="1110" t="s">
        <v>87</v>
      </c>
      <c r="C326" s="1116" t="s">
        <v>40</v>
      </c>
      <c r="D326" s="953"/>
      <c r="E326" s="953"/>
      <c r="F326" s="953"/>
      <c r="G326" s="953"/>
      <c r="H326" s="1117"/>
      <c r="I326" s="1117"/>
      <c r="J326" s="1114"/>
    </row>
    <row r="327" spans="1:10" ht="20.100000000000001" customHeight="1">
      <c r="A327" s="953"/>
      <c r="B327" s="1117">
        <v>0.06</v>
      </c>
      <c r="C327" s="1118" t="s">
        <v>41</v>
      </c>
      <c r="D327" s="1114" t="s">
        <v>70</v>
      </c>
      <c r="E327" s="953"/>
      <c r="F327" s="953"/>
      <c r="G327" s="953"/>
      <c r="H327" s="1117">
        <f>'SSR-rates'!K69</f>
        <v>769</v>
      </c>
      <c r="I327" s="1117" t="s">
        <v>41</v>
      </c>
      <c r="J327" s="1114">
        <f>ROUND(B327*H327,2)</f>
        <v>46.14</v>
      </c>
    </row>
    <row r="328" spans="1:10" ht="20.100000000000001" customHeight="1">
      <c r="A328" s="953"/>
      <c r="B328" s="1117"/>
      <c r="C328" s="1120"/>
      <c r="D328" s="1114" t="s">
        <v>60</v>
      </c>
      <c r="E328" s="953"/>
      <c r="F328" s="953"/>
      <c r="G328" s="953"/>
      <c r="H328" s="1117"/>
      <c r="I328" s="1117"/>
      <c r="J328" s="1114">
        <f>SUM(J327:J327)</f>
        <v>46.14</v>
      </c>
    </row>
    <row r="329" spans="1:10" ht="20.100000000000001" customHeight="1">
      <c r="A329" s="1110"/>
      <c r="B329" s="1110" t="s">
        <v>45</v>
      </c>
      <c r="C329" s="1123" t="s">
        <v>1092</v>
      </c>
      <c r="D329" s="953"/>
      <c r="E329" s="953"/>
      <c r="F329" s="1118"/>
      <c r="G329" s="1118"/>
      <c r="H329" s="1118"/>
      <c r="I329" s="1118"/>
      <c r="J329" s="1116"/>
    </row>
    <row r="330" spans="1:10" ht="35.1" customHeight="1">
      <c r="A330" s="1110"/>
      <c r="B330" s="1124">
        <f>'Input Data'!$D$24</f>
        <v>0.13614999999999999</v>
      </c>
      <c r="C330" s="1120" t="s">
        <v>1613</v>
      </c>
      <c r="D330" s="1114"/>
      <c r="E330" s="953"/>
      <c r="F330" s="1118"/>
      <c r="G330" s="1118"/>
      <c r="H330" s="1117">
        <f>J328+J325+J321</f>
        <v>21362.76</v>
      </c>
      <c r="I330" s="1118"/>
      <c r="J330" s="1114">
        <f>H330*B330</f>
        <v>2908.5397739999999</v>
      </c>
    </row>
    <row r="331" spans="1:10" ht="20.100000000000001" customHeight="1">
      <c r="A331" s="1110"/>
      <c r="B331" s="1125">
        <f>'Input Data'!$E$24</f>
        <v>0</v>
      </c>
      <c r="C331" s="1126" t="s">
        <v>1093</v>
      </c>
      <c r="D331" s="1114"/>
      <c r="E331" s="953"/>
      <c r="F331" s="1118"/>
      <c r="G331" s="1118"/>
      <c r="H331" s="1117">
        <f>J330+J328+J325+J321</f>
        <v>24271.299773999999</v>
      </c>
      <c r="I331" s="1118"/>
      <c r="J331" s="1114">
        <f>H331*B331</f>
        <v>0</v>
      </c>
    </row>
    <row r="332" spans="1:10" ht="20.100000000000001" customHeight="1">
      <c r="A332" s="1110"/>
      <c r="B332" s="1110" t="s">
        <v>47</v>
      </c>
      <c r="C332" s="1123" t="s">
        <v>89</v>
      </c>
      <c r="D332" s="953"/>
      <c r="E332" s="953"/>
      <c r="F332" s="1118"/>
      <c r="G332" s="1118"/>
      <c r="H332" s="1118"/>
      <c r="I332" s="1118"/>
      <c r="J332" s="1116">
        <f>J321+J325+J328+J330+J331</f>
        <v>24271.299773999999</v>
      </c>
    </row>
    <row r="333" spans="1:10" ht="20.100000000000001" customHeight="1">
      <c r="A333" s="953"/>
      <c r="B333" s="1117"/>
      <c r="C333" s="1118"/>
      <c r="D333" s="1116" t="s">
        <v>1555</v>
      </c>
      <c r="E333" s="953"/>
      <c r="F333" s="953"/>
      <c r="G333" s="953"/>
      <c r="H333" s="1117"/>
      <c r="I333" s="1117"/>
      <c r="J333" s="1116">
        <f>SUM(J332:J332)</f>
        <v>24271.299773999999</v>
      </c>
    </row>
    <row r="334" spans="1:10" ht="20.100000000000001" customHeight="1">
      <c r="A334" s="953"/>
      <c r="B334" s="1117"/>
      <c r="C334" s="1118"/>
      <c r="D334" s="1114" t="s">
        <v>81</v>
      </c>
      <c r="E334" s="953"/>
      <c r="F334" s="953"/>
      <c r="G334" s="953"/>
      <c r="H334" s="1117"/>
      <c r="I334" s="1117"/>
      <c r="J334" s="1114">
        <f>ROUND(J333/10,2)</f>
        <v>2427.13</v>
      </c>
    </row>
    <row r="335" spans="1:10" ht="20.100000000000001" customHeight="1">
      <c r="A335" s="953"/>
      <c r="B335" s="1105"/>
      <c r="C335" s="953"/>
      <c r="D335" s="1114" t="s">
        <v>52</v>
      </c>
      <c r="E335" s="953"/>
      <c r="F335" s="953"/>
      <c r="G335" s="953"/>
      <c r="H335" s="1117"/>
      <c r="I335" s="1117"/>
      <c r="J335" s="1134">
        <f>J334</f>
        <v>2427.13</v>
      </c>
    </row>
    <row r="336" spans="1:10" ht="20.100000000000001" customHeight="1">
      <c r="A336" s="953"/>
      <c r="B336" s="1105"/>
      <c r="C336" s="953"/>
      <c r="D336" s="1114"/>
      <c r="E336" s="953"/>
      <c r="F336" s="953"/>
      <c r="G336" s="953"/>
      <c r="H336" s="1117"/>
      <c r="I336" s="1117"/>
      <c r="J336" s="1130" t="s">
        <v>53</v>
      </c>
    </row>
    <row r="337" spans="1:10">
      <c r="A337" s="1118"/>
      <c r="B337" s="1123" t="s">
        <v>1614</v>
      </c>
      <c r="C337" s="953"/>
      <c r="D337" s="1114"/>
      <c r="E337" s="953"/>
      <c r="F337" s="953"/>
      <c r="G337" s="953"/>
      <c r="H337" s="1117"/>
      <c r="I337" s="1117"/>
      <c r="J337" s="1116"/>
    </row>
    <row r="338" spans="1:10" ht="141" customHeight="1">
      <c r="A338" s="1113">
        <f>A313+1</f>
        <v>10</v>
      </c>
      <c r="B338" s="3671" t="s">
        <v>1615</v>
      </c>
      <c r="C338" s="3671"/>
      <c r="D338" s="3671"/>
      <c r="E338" s="3671"/>
      <c r="F338" s="3671"/>
      <c r="G338" s="3671"/>
      <c r="H338" s="3671"/>
      <c r="I338" s="3671"/>
      <c r="J338" s="3671"/>
    </row>
    <row r="339" spans="1:10" ht="20.100000000000001" customHeight="1">
      <c r="A339" s="953"/>
      <c r="B339" s="1105"/>
      <c r="C339" s="953"/>
      <c r="D339" s="1114" t="s">
        <v>10</v>
      </c>
      <c r="E339" s="953"/>
      <c r="F339" s="1123" t="s">
        <v>1616</v>
      </c>
      <c r="G339" s="953"/>
      <c r="H339" s="953"/>
      <c r="I339" s="953"/>
      <c r="J339" s="953"/>
    </row>
    <row r="340" spans="1:10" ht="20.100000000000001" customHeight="1">
      <c r="A340" s="953"/>
      <c r="B340" s="1105"/>
      <c r="C340" s="953"/>
      <c r="D340" s="1114" t="s">
        <v>56</v>
      </c>
      <c r="E340" s="953"/>
      <c r="F340" s="953"/>
      <c r="G340" s="953"/>
      <c r="H340" s="953"/>
      <c r="I340" s="953"/>
      <c r="J340" s="953"/>
    </row>
    <row r="341" spans="1:10" ht="20.100000000000001" customHeight="1">
      <c r="A341" s="953"/>
      <c r="B341" s="1110" t="s">
        <v>36</v>
      </c>
      <c r="C341" s="1116" t="s">
        <v>37</v>
      </c>
      <c r="D341" s="953"/>
      <c r="E341" s="953"/>
      <c r="F341" s="953"/>
      <c r="G341" s="953"/>
      <c r="H341" s="953"/>
      <c r="I341" s="953"/>
      <c r="J341" s="953"/>
    </row>
    <row r="342" spans="1:10" ht="20.100000000000001" customHeight="1">
      <c r="A342" s="953"/>
      <c r="B342" s="1117">
        <v>0.86</v>
      </c>
      <c r="C342" s="1118" t="s">
        <v>57</v>
      </c>
      <c r="D342" s="1114" t="s">
        <v>14</v>
      </c>
      <c r="E342" s="953"/>
      <c r="F342" s="953"/>
      <c r="G342" s="953"/>
      <c r="H342" s="1117">
        <f>+'SSR-rates'!$K$58</f>
        <v>575</v>
      </c>
      <c r="I342" s="1105" t="s">
        <v>38</v>
      </c>
      <c r="J342" s="1114">
        <f>ROUND(B342*H342,2)</f>
        <v>494.5</v>
      </c>
    </row>
    <row r="343" spans="1:10" ht="20.100000000000001" customHeight="1">
      <c r="A343" s="953"/>
      <c r="B343" s="1117">
        <v>1.5</v>
      </c>
      <c r="C343" s="1118" t="s">
        <v>57</v>
      </c>
      <c r="D343" s="1114" t="s">
        <v>58</v>
      </c>
      <c r="E343" s="953"/>
      <c r="F343" s="953"/>
      <c r="G343" s="953"/>
      <c r="H343" s="1117">
        <f>+'SSR-rates'!$K$54</f>
        <v>615</v>
      </c>
      <c r="I343" s="1105" t="s">
        <v>38</v>
      </c>
      <c r="J343" s="1114">
        <f>ROUND(B343*H343,2)</f>
        <v>922.5</v>
      </c>
    </row>
    <row r="344" spans="1:10" ht="20.100000000000001" customHeight="1">
      <c r="A344" s="953"/>
      <c r="B344" s="1117">
        <v>20</v>
      </c>
      <c r="C344" s="1118" t="s">
        <v>57</v>
      </c>
      <c r="D344" s="1114" t="s">
        <v>59</v>
      </c>
      <c r="E344" s="953"/>
      <c r="F344" s="953"/>
      <c r="G344" s="953"/>
      <c r="H344" s="1117">
        <f>+'SSR-rates'!$K$60</f>
        <v>575</v>
      </c>
      <c r="I344" s="1105" t="s">
        <v>38</v>
      </c>
      <c r="J344" s="1114">
        <f>ROUND(B344*H344,2)</f>
        <v>11500</v>
      </c>
    </row>
    <row r="345" spans="1:10" ht="20.100000000000001" customHeight="1">
      <c r="A345" s="1110"/>
      <c r="B345" s="1119">
        <f>'Input Data'!$D$23</f>
        <v>0</v>
      </c>
      <c r="C345" s="1120"/>
      <c r="D345" s="953" t="s">
        <v>17</v>
      </c>
      <c r="E345" s="953"/>
      <c r="F345" s="1118"/>
      <c r="G345" s="1118"/>
      <c r="H345" s="1117">
        <f>SUM(J342:J344)</f>
        <v>12917</v>
      </c>
      <c r="I345" s="1105"/>
      <c r="J345" s="1114">
        <f>ROUND(B345*H345,2)</f>
        <v>0</v>
      </c>
    </row>
    <row r="346" spans="1:10" ht="20.100000000000001" customHeight="1">
      <c r="A346" s="953"/>
      <c r="B346" s="1117"/>
      <c r="C346" s="1118"/>
      <c r="D346" s="1114" t="s">
        <v>60</v>
      </c>
      <c r="E346" s="953"/>
      <c r="F346" s="953"/>
      <c r="G346" s="953"/>
      <c r="H346" s="1117"/>
      <c r="I346" s="1117"/>
      <c r="J346" s="1114">
        <f>SUM(J342:J345)</f>
        <v>12917</v>
      </c>
    </row>
    <row r="347" spans="1:10" ht="20.100000000000001" customHeight="1">
      <c r="A347" s="953"/>
      <c r="B347" s="1110" t="s">
        <v>39</v>
      </c>
      <c r="C347" s="1116" t="s">
        <v>61</v>
      </c>
      <c r="D347" s="953"/>
      <c r="E347" s="953"/>
      <c r="F347" s="953"/>
      <c r="G347" s="953"/>
      <c r="H347" s="1117"/>
      <c r="I347" s="1117"/>
      <c r="J347" s="1114"/>
    </row>
    <row r="348" spans="1:10" ht="20.100000000000001" customHeight="1">
      <c r="A348" s="953"/>
      <c r="B348" s="1117">
        <v>8.1</v>
      </c>
      <c r="C348" s="1118" t="s">
        <v>31</v>
      </c>
      <c r="D348" s="953" t="s">
        <v>63</v>
      </c>
      <c r="E348" s="953"/>
      <c r="F348" s="953"/>
      <c r="G348" s="953"/>
      <c r="H348" s="1117">
        <f>lead!$J$16</f>
        <v>2031.2187651278443</v>
      </c>
      <c r="I348" s="1117" t="s">
        <v>31</v>
      </c>
      <c r="J348" s="1114">
        <f>ROUND(B348*H348,2)</f>
        <v>16452.87</v>
      </c>
    </row>
    <row r="349" spans="1:10" ht="20.100000000000001" customHeight="1">
      <c r="A349" s="953"/>
      <c r="B349" s="1117">
        <v>5.4</v>
      </c>
      <c r="C349" s="1118" t="s">
        <v>31</v>
      </c>
      <c r="D349" s="953" t="s">
        <v>64</v>
      </c>
      <c r="E349" s="953"/>
      <c r="F349" s="953"/>
      <c r="G349" s="953"/>
      <c r="H349" s="1117">
        <f>lead!$J$18</f>
        <v>1780.2187651278443</v>
      </c>
      <c r="I349" s="1117" t="s">
        <v>31</v>
      </c>
      <c r="J349" s="1114">
        <f>ROUND(B349*H349,2)</f>
        <v>9613.18</v>
      </c>
    </row>
    <row r="350" spans="1:10" ht="45" customHeight="1">
      <c r="A350" s="953"/>
      <c r="B350" s="1122">
        <f>6.75/2</f>
        <v>3.375</v>
      </c>
      <c r="C350" s="1118" t="s">
        <v>31</v>
      </c>
      <c r="D350" s="3669" t="s">
        <v>1442</v>
      </c>
      <c r="E350" s="3669"/>
      <c r="F350" s="3669"/>
      <c r="G350" s="3669"/>
      <c r="H350" s="1121">
        <f>lead!$J$31</f>
        <v>1850.9213132068826</v>
      </c>
      <c r="I350" s="1117" t="s">
        <v>31</v>
      </c>
      <c r="J350" s="1129">
        <f>ROUND(B350*H350,2)</f>
        <v>6246.86</v>
      </c>
    </row>
    <row r="351" spans="1:10" ht="35.1" customHeight="1">
      <c r="A351" s="953"/>
      <c r="B351" s="1122">
        <f>6.75/2</f>
        <v>3.375</v>
      </c>
      <c r="C351" s="1118" t="s">
        <v>31</v>
      </c>
      <c r="D351" s="3669" t="s">
        <v>1443</v>
      </c>
      <c r="E351" s="3669"/>
      <c r="F351" s="3669"/>
      <c r="G351" s="3669"/>
      <c r="H351" s="1121">
        <f>lead!$J$33</f>
        <v>1473.2187651278443</v>
      </c>
      <c r="I351" s="1117" t="s">
        <v>31</v>
      </c>
      <c r="J351" s="1129">
        <f>ROUND(B351*H351,2)</f>
        <v>4972.1099999999997</v>
      </c>
    </row>
    <row r="352" spans="1:10" ht="20.100000000000001" customHeight="1">
      <c r="A352" s="953"/>
      <c r="B352" s="1117">
        <v>5.99</v>
      </c>
      <c r="C352" s="1118" t="s">
        <v>66</v>
      </c>
      <c r="D352" s="1114" t="s">
        <v>67</v>
      </c>
      <c r="E352" s="953"/>
      <c r="F352" s="953"/>
      <c r="G352" s="953"/>
      <c r="H352" s="1117">
        <f>lead!$J$36</f>
        <v>5000</v>
      </c>
      <c r="I352" s="1117" t="s">
        <v>66</v>
      </c>
      <c r="J352" s="1114">
        <f>ROUND(B352*H352,2)</f>
        <v>29950</v>
      </c>
    </row>
    <row r="353" spans="1:10" ht="20.100000000000001" customHeight="1">
      <c r="A353" s="953"/>
      <c r="B353" s="1117"/>
      <c r="C353" s="953"/>
      <c r="D353" s="1114" t="s">
        <v>60</v>
      </c>
      <c r="E353" s="953"/>
      <c r="F353" s="953"/>
      <c r="G353" s="953"/>
      <c r="H353" s="1117"/>
      <c r="I353" s="1117"/>
      <c r="J353" s="1114">
        <f>SUM(J348:J352)</f>
        <v>67235.01999999999</v>
      </c>
    </row>
    <row r="354" spans="1:10" ht="20.100000000000001" customHeight="1">
      <c r="A354" s="953"/>
      <c r="B354" s="1110" t="s">
        <v>27</v>
      </c>
      <c r="C354" s="1116" t="s">
        <v>40</v>
      </c>
      <c r="D354" s="953"/>
      <c r="E354" s="953"/>
      <c r="F354" s="953"/>
      <c r="G354" s="953"/>
      <c r="H354" s="1117"/>
      <c r="I354" s="1117"/>
      <c r="J354" s="1114"/>
    </row>
    <row r="355" spans="1:10" ht="20.100000000000001" customHeight="1">
      <c r="A355" s="953"/>
      <c r="B355" s="1117">
        <v>6</v>
      </c>
      <c r="C355" s="1118" t="s">
        <v>41</v>
      </c>
      <c r="D355" s="1114" t="s">
        <v>68</v>
      </c>
      <c r="E355" s="953"/>
      <c r="F355" s="953"/>
      <c r="G355" s="953"/>
      <c r="H355" s="1117">
        <f>'SSR-rates'!$K$88</f>
        <v>697.9</v>
      </c>
      <c r="I355" s="1117" t="s">
        <v>41</v>
      </c>
      <c r="J355" s="1114">
        <f>ROUND(B355*H355,2)</f>
        <v>4187.3999999999996</v>
      </c>
    </row>
    <row r="356" spans="1:10" ht="20.100000000000001" customHeight="1">
      <c r="A356" s="953"/>
      <c r="B356" s="1117">
        <v>6</v>
      </c>
      <c r="C356" s="1118" t="s">
        <v>41</v>
      </c>
      <c r="D356" s="1114" t="s">
        <v>69</v>
      </c>
      <c r="E356" s="953"/>
      <c r="F356" s="953"/>
      <c r="G356" s="953"/>
      <c r="H356" s="1117">
        <f>'SSR-rates'!$K$87</f>
        <v>1323.5</v>
      </c>
      <c r="I356" s="1117" t="s">
        <v>41</v>
      </c>
      <c r="J356" s="1114">
        <f>ROUND(B356*H356,2)</f>
        <v>7941</v>
      </c>
    </row>
    <row r="357" spans="1:10" ht="20.100000000000001" customHeight="1">
      <c r="A357" s="953"/>
      <c r="B357" s="1117"/>
      <c r="C357" s="1120"/>
      <c r="D357" s="1114" t="s">
        <v>60</v>
      </c>
      <c r="E357" s="953"/>
      <c r="F357" s="953"/>
      <c r="G357" s="953"/>
      <c r="H357" s="1117"/>
      <c r="I357" s="1117"/>
      <c r="J357" s="1114">
        <f>SUM(J355:J356)</f>
        <v>12128.4</v>
      </c>
    </row>
    <row r="358" spans="1:10" ht="20.100000000000001" customHeight="1">
      <c r="A358" s="953"/>
      <c r="B358" s="1110" t="s">
        <v>45</v>
      </c>
      <c r="C358" s="1116" t="s">
        <v>71</v>
      </c>
      <c r="D358" s="953"/>
      <c r="E358" s="953"/>
      <c r="F358" s="953"/>
      <c r="G358" s="953"/>
      <c r="H358" s="1117"/>
      <c r="I358" s="1117"/>
      <c r="J358" s="1114"/>
    </row>
    <row r="359" spans="1:10" ht="20.100000000000001" customHeight="1">
      <c r="A359" s="953"/>
      <c r="B359" s="1163">
        <v>20</v>
      </c>
      <c r="C359" s="1118" t="s">
        <v>29</v>
      </c>
      <c r="D359" s="953" t="s">
        <v>161</v>
      </c>
      <c r="E359" s="953"/>
      <c r="F359" s="953"/>
      <c r="G359" s="953"/>
      <c r="H359" s="1117">
        <f>J346+J353+J357</f>
        <v>92280.419999999984</v>
      </c>
      <c r="I359" s="1105" t="s">
        <v>73</v>
      </c>
      <c r="J359" s="1114">
        <f>ROUND(B359*H359/100,2)</f>
        <v>18456.080000000002</v>
      </c>
    </row>
    <row r="360" spans="1:10" ht="20.100000000000001" customHeight="1">
      <c r="A360" s="1110"/>
      <c r="B360" s="1110" t="s">
        <v>47</v>
      </c>
      <c r="C360" s="1123" t="s">
        <v>1092</v>
      </c>
      <c r="D360" s="953"/>
      <c r="E360" s="953"/>
      <c r="F360" s="1118"/>
      <c r="G360" s="1118"/>
      <c r="H360" s="1118"/>
      <c r="I360" s="1118"/>
      <c r="J360" s="1116"/>
    </row>
    <row r="361" spans="1:10" ht="35.1" customHeight="1">
      <c r="A361" s="1110"/>
      <c r="B361" s="1124">
        <f>'Input Data'!$D$24</f>
        <v>0.13614999999999999</v>
      </c>
      <c r="C361" s="1120" t="s">
        <v>1617</v>
      </c>
      <c r="D361" s="1114"/>
      <c r="E361" s="953"/>
      <c r="F361" s="1118"/>
      <c r="G361" s="1118"/>
      <c r="H361" s="1117">
        <f>J359+J357+J353+J346</f>
        <v>110736.5</v>
      </c>
      <c r="I361" s="1118"/>
      <c r="J361" s="1114">
        <f>H361*B361</f>
        <v>15076.774474999998</v>
      </c>
    </row>
    <row r="362" spans="1:10" ht="20.100000000000001" customHeight="1">
      <c r="A362" s="1110"/>
      <c r="B362" s="1125">
        <f>'Input Data'!$E$24</f>
        <v>0</v>
      </c>
      <c r="C362" s="1126" t="s">
        <v>1093</v>
      </c>
      <c r="D362" s="1114"/>
      <c r="E362" s="953"/>
      <c r="F362" s="1118"/>
      <c r="G362" s="1118"/>
      <c r="H362" s="1117">
        <f>J361+J359+J357+J353+J346</f>
        <v>125813.27447499998</v>
      </c>
      <c r="I362" s="1118"/>
      <c r="J362" s="1114">
        <f>H362*B362</f>
        <v>0</v>
      </c>
    </row>
    <row r="363" spans="1:10" ht="20.100000000000001" customHeight="1">
      <c r="A363" s="1110"/>
      <c r="B363" s="1110" t="s">
        <v>76</v>
      </c>
      <c r="C363" s="1123" t="s">
        <v>77</v>
      </c>
      <c r="D363" s="953"/>
      <c r="E363" s="953"/>
      <c r="F363" s="1118"/>
      <c r="G363" s="1118"/>
      <c r="H363" s="1118"/>
      <c r="I363" s="1118"/>
      <c r="J363" s="1116">
        <f>J346+J353+J357+J359+J361+J362</f>
        <v>125813.27447499998</v>
      </c>
    </row>
    <row r="364" spans="1:10" ht="20.100000000000001" customHeight="1">
      <c r="A364" s="953"/>
      <c r="B364" s="1117"/>
      <c r="C364" s="1118"/>
      <c r="D364" s="1116" t="s">
        <v>1555</v>
      </c>
      <c r="E364" s="953"/>
      <c r="F364" s="953"/>
      <c r="G364" s="953"/>
      <c r="H364" s="1117"/>
      <c r="I364" s="1117"/>
      <c r="J364" s="1116">
        <f>SUM(J363:J363)</f>
        <v>125813.27447499998</v>
      </c>
    </row>
    <row r="365" spans="1:10" ht="20.100000000000001" customHeight="1">
      <c r="A365" s="953"/>
      <c r="B365" s="1117"/>
      <c r="C365" s="1118"/>
      <c r="D365" s="1114" t="s">
        <v>81</v>
      </c>
      <c r="E365" s="953"/>
      <c r="F365" s="953"/>
      <c r="G365" s="953"/>
      <c r="H365" s="1117"/>
      <c r="I365" s="1117"/>
      <c r="J365" s="1114">
        <f>ROUND(J364/15,2)</f>
        <v>8387.5499999999993</v>
      </c>
    </row>
    <row r="366" spans="1:10" ht="20.100000000000001" customHeight="1">
      <c r="A366" s="953"/>
      <c r="B366" s="1105"/>
      <c r="C366" s="953"/>
      <c r="D366" s="1114" t="s">
        <v>52</v>
      </c>
      <c r="E366" s="953"/>
      <c r="F366" s="953"/>
      <c r="G366" s="953"/>
      <c r="H366" s="1117"/>
      <c r="I366" s="1117"/>
      <c r="J366" s="1134">
        <f>ROUND(J365,2)</f>
        <v>8387.5499999999993</v>
      </c>
    </row>
    <row r="367" spans="1:10" ht="20.100000000000001" customHeight="1">
      <c r="A367" s="953"/>
      <c r="B367" s="1105"/>
      <c r="C367" s="953"/>
      <c r="D367" s="1114"/>
      <c r="E367" s="953"/>
      <c r="F367" s="953"/>
      <c r="G367" s="953"/>
      <c r="H367" s="1117"/>
      <c r="I367" s="1117"/>
      <c r="J367" s="1130" t="s">
        <v>53</v>
      </c>
    </row>
    <row r="368" spans="1:10" ht="20.100000000000001" customHeight="1">
      <c r="A368" s="953"/>
      <c r="B368" s="1105"/>
      <c r="C368" s="953"/>
      <c r="D368" s="1114"/>
      <c r="E368" s="953"/>
      <c r="F368" s="953"/>
      <c r="G368" s="953"/>
      <c r="H368" s="1117"/>
      <c r="I368" s="1117"/>
      <c r="J368" s="1166"/>
    </row>
    <row r="369" spans="1:10" ht="141" customHeight="1">
      <c r="A369" s="1132">
        <f>A338+1</f>
        <v>11</v>
      </c>
      <c r="B369" s="3671" t="s">
        <v>1618</v>
      </c>
      <c r="C369" s="3671"/>
      <c r="D369" s="3671"/>
      <c r="E369" s="3671"/>
      <c r="F369" s="3671"/>
      <c r="G369" s="3671"/>
      <c r="H369" s="3671"/>
      <c r="I369" s="3671"/>
      <c r="J369" s="3671"/>
    </row>
    <row r="370" spans="1:10" ht="20.100000000000001" customHeight="1">
      <c r="A370" s="953"/>
      <c r="B370" s="1105"/>
      <c r="C370" s="953"/>
      <c r="D370" s="1114" t="s">
        <v>10</v>
      </c>
      <c r="E370" s="953"/>
      <c r="F370" s="1123" t="s">
        <v>280</v>
      </c>
      <c r="G370" s="953"/>
      <c r="H370" s="953"/>
      <c r="I370" s="953"/>
      <c r="J370" s="953"/>
    </row>
    <row r="371" spans="1:10" ht="20.100000000000001" customHeight="1">
      <c r="A371" s="953"/>
      <c r="B371" s="1105"/>
      <c r="C371" s="953"/>
      <c r="D371" s="1114" t="s">
        <v>1589</v>
      </c>
      <c r="E371" s="953"/>
      <c r="F371" s="953"/>
      <c r="G371" s="953"/>
      <c r="H371" s="953"/>
      <c r="I371" s="953"/>
      <c r="J371" s="953"/>
    </row>
    <row r="372" spans="1:10" ht="20.100000000000001" customHeight="1">
      <c r="A372" s="953"/>
      <c r="B372" s="1110" t="s">
        <v>36</v>
      </c>
      <c r="C372" s="1116" t="s">
        <v>37</v>
      </c>
      <c r="D372" s="953"/>
      <c r="E372" s="953"/>
      <c r="F372" s="953"/>
      <c r="G372" s="953"/>
      <c r="H372" s="953"/>
      <c r="I372" s="953"/>
      <c r="J372" s="953"/>
    </row>
    <row r="373" spans="1:10" ht="20.100000000000001" customHeight="1">
      <c r="A373" s="953"/>
      <c r="B373" s="1117">
        <v>0.9</v>
      </c>
      <c r="C373" s="1118" t="s">
        <v>57</v>
      </c>
      <c r="D373" s="1114" t="s">
        <v>156</v>
      </c>
      <c r="E373" s="953"/>
      <c r="F373" s="953"/>
      <c r="G373" s="953"/>
      <c r="H373" s="1117">
        <f>'SSR-rates'!K$58</f>
        <v>575</v>
      </c>
      <c r="I373" s="1105" t="s">
        <v>38</v>
      </c>
      <c r="J373" s="1114">
        <f>ROUND(B373*H373,2)</f>
        <v>517.5</v>
      </c>
    </row>
    <row r="374" spans="1:10" ht="20.100000000000001" customHeight="1">
      <c r="A374" s="953"/>
      <c r="B374" s="1117">
        <v>1.5</v>
      </c>
      <c r="C374" s="1118" t="s">
        <v>57</v>
      </c>
      <c r="D374" s="1114" t="s">
        <v>58</v>
      </c>
      <c r="E374" s="953"/>
      <c r="F374" s="953"/>
      <c r="G374" s="953"/>
      <c r="H374" s="1117">
        <f>+'SSR-rates'!K96</f>
        <v>645</v>
      </c>
      <c r="I374" s="1105" t="s">
        <v>38</v>
      </c>
      <c r="J374" s="1114">
        <f>ROUND(B374*H374,2)</f>
        <v>967.5</v>
      </c>
    </row>
    <row r="375" spans="1:10" ht="20.100000000000001" customHeight="1">
      <c r="A375" s="953"/>
      <c r="B375" s="1117">
        <v>21</v>
      </c>
      <c r="C375" s="1118" t="s">
        <v>57</v>
      </c>
      <c r="D375" s="1114" t="s">
        <v>59</v>
      </c>
      <c r="E375" s="953"/>
      <c r="F375" s="953"/>
      <c r="G375" s="953"/>
      <c r="H375" s="1117">
        <f>'SSR-rates'!K$60</f>
        <v>575</v>
      </c>
      <c r="I375" s="1105" t="s">
        <v>38</v>
      </c>
      <c r="J375" s="1114">
        <f>ROUND(B375*H375,2)</f>
        <v>12075</v>
      </c>
    </row>
    <row r="376" spans="1:10" ht="20.100000000000001" customHeight="1">
      <c r="A376" s="1110"/>
      <c r="B376" s="1119">
        <f>'Input Data'!$D$23</f>
        <v>0</v>
      </c>
      <c r="C376" s="1120"/>
      <c r="D376" s="953" t="s">
        <v>17</v>
      </c>
      <c r="E376" s="953"/>
      <c r="F376" s="1118"/>
      <c r="G376" s="1118"/>
      <c r="H376" s="1117">
        <f>SUM(J373:J375)</f>
        <v>13560</v>
      </c>
      <c r="I376" s="1105"/>
      <c r="J376" s="1114">
        <f>B376*H376</f>
        <v>0</v>
      </c>
    </row>
    <row r="377" spans="1:10" ht="20.100000000000001" customHeight="1">
      <c r="A377" s="953"/>
      <c r="B377" s="1117"/>
      <c r="C377" s="1118"/>
      <c r="D377" s="1114" t="s">
        <v>60</v>
      </c>
      <c r="E377" s="953"/>
      <c r="F377" s="953"/>
      <c r="G377" s="953"/>
      <c r="H377" s="1117"/>
      <c r="I377" s="1117"/>
      <c r="J377" s="1114">
        <f>SUM(J373:J376)</f>
        <v>13560</v>
      </c>
    </row>
    <row r="378" spans="1:10" ht="20.100000000000001" customHeight="1">
      <c r="A378" s="953"/>
      <c r="B378" s="1110" t="s">
        <v>39</v>
      </c>
      <c r="C378" s="1116" t="s">
        <v>61</v>
      </c>
      <c r="D378" s="953"/>
      <c r="E378" s="953"/>
      <c r="F378" s="953"/>
      <c r="G378" s="953"/>
      <c r="H378" s="1117"/>
      <c r="I378" s="1117"/>
      <c r="J378" s="1114"/>
    </row>
    <row r="379" spans="1:10" ht="20.100000000000001" customHeight="1">
      <c r="A379" s="953"/>
      <c r="B379" s="1117">
        <v>8.1</v>
      </c>
      <c r="C379" s="1118" t="s">
        <v>31</v>
      </c>
      <c r="D379" s="953" t="s">
        <v>63</v>
      </c>
      <c r="E379" s="953"/>
      <c r="F379" s="953"/>
      <c r="G379" s="953"/>
      <c r="H379" s="1117">
        <f>lead!J$16</f>
        <v>2031.2187651278443</v>
      </c>
      <c r="I379" s="1117" t="s">
        <v>31</v>
      </c>
      <c r="J379" s="1114">
        <f>ROUND(B379*H379,2)</f>
        <v>16452.87</v>
      </c>
    </row>
    <row r="380" spans="1:10" ht="20.100000000000001" customHeight="1">
      <c r="A380" s="953"/>
      <c r="B380" s="1117">
        <v>5.4</v>
      </c>
      <c r="C380" s="1118" t="s">
        <v>31</v>
      </c>
      <c r="D380" s="953" t="s">
        <v>64</v>
      </c>
      <c r="E380" s="953"/>
      <c r="F380" s="953"/>
      <c r="G380" s="953"/>
      <c r="H380" s="1117">
        <f>lead!J$18</f>
        <v>1780.2187651278443</v>
      </c>
      <c r="I380" s="1117" t="s">
        <v>31</v>
      </c>
      <c r="J380" s="1114">
        <f>ROUND(B380*H380,2)</f>
        <v>9613.18</v>
      </c>
    </row>
    <row r="381" spans="1:10" ht="45" customHeight="1">
      <c r="A381" s="953"/>
      <c r="B381" s="1122">
        <f>6.75/2</f>
        <v>3.375</v>
      </c>
      <c r="C381" s="1118" t="s">
        <v>31</v>
      </c>
      <c r="D381" s="3669" t="s">
        <v>1442</v>
      </c>
      <c r="E381" s="3669"/>
      <c r="F381" s="3669"/>
      <c r="G381" s="3669"/>
      <c r="H381" s="1121">
        <f>lead!$J$31</f>
        <v>1850.9213132068826</v>
      </c>
      <c r="I381" s="1117" t="s">
        <v>31</v>
      </c>
      <c r="J381" s="1129">
        <f>ROUND(B381*H381,2)</f>
        <v>6246.86</v>
      </c>
    </row>
    <row r="382" spans="1:10" ht="35.1" customHeight="1">
      <c r="A382" s="953"/>
      <c r="B382" s="1122">
        <f>6.75/2</f>
        <v>3.375</v>
      </c>
      <c r="C382" s="1118" t="s">
        <v>31</v>
      </c>
      <c r="D382" s="3669" t="s">
        <v>1443</v>
      </c>
      <c r="E382" s="3669"/>
      <c r="F382" s="3669"/>
      <c r="G382" s="3669"/>
      <c r="H382" s="1121">
        <f>lead!$J$33</f>
        <v>1473.2187651278443</v>
      </c>
      <c r="I382" s="1117" t="s">
        <v>31</v>
      </c>
      <c r="J382" s="1129">
        <f>ROUND(B382*H382,2)</f>
        <v>4972.1099999999997</v>
      </c>
    </row>
    <row r="383" spans="1:10" ht="20.100000000000001" customHeight="1">
      <c r="A383" s="953"/>
      <c r="B383" s="1122">
        <v>6.1</v>
      </c>
      <c r="C383" s="1118" t="s">
        <v>66</v>
      </c>
      <c r="D383" s="1114" t="s">
        <v>67</v>
      </c>
      <c r="E383" s="953"/>
      <c r="F383" s="953"/>
      <c r="G383" s="953"/>
      <c r="H383" s="1117">
        <f>lead!J$36</f>
        <v>5000</v>
      </c>
      <c r="I383" s="1117" t="s">
        <v>66</v>
      </c>
      <c r="J383" s="1114">
        <f>ROUND(B383*H383,2)</f>
        <v>30500</v>
      </c>
    </row>
    <row r="384" spans="1:10" ht="20.100000000000001" customHeight="1">
      <c r="A384" s="953"/>
      <c r="B384" s="1117"/>
      <c r="C384" s="953"/>
      <c r="D384" s="1114" t="s">
        <v>60</v>
      </c>
      <c r="E384" s="953"/>
      <c r="F384" s="953"/>
      <c r="G384" s="953"/>
      <c r="H384" s="1117"/>
      <c r="I384" s="1117"/>
      <c r="J384" s="1114">
        <f>SUM(J379:J383)</f>
        <v>67785.01999999999</v>
      </c>
    </row>
    <row r="385" spans="1:10" ht="20.100000000000001" customHeight="1">
      <c r="A385" s="953"/>
      <c r="B385" s="1110" t="s">
        <v>27</v>
      </c>
      <c r="C385" s="1116" t="s">
        <v>40</v>
      </c>
      <c r="D385" s="953"/>
      <c r="E385" s="953"/>
      <c r="F385" s="953"/>
      <c r="G385" s="953"/>
      <c r="H385" s="1117"/>
      <c r="I385" s="1117"/>
      <c r="J385" s="1114"/>
    </row>
    <row r="386" spans="1:10" ht="20.100000000000001" customHeight="1">
      <c r="A386" s="953"/>
      <c r="B386" s="1117">
        <v>6</v>
      </c>
      <c r="C386" s="1118" t="s">
        <v>41</v>
      </c>
      <c r="D386" s="1114" t="s">
        <v>68</v>
      </c>
      <c r="E386" s="953"/>
      <c r="F386" s="953"/>
      <c r="G386" s="953"/>
      <c r="H386" s="1117">
        <f>+H355</f>
        <v>697.9</v>
      </c>
      <c r="I386" s="1117" t="s">
        <v>41</v>
      </c>
      <c r="J386" s="1114">
        <f>ROUND(B386*H386,2)</f>
        <v>4187.3999999999996</v>
      </c>
    </row>
    <row r="387" spans="1:10" ht="20.100000000000001" customHeight="1">
      <c r="A387" s="953"/>
      <c r="B387" s="1117">
        <v>6</v>
      </c>
      <c r="C387" s="1118" t="s">
        <v>41</v>
      </c>
      <c r="D387" s="1114" t="s">
        <v>69</v>
      </c>
      <c r="E387" s="953"/>
      <c r="F387" s="953"/>
      <c r="G387" s="953"/>
      <c r="H387" s="1117">
        <f>+H356</f>
        <v>1323.5</v>
      </c>
      <c r="I387" s="1117" t="s">
        <v>41</v>
      </c>
      <c r="J387" s="1114">
        <f>ROUND(B387*H387,2)</f>
        <v>7941</v>
      </c>
    </row>
    <row r="388" spans="1:10" ht="20.100000000000001" customHeight="1">
      <c r="A388" s="953"/>
      <c r="B388" s="1117"/>
      <c r="C388" s="1120"/>
      <c r="D388" s="1114" t="s">
        <v>60</v>
      </c>
      <c r="E388" s="953"/>
      <c r="F388" s="953"/>
      <c r="G388" s="953"/>
      <c r="H388" s="1117"/>
      <c r="I388" s="1117"/>
      <c r="J388" s="1114">
        <f>SUM(J386:J387)</f>
        <v>12128.4</v>
      </c>
    </row>
    <row r="389" spans="1:10" ht="20.100000000000001" customHeight="1">
      <c r="A389" s="953"/>
      <c r="B389" s="1110" t="s">
        <v>45</v>
      </c>
      <c r="C389" s="1116" t="s">
        <v>71</v>
      </c>
      <c r="D389" s="953"/>
      <c r="E389" s="953"/>
      <c r="F389" s="953"/>
      <c r="G389" s="953"/>
      <c r="H389" s="1117"/>
      <c r="I389" s="1117"/>
      <c r="J389" s="1114"/>
    </row>
    <row r="390" spans="1:10" ht="20.100000000000001" customHeight="1">
      <c r="A390" s="953"/>
      <c r="B390" s="1117">
        <v>20</v>
      </c>
      <c r="C390" s="1118" t="s">
        <v>29</v>
      </c>
      <c r="D390" s="953" t="s">
        <v>1619</v>
      </c>
      <c r="E390" s="953"/>
      <c r="F390" s="953"/>
      <c r="G390" s="953"/>
      <c r="H390" s="1117">
        <f>J377+J384+J388</f>
        <v>93473.419999999984</v>
      </c>
      <c r="I390" s="1105" t="s">
        <v>73</v>
      </c>
      <c r="J390" s="1114">
        <f>ROUND(B390*H390/100,2)</f>
        <v>18694.68</v>
      </c>
    </row>
    <row r="391" spans="1:10" ht="20.100000000000001" customHeight="1">
      <c r="A391" s="1110"/>
      <c r="B391" s="1110" t="s">
        <v>47</v>
      </c>
      <c r="C391" s="1123" t="s">
        <v>1092</v>
      </c>
      <c r="D391" s="953"/>
      <c r="E391" s="953"/>
      <c r="F391" s="1118"/>
      <c r="G391" s="1118"/>
      <c r="H391" s="1118"/>
      <c r="I391" s="1118"/>
      <c r="J391" s="1116"/>
    </row>
    <row r="392" spans="1:10" ht="35.1" customHeight="1">
      <c r="A392" s="1110"/>
      <c r="B392" s="1124">
        <f>'Input Data'!$D$24</f>
        <v>0.13614999999999999</v>
      </c>
      <c r="C392" s="1120" t="s">
        <v>1617</v>
      </c>
      <c r="D392" s="1114"/>
      <c r="E392" s="953"/>
      <c r="F392" s="1118"/>
      <c r="G392" s="1118"/>
      <c r="H392" s="1120">
        <f>J390+J388+J384+J377</f>
        <v>112168.09999999999</v>
      </c>
      <c r="I392" s="1118"/>
      <c r="J392" s="1114">
        <f>H392*B392</f>
        <v>15271.686814999997</v>
      </c>
    </row>
    <row r="393" spans="1:10" ht="20.100000000000001" customHeight="1">
      <c r="A393" s="1110"/>
      <c r="B393" s="1125">
        <f>'Input Data'!$E$24</f>
        <v>0</v>
      </c>
      <c r="C393" s="1126" t="s">
        <v>1093</v>
      </c>
      <c r="D393" s="1114"/>
      <c r="E393" s="953"/>
      <c r="F393" s="1118"/>
      <c r="G393" s="1118"/>
      <c r="H393" s="1120">
        <f>J392+J390+J388+J384+J377</f>
        <v>127439.786815</v>
      </c>
      <c r="I393" s="1118"/>
      <c r="J393" s="1114">
        <f>H393*B393</f>
        <v>0</v>
      </c>
    </row>
    <row r="394" spans="1:10" ht="20.100000000000001" customHeight="1">
      <c r="A394" s="1110"/>
      <c r="B394" s="1110" t="s">
        <v>76</v>
      </c>
      <c r="C394" s="1123" t="s">
        <v>77</v>
      </c>
      <c r="D394" s="953"/>
      <c r="E394" s="953"/>
      <c r="F394" s="1118"/>
      <c r="G394" s="1118"/>
      <c r="H394" s="1118"/>
      <c r="I394" s="1118"/>
      <c r="J394" s="1116">
        <f>J377+J384+J388+J390+J392+J393</f>
        <v>127439.78681499997</v>
      </c>
    </row>
    <row r="395" spans="1:10" ht="20.100000000000001" customHeight="1">
      <c r="A395" s="953"/>
      <c r="B395" s="1117"/>
      <c r="C395" s="1118"/>
      <c r="D395" s="1116" t="s">
        <v>80</v>
      </c>
      <c r="E395" s="953"/>
      <c r="F395" s="953"/>
      <c r="G395" s="953"/>
      <c r="H395" s="1117"/>
      <c r="I395" s="1117"/>
      <c r="J395" s="1116">
        <f>SUM(J394:J394)</f>
        <v>127439.78681499997</v>
      </c>
    </row>
    <row r="396" spans="1:10" ht="20.100000000000001" customHeight="1">
      <c r="A396" s="953"/>
      <c r="B396" s="1117"/>
      <c r="C396" s="1118"/>
      <c r="D396" s="1114" t="s">
        <v>81</v>
      </c>
      <c r="E396" s="953"/>
      <c r="F396" s="953"/>
      <c r="G396" s="953"/>
      <c r="H396" s="1117"/>
      <c r="I396" s="1117"/>
      <c r="J396" s="1114">
        <f>ROUND(J395/15,2)</f>
        <v>8495.99</v>
      </c>
    </row>
    <row r="397" spans="1:10" ht="20.100000000000001" customHeight="1">
      <c r="A397" s="953"/>
      <c r="B397" s="1105"/>
      <c r="C397" s="953"/>
      <c r="D397" s="1114" t="s">
        <v>52</v>
      </c>
      <c r="E397" s="953"/>
      <c r="F397" s="953"/>
      <c r="G397" s="953"/>
      <c r="H397" s="1117"/>
      <c r="I397" s="1117"/>
      <c r="J397" s="1134">
        <f>ROUND(J396,2)</f>
        <v>8495.99</v>
      </c>
    </row>
    <row r="398" spans="1:10" ht="20.100000000000001" customHeight="1">
      <c r="A398" s="953"/>
      <c r="B398" s="1105"/>
      <c r="C398" s="953"/>
      <c r="D398" s="1114"/>
      <c r="E398" s="953"/>
      <c r="F398" s="953"/>
      <c r="G398" s="953"/>
      <c r="H398" s="1117"/>
      <c r="I398" s="1117"/>
      <c r="J398" s="1130" t="s">
        <v>53</v>
      </c>
    </row>
    <row r="399" spans="1:10" ht="20.100000000000001" customHeight="1">
      <c r="A399" s="953"/>
      <c r="B399" s="1105"/>
      <c r="C399" s="953"/>
      <c r="D399" s="1114"/>
      <c r="E399" s="953"/>
      <c r="F399" s="953"/>
      <c r="G399" s="953"/>
      <c r="H399" s="1117"/>
      <c r="I399" s="1117"/>
      <c r="J399" s="1130"/>
    </row>
    <row r="400" spans="1:10" ht="111.9" customHeight="1">
      <c r="A400" s="1132">
        <f>A369+1</f>
        <v>12</v>
      </c>
      <c r="B400" s="3671" t="s">
        <v>1620</v>
      </c>
      <c r="C400" s="3671"/>
      <c r="D400" s="3671"/>
      <c r="E400" s="3671"/>
      <c r="F400" s="3671"/>
      <c r="G400" s="3671"/>
      <c r="H400" s="3671"/>
      <c r="I400" s="3671"/>
      <c r="J400" s="3671"/>
    </row>
    <row r="401" spans="1:10" ht="20.100000000000001" customHeight="1">
      <c r="A401" s="1118"/>
      <c r="B401" s="1105"/>
      <c r="C401" s="953"/>
      <c r="D401" s="1114" t="s">
        <v>10</v>
      </c>
      <c r="E401" s="953"/>
      <c r="F401" s="1123" t="s">
        <v>160</v>
      </c>
      <c r="G401" s="953"/>
      <c r="H401" s="953"/>
      <c r="I401" s="953"/>
      <c r="J401" s="953"/>
    </row>
    <row r="402" spans="1:10" ht="20.100000000000001" customHeight="1">
      <c r="A402" s="1118"/>
      <c r="B402" s="1105"/>
      <c r="C402" s="953"/>
      <c r="D402" s="1114" t="s">
        <v>56</v>
      </c>
      <c r="E402" s="953"/>
      <c r="F402" s="953"/>
      <c r="G402" s="953"/>
      <c r="H402" s="953"/>
      <c r="I402" s="953"/>
      <c r="J402" s="953"/>
    </row>
    <row r="403" spans="1:10" ht="20.100000000000001" customHeight="1">
      <c r="A403" s="1118"/>
      <c r="B403" s="1110" t="s">
        <v>36</v>
      </c>
      <c r="C403" s="1116" t="s">
        <v>37</v>
      </c>
      <c r="D403" s="953"/>
      <c r="E403" s="953"/>
      <c r="F403" s="953"/>
      <c r="G403" s="953"/>
      <c r="H403" s="953"/>
      <c r="I403" s="953"/>
      <c r="J403" s="1169"/>
    </row>
    <row r="404" spans="1:10" ht="20.100000000000001" customHeight="1">
      <c r="A404" s="1118"/>
      <c r="B404" s="1117">
        <v>0.9</v>
      </c>
      <c r="C404" s="1118" t="s">
        <v>57</v>
      </c>
      <c r="D404" s="1114" t="s">
        <v>156</v>
      </c>
      <c r="E404" s="953"/>
      <c r="F404" s="953"/>
      <c r="G404" s="953"/>
      <c r="H404" s="1117">
        <f>'SSR-rates'!$K58</f>
        <v>575</v>
      </c>
      <c r="I404" s="1105" t="s">
        <v>38</v>
      </c>
      <c r="J404" s="1129">
        <f>ROUND(B404*H404,2)</f>
        <v>517.5</v>
      </c>
    </row>
    <row r="405" spans="1:10" ht="20.100000000000001" customHeight="1">
      <c r="A405" s="1118"/>
      <c r="B405" s="1117">
        <v>1.5</v>
      </c>
      <c r="C405" s="1118" t="s">
        <v>57</v>
      </c>
      <c r="D405" s="1114" t="s">
        <v>58</v>
      </c>
      <c r="E405" s="953"/>
      <c r="F405" s="953"/>
      <c r="G405" s="953"/>
      <c r="H405" s="1117">
        <f>+'SSR-rates'!$K$96</f>
        <v>645</v>
      </c>
      <c r="I405" s="1105" t="s">
        <v>38</v>
      </c>
      <c r="J405" s="1129">
        <f>ROUND(B405*H405,2)</f>
        <v>967.5</v>
      </c>
    </row>
    <row r="406" spans="1:10" ht="20.100000000000001" customHeight="1">
      <c r="A406" s="1118"/>
      <c r="B406" s="1117">
        <v>21</v>
      </c>
      <c r="C406" s="1118" t="s">
        <v>57</v>
      </c>
      <c r="D406" s="1114" t="s">
        <v>59</v>
      </c>
      <c r="E406" s="953"/>
      <c r="F406" s="953"/>
      <c r="G406" s="953"/>
      <c r="H406" s="1117">
        <f>'SSR-rates'!$K60</f>
        <v>575</v>
      </c>
      <c r="I406" s="1105" t="s">
        <v>38</v>
      </c>
      <c r="J406" s="1129">
        <f>ROUND(B406*H406,2)</f>
        <v>12075</v>
      </c>
    </row>
    <row r="407" spans="1:10" ht="20.100000000000001" customHeight="1">
      <c r="A407" s="1123"/>
      <c r="B407" s="1119">
        <f>'Input Data'!$D$23</f>
        <v>0</v>
      </c>
      <c r="C407" s="1120"/>
      <c r="D407" s="953" t="s">
        <v>17</v>
      </c>
      <c r="E407" s="953"/>
      <c r="F407" s="1118"/>
      <c r="G407" s="1118"/>
      <c r="H407" s="1117">
        <f>SUM(J404:J406)</f>
        <v>13560</v>
      </c>
      <c r="I407" s="1105"/>
      <c r="J407" s="1129">
        <f>B407*H407</f>
        <v>0</v>
      </c>
    </row>
    <row r="408" spans="1:10" ht="20.100000000000001" customHeight="1">
      <c r="A408" s="1118"/>
      <c r="B408" s="1117"/>
      <c r="C408" s="1118"/>
      <c r="D408" s="1114" t="s">
        <v>60</v>
      </c>
      <c r="E408" s="953"/>
      <c r="F408" s="953"/>
      <c r="G408" s="953"/>
      <c r="H408" s="1117"/>
      <c r="I408" s="1117"/>
      <c r="J408" s="1129">
        <f>SUM(J404:J407)</f>
        <v>13560</v>
      </c>
    </row>
    <row r="409" spans="1:10" ht="20.100000000000001" customHeight="1">
      <c r="A409" s="1118"/>
      <c r="B409" s="1110" t="s">
        <v>39</v>
      </c>
      <c r="C409" s="1116" t="s">
        <v>61</v>
      </c>
      <c r="D409" s="953"/>
      <c r="E409" s="953"/>
      <c r="F409" s="953"/>
      <c r="G409" s="953"/>
      <c r="H409" s="1117"/>
      <c r="I409" s="1117"/>
      <c r="J409" s="1129"/>
    </row>
    <row r="410" spans="1:10" ht="20.100000000000001" customHeight="1">
      <c r="A410" s="1118"/>
      <c r="B410" s="1117">
        <v>8.1</v>
      </c>
      <c r="C410" s="1118" t="s">
        <v>31</v>
      </c>
      <c r="D410" s="953" t="s">
        <v>63</v>
      </c>
      <c r="E410" s="953"/>
      <c r="F410" s="953"/>
      <c r="G410" s="953"/>
      <c r="H410" s="1117">
        <f>lead!$J$16</f>
        <v>2031.2187651278443</v>
      </c>
      <c r="I410" s="1117" t="s">
        <v>31</v>
      </c>
      <c r="J410" s="1129">
        <f>ROUND(B410*H410,2)</f>
        <v>16452.87</v>
      </c>
    </row>
    <row r="411" spans="1:10" ht="20.100000000000001" customHeight="1">
      <c r="A411" s="1118"/>
      <c r="B411" s="1117">
        <v>5.4</v>
      </c>
      <c r="C411" s="1118" t="s">
        <v>31</v>
      </c>
      <c r="D411" s="953" t="s">
        <v>64</v>
      </c>
      <c r="E411" s="953"/>
      <c r="F411" s="953"/>
      <c r="G411" s="953"/>
      <c r="H411" s="1117">
        <f>lead!$J$18</f>
        <v>1780.2187651278443</v>
      </c>
      <c r="I411" s="1117" t="s">
        <v>31</v>
      </c>
      <c r="J411" s="1129">
        <f>ROUND(B411*H411,2)</f>
        <v>9613.18</v>
      </c>
    </row>
    <row r="412" spans="1:10" ht="45" customHeight="1">
      <c r="A412" s="1118"/>
      <c r="B412" s="1122">
        <f>6.75/2</f>
        <v>3.375</v>
      </c>
      <c r="C412" s="1118" t="s">
        <v>31</v>
      </c>
      <c r="D412" s="3669" t="s">
        <v>1442</v>
      </c>
      <c r="E412" s="3669"/>
      <c r="F412" s="3669"/>
      <c r="G412" s="3669"/>
      <c r="H412" s="1121">
        <f>lead!$J$31</f>
        <v>1850.9213132068826</v>
      </c>
      <c r="I412" s="1117" t="s">
        <v>31</v>
      </c>
      <c r="J412" s="1129">
        <f>ROUND(B412*H412,2)</f>
        <v>6246.86</v>
      </c>
    </row>
    <row r="413" spans="1:10" ht="35.1" customHeight="1">
      <c r="A413" s="1118"/>
      <c r="B413" s="1122">
        <f>6.75/2</f>
        <v>3.375</v>
      </c>
      <c r="C413" s="1118" t="s">
        <v>31</v>
      </c>
      <c r="D413" s="3669" t="s">
        <v>1443</v>
      </c>
      <c r="E413" s="3669"/>
      <c r="F413" s="3669"/>
      <c r="G413" s="3669"/>
      <c r="H413" s="1121">
        <f>lead!$J$33</f>
        <v>1473.2187651278443</v>
      </c>
      <c r="I413" s="1117" t="s">
        <v>31</v>
      </c>
      <c r="J413" s="1129">
        <f>ROUND(B413*H413,2)</f>
        <v>4972.1099999999997</v>
      </c>
    </row>
    <row r="414" spans="1:10" ht="20.100000000000001" customHeight="1">
      <c r="A414" s="1118"/>
      <c r="B414" s="1117">
        <v>6.1</v>
      </c>
      <c r="C414" s="1118" t="s">
        <v>66</v>
      </c>
      <c r="D414" s="1114" t="s">
        <v>67</v>
      </c>
      <c r="E414" s="953"/>
      <c r="F414" s="953"/>
      <c r="G414" s="953"/>
      <c r="H414" s="1117">
        <f>lead!$J$36</f>
        <v>5000</v>
      </c>
      <c r="I414" s="1117" t="s">
        <v>66</v>
      </c>
      <c r="J414" s="1129">
        <f>ROUND(B414*H414,2)</f>
        <v>30500</v>
      </c>
    </row>
    <row r="415" spans="1:10" ht="20.100000000000001" customHeight="1">
      <c r="A415" s="1118"/>
      <c r="B415" s="1117"/>
      <c r="C415" s="953"/>
      <c r="D415" s="1114" t="s">
        <v>60</v>
      </c>
      <c r="E415" s="953"/>
      <c r="F415" s="953"/>
      <c r="G415" s="953"/>
      <c r="H415" s="1117"/>
      <c r="I415" s="1117"/>
      <c r="J415" s="1129">
        <f>SUM(J410:J414)</f>
        <v>67785.01999999999</v>
      </c>
    </row>
    <row r="416" spans="1:10" ht="20.100000000000001" customHeight="1">
      <c r="A416" s="1118"/>
      <c r="B416" s="1110" t="s">
        <v>27</v>
      </c>
      <c r="C416" s="1116" t="s">
        <v>40</v>
      </c>
      <c r="D416" s="953"/>
      <c r="E416" s="953"/>
      <c r="F416" s="953"/>
      <c r="G416" s="953"/>
      <c r="H416" s="1117"/>
      <c r="I416" s="1117"/>
      <c r="J416" s="1129"/>
    </row>
    <row r="417" spans="1:10" ht="20.100000000000001" customHeight="1">
      <c r="A417" s="1118"/>
      <c r="B417" s="1117">
        <v>6</v>
      </c>
      <c r="C417" s="1118" t="s">
        <v>41</v>
      </c>
      <c r="D417" s="1114" t="s">
        <v>68</v>
      </c>
      <c r="E417" s="953"/>
      <c r="F417" s="953"/>
      <c r="G417" s="953"/>
      <c r="H417" s="1117">
        <f>'SSR-rates'!$K$88</f>
        <v>697.9</v>
      </c>
      <c r="I417" s="1117" t="s">
        <v>41</v>
      </c>
      <c r="J417" s="1129">
        <f>ROUND(B417*H417,2)</f>
        <v>4187.3999999999996</v>
      </c>
    </row>
    <row r="418" spans="1:10" ht="20.100000000000001" customHeight="1">
      <c r="A418" s="1118"/>
      <c r="B418" s="1117">
        <v>6</v>
      </c>
      <c r="C418" s="1118" t="s">
        <v>41</v>
      </c>
      <c r="D418" s="1114" t="s">
        <v>69</v>
      </c>
      <c r="E418" s="953"/>
      <c r="F418" s="953"/>
      <c r="G418" s="953"/>
      <c r="H418" s="1117">
        <f>'SSR-rates'!$K$87</f>
        <v>1323.5</v>
      </c>
      <c r="I418" s="1117" t="s">
        <v>41</v>
      </c>
      <c r="J418" s="1129">
        <f>ROUND(B418*H418,2)</f>
        <v>7941</v>
      </c>
    </row>
    <row r="419" spans="1:10" ht="20.100000000000001" customHeight="1">
      <c r="A419" s="1118"/>
      <c r="B419" s="1117"/>
      <c r="C419" s="1120"/>
      <c r="D419" s="1114" t="s">
        <v>60</v>
      </c>
      <c r="E419" s="953"/>
      <c r="F419" s="953"/>
      <c r="G419" s="953"/>
      <c r="H419" s="1117"/>
      <c r="I419" s="1117"/>
      <c r="J419" s="1129">
        <f>SUM(J417:J418)</f>
        <v>12128.4</v>
      </c>
    </row>
    <row r="420" spans="1:10" ht="20.100000000000001" customHeight="1">
      <c r="A420" s="1118"/>
      <c r="B420" s="1110" t="s">
        <v>45</v>
      </c>
      <c r="C420" s="1116" t="s">
        <v>71</v>
      </c>
      <c r="D420" s="953"/>
      <c r="E420" s="953"/>
      <c r="F420" s="953"/>
      <c r="G420" s="953"/>
      <c r="H420" s="1117"/>
      <c r="I420" s="1117"/>
      <c r="J420" s="1129"/>
    </row>
    <row r="421" spans="1:10" ht="35.1" customHeight="1">
      <c r="A421" s="1118"/>
      <c r="B421" s="1167">
        <v>0</v>
      </c>
      <c r="C421" s="1168"/>
      <c r="D421" s="953" t="s">
        <v>1621</v>
      </c>
      <c r="E421" s="953"/>
      <c r="F421" s="953"/>
      <c r="G421" s="953"/>
      <c r="H421" s="1117">
        <f>J408+J415+J419</f>
        <v>93473.419999999984</v>
      </c>
      <c r="I421" s="1105" t="s">
        <v>73</v>
      </c>
      <c r="J421" s="1129">
        <f>ROUND(B421*H421,2)</f>
        <v>0</v>
      </c>
    </row>
    <row r="422" spans="1:10" ht="20.100000000000001" customHeight="1">
      <c r="A422" s="1123"/>
      <c r="B422" s="1110" t="s">
        <v>47</v>
      </c>
      <c r="C422" s="1123" t="s">
        <v>1246</v>
      </c>
      <c r="D422" s="953"/>
      <c r="E422" s="953"/>
      <c r="F422" s="1118"/>
      <c r="G422" s="1118"/>
      <c r="H422" s="1118"/>
      <c r="I422" s="1118"/>
      <c r="J422" s="1130"/>
    </row>
    <row r="423" spans="1:10" ht="35.1" customHeight="1">
      <c r="A423" s="1123"/>
      <c r="B423" s="1124">
        <f>'Input Data'!$D$24</f>
        <v>0.13614999999999999</v>
      </c>
      <c r="C423" s="3672" t="str">
        <f>"Over head charges &amp; CP "&amp;'Input Data'!$D$24*100&amp;"%  on (A) + (B)+(C)+(D)"</f>
        <v>Over head charges &amp; CP 13.615%  on (A) + (B)+(C)+(D)</v>
      </c>
      <c r="D423" s="3672"/>
      <c r="E423" s="3672"/>
      <c r="F423" s="3672"/>
      <c r="G423" s="3672"/>
      <c r="H423" s="1120">
        <f>J421+J419+J415+J408</f>
        <v>93473.419999999984</v>
      </c>
      <c r="I423" s="1118"/>
      <c r="J423" s="1129">
        <f>H423*B423</f>
        <v>12726.406132999997</v>
      </c>
    </row>
    <row r="424" spans="1:10" ht="20.100000000000001" customHeight="1">
      <c r="A424" s="1123"/>
      <c r="B424" s="1125">
        <f>'Input Data'!$E$24</f>
        <v>0</v>
      </c>
      <c r="C424" s="1126" t="s">
        <v>1093</v>
      </c>
      <c r="D424" s="1121"/>
      <c r="E424" s="1121"/>
      <c r="F424" s="1121"/>
      <c r="G424" s="1121"/>
      <c r="H424" s="1120">
        <f>J423+J421+J419+J415+J408</f>
        <v>106199.826133</v>
      </c>
      <c r="I424" s="1118"/>
      <c r="J424" s="1129">
        <f>H424*B424</f>
        <v>0</v>
      </c>
    </row>
    <row r="425" spans="1:10" ht="20.100000000000001" customHeight="1">
      <c r="A425" s="1123"/>
      <c r="B425" s="1110" t="s">
        <v>76</v>
      </c>
      <c r="C425" s="1123" t="s">
        <v>77</v>
      </c>
      <c r="D425" s="953"/>
      <c r="E425" s="953"/>
      <c r="F425" s="1118"/>
      <c r="G425" s="1118"/>
      <c r="H425" s="1118"/>
      <c r="I425" s="1118"/>
      <c r="J425" s="1130">
        <f>J408+J415+J419+J421+J423+J424</f>
        <v>106199.82613299998</v>
      </c>
    </row>
    <row r="426" spans="1:10" ht="20.100000000000001" customHeight="1">
      <c r="A426" s="1118"/>
      <c r="B426" s="1117"/>
      <c r="C426" s="1118"/>
      <c r="D426" s="1116" t="s">
        <v>1555</v>
      </c>
      <c r="E426" s="953"/>
      <c r="F426" s="953"/>
      <c r="G426" s="953"/>
      <c r="H426" s="1117"/>
      <c r="I426" s="1117"/>
      <c r="J426" s="1170">
        <f>SUM(J425:J425)</f>
        <v>106199.82613299998</v>
      </c>
    </row>
    <row r="427" spans="1:10" ht="20.100000000000001" customHeight="1">
      <c r="A427" s="1118"/>
      <c r="B427" s="1117"/>
      <c r="C427" s="1118"/>
      <c r="D427" s="1114" t="s">
        <v>81</v>
      </c>
      <c r="E427" s="953"/>
      <c r="F427" s="953"/>
      <c r="G427" s="953"/>
      <c r="H427" s="1117"/>
      <c r="I427" s="1117"/>
      <c r="J427" s="1129">
        <f>ROUND(J426/15,2)</f>
        <v>7079.99</v>
      </c>
    </row>
    <row r="428" spans="1:10" ht="20.100000000000001" customHeight="1">
      <c r="A428" s="1118"/>
      <c r="B428" s="1105"/>
      <c r="C428" s="953"/>
      <c r="D428" s="1114" t="s">
        <v>52</v>
      </c>
      <c r="E428" s="953"/>
      <c r="F428" s="953"/>
      <c r="G428" s="953"/>
      <c r="H428" s="1117"/>
      <c r="I428" s="1117"/>
      <c r="J428" s="1131">
        <f>ROUND(J427,2)</f>
        <v>7079.99</v>
      </c>
    </row>
    <row r="429" spans="1:10" ht="20.100000000000001" customHeight="1">
      <c r="A429" s="1118"/>
      <c r="B429" s="1105"/>
      <c r="C429" s="953"/>
      <c r="D429" s="1114"/>
      <c r="E429" s="953"/>
      <c r="F429" s="953"/>
      <c r="G429" s="953"/>
      <c r="H429" s="1117"/>
      <c r="I429" s="1117"/>
      <c r="J429" s="1130" t="s">
        <v>53</v>
      </c>
    </row>
    <row r="430" spans="1:10" ht="20.100000000000001" customHeight="1">
      <c r="A430" s="953"/>
      <c r="B430" s="1105"/>
      <c r="C430" s="953"/>
      <c r="D430" s="1114"/>
      <c r="E430" s="953"/>
      <c r="F430" s="953"/>
      <c r="G430" s="953"/>
      <c r="H430" s="1117"/>
      <c r="I430" s="1117"/>
      <c r="J430" s="1171"/>
    </row>
    <row r="431" spans="1:10" ht="141" customHeight="1">
      <c r="A431" s="1132">
        <f>A400+1</f>
        <v>13</v>
      </c>
      <c r="B431" s="3673" t="s">
        <v>1622</v>
      </c>
      <c r="C431" s="3673"/>
      <c r="D431" s="3673"/>
      <c r="E431" s="3673"/>
      <c r="F431" s="3673"/>
      <c r="G431" s="3673"/>
      <c r="H431" s="3673"/>
      <c r="I431" s="3673"/>
      <c r="J431" s="3673"/>
    </row>
    <row r="432" spans="1:10" ht="20.100000000000001" customHeight="1">
      <c r="A432" s="1135"/>
      <c r="B432" s="1136"/>
      <c r="C432" s="1136"/>
      <c r="D432" s="3674" t="s">
        <v>198</v>
      </c>
      <c r="E432" s="3674"/>
      <c r="F432" s="3674"/>
      <c r="G432" s="3674"/>
      <c r="H432" s="1136"/>
      <c r="I432" s="1136"/>
      <c r="J432" s="1150"/>
    </row>
    <row r="433" spans="1:12" ht="20.100000000000001" customHeight="1">
      <c r="A433" s="1135"/>
      <c r="B433" s="1136"/>
      <c r="C433" s="1136"/>
      <c r="D433" s="3675" t="s">
        <v>186</v>
      </c>
      <c r="E433" s="3675"/>
      <c r="F433" s="3675"/>
      <c r="G433" s="3675"/>
      <c r="H433" s="1136"/>
      <c r="I433" s="1136"/>
      <c r="J433" s="1150"/>
    </row>
    <row r="434" spans="1:12" ht="20.100000000000001" customHeight="1">
      <c r="A434" s="1135"/>
      <c r="B434" s="1136"/>
      <c r="C434" s="1138"/>
      <c r="D434" s="3675" t="s">
        <v>187</v>
      </c>
      <c r="E434" s="3675"/>
      <c r="F434" s="3675"/>
      <c r="G434" s="3675"/>
      <c r="H434" s="1136"/>
      <c r="I434" s="1136"/>
      <c r="J434" s="1150"/>
    </row>
    <row r="435" spans="1:12" ht="20.100000000000001" customHeight="1">
      <c r="A435" s="1135"/>
      <c r="B435" s="1136"/>
      <c r="C435" s="1139"/>
      <c r="D435" s="3676" t="s">
        <v>12</v>
      </c>
      <c r="E435" s="3676"/>
      <c r="F435" s="3676"/>
      <c r="G435" s="3676"/>
      <c r="H435" s="1136"/>
      <c r="I435" s="1136"/>
      <c r="J435" s="1150"/>
    </row>
    <row r="436" spans="1:12" ht="20.100000000000001" customHeight="1">
      <c r="A436" s="1135"/>
      <c r="B436" s="1138">
        <v>0.44</v>
      </c>
      <c r="C436" s="1141" t="s">
        <v>13</v>
      </c>
      <c r="D436" s="3677" t="s">
        <v>14</v>
      </c>
      <c r="E436" s="3677"/>
      <c r="F436" s="3677"/>
      <c r="G436" s="3677"/>
      <c r="H436" s="1143">
        <f>'SSR-rates'!$K$58</f>
        <v>575</v>
      </c>
      <c r="I436" s="1138">
        <v>1</v>
      </c>
      <c r="J436" s="1151">
        <f>ROUND(B436*H436,2)</f>
        <v>253</v>
      </c>
      <c r="L436" s="903">
        <v>0.44</v>
      </c>
    </row>
    <row r="437" spans="1:12" ht="20.100000000000001" customHeight="1">
      <c r="A437" s="1135"/>
      <c r="B437" s="1138">
        <v>3</v>
      </c>
      <c r="C437" s="1141" t="s">
        <v>13</v>
      </c>
      <c r="D437" s="3677" t="s">
        <v>188</v>
      </c>
      <c r="E437" s="3677"/>
      <c r="F437" s="3677"/>
      <c r="G437" s="3677"/>
      <c r="H437" s="1143">
        <f>'SSR-rates'!$K$92</f>
        <v>640</v>
      </c>
      <c r="I437" s="1138">
        <v>1</v>
      </c>
      <c r="J437" s="1151">
        <f>ROUND(B437*H437,2)</f>
        <v>1920</v>
      </c>
      <c r="L437" s="903">
        <v>3</v>
      </c>
    </row>
    <row r="438" spans="1:12" ht="20.100000000000001" customHeight="1">
      <c r="A438" s="1135"/>
      <c r="B438" s="1138">
        <v>8</v>
      </c>
      <c r="C438" s="1141" t="s">
        <v>13</v>
      </c>
      <c r="D438" s="3677" t="s">
        <v>59</v>
      </c>
      <c r="E438" s="3677"/>
      <c r="F438" s="3677"/>
      <c r="G438" s="3677"/>
      <c r="H438" s="1143">
        <f>'SSR-rates'!$K$60</f>
        <v>575</v>
      </c>
      <c r="I438" s="1138">
        <v>1</v>
      </c>
      <c r="J438" s="1151">
        <f>ROUND(B438*H438,2)</f>
        <v>4600</v>
      </c>
      <c r="L438" s="903">
        <v>8</v>
      </c>
    </row>
    <row r="439" spans="1:12" ht="20.100000000000001" customHeight="1">
      <c r="A439" s="1135"/>
      <c r="B439" s="1119">
        <f>'Input Data'!$D$23</f>
        <v>0</v>
      </c>
      <c r="C439" s="1120"/>
      <c r="D439" s="953" t="s">
        <v>17</v>
      </c>
      <c r="E439" s="953"/>
      <c r="F439" s="1118"/>
      <c r="G439" s="1118"/>
      <c r="H439" s="1117">
        <f>SUM(J436:J438)</f>
        <v>6773</v>
      </c>
      <c r="I439" s="1105"/>
      <c r="J439" s="1129">
        <f>B439*H439</f>
        <v>0</v>
      </c>
    </row>
    <row r="440" spans="1:12" ht="20.100000000000001" customHeight="1">
      <c r="A440" s="1135"/>
      <c r="B440" s="1138"/>
      <c r="C440" s="1144"/>
      <c r="D440" s="3678" t="s">
        <v>18</v>
      </c>
      <c r="E440" s="3678"/>
      <c r="F440" s="3678"/>
      <c r="G440" s="3678"/>
      <c r="H440" s="1138"/>
      <c r="I440" s="1152" t="s">
        <v>19</v>
      </c>
      <c r="J440" s="1153">
        <f>SUM(J436:J439)</f>
        <v>6773</v>
      </c>
    </row>
    <row r="441" spans="1:12" ht="20.100000000000001" customHeight="1">
      <c r="A441" s="1135"/>
      <c r="B441" s="1138"/>
      <c r="C441" s="1146"/>
      <c r="D441" s="3676" t="s">
        <v>189</v>
      </c>
      <c r="E441" s="3676"/>
      <c r="F441" s="3676"/>
      <c r="G441" s="3676"/>
      <c r="H441" s="1138"/>
      <c r="I441" s="1138"/>
      <c r="J441" s="1151"/>
    </row>
    <row r="442" spans="1:12" ht="35.1" customHeight="1">
      <c r="A442" s="1118"/>
      <c r="B442" s="1160">
        <v>1.05</v>
      </c>
      <c r="C442" s="1145" t="s">
        <v>66</v>
      </c>
      <c r="D442" s="3682" t="s">
        <v>199</v>
      </c>
      <c r="E442" s="3682"/>
      <c r="F442" s="3682"/>
      <c r="G442" s="3682"/>
      <c r="H442" s="1160">
        <f>lead!$J$37</f>
        <v>49000</v>
      </c>
      <c r="I442" s="1160">
        <v>1</v>
      </c>
      <c r="J442" s="1164">
        <f>ROUND(B442*H442,2)</f>
        <v>51450</v>
      </c>
    </row>
    <row r="443" spans="1:12" ht="35.1" customHeight="1">
      <c r="A443" s="1135"/>
      <c r="B443" s="1138">
        <v>8</v>
      </c>
      <c r="C443" s="1141" t="s">
        <v>191</v>
      </c>
      <c r="D443" s="3678" t="s">
        <v>196</v>
      </c>
      <c r="E443" s="3678"/>
      <c r="F443" s="3678"/>
      <c r="G443" s="3678"/>
      <c r="H443" s="1138">
        <f>'SSR-rates'!$K$93</f>
        <v>83</v>
      </c>
      <c r="I443" s="1138">
        <v>1</v>
      </c>
      <c r="J443" s="1151">
        <f>H443*B443</f>
        <v>664</v>
      </c>
    </row>
    <row r="444" spans="1:12" ht="20.100000000000001" customHeight="1">
      <c r="A444" s="1135"/>
      <c r="B444" s="1138"/>
      <c r="C444" s="1144"/>
      <c r="D444" s="3678" t="s">
        <v>18</v>
      </c>
      <c r="E444" s="3678"/>
      <c r="F444" s="3678"/>
      <c r="G444" s="3678"/>
      <c r="H444" s="1138"/>
      <c r="I444" s="1152" t="s">
        <v>25</v>
      </c>
      <c r="J444" s="1153">
        <f>SUM(J442:J443)</f>
        <v>52114</v>
      </c>
    </row>
    <row r="445" spans="1:12" ht="20.100000000000001" customHeight="1">
      <c r="A445" s="1135"/>
      <c r="B445" s="1143"/>
      <c r="C445" s="1147"/>
      <c r="D445" s="3676" t="s">
        <v>26</v>
      </c>
      <c r="E445" s="3676"/>
      <c r="F445" s="3676"/>
      <c r="G445" s="3676"/>
      <c r="H445" s="1143"/>
      <c r="I445" s="1154"/>
      <c r="J445" s="1155">
        <f>J440+J444</f>
        <v>58887</v>
      </c>
    </row>
    <row r="446" spans="1:12" ht="35.1" customHeight="1">
      <c r="A446" s="1135"/>
      <c r="B446" s="1124">
        <f>'Input Data'!$D$24</f>
        <v>0.13614999999999999</v>
      </c>
      <c r="C446" s="1147"/>
      <c r="D446" s="3680" t="s">
        <v>1593</v>
      </c>
      <c r="E446" s="3680"/>
      <c r="F446" s="3680"/>
      <c r="G446" s="3680"/>
      <c r="H446" s="1143">
        <f>J445</f>
        <v>58887</v>
      </c>
      <c r="I446" s="1156"/>
      <c r="J446" s="1157">
        <f>H446*B446</f>
        <v>8017.4650499999998</v>
      </c>
    </row>
    <row r="447" spans="1:12" ht="20.100000000000001" customHeight="1">
      <c r="A447" s="1135"/>
      <c r="B447" s="1125">
        <f>'Input Data'!$E$24</f>
        <v>0</v>
      </c>
      <c r="C447" s="1126" t="s">
        <v>1093</v>
      </c>
      <c r="D447" s="3676"/>
      <c r="E447" s="3676"/>
      <c r="F447" s="3676"/>
      <c r="G447" s="3676"/>
      <c r="H447" s="1143">
        <f>J446+J444+J440</f>
        <v>66904.465049999999</v>
      </c>
      <c r="I447" s="1156"/>
      <c r="J447" s="1157">
        <f>H447*B447</f>
        <v>0</v>
      </c>
    </row>
    <row r="448" spans="1:12" ht="20.100000000000001" customHeight="1">
      <c r="A448" s="1135"/>
      <c r="B448" s="1143"/>
      <c r="C448" s="1147"/>
      <c r="D448" s="3676"/>
      <c r="E448" s="3676"/>
      <c r="F448" s="3676"/>
      <c r="G448" s="3676"/>
      <c r="H448" s="1143"/>
      <c r="I448" s="1156"/>
      <c r="J448" s="1155"/>
    </row>
    <row r="449" spans="1:11" ht="20.100000000000001" customHeight="1">
      <c r="A449" s="1135"/>
      <c r="B449" s="1143">
        <v>1</v>
      </c>
      <c r="C449" s="1147" t="s">
        <v>66</v>
      </c>
      <c r="D449" s="3678" t="str">
        <f>CONCATENATE("TOTAL Cost for ",B449,"  ",C449,"  =  (A+B+C+D)",)</f>
        <v>TOTAL Cost for 1  MT  =  (A+B+C+D)</v>
      </c>
      <c r="E449" s="3678"/>
      <c r="F449" s="3678"/>
      <c r="G449" s="3678"/>
      <c r="H449" s="1143"/>
      <c r="I449" s="1143"/>
      <c r="J449" s="1157">
        <f>SUM(J445:J447)</f>
        <v>66904.465049999999</v>
      </c>
    </row>
    <row r="450" spans="1:11" ht="20.100000000000001" customHeight="1">
      <c r="A450" s="1135"/>
      <c r="B450" s="1143"/>
      <c r="C450" s="1143"/>
      <c r="D450" s="3678" t="str">
        <f>CONCATENATE("Rate per  1  ",C449)</f>
        <v>Rate per  1  MT</v>
      </c>
      <c r="E450" s="3678"/>
      <c r="F450" s="3678"/>
      <c r="G450" s="3678"/>
      <c r="H450" s="1143"/>
      <c r="I450" s="1143"/>
      <c r="J450" s="1151">
        <f>J449/B449</f>
        <v>66904.465049999999</v>
      </c>
    </row>
    <row r="451" spans="1:11" ht="20.100000000000001" customHeight="1">
      <c r="A451" s="1135"/>
      <c r="B451" s="1138"/>
      <c r="C451" s="1138"/>
      <c r="D451" s="3674" t="str">
        <f>D450</f>
        <v>Rate per  1  MT</v>
      </c>
      <c r="E451" s="3674"/>
      <c r="F451" s="3674"/>
      <c r="G451" s="3674"/>
      <c r="H451" s="1143"/>
      <c r="I451" s="1143"/>
      <c r="J451" s="1153">
        <f>ROUND(J450,2)</f>
        <v>66904.47</v>
      </c>
      <c r="K451" s="903">
        <v>58243</v>
      </c>
    </row>
    <row r="452" spans="1:11" ht="20.100000000000001" customHeight="1">
      <c r="A452" s="1135"/>
      <c r="B452" s="1138"/>
      <c r="C452" s="1138"/>
      <c r="D452" s="1137"/>
      <c r="E452" s="1137"/>
      <c r="F452" s="1137"/>
      <c r="G452" s="1137"/>
      <c r="H452" s="1143"/>
      <c r="I452" s="1143"/>
      <c r="J452" s="1153"/>
    </row>
    <row r="453" spans="1:11" ht="33.6" customHeight="1">
      <c r="A453" s="1113">
        <f>A431+1</f>
        <v>14</v>
      </c>
      <c r="B453" s="3673" t="s">
        <v>231</v>
      </c>
      <c r="C453" s="3673"/>
      <c r="D453" s="3673"/>
      <c r="E453" s="3673"/>
      <c r="F453" s="3673"/>
      <c r="G453" s="3673"/>
      <c r="H453" s="3673"/>
      <c r="I453" s="3673"/>
      <c r="J453" s="3673"/>
    </row>
    <row r="454" spans="1:11" ht="20.100000000000001" customHeight="1">
      <c r="A454" s="1172"/>
      <c r="B454" s="1136"/>
      <c r="C454" s="1136"/>
      <c r="D454" s="3674" t="s">
        <v>1623</v>
      </c>
      <c r="E454" s="3674"/>
      <c r="F454" s="3674"/>
      <c r="G454" s="3674"/>
      <c r="H454" s="1136"/>
      <c r="I454" s="1136"/>
      <c r="J454" s="1150"/>
    </row>
    <row r="455" spans="1:11" ht="20.100000000000001" customHeight="1">
      <c r="A455" s="1172"/>
      <c r="B455" s="1136"/>
      <c r="C455" s="1136"/>
      <c r="D455" s="3675" t="s">
        <v>233</v>
      </c>
      <c r="E455" s="3675"/>
      <c r="F455" s="3675"/>
      <c r="G455" s="3675"/>
      <c r="H455" s="1136"/>
      <c r="I455" s="1136"/>
      <c r="J455" s="1150"/>
    </row>
    <row r="456" spans="1:11" ht="20.100000000000001" customHeight="1">
      <c r="A456" s="1172"/>
      <c r="B456" s="1136"/>
      <c r="C456" s="1139"/>
      <c r="D456" s="3676" t="s">
        <v>12</v>
      </c>
      <c r="E456" s="3676"/>
      <c r="F456" s="3676"/>
      <c r="G456" s="3676"/>
      <c r="H456" s="1136"/>
      <c r="I456" s="1136"/>
      <c r="J456" s="1150"/>
    </row>
    <row r="457" spans="1:11" ht="20.100000000000001" customHeight="1">
      <c r="A457" s="1172"/>
      <c r="B457" s="1138">
        <v>0.03</v>
      </c>
      <c r="C457" s="1141" t="s">
        <v>13</v>
      </c>
      <c r="D457" s="3677" t="s">
        <v>156</v>
      </c>
      <c r="E457" s="3677"/>
      <c r="F457" s="3677"/>
      <c r="G457" s="3677"/>
      <c r="H457" s="1143">
        <f>'SSR-rates'!K$58</f>
        <v>575</v>
      </c>
      <c r="I457" s="1138">
        <v>1</v>
      </c>
      <c r="J457" s="1151">
        <f>ROUND(B457*H457,2)</f>
        <v>17.25</v>
      </c>
    </row>
    <row r="458" spans="1:11" ht="20.100000000000001" customHeight="1">
      <c r="A458" s="1172"/>
      <c r="B458" s="1138">
        <v>0.01</v>
      </c>
      <c r="C458" s="1141" t="s">
        <v>13</v>
      </c>
      <c r="D458" s="3677" t="s">
        <v>236</v>
      </c>
      <c r="E458" s="3677"/>
      <c r="F458" s="3677"/>
      <c r="G458" s="3677"/>
      <c r="H458" s="1143">
        <f>'SSR-rates'!K$97</f>
        <v>575</v>
      </c>
      <c r="I458" s="1138">
        <v>1</v>
      </c>
      <c r="J458" s="1151">
        <f>ROUND(B458*H458,2)</f>
        <v>5.75</v>
      </c>
    </row>
    <row r="459" spans="1:11" ht="20.100000000000001" customHeight="1">
      <c r="A459" s="1172"/>
      <c r="B459" s="1138">
        <v>0.02</v>
      </c>
      <c r="C459" s="1141" t="s">
        <v>13</v>
      </c>
      <c r="D459" s="3677" t="s">
        <v>188</v>
      </c>
      <c r="E459" s="3677"/>
      <c r="F459" s="3677"/>
      <c r="G459" s="3677"/>
      <c r="H459" s="1143">
        <f>'SSR-rates'!K$92</f>
        <v>640</v>
      </c>
      <c r="I459" s="1138">
        <v>1</v>
      </c>
      <c r="J459" s="1151">
        <f>ROUND(B459*H459,2)</f>
        <v>12.8</v>
      </c>
    </row>
    <row r="460" spans="1:11" ht="20.100000000000001" customHeight="1">
      <c r="A460" s="1172"/>
      <c r="B460" s="1138">
        <v>0.22</v>
      </c>
      <c r="C460" s="1141" t="s">
        <v>13</v>
      </c>
      <c r="D460" s="3677" t="s">
        <v>59</v>
      </c>
      <c r="E460" s="3677"/>
      <c r="F460" s="3677"/>
      <c r="G460" s="3677"/>
      <c r="H460" s="1143">
        <f>'SSR-rates'!K$60</f>
        <v>575</v>
      </c>
      <c r="I460" s="1138">
        <v>1</v>
      </c>
      <c r="J460" s="1151">
        <f>ROUND(B460*H460,2)</f>
        <v>126.5</v>
      </c>
    </row>
    <row r="461" spans="1:11" ht="20.100000000000001" customHeight="1">
      <c r="A461" s="1172"/>
      <c r="B461" s="1119">
        <f>'Input Data'!$D$23</f>
        <v>0</v>
      </c>
      <c r="C461" s="1120"/>
      <c r="D461" s="953" t="s">
        <v>17</v>
      </c>
      <c r="E461" s="953"/>
      <c r="F461" s="1118"/>
      <c r="G461" s="1118"/>
      <c r="H461" s="1117">
        <f>SUM(J457:J460)</f>
        <v>162.30000000000001</v>
      </c>
      <c r="I461" s="1105"/>
      <c r="J461" s="1129">
        <f>B461*H461</f>
        <v>0</v>
      </c>
    </row>
    <row r="462" spans="1:11" ht="20.100000000000001" customHeight="1">
      <c r="A462" s="1172"/>
      <c r="B462" s="1138"/>
      <c r="C462" s="1144"/>
      <c r="D462" s="3678" t="s">
        <v>18</v>
      </c>
      <c r="E462" s="3678"/>
      <c r="F462" s="3678"/>
      <c r="G462" s="3678"/>
      <c r="H462" s="1138"/>
      <c r="I462" s="1152" t="s">
        <v>19</v>
      </c>
      <c r="J462" s="1153">
        <f>SUM(J457:J461)</f>
        <v>162.30000000000001</v>
      </c>
    </row>
    <row r="463" spans="1:11" ht="20.100000000000001" customHeight="1">
      <c r="A463" s="1172"/>
      <c r="B463" s="1138"/>
      <c r="C463" s="1146"/>
      <c r="D463" s="3676" t="s">
        <v>189</v>
      </c>
      <c r="E463" s="3676"/>
      <c r="F463" s="3676"/>
      <c r="G463" s="3676"/>
      <c r="H463" s="1138"/>
      <c r="I463" s="1138"/>
      <c r="J463" s="1151"/>
    </row>
    <row r="464" spans="1:11" s="1102" customFormat="1" ht="33.75" customHeight="1">
      <c r="A464" s="1173"/>
      <c r="B464" s="1174">
        <f>4/1000</f>
        <v>4.0000000000000001E-3</v>
      </c>
      <c r="C464" s="1162" t="s">
        <v>66</v>
      </c>
      <c r="D464" s="3683" t="s">
        <v>1624</v>
      </c>
      <c r="E464" s="3683"/>
      <c r="F464" s="3683"/>
      <c r="G464" s="3683"/>
      <c r="H464" s="1154">
        <f>lead!J38</f>
        <v>60000</v>
      </c>
      <c r="I464" s="1143">
        <v>1</v>
      </c>
      <c r="J464" s="1157">
        <f>ROUND(B464*H464,2)</f>
        <v>240</v>
      </c>
    </row>
    <row r="465" spans="1:10" s="1102" customFormat="1" ht="36.75" customHeight="1">
      <c r="A465" s="1173"/>
      <c r="B465" s="1175">
        <v>6</v>
      </c>
      <c r="C465" s="1176" t="s">
        <v>106</v>
      </c>
      <c r="D465" s="3684" t="s">
        <v>1625</v>
      </c>
      <c r="E465" s="3684"/>
      <c r="F465" s="3684"/>
      <c r="G465" s="3684"/>
      <c r="H465" s="1117">
        <v>23</v>
      </c>
      <c r="I465" s="1143">
        <v>1</v>
      </c>
      <c r="J465" s="1157">
        <f>H465*B465</f>
        <v>138</v>
      </c>
    </row>
    <row r="466" spans="1:10" s="1102" customFormat="1" ht="35.25" customHeight="1">
      <c r="A466" s="1173"/>
      <c r="B466" s="1175">
        <v>2</v>
      </c>
      <c r="C466" s="1176" t="s">
        <v>107</v>
      </c>
      <c r="D466" s="3684" t="s">
        <v>1626</v>
      </c>
      <c r="E466" s="3684"/>
      <c r="F466" s="3684"/>
      <c r="G466" s="3684"/>
      <c r="H466" s="1117">
        <f>+'SSR-rates'!$K$124</f>
        <v>935</v>
      </c>
      <c r="I466" s="1143">
        <v>1</v>
      </c>
      <c r="J466" s="1157">
        <f>H466*B466</f>
        <v>1870</v>
      </c>
    </row>
    <row r="467" spans="1:10" s="1102" customFormat="1" ht="20.100000000000001" customHeight="1">
      <c r="A467" s="1173"/>
      <c r="B467" s="1143">
        <v>2</v>
      </c>
      <c r="C467" s="1162" t="s">
        <v>241</v>
      </c>
      <c r="D467" s="3685" t="s">
        <v>1627</v>
      </c>
      <c r="E467" s="3685"/>
      <c r="F467" s="3685"/>
      <c r="G467" s="3685"/>
      <c r="H467" s="1154">
        <v>195</v>
      </c>
      <c r="I467" s="1143">
        <v>1</v>
      </c>
      <c r="J467" s="1157">
        <f>B467*H467</f>
        <v>390</v>
      </c>
    </row>
    <row r="468" spans="1:10" ht="20.100000000000001" customHeight="1">
      <c r="A468" s="1172"/>
      <c r="B468" s="1138"/>
      <c r="C468" s="1144"/>
      <c r="D468" s="3678" t="s">
        <v>18</v>
      </c>
      <c r="E468" s="3678"/>
      <c r="F468" s="3678"/>
      <c r="G468" s="3678"/>
      <c r="H468" s="1138"/>
      <c r="I468" s="1152" t="s">
        <v>25</v>
      </c>
      <c r="J468" s="1153">
        <f>SUM(J464:J467)</f>
        <v>2638</v>
      </c>
    </row>
    <row r="469" spans="1:10" ht="20.100000000000001" customHeight="1">
      <c r="A469" s="1172"/>
      <c r="B469" s="1143"/>
      <c r="C469" s="1147"/>
      <c r="D469" s="3676" t="s">
        <v>26</v>
      </c>
      <c r="E469" s="3676"/>
      <c r="F469" s="3676"/>
      <c r="G469" s="3676"/>
      <c r="H469" s="1143"/>
      <c r="I469" s="1154"/>
      <c r="J469" s="1155">
        <f>J462+J468</f>
        <v>2800.3</v>
      </c>
    </row>
    <row r="470" spans="1:10" ht="45" customHeight="1">
      <c r="A470" s="1172"/>
      <c r="B470" s="1143">
        <v>5</v>
      </c>
      <c r="C470" s="1147" t="s">
        <v>29</v>
      </c>
      <c r="D470" s="3681" t="s">
        <v>243</v>
      </c>
      <c r="E470" s="3681"/>
      <c r="F470" s="3681"/>
      <c r="G470" s="3681"/>
      <c r="H470" s="1143">
        <f>J469</f>
        <v>2800.3</v>
      </c>
      <c r="I470" s="1156"/>
      <c r="J470" s="1157">
        <f>ROUND(B470*H470/100,2)</f>
        <v>140.02000000000001</v>
      </c>
    </row>
    <row r="471" spans="1:10" ht="20.100000000000001" customHeight="1">
      <c r="A471" s="1172"/>
      <c r="B471" s="1124">
        <f>'Input Data'!$D$24</f>
        <v>0.13614999999999999</v>
      </c>
      <c r="C471" s="1147"/>
      <c r="D471" s="3676" t="s">
        <v>193</v>
      </c>
      <c r="E471" s="3676"/>
      <c r="F471" s="3676"/>
      <c r="G471" s="3676"/>
      <c r="H471" s="1143">
        <f>J469+J470</f>
        <v>2940.32</v>
      </c>
      <c r="I471" s="1156"/>
      <c r="J471" s="1157">
        <f>H471*B471</f>
        <v>400.324568</v>
      </c>
    </row>
    <row r="472" spans="1:10" ht="20.100000000000001" customHeight="1">
      <c r="A472" s="1172"/>
      <c r="B472" s="1125">
        <f>'Input Data'!$E$24</f>
        <v>0</v>
      </c>
      <c r="C472" s="1126" t="s">
        <v>1093</v>
      </c>
      <c r="D472" s="1140"/>
      <c r="E472" s="1140"/>
      <c r="F472" s="1140"/>
      <c r="G472" s="1140"/>
      <c r="H472" s="1143">
        <f>J471+J470+J468+J462</f>
        <v>3340.6445680000002</v>
      </c>
      <c r="I472" s="1156"/>
      <c r="J472" s="1157">
        <f>H472*B472</f>
        <v>0</v>
      </c>
    </row>
    <row r="473" spans="1:10" ht="20.100000000000001" customHeight="1">
      <c r="A473" s="1172"/>
      <c r="B473" s="1143">
        <v>1</v>
      </c>
      <c r="C473" s="1147" t="s">
        <v>244</v>
      </c>
      <c r="D473" s="3678" t="str">
        <f>CONCATENATE("TOTAL Cost for ",B473,"  ",C473,"  =  (A+B+C)",)</f>
        <v>TOTAL Cost for 1  NO  =  (A+B+C)</v>
      </c>
      <c r="E473" s="3678"/>
      <c r="F473" s="3678"/>
      <c r="G473" s="3678"/>
      <c r="H473" s="1143"/>
      <c r="I473" s="1143"/>
      <c r="J473" s="1157">
        <f>SUM(J469:J472)</f>
        <v>3340.6445680000002</v>
      </c>
    </row>
    <row r="474" spans="1:10" ht="20.100000000000001" customHeight="1">
      <c r="A474" s="1172"/>
      <c r="B474" s="1143"/>
      <c r="C474" s="1143"/>
      <c r="D474" s="3678" t="str">
        <f>CONCATENATE("Rate per  1  ",C473)</f>
        <v>Rate per  1  NO</v>
      </c>
      <c r="E474" s="3678"/>
      <c r="F474" s="3678"/>
      <c r="G474" s="3678"/>
      <c r="H474" s="1143"/>
      <c r="I474" s="1143"/>
      <c r="J474" s="1151">
        <f>J473/B473</f>
        <v>3340.6445680000002</v>
      </c>
    </row>
    <row r="475" spans="1:10" ht="20.100000000000001" customHeight="1">
      <c r="A475" s="1172"/>
      <c r="B475" s="1138"/>
      <c r="C475" s="1138"/>
      <c r="D475" s="3674" t="str">
        <f>D474</f>
        <v>Rate per  1  NO</v>
      </c>
      <c r="E475" s="3674"/>
      <c r="F475" s="3674"/>
      <c r="G475" s="3674"/>
      <c r="H475" s="1143"/>
      <c r="I475" s="1143"/>
      <c r="J475" s="1153">
        <f>ROUND(J474,2)</f>
        <v>3340.64</v>
      </c>
    </row>
    <row r="476" spans="1:10" s="1103" customFormat="1" ht="140.25" customHeight="1">
      <c r="A476" s="1132">
        <f>A453+1</f>
        <v>15</v>
      </c>
      <c r="B476" s="3671" t="s">
        <v>1628</v>
      </c>
      <c r="C476" s="3671"/>
      <c r="D476" s="3671"/>
      <c r="E476" s="3671"/>
      <c r="F476" s="3671"/>
      <c r="G476" s="3671"/>
      <c r="H476" s="3671"/>
      <c r="I476" s="3671"/>
      <c r="J476" s="3671"/>
    </row>
    <row r="477" spans="1:10" s="1103" customFormat="1" ht="20.100000000000001" customHeight="1">
      <c r="A477" s="1118"/>
      <c r="B477" s="1105"/>
      <c r="C477" s="953"/>
      <c r="D477" s="1114" t="s">
        <v>10</v>
      </c>
      <c r="E477" s="953"/>
      <c r="F477" s="1123" t="s">
        <v>1629</v>
      </c>
      <c r="G477" s="953"/>
      <c r="H477" s="953"/>
      <c r="I477" s="953"/>
      <c r="J477" s="953"/>
    </row>
    <row r="478" spans="1:10" ht="20.100000000000001" customHeight="1">
      <c r="A478" s="1118"/>
      <c r="B478" s="1105"/>
      <c r="C478" s="953"/>
      <c r="D478" s="1114" t="s">
        <v>56</v>
      </c>
      <c r="E478" s="953"/>
      <c r="F478" s="953"/>
      <c r="G478" s="953"/>
      <c r="H478" s="953"/>
      <c r="I478" s="953"/>
      <c r="J478" s="953"/>
    </row>
    <row r="479" spans="1:10" ht="20.100000000000001" customHeight="1">
      <c r="A479" s="1118"/>
      <c r="B479" s="1110" t="s">
        <v>36</v>
      </c>
      <c r="C479" s="1116" t="s">
        <v>37</v>
      </c>
      <c r="D479" s="953"/>
      <c r="E479" s="953"/>
      <c r="F479" s="953"/>
      <c r="G479" s="953"/>
      <c r="H479" s="953"/>
      <c r="I479" s="953"/>
      <c r="J479" s="953"/>
    </row>
    <row r="480" spans="1:10" ht="20.100000000000001" customHeight="1">
      <c r="A480" s="1118"/>
      <c r="B480" s="1117">
        <v>0.86</v>
      </c>
      <c r="C480" s="1118" t="s">
        <v>57</v>
      </c>
      <c r="D480" s="1114" t="s">
        <v>156</v>
      </c>
      <c r="E480" s="953"/>
      <c r="F480" s="953"/>
      <c r="G480" s="953"/>
      <c r="H480" s="1117">
        <f>'SSR-rates'!$K$58</f>
        <v>575</v>
      </c>
      <c r="I480" s="1105" t="s">
        <v>38</v>
      </c>
      <c r="J480" s="1114">
        <f>ROUND(B480*H480,2)</f>
        <v>494.5</v>
      </c>
    </row>
    <row r="481" spans="1:10" ht="20.100000000000001" customHeight="1">
      <c r="A481" s="1118"/>
      <c r="B481" s="1117">
        <v>1.5</v>
      </c>
      <c r="C481" s="1118" t="s">
        <v>57</v>
      </c>
      <c r="D481" s="1114" t="s">
        <v>58</v>
      </c>
      <c r="E481" s="953"/>
      <c r="F481" s="953"/>
      <c r="G481" s="953"/>
      <c r="H481" s="1117">
        <f>+'SSR-rates'!$K$96</f>
        <v>645</v>
      </c>
      <c r="I481" s="1105" t="s">
        <v>38</v>
      </c>
      <c r="J481" s="1114">
        <f>ROUND(B481*H481,2)</f>
        <v>967.5</v>
      </c>
    </row>
    <row r="482" spans="1:10" ht="20.100000000000001" customHeight="1">
      <c r="A482" s="1118"/>
      <c r="B482" s="1117">
        <v>20</v>
      </c>
      <c r="C482" s="1118" t="s">
        <v>57</v>
      </c>
      <c r="D482" s="1114" t="s">
        <v>59</v>
      </c>
      <c r="E482" s="953"/>
      <c r="F482" s="953"/>
      <c r="G482" s="953"/>
      <c r="H482" s="1117">
        <f>'SSR-rates'!$K$60</f>
        <v>575</v>
      </c>
      <c r="I482" s="1105" t="s">
        <v>38</v>
      </c>
      <c r="J482" s="1114">
        <f>ROUND(B482*H482,2)</f>
        <v>11500</v>
      </c>
    </row>
    <row r="483" spans="1:10" ht="20.100000000000001" customHeight="1">
      <c r="A483" s="1123"/>
      <c r="B483" s="1119">
        <f>'Input Data'!$D$23</f>
        <v>0</v>
      </c>
      <c r="C483" s="1120"/>
      <c r="D483" s="953" t="s">
        <v>17</v>
      </c>
      <c r="E483" s="953"/>
      <c r="F483" s="1118"/>
      <c r="G483" s="1118"/>
      <c r="H483" s="1117">
        <f>SUM(J479:J482)</f>
        <v>12962</v>
      </c>
      <c r="I483" s="1105"/>
      <c r="J483" s="1114">
        <f>B483*H483</f>
        <v>0</v>
      </c>
    </row>
    <row r="484" spans="1:10" ht="20.100000000000001" customHeight="1">
      <c r="A484" s="1118"/>
      <c r="B484" s="1117"/>
      <c r="C484" s="1118"/>
      <c r="D484" s="1114" t="s">
        <v>60</v>
      </c>
      <c r="E484" s="953"/>
      <c r="F484" s="953"/>
      <c r="G484" s="953"/>
      <c r="H484" s="1117"/>
      <c r="I484" s="1117"/>
      <c r="J484" s="1114">
        <f>SUM(J480:J483)</f>
        <v>12962</v>
      </c>
    </row>
    <row r="485" spans="1:10" ht="20.100000000000001" customHeight="1">
      <c r="A485" s="1118"/>
      <c r="B485" s="1110" t="s">
        <v>39</v>
      </c>
      <c r="C485" s="1116" t="s">
        <v>61</v>
      </c>
      <c r="D485" s="953"/>
      <c r="E485" s="953"/>
      <c r="F485" s="953"/>
      <c r="G485" s="953"/>
      <c r="H485" s="1117"/>
      <c r="I485" s="1117"/>
      <c r="J485" s="1114"/>
    </row>
    <row r="486" spans="1:10" ht="20.100000000000001" customHeight="1">
      <c r="A486" s="1118"/>
      <c r="B486" s="1117">
        <v>8.1</v>
      </c>
      <c r="C486" s="1118" t="s">
        <v>31</v>
      </c>
      <c r="D486" s="953" t="s">
        <v>63</v>
      </c>
      <c r="E486" s="953"/>
      <c r="F486" s="953"/>
      <c r="G486" s="953"/>
      <c r="H486" s="1117">
        <f>lead!$J$16</f>
        <v>2031.2187651278443</v>
      </c>
      <c r="I486" s="1117" t="s">
        <v>31</v>
      </c>
      <c r="J486" s="1114">
        <f>ROUND(B486*H486,2)</f>
        <v>16452.87</v>
      </c>
    </row>
    <row r="487" spans="1:10" ht="20.100000000000001" customHeight="1">
      <c r="A487" s="1118"/>
      <c r="B487" s="1117">
        <v>5.4</v>
      </c>
      <c r="C487" s="1118" t="s">
        <v>31</v>
      </c>
      <c r="D487" s="953" t="s">
        <v>64</v>
      </c>
      <c r="E487" s="953"/>
      <c r="F487" s="953"/>
      <c r="G487" s="953"/>
      <c r="H487" s="1117">
        <f>lead!$J$18</f>
        <v>1780.2187651278443</v>
      </c>
      <c r="I487" s="1117" t="s">
        <v>31</v>
      </c>
      <c r="J487" s="1114">
        <f>ROUND(B487*H487,2)</f>
        <v>9613.18</v>
      </c>
    </row>
    <row r="488" spans="1:10" ht="45" customHeight="1">
      <c r="A488" s="1118"/>
      <c r="B488" s="1122">
        <f>6.75/2</f>
        <v>3.375</v>
      </c>
      <c r="C488" s="1118" t="s">
        <v>31</v>
      </c>
      <c r="D488" s="3669" t="s">
        <v>1442</v>
      </c>
      <c r="E488" s="3669"/>
      <c r="F488" s="3669"/>
      <c r="G488" s="3669"/>
      <c r="H488" s="1121">
        <f>lead!$J$31</f>
        <v>1850.9213132068826</v>
      </c>
      <c r="I488" s="1117" t="s">
        <v>31</v>
      </c>
      <c r="J488" s="1129">
        <f>ROUND(B488*H488,2)</f>
        <v>6246.86</v>
      </c>
    </row>
    <row r="489" spans="1:10" ht="35.1" customHeight="1">
      <c r="A489" s="1118"/>
      <c r="B489" s="1122">
        <f>6.75/2</f>
        <v>3.375</v>
      </c>
      <c r="C489" s="1118" t="s">
        <v>31</v>
      </c>
      <c r="D489" s="3669" t="s">
        <v>1443</v>
      </c>
      <c r="E489" s="3669"/>
      <c r="F489" s="3669"/>
      <c r="G489" s="3669"/>
      <c r="H489" s="1121">
        <f>lead!$J$33</f>
        <v>1473.2187651278443</v>
      </c>
      <c r="I489" s="1117" t="s">
        <v>31</v>
      </c>
      <c r="J489" s="1129">
        <f>ROUND(B489*H489,2)</f>
        <v>4972.1099999999997</v>
      </c>
    </row>
    <row r="490" spans="1:10" ht="20.100000000000001" customHeight="1">
      <c r="A490" s="1118"/>
      <c r="B490" s="1122">
        <v>6.1</v>
      </c>
      <c r="C490" s="1118" t="s">
        <v>66</v>
      </c>
      <c r="D490" s="1114" t="s">
        <v>67</v>
      </c>
      <c r="E490" s="953"/>
      <c r="F490" s="953"/>
      <c r="G490" s="953"/>
      <c r="H490" s="1117">
        <f>lead!$J$36</f>
        <v>5000</v>
      </c>
      <c r="I490" s="1117" t="s">
        <v>66</v>
      </c>
      <c r="J490" s="1114">
        <f>ROUND(B490*H490,2)</f>
        <v>30500</v>
      </c>
    </row>
    <row r="491" spans="1:10" ht="20.100000000000001" customHeight="1">
      <c r="A491" s="1118"/>
      <c r="B491" s="1117"/>
      <c r="C491" s="953"/>
      <c r="D491" s="1114" t="s">
        <v>60</v>
      </c>
      <c r="E491" s="953"/>
      <c r="F491" s="953"/>
      <c r="G491" s="953"/>
      <c r="H491" s="1117"/>
      <c r="I491" s="1117"/>
      <c r="J491" s="1114">
        <f>SUM(J486:J490)</f>
        <v>67785.01999999999</v>
      </c>
    </row>
    <row r="492" spans="1:10" ht="20.100000000000001" customHeight="1">
      <c r="A492" s="1118"/>
      <c r="B492" s="1110" t="s">
        <v>27</v>
      </c>
      <c r="C492" s="1116" t="s">
        <v>40</v>
      </c>
      <c r="D492" s="953"/>
      <c r="E492" s="953"/>
      <c r="F492" s="953"/>
      <c r="G492" s="953"/>
      <c r="H492" s="1117"/>
      <c r="I492" s="1117"/>
      <c r="J492" s="1114"/>
    </row>
    <row r="493" spans="1:10" ht="20.100000000000001" customHeight="1">
      <c r="A493" s="1118"/>
      <c r="B493" s="1117">
        <v>6</v>
      </c>
      <c r="C493" s="1118" t="s">
        <v>41</v>
      </c>
      <c r="D493" s="1114" t="s">
        <v>68</v>
      </c>
      <c r="E493" s="953"/>
      <c r="F493" s="953"/>
      <c r="G493" s="953"/>
      <c r="H493" s="1117">
        <f>+'SSR-rates'!$K$88</f>
        <v>697.9</v>
      </c>
      <c r="I493" s="1117" t="s">
        <v>41</v>
      </c>
      <c r="J493" s="1114">
        <f t="shared" ref="J493:J494" si="7">ROUND(B493*H493,2)</f>
        <v>4187.3999999999996</v>
      </c>
    </row>
    <row r="494" spans="1:10" ht="20.100000000000001" customHeight="1">
      <c r="A494" s="1118"/>
      <c r="B494" s="1117">
        <v>6</v>
      </c>
      <c r="C494" s="1118" t="s">
        <v>41</v>
      </c>
      <c r="D494" s="1114" t="s">
        <v>1584</v>
      </c>
      <c r="E494" s="953"/>
      <c r="F494" s="953"/>
      <c r="G494" s="953"/>
      <c r="H494" s="1117">
        <f>+'SSR-rates'!$K$87</f>
        <v>1323.5</v>
      </c>
      <c r="I494" s="1117" t="s">
        <v>41</v>
      </c>
      <c r="J494" s="1114">
        <f t="shared" si="7"/>
        <v>7941</v>
      </c>
    </row>
    <row r="495" spans="1:10" ht="20.100000000000001" customHeight="1">
      <c r="A495" s="1118"/>
      <c r="B495" s="1117"/>
      <c r="C495" s="1120"/>
      <c r="D495" s="1114" t="s">
        <v>60</v>
      </c>
      <c r="E495" s="953"/>
      <c r="F495" s="953"/>
      <c r="G495" s="953"/>
      <c r="H495" s="1117"/>
      <c r="I495" s="1117"/>
      <c r="J495" s="1114">
        <f>SUM(J493:J494)</f>
        <v>12128.4</v>
      </c>
    </row>
    <row r="496" spans="1:10" ht="20.100000000000001" customHeight="1">
      <c r="A496" s="1118"/>
      <c r="B496" s="1110" t="s">
        <v>45</v>
      </c>
      <c r="C496" s="1116" t="s">
        <v>71</v>
      </c>
      <c r="D496" s="953"/>
      <c r="E496" s="953"/>
      <c r="F496" s="953"/>
      <c r="G496" s="953"/>
      <c r="H496" s="1117"/>
      <c r="I496" s="1117"/>
      <c r="J496" s="1114"/>
    </row>
    <row r="497" spans="1:10" ht="20.100000000000001" customHeight="1">
      <c r="A497" s="1118"/>
      <c r="B497" s="1117">
        <v>2</v>
      </c>
      <c r="C497" s="1118" t="s">
        <v>29</v>
      </c>
      <c r="D497" s="953" t="s">
        <v>1630</v>
      </c>
      <c r="E497" s="953"/>
      <c r="F497" s="953"/>
      <c r="G497" s="953"/>
      <c r="H497" s="1117">
        <f>J484+J491+J495</f>
        <v>92875.419999999984</v>
      </c>
      <c r="I497" s="1105" t="s">
        <v>73</v>
      </c>
      <c r="J497" s="1114">
        <f>ROUND(B497*H497/100,2)</f>
        <v>1857.51</v>
      </c>
    </row>
    <row r="498" spans="1:10" ht="20.100000000000001" customHeight="1">
      <c r="A498" s="1123"/>
      <c r="B498" s="1110" t="s">
        <v>47</v>
      </c>
      <c r="C498" s="1123" t="s">
        <v>1092</v>
      </c>
      <c r="D498" s="953"/>
      <c r="E498" s="953"/>
      <c r="F498" s="1118"/>
      <c r="G498" s="1118"/>
      <c r="H498" s="1118"/>
      <c r="I498" s="1118"/>
      <c r="J498" s="1116"/>
    </row>
    <row r="499" spans="1:10" ht="35.1" customHeight="1">
      <c r="A499" s="1123"/>
      <c r="B499" s="1124">
        <f>'Input Data'!$D$24</f>
        <v>0.13614999999999999</v>
      </c>
      <c r="C499" s="3672" t="str">
        <f>"Over head charges &amp; CP  "&amp;'Input Data'!$D$24*100&amp;"%  on (A) + (B)+(C)+(D)"</f>
        <v>Over head charges &amp; CP  13.615%  on (A) + (B)+(C)+(D)</v>
      </c>
      <c r="D499" s="3672"/>
      <c r="E499" s="3672"/>
      <c r="F499" s="3672"/>
      <c r="G499" s="3672"/>
      <c r="H499" s="1117">
        <f>J497+J495+J491+J484</f>
        <v>94732.93</v>
      </c>
      <c r="I499" s="1118"/>
      <c r="J499" s="1114">
        <f>H499*B499</f>
        <v>12897.888419499999</v>
      </c>
    </row>
    <row r="500" spans="1:10" ht="20.100000000000001" customHeight="1">
      <c r="A500" s="1123"/>
      <c r="B500" s="1125">
        <f>'Input Data'!$E$24</f>
        <v>0</v>
      </c>
      <c r="C500" s="1126" t="s">
        <v>1093</v>
      </c>
      <c r="D500" s="1121"/>
      <c r="E500" s="1121"/>
      <c r="F500" s="1121"/>
      <c r="G500" s="1121"/>
      <c r="H500" s="1117">
        <f>J499+J497+J495+J491+J484</f>
        <v>107630.81841949999</v>
      </c>
      <c r="I500" s="1118"/>
      <c r="J500" s="1114">
        <f>H500*B500</f>
        <v>0</v>
      </c>
    </row>
    <row r="501" spans="1:10" ht="20.100000000000001" customHeight="1">
      <c r="A501" s="1123"/>
      <c r="B501" s="1110" t="s">
        <v>76</v>
      </c>
      <c r="C501" s="1123" t="s">
        <v>77</v>
      </c>
      <c r="D501" s="953"/>
      <c r="E501" s="953"/>
      <c r="F501" s="1118"/>
      <c r="G501" s="1118"/>
      <c r="H501" s="1118"/>
      <c r="I501" s="1118"/>
      <c r="J501" s="1133">
        <f>J484+J491+J495+J497+J499+J500</f>
        <v>107630.81841949998</v>
      </c>
    </row>
    <row r="502" spans="1:10" ht="20.100000000000001" customHeight="1">
      <c r="A502" s="1118"/>
      <c r="B502" s="1117"/>
      <c r="C502" s="1118"/>
      <c r="D502" s="1116" t="s">
        <v>80</v>
      </c>
      <c r="E502" s="953"/>
      <c r="F502" s="953"/>
      <c r="G502" s="953"/>
      <c r="H502" s="1117"/>
      <c r="I502" s="1117"/>
      <c r="J502" s="1133">
        <f>SUM(J501:J501)</f>
        <v>107630.81841949998</v>
      </c>
    </row>
    <row r="503" spans="1:10" ht="20.100000000000001" customHeight="1">
      <c r="A503" s="1118"/>
      <c r="B503" s="1117"/>
      <c r="C503" s="1118"/>
      <c r="D503" s="1114" t="s">
        <v>81</v>
      </c>
      <c r="E503" s="953"/>
      <c r="F503" s="953"/>
      <c r="G503" s="953"/>
      <c r="H503" s="1117"/>
      <c r="I503" s="1117"/>
      <c r="J503" s="1114">
        <f>ROUND(J502,2)/15</f>
        <v>7175.3880000000008</v>
      </c>
    </row>
    <row r="504" spans="1:10" ht="20.100000000000001" customHeight="1">
      <c r="A504" s="1118"/>
      <c r="B504" s="1105"/>
      <c r="C504" s="953"/>
      <c r="D504" s="1114" t="s">
        <v>52</v>
      </c>
      <c r="E504" s="953"/>
      <c r="F504" s="953"/>
      <c r="G504" s="953"/>
      <c r="H504" s="1117"/>
      <c r="I504" s="1117"/>
      <c r="J504" s="1134">
        <f>ROUND(J503,2)</f>
        <v>7175.39</v>
      </c>
    </row>
    <row r="505" spans="1:10" ht="20.100000000000001" customHeight="1">
      <c r="A505" s="1118"/>
      <c r="B505" s="1105"/>
      <c r="C505" s="953"/>
      <c r="D505" s="1114"/>
      <c r="E505" s="953"/>
      <c r="F505" s="953"/>
      <c r="G505" s="953"/>
      <c r="H505" s="1117"/>
      <c r="I505" s="1117"/>
      <c r="J505" s="1130" t="s">
        <v>53</v>
      </c>
    </row>
    <row r="506" spans="1:10" ht="124.5" customHeight="1">
      <c r="A506" s="1113">
        <f>A476+1</f>
        <v>16</v>
      </c>
      <c r="B506" s="3671" t="s">
        <v>1631</v>
      </c>
      <c r="C506" s="3671"/>
      <c r="D506" s="3671"/>
      <c r="E506" s="3671"/>
      <c r="F506" s="3671"/>
      <c r="G506" s="3671"/>
      <c r="H506" s="3671"/>
      <c r="I506" s="3671"/>
      <c r="J506" s="3671"/>
    </row>
    <row r="507" spans="1:10" ht="20.100000000000001" customHeight="1">
      <c r="A507" s="953"/>
      <c r="B507" s="1105"/>
      <c r="C507" s="953"/>
      <c r="D507" s="1114" t="s">
        <v>10</v>
      </c>
      <c r="E507" s="953"/>
      <c r="F507" s="1123" t="s">
        <v>148</v>
      </c>
      <c r="G507" s="953"/>
      <c r="H507" s="953"/>
      <c r="I507" s="953"/>
      <c r="J507" s="953"/>
    </row>
    <row r="508" spans="1:10" ht="20.100000000000001" customHeight="1">
      <c r="A508" s="953"/>
      <c r="B508" s="1105"/>
      <c r="C508" s="953"/>
      <c r="D508" s="1114" t="s">
        <v>56</v>
      </c>
      <c r="E508" s="953"/>
      <c r="F508" s="953"/>
      <c r="G508" s="953"/>
      <c r="H508" s="953"/>
      <c r="I508" s="953"/>
      <c r="J508" s="953"/>
    </row>
    <row r="509" spans="1:10" ht="20.100000000000001" customHeight="1">
      <c r="A509" s="953"/>
      <c r="B509" s="1110" t="s">
        <v>36</v>
      </c>
      <c r="C509" s="1116" t="s">
        <v>37</v>
      </c>
      <c r="D509" s="953"/>
      <c r="E509" s="953"/>
      <c r="F509" s="953"/>
      <c r="G509" s="953"/>
      <c r="H509" s="953"/>
      <c r="I509" s="953"/>
      <c r="J509" s="953"/>
    </row>
    <row r="510" spans="1:10" ht="20.100000000000001" customHeight="1">
      <c r="A510" s="953"/>
      <c r="B510" s="1117">
        <v>0.86</v>
      </c>
      <c r="C510" s="1118" t="s">
        <v>57</v>
      </c>
      <c r="D510" s="1114" t="s">
        <v>14</v>
      </c>
      <c r="E510" s="953"/>
      <c r="F510" s="953"/>
      <c r="G510" s="953"/>
      <c r="H510" s="1117">
        <f>'SSR-rates'!K$58</f>
        <v>575</v>
      </c>
      <c r="I510" s="1105" t="s">
        <v>38</v>
      </c>
      <c r="J510" s="1114">
        <f>ROUND(B510*H510,2)</f>
        <v>494.5</v>
      </c>
    </row>
    <row r="511" spans="1:10" ht="20.100000000000001" customHeight="1">
      <c r="A511" s="953"/>
      <c r="B511" s="1117">
        <v>1.5</v>
      </c>
      <c r="C511" s="1118" t="s">
        <v>57</v>
      </c>
      <c r="D511" s="1114" t="s">
        <v>58</v>
      </c>
      <c r="E511" s="953"/>
      <c r="F511" s="953"/>
      <c r="G511" s="953"/>
      <c r="H511" s="1117">
        <f>+'SSR-rates'!K96</f>
        <v>645</v>
      </c>
      <c r="I511" s="1105" t="s">
        <v>38</v>
      </c>
      <c r="J511" s="1114">
        <f>ROUND(B511*H511,2)</f>
        <v>967.5</v>
      </c>
    </row>
    <row r="512" spans="1:10" ht="20.100000000000001" customHeight="1">
      <c r="A512" s="953"/>
      <c r="B512" s="1117">
        <v>20</v>
      </c>
      <c r="C512" s="1118" t="s">
        <v>57</v>
      </c>
      <c r="D512" s="1114" t="s">
        <v>59</v>
      </c>
      <c r="E512" s="953"/>
      <c r="F512" s="953"/>
      <c r="G512" s="953"/>
      <c r="H512" s="1117">
        <f>'SSR-rates'!K$60</f>
        <v>575</v>
      </c>
      <c r="I512" s="1105" t="s">
        <v>38</v>
      </c>
      <c r="J512" s="1114">
        <f>ROUND(B512*H512,2)</f>
        <v>11500</v>
      </c>
    </row>
    <row r="513" spans="1:10" ht="20.100000000000001" customHeight="1">
      <c r="A513" s="1110"/>
      <c r="B513" s="1119">
        <f>'Input Data'!$D$23</f>
        <v>0</v>
      </c>
      <c r="C513" s="1120"/>
      <c r="D513" s="953" t="s">
        <v>17</v>
      </c>
      <c r="E513" s="953"/>
      <c r="F513" s="1118"/>
      <c r="G513" s="1118"/>
      <c r="H513" s="1117">
        <f>SUM(J510:J512)</f>
        <v>12962</v>
      </c>
      <c r="I513" s="1105"/>
      <c r="J513" s="1114">
        <f>B513*H513</f>
        <v>0</v>
      </c>
    </row>
    <row r="514" spans="1:10" ht="20.100000000000001" customHeight="1">
      <c r="A514" s="953"/>
      <c r="B514" s="1117"/>
      <c r="C514" s="953"/>
      <c r="D514" s="1114" t="s">
        <v>60</v>
      </c>
      <c r="E514" s="953"/>
      <c r="F514" s="953"/>
      <c r="G514" s="953"/>
      <c r="H514" s="1117"/>
      <c r="I514" s="1117"/>
      <c r="J514" s="1114">
        <f>SUM(J510:J513)</f>
        <v>12962</v>
      </c>
    </row>
    <row r="515" spans="1:10" ht="20.100000000000001" customHeight="1">
      <c r="A515" s="953"/>
      <c r="B515" s="1110" t="s">
        <v>39</v>
      </c>
      <c r="C515" s="1116" t="s">
        <v>61</v>
      </c>
      <c r="D515" s="953"/>
      <c r="E515" s="953"/>
      <c r="F515" s="953"/>
      <c r="G515" s="953"/>
      <c r="H515" s="1117"/>
      <c r="I515" s="1117"/>
      <c r="J515" s="1114"/>
    </row>
    <row r="516" spans="1:10" ht="20.100000000000001" customHeight="1">
      <c r="A516" s="953"/>
      <c r="B516" s="1117">
        <v>8.1</v>
      </c>
      <c r="C516" s="1118" t="s">
        <v>31</v>
      </c>
      <c r="D516" s="1114" t="s">
        <v>62</v>
      </c>
      <c r="E516" s="953"/>
      <c r="F516" s="953"/>
      <c r="G516" s="953"/>
      <c r="H516" s="1117">
        <f>+lead!$J$14</f>
        <v>1732.2187651278443</v>
      </c>
      <c r="I516" s="1117" t="s">
        <v>31</v>
      </c>
      <c r="J516" s="1114">
        <f t="shared" ref="J516:J521" si="8">ROUND(B516*H516,2)</f>
        <v>14030.97</v>
      </c>
    </row>
    <row r="517" spans="1:10" ht="20.100000000000001" customHeight="1">
      <c r="A517" s="953"/>
      <c r="B517" s="1117">
        <v>4.05</v>
      </c>
      <c r="C517" s="1118" t="s">
        <v>31</v>
      </c>
      <c r="D517" s="953" t="s">
        <v>63</v>
      </c>
      <c r="E517" s="953"/>
      <c r="F517" s="953"/>
      <c r="G517" s="953"/>
      <c r="H517" s="1117">
        <f>lead!$J$16</f>
        <v>2031.2187651278443</v>
      </c>
      <c r="I517" s="1117" t="s">
        <v>31</v>
      </c>
      <c r="J517" s="1114">
        <f t="shared" si="8"/>
        <v>8226.44</v>
      </c>
    </row>
    <row r="518" spans="1:10" ht="20.100000000000001" customHeight="1">
      <c r="A518" s="953"/>
      <c r="B518" s="1117">
        <v>1.35</v>
      </c>
      <c r="C518" s="1118" t="s">
        <v>31</v>
      </c>
      <c r="D518" s="953" t="s">
        <v>64</v>
      </c>
      <c r="E518" s="953"/>
      <c r="F518" s="953"/>
      <c r="G518" s="953"/>
      <c r="H518" s="1117">
        <f>+lead!$J$18</f>
        <v>1780.2187651278443</v>
      </c>
      <c r="I518" s="1117" t="s">
        <v>31</v>
      </c>
      <c r="J518" s="1114">
        <f t="shared" si="8"/>
        <v>2403.3000000000002</v>
      </c>
    </row>
    <row r="519" spans="1:10" ht="45" customHeight="1">
      <c r="A519" s="953"/>
      <c r="B519" s="1122">
        <f>6.75/2</f>
        <v>3.375</v>
      </c>
      <c r="C519" s="1118" t="s">
        <v>31</v>
      </c>
      <c r="D519" s="3669" t="s">
        <v>1442</v>
      </c>
      <c r="E519" s="3669"/>
      <c r="F519" s="3669"/>
      <c r="G519" s="3669"/>
      <c r="H519" s="1121">
        <f>lead!$J$31</f>
        <v>1850.9213132068826</v>
      </c>
      <c r="I519" s="1117" t="s">
        <v>31</v>
      </c>
      <c r="J519" s="1129">
        <f t="shared" si="8"/>
        <v>6246.86</v>
      </c>
    </row>
    <row r="520" spans="1:10" ht="35.1" customHeight="1">
      <c r="A520" s="953"/>
      <c r="B520" s="1122">
        <f>6.75/2</f>
        <v>3.375</v>
      </c>
      <c r="C520" s="1118" t="s">
        <v>31</v>
      </c>
      <c r="D520" s="3669" t="s">
        <v>1443</v>
      </c>
      <c r="E520" s="3669"/>
      <c r="F520" s="3669"/>
      <c r="G520" s="3669"/>
      <c r="H520" s="1121">
        <f>lead!$J$33</f>
        <v>1473.2187651278443</v>
      </c>
      <c r="I520" s="1117" t="s">
        <v>31</v>
      </c>
      <c r="J520" s="1129">
        <f t="shared" si="8"/>
        <v>4972.1099999999997</v>
      </c>
    </row>
    <row r="521" spans="1:10" ht="20.100000000000001" customHeight="1">
      <c r="A521" s="953"/>
      <c r="B521" s="1117">
        <v>4.13</v>
      </c>
      <c r="C521" s="1118" t="s">
        <v>66</v>
      </c>
      <c r="D521" s="1114" t="s">
        <v>67</v>
      </c>
      <c r="E521" s="953"/>
      <c r="F521" s="953"/>
      <c r="G521" s="953"/>
      <c r="H521" s="1117">
        <f>lead!$J$36</f>
        <v>5000</v>
      </c>
      <c r="I521" s="1117" t="s">
        <v>66</v>
      </c>
      <c r="J521" s="1114">
        <f t="shared" si="8"/>
        <v>20650</v>
      </c>
    </row>
    <row r="522" spans="1:10" ht="20.100000000000001" customHeight="1">
      <c r="A522" s="953"/>
      <c r="B522" s="1117"/>
      <c r="C522" s="1120"/>
      <c r="D522" s="1114" t="s">
        <v>60</v>
      </c>
      <c r="E522" s="953"/>
      <c r="F522" s="953"/>
      <c r="G522" s="953"/>
      <c r="H522" s="1117"/>
      <c r="I522" s="1117"/>
      <c r="J522" s="1114">
        <f>SUM(J516:J521)</f>
        <v>56529.68</v>
      </c>
    </row>
    <row r="523" spans="1:10" ht="20.100000000000001" customHeight="1">
      <c r="A523" s="953"/>
      <c r="B523" s="1110" t="s">
        <v>87</v>
      </c>
      <c r="C523" s="1116" t="s">
        <v>40</v>
      </c>
      <c r="D523" s="953"/>
      <c r="E523" s="953"/>
      <c r="F523" s="953"/>
      <c r="G523" s="953"/>
      <c r="H523" s="1117"/>
      <c r="I523" s="1117"/>
      <c r="J523" s="1114"/>
    </row>
    <row r="524" spans="1:10" ht="20.100000000000001" customHeight="1">
      <c r="A524" s="953"/>
      <c r="B524" s="1117">
        <v>6</v>
      </c>
      <c r="C524" s="1118" t="s">
        <v>41</v>
      </c>
      <c r="D524" s="1114" t="s">
        <v>68</v>
      </c>
      <c r="E524" s="953"/>
      <c r="F524" s="953"/>
      <c r="G524" s="953"/>
      <c r="H524" s="1117">
        <f>'SSR-rates'!$K$88</f>
        <v>697.9</v>
      </c>
      <c r="I524" s="1117" t="s">
        <v>41</v>
      </c>
      <c r="J524" s="1114">
        <f>ROUND(B524*H524,2)</f>
        <v>4187.3999999999996</v>
      </c>
    </row>
    <row r="525" spans="1:10" ht="20.100000000000001" customHeight="1">
      <c r="A525" s="953"/>
      <c r="B525" s="1117">
        <v>6</v>
      </c>
      <c r="C525" s="1118" t="s">
        <v>41</v>
      </c>
      <c r="D525" s="1114" t="s">
        <v>69</v>
      </c>
      <c r="E525" s="953"/>
      <c r="F525" s="953"/>
      <c r="G525" s="953"/>
      <c r="H525" s="1117">
        <f>'SSR-rates'!$K$87</f>
        <v>1323.5</v>
      </c>
      <c r="I525" s="1117" t="s">
        <v>41</v>
      </c>
      <c r="J525" s="1114">
        <f>ROUND(B525*H525,2)</f>
        <v>7941</v>
      </c>
    </row>
    <row r="526" spans="1:10" ht="20.100000000000001" customHeight="1">
      <c r="A526" s="953"/>
      <c r="B526" s="1117"/>
      <c r="C526" s="1120"/>
      <c r="D526" s="1114" t="s">
        <v>60</v>
      </c>
      <c r="E526" s="953"/>
      <c r="F526" s="953"/>
      <c r="G526" s="953"/>
      <c r="H526" s="1117"/>
      <c r="I526" s="1117"/>
      <c r="J526" s="1114">
        <f>SUM(J524:J525)</f>
        <v>12128.4</v>
      </c>
    </row>
    <row r="527" spans="1:10" ht="20.100000000000001" customHeight="1">
      <c r="A527" s="1110"/>
      <c r="B527" s="1110" t="s">
        <v>45</v>
      </c>
      <c r="C527" s="1123" t="s">
        <v>1632</v>
      </c>
      <c r="D527" s="953"/>
      <c r="E527" s="953"/>
      <c r="F527" s="1118"/>
      <c r="G527" s="1118"/>
      <c r="H527" s="1118"/>
      <c r="I527" s="1118"/>
      <c r="J527" s="1116"/>
    </row>
    <row r="528" spans="1:10" ht="20.100000000000001" customHeight="1">
      <c r="A528" s="1110"/>
      <c r="B528" s="1117">
        <v>0</v>
      </c>
      <c r="C528" s="1120" t="s">
        <v>29</v>
      </c>
      <c r="D528" s="1114" t="s">
        <v>1633</v>
      </c>
      <c r="E528" s="953"/>
      <c r="F528" s="1118"/>
      <c r="G528" s="1118"/>
      <c r="H528" s="1118"/>
      <c r="I528" s="1118"/>
      <c r="J528" s="1114">
        <f>ROUND((J514+J522+J526)*B528/100,2)</f>
        <v>0</v>
      </c>
    </row>
    <row r="529" spans="1:10" ht="20.100000000000001" customHeight="1">
      <c r="A529" s="1110"/>
      <c r="B529" s="1110" t="s">
        <v>47</v>
      </c>
      <c r="C529" s="1123" t="s">
        <v>1246</v>
      </c>
      <c r="D529" s="953"/>
      <c r="E529" s="953"/>
      <c r="F529" s="1118"/>
      <c r="G529" s="1118"/>
      <c r="H529" s="1118"/>
      <c r="I529" s="1118"/>
      <c r="J529" s="1116"/>
    </row>
    <row r="530" spans="1:10" ht="35.1" customHeight="1">
      <c r="A530" s="1110"/>
      <c r="B530" s="1124">
        <f>'Input Data'!$D$24</f>
        <v>0.13614999999999999</v>
      </c>
      <c r="C530" s="1120" t="s">
        <v>1617</v>
      </c>
      <c r="D530" s="1114"/>
      <c r="E530" s="953"/>
      <c r="F530" s="1118"/>
      <c r="G530" s="1118"/>
      <c r="H530" s="1120">
        <f>J528+J526+J522+J514</f>
        <v>81620.08</v>
      </c>
      <c r="I530" s="1118"/>
      <c r="J530" s="1114">
        <f>H530*B530</f>
        <v>11112.573892</v>
      </c>
    </row>
    <row r="531" spans="1:10" ht="20.100000000000001" customHeight="1">
      <c r="A531" s="1110"/>
      <c r="B531" s="1125">
        <f>'Input Data'!$E$24</f>
        <v>0</v>
      </c>
      <c r="C531" s="1126" t="s">
        <v>1093</v>
      </c>
      <c r="D531" s="1114"/>
      <c r="E531" s="953"/>
      <c r="F531" s="1118"/>
      <c r="G531" s="1118"/>
      <c r="H531" s="1120">
        <f>J530+J528+J526+J522+J514</f>
        <v>92732.653892000002</v>
      </c>
      <c r="I531" s="1118"/>
      <c r="J531" s="1114">
        <f>H531*B531</f>
        <v>0</v>
      </c>
    </row>
    <row r="532" spans="1:10" ht="20.100000000000001" customHeight="1">
      <c r="A532" s="1110"/>
      <c r="B532" s="1110" t="s">
        <v>76</v>
      </c>
      <c r="C532" s="1123" t="s">
        <v>89</v>
      </c>
      <c r="D532" s="953"/>
      <c r="E532" s="953"/>
      <c r="F532" s="1118"/>
      <c r="G532" s="1118"/>
      <c r="H532" s="1118"/>
      <c r="I532" s="1118"/>
      <c r="J532" s="1116">
        <f>J514+J522+J526+J530+J528+J531</f>
        <v>92732.653891999988</v>
      </c>
    </row>
    <row r="533" spans="1:10" ht="20.100000000000001" customHeight="1">
      <c r="A533" s="953"/>
      <c r="B533" s="1117"/>
      <c r="C533" s="1118"/>
      <c r="D533" s="1116" t="s">
        <v>1555</v>
      </c>
      <c r="E533" s="953"/>
      <c r="F533" s="953"/>
      <c r="G533" s="953"/>
      <c r="H533" s="1117"/>
      <c r="I533" s="1117"/>
      <c r="J533" s="1116">
        <f>SUM(J532:J532)</f>
        <v>92732.653891999988</v>
      </c>
    </row>
    <row r="534" spans="1:10" ht="20.100000000000001" customHeight="1">
      <c r="A534" s="953"/>
      <c r="B534" s="1117"/>
      <c r="C534" s="1118"/>
      <c r="D534" s="1114" t="s">
        <v>81</v>
      </c>
      <c r="E534" s="953"/>
      <c r="F534" s="953"/>
      <c r="G534" s="953"/>
      <c r="H534" s="1117"/>
      <c r="I534" s="1117"/>
      <c r="J534" s="1114">
        <f>ROUND(J533/15,2)</f>
        <v>6182.18</v>
      </c>
    </row>
    <row r="535" spans="1:10" ht="20.100000000000001" customHeight="1">
      <c r="A535" s="953"/>
      <c r="B535" s="1105"/>
      <c r="C535" s="953"/>
      <c r="D535" s="1114" t="s">
        <v>52</v>
      </c>
      <c r="E535" s="953"/>
      <c r="F535" s="953"/>
      <c r="G535" s="953"/>
      <c r="H535" s="1117"/>
      <c r="I535" s="1117"/>
      <c r="J535" s="1134">
        <f>ROUND(J534,2)</f>
        <v>6182.18</v>
      </c>
    </row>
    <row r="536" spans="1:10" ht="20.100000000000001" customHeight="1">
      <c r="A536" s="953"/>
      <c r="B536" s="1105"/>
      <c r="C536" s="953"/>
      <c r="D536" s="1114"/>
      <c r="E536" s="953"/>
      <c r="F536" s="953"/>
      <c r="G536" s="953"/>
      <c r="H536" s="1117"/>
      <c r="I536" s="1117"/>
      <c r="J536" s="1130" t="s">
        <v>53</v>
      </c>
    </row>
    <row r="537" spans="1:10" ht="20.100000000000001" customHeight="1">
      <c r="A537" s="1118"/>
      <c r="B537" s="1110" t="s">
        <v>1634</v>
      </c>
      <c r="C537" s="953"/>
      <c r="D537" s="1114"/>
      <c r="E537" s="953"/>
      <c r="F537" s="953"/>
      <c r="G537" s="953"/>
      <c r="H537" s="1117"/>
      <c r="I537" s="1117"/>
      <c r="J537" s="1130"/>
    </row>
    <row r="538" spans="1:10" ht="68.25" customHeight="1">
      <c r="A538" s="1113">
        <f>A506+1</f>
        <v>17</v>
      </c>
      <c r="B538" s="3671" t="s">
        <v>1635</v>
      </c>
      <c r="C538" s="3671"/>
      <c r="D538" s="3671"/>
      <c r="E538" s="3671"/>
      <c r="F538" s="3671"/>
      <c r="G538" s="3671"/>
      <c r="H538" s="3671"/>
      <c r="I538" s="3671"/>
      <c r="J538" s="3671"/>
    </row>
    <row r="539" spans="1:10" ht="20.100000000000001" customHeight="1">
      <c r="A539" s="953"/>
      <c r="B539" s="1105"/>
      <c r="C539" s="953"/>
      <c r="D539" s="1114" t="s">
        <v>10</v>
      </c>
      <c r="E539" s="953"/>
      <c r="F539" s="1123" t="s">
        <v>123</v>
      </c>
      <c r="G539" s="953"/>
      <c r="H539" s="953"/>
      <c r="I539" s="953"/>
      <c r="J539" s="953"/>
    </row>
    <row r="540" spans="1:10" ht="20.100000000000001" customHeight="1">
      <c r="A540" s="953"/>
      <c r="B540" s="1105"/>
      <c r="C540" s="953"/>
      <c r="D540" s="1114" t="s">
        <v>115</v>
      </c>
      <c r="E540" s="953"/>
      <c r="F540" s="953"/>
      <c r="G540" s="953"/>
      <c r="H540" s="953"/>
      <c r="I540" s="953"/>
      <c r="J540" s="953"/>
    </row>
    <row r="541" spans="1:10" ht="20.100000000000001" customHeight="1">
      <c r="A541" s="953"/>
      <c r="B541" s="1110" t="s">
        <v>36</v>
      </c>
      <c r="C541" s="1116" t="s">
        <v>37</v>
      </c>
      <c r="D541" s="953"/>
      <c r="E541" s="953"/>
      <c r="F541" s="953"/>
      <c r="G541" s="953"/>
      <c r="H541" s="953"/>
      <c r="I541" s="953"/>
      <c r="J541" s="953"/>
    </row>
    <row r="542" spans="1:10" ht="20.100000000000001" customHeight="1">
      <c r="A542" s="953"/>
      <c r="B542" s="1117">
        <v>0.04</v>
      </c>
      <c r="C542" s="1118" t="s">
        <v>57</v>
      </c>
      <c r="D542" s="1114" t="s">
        <v>14</v>
      </c>
      <c r="E542" s="953"/>
      <c r="F542" s="953"/>
      <c r="G542" s="953"/>
      <c r="H542" s="1117">
        <f>'SSR-rates'!K$58</f>
        <v>575</v>
      </c>
      <c r="I542" s="1105" t="s">
        <v>38</v>
      </c>
      <c r="J542" s="1117">
        <f>ROUND(B542*H542,2)</f>
        <v>23</v>
      </c>
    </row>
    <row r="543" spans="1:10" ht="20.100000000000001" customHeight="1">
      <c r="A543" s="953"/>
      <c r="B543" s="1117">
        <v>0.35</v>
      </c>
      <c r="C543" s="1118" t="s">
        <v>57</v>
      </c>
      <c r="D543" s="1114" t="s">
        <v>58</v>
      </c>
      <c r="E543" s="953"/>
      <c r="F543" s="953"/>
      <c r="G543" s="953"/>
      <c r="H543" s="1117">
        <f>+'SSR-rates'!K96</f>
        <v>645</v>
      </c>
      <c r="I543" s="1105" t="s">
        <v>38</v>
      </c>
      <c r="J543" s="1117">
        <f>ROUND(B543*H543,2)</f>
        <v>225.75</v>
      </c>
    </row>
    <row r="544" spans="1:10" ht="20.100000000000001" customHeight="1">
      <c r="A544" s="953"/>
      <c r="B544" s="1117">
        <v>0.75</v>
      </c>
      <c r="C544" s="1118" t="s">
        <v>57</v>
      </c>
      <c r="D544" s="1114" t="s">
        <v>59</v>
      </c>
      <c r="E544" s="953"/>
      <c r="F544" s="953"/>
      <c r="G544" s="953"/>
      <c r="H544" s="1117">
        <f>'SSR-rates'!K$60</f>
        <v>575</v>
      </c>
      <c r="I544" s="1105" t="s">
        <v>38</v>
      </c>
      <c r="J544" s="1117">
        <f>ROUND(B544*H544,2)</f>
        <v>431.25</v>
      </c>
    </row>
    <row r="545" spans="1:10" ht="20.100000000000001" customHeight="1">
      <c r="A545" s="1110"/>
      <c r="B545" s="1119">
        <f>'Input Data'!$D$23</f>
        <v>0</v>
      </c>
      <c r="C545" s="1120"/>
      <c r="D545" s="953" t="s">
        <v>17</v>
      </c>
      <c r="E545" s="953"/>
      <c r="F545" s="1118"/>
      <c r="G545" s="1118"/>
      <c r="H545" s="1117">
        <f>SUM(J542:J544)</f>
        <v>680</v>
      </c>
      <c r="I545" s="1105"/>
      <c r="J545" s="1117">
        <f>B545*H545</f>
        <v>0</v>
      </c>
    </row>
    <row r="546" spans="1:10" ht="20.100000000000001" customHeight="1">
      <c r="A546" s="953"/>
      <c r="B546" s="1117" t="s">
        <v>85</v>
      </c>
      <c r="C546" s="953"/>
      <c r="D546" s="1114" t="s">
        <v>60</v>
      </c>
      <c r="E546" s="953"/>
      <c r="F546" s="953"/>
      <c r="G546" s="953"/>
      <c r="H546" s="1117"/>
      <c r="I546" s="1105"/>
      <c r="J546" s="1117">
        <f>SUM(J542:J545)</f>
        <v>680</v>
      </c>
    </row>
    <row r="547" spans="1:10" ht="20.100000000000001" customHeight="1">
      <c r="A547" s="953"/>
      <c r="B547" s="1117"/>
      <c r="C547" s="953"/>
      <c r="D547" s="1114"/>
      <c r="E547" s="953"/>
      <c r="F547" s="953"/>
      <c r="G547" s="953"/>
      <c r="H547" s="1117"/>
      <c r="I547" s="1117"/>
      <c r="J547" s="1117"/>
    </row>
    <row r="548" spans="1:10" ht="20.100000000000001" customHeight="1">
      <c r="A548" s="953"/>
      <c r="B548" s="1110" t="s">
        <v>39</v>
      </c>
      <c r="C548" s="1116" t="s">
        <v>61</v>
      </c>
      <c r="D548" s="953"/>
      <c r="E548" s="953"/>
      <c r="F548" s="953"/>
      <c r="G548" s="953"/>
      <c r="H548" s="1117"/>
      <c r="I548" s="1117"/>
      <c r="J548" s="1117"/>
    </row>
    <row r="549" spans="1:10" ht="20.100000000000001" customHeight="1">
      <c r="A549" s="953"/>
      <c r="B549" s="1117">
        <v>1</v>
      </c>
      <c r="C549" s="1116"/>
      <c r="D549" s="953" t="s">
        <v>1574</v>
      </c>
      <c r="E549" s="953"/>
      <c r="F549" s="953"/>
      <c r="G549" s="953"/>
      <c r="H549" s="1117">
        <f>+lead!J23</f>
        <v>1096.2187651278443</v>
      </c>
      <c r="I549" s="1117" t="s">
        <v>31</v>
      </c>
      <c r="J549" s="1117">
        <f>ROUND(B549*H549,2)</f>
        <v>1096.22</v>
      </c>
    </row>
    <row r="550" spans="1:10" ht="20.100000000000001" customHeight="1">
      <c r="A550" s="953"/>
      <c r="B550" s="1117">
        <v>0.2</v>
      </c>
      <c r="C550" s="1118" t="s">
        <v>31</v>
      </c>
      <c r="D550" s="1114" t="s">
        <v>86</v>
      </c>
      <c r="E550" s="953"/>
      <c r="F550" s="953"/>
      <c r="G550" s="953"/>
      <c r="H550" s="1117">
        <f>lead!J$34</f>
        <v>219.2847335299036</v>
      </c>
      <c r="I550" s="1117" t="s">
        <v>31</v>
      </c>
      <c r="J550" s="1117">
        <f>ROUND(B550*H550,2)</f>
        <v>43.86</v>
      </c>
    </row>
    <row r="551" spans="1:10" ht="20.100000000000001" customHeight="1">
      <c r="A551" s="953"/>
      <c r="B551" s="1117"/>
      <c r="C551" s="953"/>
      <c r="D551" s="1114" t="s">
        <v>60</v>
      </c>
      <c r="E551" s="953"/>
      <c r="F551" s="953"/>
      <c r="G551" s="953"/>
      <c r="H551" s="1117"/>
      <c r="I551" s="1117"/>
      <c r="J551" s="1117">
        <f>SUM(J549:J550)</f>
        <v>1140.08</v>
      </c>
    </row>
    <row r="552" spans="1:10" ht="20.100000000000001" customHeight="1">
      <c r="A552" s="1110"/>
      <c r="B552" s="1110" t="s">
        <v>45</v>
      </c>
      <c r="C552" s="1123" t="s">
        <v>1092</v>
      </c>
      <c r="D552" s="953"/>
      <c r="E552" s="953"/>
      <c r="F552" s="1118"/>
      <c r="G552" s="1118"/>
      <c r="H552" s="1118"/>
      <c r="I552" s="1118"/>
      <c r="J552" s="1166"/>
    </row>
    <row r="553" spans="1:10" ht="35.1" customHeight="1">
      <c r="A553" s="1110"/>
      <c r="B553" s="1124">
        <f>'Input Data'!$D$24</f>
        <v>0.13614999999999999</v>
      </c>
      <c r="C553" s="1120" t="s">
        <v>1636</v>
      </c>
      <c r="D553" s="1114"/>
      <c r="E553" s="953"/>
      <c r="F553" s="1118"/>
      <c r="G553" s="1118"/>
      <c r="H553" s="1117">
        <f>J551+J546</f>
        <v>1820.08</v>
      </c>
      <c r="I553" s="1118"/>
      <c r="J553" s="1117">
        <f>H553*B553</f>
        <v>247.80389199999999</v>
      </c>
    </row>
    <row r="554" spans="1:10" ht="20.100000000000001" customHeight="1">
      <c r="A554" s="1110"/>
      <c r="B554" s="1125">
        <f>'Input Data'!$E$24</f>
        <v>0</v>
      </c>
      <c r="C554" s="1126" t="s">
        <v>1093</v>
      </c>
      <c r="D554" s="1114"/>
      <c r="E554" s="953"/>
      <c r="F554" s="1118"/>
      <c r="G554" s="1118"/>
      <c r="H554" s="1117">
        <f>J553+J551+J546</f>
        <v>2067.8838919999998</v>
      </c>
      <c r="I554" s="1118"/>
      <c r="J554" s="1117">
        <f>H554*B554</f>
        <v>0</v>
      </c>
    </row>
    <row r="555" spans="1:10" ht="20.100000000000001" customHeight="1">
      <c r="A555" s="1110"/>
      <c r="B555" s="1110" t="s">
        <v>47</v>
      </c>
      <c r="C555" s="1123" t="s">
        <v>89</v>
      </c>
      <c r="D555" s="953"/>
      <c r="E555" s="953"/>
      <c r="F555" s="1118"/>
      <c r="G555" s="1118"/>
      <c r="H555" s="1118"/>
      <c r="I555" s="1118"/>
      <c r="J555" s="1166">
        <f>J546+J551+J553+J554</f>
        <v>2067.8838919999998</v>
      </c>
    </row>
    <row r="556" spans="1:10" ht="20.100000000000001" customHeight="1">
      <c r="A556" s="1110"/>
      <c r="B556" s="1110"/>
      <c r="C556" s="1123"/>
      <c r="D556" s="953"/>
      <c r="E556" s="953"/>
      <c r="F556" s="1118"/>
      <c r="G556" s="1118"/>
      <c r="H556" s="1118"/>
      <c r="I556" s="1118"/>
      <c r="J556" s="1166"/>
    </row>
    <row r="557" spans="1:10" ht="20.100000000000001" customHeight="1">
      <c r="A557" s="953"/>
      <c r="B557" s="1117"/>
      <c r="C557" s="1118"/>
      <c r="D557" s="1116" t="s">
        <v>1637</v>
      </c>
      <c r="E557" s="953"/>
      <c r="F557" s="953"/>
      <c r="G557" s="953"/>
      <c r="H557" s="1117"/>
      <c r="I557" s="1117"/>
      <c r="J557" s="1166">
        <f>SUM(J555:J556)</f>
        <v>2067.8838919999998</v>
      </c>
    </row>
    <row r="558" spans="1:10" ht="20.100000000000001" customHeight="1">
      <c r="A558" s="953"/>
      <c r="B558" s="1117"/>
      <c r="C558" s="1118"/>
      <c r="D558" s="1114" t="s">
        <v>50</v>
      </c>
      <c r="E558" s="953"/>
      <c r="F558" s="953"/>
      <c r="G558" s="953"/>
      <c r="H558" s="1117"/>
      <c r="I558" s="1117"/>
      <c r="J558" s="1117">
        <f>J557</f>
        <v>2067.8838919999998</v>
      </c>
    </row>
    <row r="559" spans="1:10" ht="20.100000000000001" customHeight="1">
      <c r="A559" s="953"/>
      <c r="B559" s="1105"/>
      <c r="C559" s="953"/>
      <c r="D559" s="1114" t="s">
        <v>52</v>
      </c>
      <c r="E559" s="953"/>
      <c r="F559" s="953"/>
      <c r="G559" s="953"/>
      <c r="H559" s="1117"/>
      <c r="I559" s="1117"/>
      <c r="J559" s="1171">
        <f>ROUND(J558,2)</f>
        <v>2067.88</v>
      </c>
    </row>
    <row r="560" spans="1:10" ht="20.100000000000001" customHeight="1">
      <c r="A560" s="953"/>
      <c r="B560" s="1105"/>
      <c r="C560" s="953"/>
      <c r="D560" s="1114"/>
      <c r="E560" s="953"/>
      <c r="F560" s="953"/>
      <c r="G560" s="953"/>
      <c r="H560" s="1117"/>
      <c r="I560" s="1117"/>
      <c r="J560" s="1166" t="s">
        <v>53</v>
      </c>
    </row>
    <row r="561" spans="1:10" ht="78" customHeight="1">
      <c r="A561" s="1132">
        <f>A538+1</f>
        <v>18</v>
      </c>
      <c r="B561" s="3671" t="s">
        <v>116</v>
      </c>
      <c r="C561" s="3671"/>
      <c r="D561" s="3671"/>
      <c r="E561" s="3671"/>
      <c r="F561" s="3671"/>
      <c r="G561" s="3671"/>
      <c r="H561" s="3671"/>
      <c r="I561" s="3671"/>
      <c r="J561" s="3671"/>
    </row>
    <row r="562" spans="1:10" ht="20.100000000000001" customHeight="1">
      <c r="A562" s="953"/>
      <c r="B562" s="1105"/>
      <c r="C562" s="953"/>
      <c r="D562" s="1114" t="s">
        <v>10</v>
      </c>
      <c r="E562" s="953"/>
      <c r="F562" s="1123" t="s">
        <v>117</v>
      </c>
      <c r="G562" s="953"/>
      <c r="H562" s="953"/>
      <c r="I562" s="953"/>
      <c r="J562" s="953"/>
    </row>
    <row r="563" spans="1:10" ht="20.100000000000001" customHeight="1">
      <c r="A563" s="953"/>
      <c r="B563" s="1105"/>
      <c r="C563" s="953"/>
      <c r="D563" s="1114" t="s">
        <v>115</v>
      </c>
      <c r="E563" s="953"/>
      <c r="F563" s="953"/>
      <c r="G563" s="953"/>
      <c r="H563" s="953"/>
      <c r="I563" s="953"/>
      <c r="J563" s="953"/>
    </row>
    <row r="564" spans="1:10" ht="20.100000000000001" customHeight="1">
      <c r="A564" s="953"/>
      <c r="B564" s="1110" t="s">
        <v>36</v>
      </c>
      <c r="C564" s="1116" t="s">
        <v>37</v>
      </c>
      <c r="D564" s="953"/>
      <c r="E564" s="953"/>
      <c r="F564" s="953"/>
      <c r="G564" s="953"/>
      <c r="H564" s="953"/>
      <c r="I564" s="953"/>
      <c r="J564" s="953"/>
    </row>
    <row r="565" spans="1:10" ht="20.100000000000001" customHeight="1">
      <c r="A565" s="953"/>
      <c r="B565" s="1117">
        <v>0.04</v>
      </c>
      <c r="C565" s="1118" t="s">
        <v>57</v>
      </c>
      <c r="D565" s="1114" t="s">
        <v>14</v>
      </c>
      <c r="E565" s="953"/>
      <c r="F565" s="953"/>
      <c r="G565" s="953"/>
      <c r="H565" s="1117">
        <f>'SSR-rates'!K$58</f>
        <v>575</v>
      </c>
      <c r="I565" s="1105" t="s">
        <v>38</v>
      </c>
      <c r="J565" s="1129">
        <f>ROUND(B565*H565,2)</f>
        <v>23</v>
      </c>
    </row>
    <row r="566" spans="1:10" ht="20.100000000000001" customHeight="1">
      <c r="A566" s="953"/>
      <c r="B566" s="1117">
        <v>0.35</v>
      </c>
      <c r="C566" s="1118" t="s">
        <v>57</v>
      </c>
      <c r="D566" s="1114" t="s">
        <v>58</v>
      </c>
      <c r="E566" s="953"/>
      <c r="F566" s="953"/>
      <c r="G566" s="953"/>
      <c r="H566" s="1117">
        <f>+'SSR-rates'!$K$96</f>
        <v>645</v>
      </c>
      <c r="I566" s="1105" t="s">
        <v>38</v>
      </c>
      <c r="J566" s="1129">
        <f>ROUND(B566*H566,2)</f>
        <v>225.75</v>
      </c>
    </row>
    <row r="567" spans="1:10" ht="20.100000000000001" customHeight="1">
      <c r="A567" s="953"/>
      <c r="B567" s="1117">
        <v>0.75</v>
      </c>
      <c r="C567" s="1118" t="s">
        <v>57</v>
      </c>
      <c r="D567" s="1114" t="s">
        <v>59</v>
      </c>
      <c r="E567" s="953"/>
      <c r="F567" s="953"/>
      <c r="G567" s="953"/>
      <c r="H567" s="1117">
        <f>'SSR-rates'!K$60</f>
        <v>575</v>
      </c>
      <c r="I567" s="1105" t="s">
        <v>38</v>
      </c>
      <c r="J567" s="1129">
        <f>ROUND(B567*H567,2)</f>
        <v>431.25</v>
      </c>
    </row>
    <row r="568" spans="1:10" ht="20.100000000000001" customHeight="1">
      <c r="A568" s="1110"/>
      <c r="B568" s="1119">
        <f>'Input Data'!$D$23</f>
        <v>0</v>
      </c>
      <c r="C568" s="1120"/>
      <c r="D568" s="953" t="s">
        <v>17</v>
      </c>
      <c r="E568" s="953"/>
      <c r="F568" s="1118"/>
      <c r="G568" s="1118"/>
      <c r="H568" s="1117">
        <f>SUM(J565:J567)</f>
        <v>680</v>
      </c>
      <c r="I568" s="1105"/>
      <c r="J568" s="1129">
        <f>B568*H568</f>
        <v>0</v>
      </c>
    </row>
    <row r="569" spans="1:10" ht="20.100000000000001" customHeight="1">
      <c r="A569" s="953"/>
      <c r="B569" s="1117" t="s">
        <v>85</v>
      </c>
      <c r="C569" s="953"/>
      <c r="D569" s="1114" t="s">
        <v>60</v>
      </c>
      <c r="E569" s="953"/>
      <c r="F569" s="953"/>
      <c r="G569" s="953"/>
      <c r="H569" s="1117"/>
      <c r="I569" s="1105"/>
      <c r="J569" s="1129">
        <f>SUM(J565:J568)</f>
        <v>680</v>
      </c>
    </row>
    <row r="570" spans="1:10" ht="20.100000000000001" customHeight="1">
      <c r="A570" s="953"/>
      <c r="B570" s="1110" t="s">
        <v>39</v>
      </c>
      <c r="C570" s="1116" t="s">
        <v>61</v>
      </c>
      <c r="D570" s="953"/>
      <c r="E570" s="953"/>
      <c r="F570" s="953"/>
      <c r="G570" s="953"/>
      <c r="H570" s="1117"/>
      <c r="I570" s="1117"/>
      <c r="J570" s="1129"/>
    </row>
    <row r="571" spans="1:10" ht="20.100000000000001" customHeight="1">
      <c r="A571" s="953"/>
      <c r="B571" s="1117">
        <v>1</v>
      </c>
      <c r="C571" s="1118" t="s">
        <v>31</v>
      </c>
      <c r="D571" s="1114" t="s">
        <v>118</v>
      </c>
      <c r="E571" s="953"/>
      <c r="F571" s="953"/>
      <c r="G571" s="953"/>
      <c r="H571" s="1117">
        <f>lead!J$23</f>
        <v>1096.2187651278443</v>
      </c>
      <c r="I571" s="1117" t="s">
        <v>31</v>
      </c>
      <c r="J571" s="1129">
        <f>ROUND(B571*H571,2)</f>
        <v>1096.22</v>
      </c>
    </row>
    <row r="572" spans="1:10" ht="20.100000000000001" customHeight="1">
      <c r="A572" s="953"/>
      <c r="B572" s="1117">
        <v>0.2</v>
      </c>
      <c r="C572" s="1118" t="s">
        <v>31</v>
      </c>
      <c r="D572" s="1114" t="s">
        <v>119</v>
      </c>
      <c r="E572" s="953"/>
      <c r="F572" s="953"/>
      <c r="G572" s="953"/>
      <c r="H572" s="1117">
        <f>lead!J$25</f>
        <v>867.21876512784434</v>
      </c>
      <c r="I572" s="1117" t="s">
        <v>31</v>
      </c>
      <c r="J572" s="1129">
        <f>ROUND(B572*H572,2)</f>
        <v>173.44</v>
      </c>
    </row>
    <row r="573" spans="1:10" ht="20.100000000000001" customHeight="1">
      <c r="A573" s="953"/>
      <c r="B573" s="1117"/>
      <c r="C573" s="953"/>
      <c r="D573" s="1114" t="s">
        <v>60</v>
      </c>
      <c r="E573" s="953"/>
      <c r="F573" s="953"/>
      <c r="G573" s="953"/>
      <c r="H573" s="1117"/>
      <c r="I573" s="1117"/>
      <c r="J573" s="1129">
        <f>SUM(J571:J572)</f>
        <v>1269.6600000000001</v>
      </c>
    </row>
    <row r="574" spans="1:10" ht="20.100000000000001" customHeight="1">
      <c r="A574" s="1110"/>
      <c r="B574" s="1110" t="s">
        <v>45</v>
      </c>
      <c r="C574" s="1123" t="s">
        <v>1092</v>
      </c>
      <c r="D574" s="953"/>
      <c r="E574" s="953"/>
      <c r="F574" s="1118"/>
      <c r="G574" s="1118"/>
      <c r="H574" s="1118"/>
      <c r="I574" s="1118"/>
      <c r="J574" s="1130"/>
    </row>
    <row r="575" spans="1:10" ht="35.1" customHeight="1">
      <c r="A575" s="1110"/>
      <c r="B575" s="1124">
        <f>'Input Data'!$D$24</f>
        <v>0.13614999999999999</v>
      </c>
      <c r="C575" s="3672" t="s">
        <v>1617</v>
      </c>
      <c r="D575" s="3672"/>
      <c r="E575" s="3672"/>
      <c r="F575" s="3672"/>
      <c r="G575" s="3672"/>
      <c r="H575" s="1117">
        <f>J573+J569</f>
        <v>1949.66</v>
      </c>
      <c r="I575" s="1118"/>
      <c r="J575" s="1129">
        <f>H575*B575</f>
        <v>265.44620900000001</v>
      </c>
    </row>
    <row r="576" spans="1:10" ht="20.100000000000001" customHeight="1">
      <c r="A576" s="1110"/>
      <c r="B576" s="1125">
        <f>'Input Data'!$E$24</f>
        <v>0</v>
      </c>
      <c r="C576" s="1126" t="s">
        <v>1093</v>
      </c>
      <c r="D576" s="1121"/>
      <c r="E576" s="1121"/>
      <c r="F576" s="1121"/>
      <c r="G576" s="1121"/>
      <c r="H576" s="1117">
        <f>J575+J573+J569</f>
        <v>2215.106209</v>
      </c>
      <c r="I576" s="1118"/>
      <c r="J576" s="1129">
        <f>H576*B576</f>
        <v>0</v>
      </c>
    </row>
    <row r="577" spans="1:10" ht="20.100000000000001" customHeight="1">
      <c r="A577" s="1110"/>
      <c r="B577" s="1110" t="s">
        <v>47</v>
      </c>
      <c r="C577" s="1123" t="s">
        <v>89</v>
      </c>
      <c r="D577" s="953"/>
      <c r="E577" s="953"/>
      <c r="F577" s="1118"/>
      <c r="G577" s="1118"/>
      <c r="H577" s="1118"/>
      <c r="I577" s="1118"/>
      <c r="J577" s="1130">
        <f>J569+J573+J575+J576</f>
        <v>2215.106209</v>
      </c>
    </row>
    <row r="578" spans="1:10" ht="20.100000000000001" customHeight="1">
      <c r="A578" s="953"/>
      <c r="B578" s="1117"/>
      <c r="C578" s="1118"/>
      <c r="D578" s="1116" t="s">
        <v>120</v>
      </c>
      <c r="E578" s="953"/>
      <c r="F578" s="953"/>
      <c r="G578" s="953"/>
      <c r="H578" s="1117"/>
      <c r="I578" s="1117"/>
      <c r="J578" s="1130">
        <f>SUM(J577:J577)</f>
        <v>2215.106209</v>
      </c>
    </row>
    <row r="579" spans="1:10" ht="20.100000000000001" customHeight="1">
      <c r="A579" s="953"/>
      <c r="B579" s="1105"/>
      <c r="C579" s="953"/>
      <c r="D579" s="1114" t="s">
        <v>52</v>
      </c>
      <c r="E579" s="953"/>
      <c r="F579" s="953"/>
      <c r="G579" s="953"/>
      <c r="H579" s="1117"/>
      <c r="I579" s="1117"/>
      <c r="J579" s="1131">
        <f>J577</f>
        <v>2215.106209</v>
      </c>
    </row>
    <row r="580" spans="1:10" ht="48.6" customHeight="1">
      <c r="A580" s="1113">
        <f>A561+1</f>
        <v>19</v>
      </c>
      <c r="B580" s="3670" t="s">
        <v>1638</v>
      </c>
      <c r="C580" s="3670"/>
      <c r="D580" s="3670"/>
      <c r="E580" s="3670"/>
      <c r="F580" s="3670"/>
      <c r="G580" s="3670"/>
      <c r="H580" s="3670"/>
      <c r="I580" s="3670"/>
      <c r="J580" s="3670"/>
    </row>
    <row r="581" spans="1:10" ht="20.100000000000001" customHeight="1">
      <c r="A581" s="953"/>
      <c r="B581" s="1117"/>
      <c r="C581" s="1118"/>
      <c r="D581" s="1114" t="s">
        <v>1639</v>
      </c>
      <c r="E581" s="953"/>
      <c r="F581" s="1115" t="s">
        <v>1640</v>
      </c>
      <c r="G581" s="953"/>
      <c r="H581" s="1117"/>
      <c r="I581" s="1117"/>
      <c r="J581" s="1129"/>
    </row>
    <row r="582" spans="1:10" s="1102" customFormat="1" ht="20.100000000000001" customHeight="1">
      <c r="A582" s="953"/>
      <c r="B582" s="1117"/>
      <c r="C582" s="1118"/>
      <c r="D582" s="1114" t="s">
        <v>1641</v>
      </c>
      <c r="E582" s="953"/>
      <c r="F582" s="953"/>
      <c r="G582" s="953"/>
      <c r="H582" s="1117"/>
      <c r="I582" s="1117"/>
      <c r="J582" s="1129"/>
    </row>
    <row r="583" spans="1:10" ht="20.100000000000001" customHeight="1">
      <c r="A583" s="953"/>
      <c r="B583" s="1117"/>
      <c r="C583" s="1118"/>
      <c r="D583" s="1114" t="s">
        <v>1642</v>
      </c>
      <c r="E583" s="953"/>
      <c r="F583" s="953"/>
      <c r="G583" s="953"/>
      <c r="H583" s="1117"/>
      <c r="I583" s="1117"/>
      <c r="J583" s="1129"/>
    </row>
    <row r="584" spans="1:10" ht="20.100000000000001" customHeight="1">
      <c r="A584" s="953"/>
      <c r="B584" s="1117"/>
      <c r="C584" s="1118"/>
      <c r="D584" s="1114" t="s">
        <v>10</v>
      </c>
      <c r="E584" s="953"/>
      <c r="F584" s="953"/>
      <c r="G584" s="953"/>
      <c r="H584" s="953"/>
      <c r="I584" s="1117"/>
      <c r="J584" s="1129"/>
    </row>
    <row r="585" spans="1:10" ht="20.100000000000001" customHeight="1">
      <c r="A585" s="953"/>
      <c r="B585" s="1177">
        <f>+PI()*0.25^2*0.25*0.6</f>
        <v>2.945243112740431E-2</v>
      </c>
      <c r="C585" s="1118" t="s">
        <v>31</v>
      </c>
      <c r="D585" s="1114" t="s">
        <v>1643</v>
      </c>
      <c r="E585" s="953"/>
      <c r="F585" s="953"/>
      <c r="G585" s="953"/>
      <c r="H585" s="1114">
        <f>'Pipe data'!E15/240</f>
        <v>108.87583333333333</v>
      </c>
      <c r="I585" s="1117" t="s">
        <v>31</v>
      </c>
      <c r="J585" s="1129">
        <f>ROUND(B585*H585,2)</f>
        <v>3.21</v>
      </c>
    </row>
    <row r="586" spans="1:10" ht="20.100000000000001" customHeight="1">
      <c r="A586" s="953"/>
      <c r="B586" s="1105"/>
      <c r="C586" s="1118"/>
      <c r="D586" s="1114" t="s">
        <v>1644</v>
      </c>
      <c r="E586" s="953"/>
      <c r="F586" s="953"/>
      <c r="G586" s="953"/>
      <c r="H586" s="953"/>
      <c r="I586" s="1117"/>
      <c r="J586" s="1129"/>
    </row>
    <row r="587" spans="1:10" ht="20.100000000000001" customHeight="1">
      <c r="A587" s="953"/>
      <c r="B587" s="1117"/>
      <c r="C587" s="1118"/>
      <c r="D587" s="1114" t="s">
        <v>10</v>
      </c>
      <c r="E587" s="953"/>
      <c r="F587" s="953"/>
      <c r="G587" s="953"/>
      <c r="H587" s="953"/>
      <c r="I587" s="1117"/>
      <c r="J587" s="1129"/>
    </row>
    <row r="588" spans="1:10" ht="20.100000000000001" customHeight="1">
      <c r="A588" s="953"/>
      <c r="B588" s="1177">
        <f>+PI()*0.25^2*0.25*0.6</f>
        <v>2.945243112740431E-2</v>
      </c>
      <c r="C588" s="1118" t="s">
        <v>31</v>
      </c>
      <c r="D588" s="1114" t="s">
        <v>1645</v>
      </c>
      <c r="E588" s="953"/>
      <c r="F588" s="953"/>
      <c r="G588" s="953"/>
      <c r="H588" s="953">
        <f>+H118/15</f>
        <v>6403.4793333333328</v>
      </c>
      <c r="I588" s="1117" t="s">
        <v>31</v>
      </c>
      <c r="J588" s="1129">
        <f>ROUND(B588*H588,2)</f>
        <v>188.6</v>
      </c>
    </row>
    <row r="589" spans="1:10" ht="20.100000000000001" customHeight="1">
      <c r="A589" s="953"/>
      <c r="B589" s="1117"/>
      <c r="C589" s="1118"/>
      <c r="D589" s="1114" t="s">
        <v>1646</v>
      </c>
      <c r="E589" s="953"/>
      <c r="F589" s="953"/>
      <c r="G589" s="953"/>
      <c r="H589" s="953"/>
      <c r="I589" s="1117"/>
      <c r="J589" s="1129"/>
    </row>
    <row r="590" spans="1:10" ht="20.100000000000001" customHeight="1">
      <c r="A590" s="953"/>
      <c r="B590" s="1117"/>
      <c r="C590" s="1118"/>
      <c r="D590" s="1114" t="s">
        <v>1647</v>
      </c>
      <c r="E590" s="953"/>
      <c r="F590" s="953"/>
      <c r="G590" s="953"/>
      <c r="H590" s="953"/>
      <c r="I590" s="1117"/>
      <c r="J590" s="1129"/>
    </row>
    <row r="591" spans="1:10" ht="20.100000000000001" customHeight="1">
      <c r="A591" s="953"/>
      <c r="B591" s="1177">
        <f>+PI()*0.25^2*1%*0.6*7.85</f>
        <v>9.2480633740049528E-3</v>
      </c>
      <c r="C591" s="1118" t="s">
        <v>66</v>
      </c>
      <c r="D591" s="1114" t="s">
        <v>1648</v>
      </c>
      <c r="E591" s="953"/>
      <c r="F591" s="953"/>
      <c r="G591" s="953"/>
      <c r="H591" s="1114">
        <f>+lead!J37</f>
        <v>49000</v>
      </c>
      <c r="I591" s="1117" t="s">
        <v>66</v>
      </c>
      <c r="J591" s="1129">
        <f>ROUND(B591*H591,2)</f>
        <v>453.16</v>
      </c>
    </row>
    <row r="592" spans="1:10" ht="20.100000000000001" customHeight="1">
      <c r="A592" s="953"/>
      <c r="B592" s="1117"/>
      <c r="C592" s="1118"/>
      <c r="D592" s="1114" t="s">
        <v>1649</v>
      </c>
      <c r="E592" s="953"/>
      <c r="F592" s="953"/>
      <c r="G592" s="953"/>
      <c r="H592" s="953"/>
      <c r="I592" s="1117"/>
      <c r="J592" s="1129"/>
    </row>
    <row r="593" spans="1:10" ht="20.100000000000001" customHeight="1">
      <c r="A593" s="953"/>
      <c r="B593" s="1117"/>
      <c r="C593" s="1118"/>
      <c r="D593" s="1114" t="s">
        <v>1100</v>
      </c>
      <c r="E593" s="953"/>
      <c r="F593" s="953"/>
      <c r="G593" s="953"/>
      <c r="H593" s="953"/>
      <c r="I593" s="1117"/>
      <c r="J593" s="1129"/>
    </row>
    <row r="594" spans="1:10" ht="20.100000000000001" customHeight="1">
      <c r="A594" s="953"/>
      <c r="B594" s="1117">
        <f>+PI()*0.25*0.6</f>
        <v>0.47123889803846897</v>
      </c>
      <c r="C594" s="1118" t="s">
        <v>923</v>
      </c>
      <c r="D594" s="1114" t="s">
        <v>1650</v>
      </c>
      <c r="E594" s="953"/>
      <c r="F594" s="953"/>
      <c r="G594" s="953"/>
      <c r="H594" s="1114">
        <f>+'Road Furniture-Data'!H210</f>
        <v>136.02500000000001</v>
      </c>
      <c r="I594" s="1117"/>
      <c r="J594" s="1129">
        <f>ROUND(B594*H594,2)</f>
        <v>64.099999999999994</v>
      </c>
    </row>
    <row r="595" spans="1:10" ht="20.100000000000001" customHeight="1">
      <c r="A595" s="953"/>
      <c r="B595" s="1117"/>
      <c r="C595" s="953"/>
      <c r="D595" s="1114" t="s">
        <v>60</v>
      </c>
      <c r="E595" s="953"/>
      <c r="F595" s="953"/>
      <c r="G595" s="953"/>
      <c r="H595" s="1117"/>
      <c r="I595" s="1117"/>
      <c r="J595" s="1129">
        <f>SUM(J585:J594)</f>
        <v>709.07</v>
      </c>
    </row>
    <row r="596" spans="1:10" ht="20.100000000000001" customHeight="1">
      <c r="A596" s="1110"/>
      <c r="B596" s="1110" t="s">
        <v>45</v>
      </c>
      <c r="C596" s="1123" t="s">
        <v>1092</v>
      </c>
      <c r="D596" s="953"/>
      <c r="E596" s="953"/>
      <c r="F596" s="1118"/>
      <c r="G596" s="1118"/>
      <c r="H596" s="1118"/>
      <c r="I596" s="1118"/>
      <c r="J596" s="1130"/>
    </row>
    <row r="597" spans="1:10" ht="20.100000000000001" customHeight="1">
      <c r="A597" s="1110"/>
      <c r="B597" s="1124">
        <f>'Input Data'!$D$24</f>
        <v>0.13614999999999999</v>
      </c>
      <c r="C597" s="3672" t="s">
        <v>1092</v>
      </c>
      <c r="D597" s="3672"/>
      <c r="E597" s="3672"/>
      <c r="F597" s="3672"/>
      <c r="G597" s="3672"/>
      <c r="H597" s="1117"/>
      <c r="I597" s="1118"/>
      <c r="J597" s="1129">
        <f>ROUND((J588+J594+J585+J591)*B597,2)</f>
        <v>96.54</v>
      </c>
    </row>
    <row r="598" spans="1:10" ht="20.100000000000001" customHeight="1">
      <c r="A598" s="1110"/>
      <c r="B598" s="1125">
        <f>'Input Data'!$E$24</f>
        <v>0</v>
      </c>
      <c r="C598" s="1126" t="s">
        <v>1093</v>
      </c>
      <c r="D598" s="1121"/>
      <c r="E598" s="1121"/>
      <c r="F598" s="1121"/>
      <c r="G598" s="1121"/>
      <c r="H598" s="1117">
        <f>J595+J597</f>
        <v>805.61</v>
      </c>
      <c r="I598" s="1118"/>
      <c r="J598" s="1129">
        <f>H598*B598</f>
        <v>0</v>
      </c>
    </row>
    <row r="599" spans="1:10" ht="20.100000000000001" customHeight="1">
      <c r="A599" s="1110"/>
      <c r="B599" s="1110" t="s">
        <v>47</v>
      </c>
      <c r="C599" s="1123" t="s">
        <v>89</v>
      </c>
      <c r="D599" s="953"/>
      <c r="E599" s="953"/>
      <c r="F599" s="1118"/>
      <c r="G599" s="1118"/>
      <c r="H599" s="1118"/>
      <c r="I599" s="1118"/>
      <c r="J599" s="1130">
        <f>+J597+J595+J598</f>
        <v>805.61</v>
      </c>
    </row>
    <row r="600" spans="1:10" ht="20.100000000000001" customHeight="1">
      <c r="A600" s="953"/>
      <c r="B600" s="1117"/>
      <c r="C600" s="1118"/>
      <c r="D600" s="1116" t="s">
        <v>1651</v>
      </c>
      <c r="E600" s="953"/>
      <c r="F600" s="953"/>
      <c r="G600" s="953"/>
      <c r="H600" s="1117"/>
      <c r="I600" s="1117"/>
      <c r="J600" s="1130">
        <f>SUM(J599:J599)</f>
        <v>805.61</v>
      </c>
    </row>
    <row r="601" spans="1:10" ht="20.100000000000001" customHeight="1">
      <c r="A601" s="953"/>
      <c r="B601" s="1105"/>
      <c r="C601" s="953"/>
      <c r="D601" s="1114" t="s">
        <v>52</v>
      </c>
      <c r="E601" s="953"/>
      <c r="F601" s="953"/>
      <c r="G601" s="953"/>
      <c r="H601" s="1117"/>
      <c r="I601" s="1117"/>
      <c r="J601" s="1131">
        <f>ROUND(J600,2)</f>
        <v>805.61</v>
      </c>
    </row>
    <row r="602" spans="1:10" ht="20.100000000000001" customHeight="1">
      <c r="A602" s="953"/>
      <c r="B602" s="1105"/>
      <c r="C602" s="953"/>
      <c r="D602" s="1114"/>
      <c r="E602" s="953"/>
      <c r="F602" s="953"/>
      <c r="G602" s="953"/>
      <c r="H602" s="1117"/>
      <c r="I602" s="1117"/>
      <c r="J602" s="1131" t="s">
        <v>1652</v>
      </c>
    </row>
    <row r="603" spans="1:10" ht="20.25" customHeight="1">
      <c r="A603" s="953"/>
      <c r="B603" s="1105"/>
      <c r="C603" s="953"/>
      <c r="D603" s="1114"/>
      <c r="E603" s="953"/>
      <c r="F603" s="953"/>
      <c r="G603" s="953"/>
      <c r="H603" s="1117"/>
      <c r="I603" s="1117"/>
      <c r="J603" s="1166"/>
    </row>
    <row r="604" spans="1:10" ht="20.25" customHeight="1">
      <c r="A604" s="1105"/>
      <c r="B604" s="1105"/>
      <c r="C604" s="953"/>
      <c r="D604" s="953"/>
      <c r="E604" s="953"/>
      <c r="F604" s="953"/>
      <c r="G604" s="953"/>
      <c r="H604" s="953"/>
      <c r="I604" s="953"/>
      <c r="J604" s="1185"/>
    </row>
    <row r="605" spans="1:10" ht="63.6" customHeight="1">
      <c r="A605" s="1105"/>
      <c r="B605" s="3673" t="s">
        <v>1653</v>
      </c>
      <c r="C605" s="3673"/>
      <c r="D605" s="3673"/>
      <c r="E605" s="3673"/>
      <c r="F605" s="3673"/>
      <c r="G605" s="3673"/>
      <c r="H605" s="3673"/>
      <c r="I605" s="3673"/>
      <c r="J605" s="3673"/>
    </row>
    <row r="606" spans="1:10" ht="20.100000000000001" customHeight="1">
      <c r="A606" s="1105"/>
      <c r="B606" s="1136"/>
      <c r="C606" s="1136"/>
      <c r="D606" s="3674" t="s">
        <v>83</v>
      </c>
      <c r="E606" s="3674"/>
      <c r="F606" s="3674"/>
      <c r="G606" s="3674"/>
      <c r="H606" s="1136"/>
      <c r="I606" s="1136"/>
      <c r="J606" s="1150"/>
    </row>
    <row r="607" spans="1:10" ht="20.100000000000001" customHeight="1">
      <c r="A607" s="1105"/>
      <c r="B607" s="1136"/>
      <c r="C607" s="1136"/>
      <c r="D607" s="3675" t="s">
        <v>1654</v>
      </c>
      <c r="E607" s="3675"/>
      <c r="F607" s="3675"/>
      <c r="G607" s="3675"/>
      <c r="H607" s="1136"/>
      <c r="I607" s="1136"/>
      <c r="J607" s="1150"/>
    </row>
    <row r="608" spans="1:10" ht="20.100000000000001" customHeight="1">
      <c r="A608" s="1105"/>
      <c r="B608" s="1136"/>
      <c r="C608" s="1139"/>
      <c r="D608" s="3676" t="s">
        <v>12</v>
      </c>
      <c r="E608" s="3676"/>
      <c r="F608" s="3676"/>
      <c r="G608" s="3676"/>
      <c r="H608" s="1136"/>
      <c r="I608" s="1136"/>
      <c r="J608" s="1150"/>
    </row>
    <row r="609" spans="1:10" ht="20.100000000000001" customHeight="1">
      <c r="A609" s="1105"/>
      <c r="B609" s="1138"/>
      <c r="C609" s="1141"/>
      <c r="D609" s="3677" t="s">
        <v>156</v>
      </c>
      <c r="E609" s="3677"/>
      <c r="F609" s="3677"/>
      <c r="G609" s="3677"/>
      <c r="H609" s="1117">
        <f>'SSR-rates'!K$58</f>
        <v>575</v>
      </c>
      <c r="I609" s="1138">
        <v>0.28000000000000003</v>
      </c>
      <c r="J609" s="1151">
        <f>ROUND(I609*H609,2)</f>
        <v>161</v>
      </c>
    </row>
    <row r="610" spans="1:10" ht="20.100000000000001" customHeight="1">
      <c r="A610" s="1105"/>
      <c r="B610" s="1138"/>
      <c r="C610" s="1141"/>
      <c r="D610" s="3677" t="s">
        <v>59</v>
      </c>
      <c r="E610" s="3677"/>
      <c r="F610" s="3677"/>
      <c r="G610" s="3677"/>
      <c r="H610" s="1117">
        <f>'SSR-rates'!K$60</f>
        <v>575</v>
      </c>
      <c r="I610" s="1138">
        <v>7</v>
      </c>
      <c r="J610" s="1151">
        <f>ROUND(I610*H610,2)</f>
        <v>4025</v>
      </c>
    </row>
    <row r="611" spans="1:10" ht="20.100000000000001" customHeight="1">
      <c r="A611" s="1105"/>
      <c r="B611" s="1119"/>
      <c r="C611" s="1120"/>
      <c r="D611" s="953" t="s">
        <v>17</v>
      </c>
      <c r="E611" s="953"/>
      <c r="F611" s="1118"/>
      <c r="G611" s="1118"/>
      <c r="H611" s="1117">
        <f>SUM(J609:J610)</f>
        <v>4186</v>
      </c>
      <c r="I611" s="1119">
        <f>'Input Data'!D23</f>
        <v>0</v>
      </c>
      <c r="J611" s="1151">
        <f>ROUND(I611*H611,2)</f>
        <v>0</v>
      </c>
    </row>
    <row r="612" spans="1:10" ht="20.100000000000001" customHeight="1">
      <c r="A612" s="1105"/>
      <c r="B612" s="1138"/>
      <c r="C612" s="1144"/>
      <c r="D612" s="3678" t="s">
        <v>18</v>
      </c>
      <c r="E612" s="3678"/>
      <c r="F612" s="3678"/>
      <c r="G612" s="3678"/>
      <c r="H612" s="1138"/>
      <c r="I612" s="1152" t="s">
        <v>19</v>
      </c>
      <c r="J612" s="1153">
        <f>SUM(J609:J611)</f>
        <v>4186</v>
      </c>
    </row>
    <row r="613" spans="1:10" ht="20.100000000000001" customHeight="1">
      <c r="A613" s="1105"/>
      <c r="B613" s="1138"/>
      <c r="C613" s="1146"/>
      <c r="D613" s="3676" t="s">
        <v>189</v>
      </c>
      <c r="E613" s="3676"/>
      <c r="F613" s="3676"/>
      <c r="G613" s="3676"/>
      <c r="H613" s="1138"/>
      <c r="I613" s="1138"/>
      <c r="J613" s="1151"/>
    </row>
    <row r="614" spans="1:10" ht="20.100000000000001" customHeight="1">
      <c r="A614" s="1105"/>
      <c r="B614" s="1174"/>
      <c r="C614" s="1162"/>
      <c r="D614" s="3683" t="s">
        <v>1655</v>
      </c>
      <c r="E614" s="3683"/>
      <c r="F614" s="3683"/>
      <c r="G614" s="3683"/>
      <c r="H614" s="1154">
        <f>lead!J35</f>
        <v>143.07604629670379</v>
      </c>
      <c r="I614" s="1143">
        <v>12</v>
      </c>
      <c r="J614" s="1157">
        <f>ROUND(I614*H614,2)</f>
        <v>1716.91</v>
      </c>
    </row>
    <row r="615" spans="1:10" ht="20.100000000000001" customHeight="1">
      <c r="A615" s="1105"/>
      <c r="B615" s="1143"/>
      <c r="C615" s="1162"/>
      <c r="D615" s="3686" t="s">
        <v>1656</v>
      </c>
      <c r="E615" s="3686"/>
      <c r="F615" s="3686"/>
      <c r="G615" s="3686"/>
      <c r="H615" s="1154"/>
      <c r="I615" s="1143"/>
      <c r="J615" s="1157"/>
    </row>
    <row r="616" spans="1:10" ht="20.100000000000001" customHeight="1">
      <c r="A616" s="1105"/>
      <c r="B616" s="1143"/>
      <c r="C616" s="1162"/>
      <c r="D616" s="3687" t="s">
        <v>1657</v>
      </c>
      <c r="E616" s="3687"/>
      <c r="F616" s="3687"/>
      <c r="G616" s="3687"/>
      <c r="H616" s="1117">
        <f>+'SSR-rates'!K91</f>
        <v>59</v>
      </c>
      <c r="I616" s="1143">
        <v>2.5</v>
      </c>
      <c r="J616" s="1157">
        <f>H616*I616</f>
        <v>147.5</v>
      </c>
    </row>
    <row r="617" spans="1:10" ht="20.100000000000001" customHeight="1">
      <c r="A617" s="1105"/>
      <c r="B617" s="1143"/>
      <c r="C617" s="1162"/>
      <c r="D617" s="3685" t="s">
        <v>1658</v>
      </c>
      <c r="E617" s="3685"/>
      <c r="F617" s="3685"/>
      <c r="G617" s="3685"/>
      <c r="H617" s="1117">
        <f>'SSR-rates'!$K$69</f>
        <v>769</v>
      </c>
      <c r="I617" s="1143">
        <v>0.05</v>
      </c>
      <c r="J617" s="1157">
        <f>I617*H617</f>
        <v>38.450000000000003</v>
      </c>
    </row>
    <row r="618" spans="1:10" ht="20.100000000000001" customHeight="1">
      <c r="A618" s="1105"/>
      <c r="B618" s="1138"/>
      <c r="C618" s="1144"/>
      <c r="D618" s="3678" t="s">
        <v>18</v>
      </c>
      <c r="E618" s="3678"/>
      <c r="F618" s="3678"/>
      <c r="G618" s="3678"/>
      <c r="H618" s="1138"/>
      <c r="I618" s="1152" t="s">
        <v>25</v>
      </c>
      <c r="J618" s="1153">
        <f>SUM(J614:J617)</f>
        <v>1902.8600000000001</v>
      </c>
    </row>
    <row r="619" spans="1:10" ht="20.100000000000001" customHeight="1">
      <c r="A619" s="1105"/>
      <c r="B619" s="1143"/>
      <c r="C619" s="1147"/>
      <c r="D619" s="3676" t="s">
        <v>26</v>
      </c>
      <c r="E619" s="3676"/>
      <c r="F619" s="3676"/>
      <c r="G619" s="3676"/>
      <c r="H619" s="1143"/>
      <c r="I619" s="1154"/>
      <c r="J619" s="1155">
        <f>J612+J618</f>
        <v>6088.8600000000006</v>
      </c>
    </row>
    <row r="620" spans="1:10" ht="20.100000000000001" customHeight="1">
      <c r="A620" s="1105"/>
      <c r="B620" s="1110" t="s">
        <v>45</v>
      </c>
      <c r="C620" s="1123" t="s">
        <v>1092</v>
      </c>
      <c r="D620" s="953"/>
      <c r="E620" s="953"/>
      <c r="F620" s="1118"/>
      <c r="G620" s="1118"/>
      <c r="H620" s="1143"/>
      <c r="I620" s="1156"/>
      <c r="J620" s="1157"/>
    </row>
    <row r="621" spans="1:10" ht="20.100000000000001" customHeight="1">
      <c r="A621" s="1105"/>
      <c r="B621" s="1124">
        <f>'Input Data'!$D$24</f>
        <v>0.13614999999999999</v>
      </c>
      <c r="C621" s="3672" t="s">
        <v>1092</v>
      </c>
      <c r="D621" s="3672"/>
      <c r="E621" s="3672"/>
      <c r="F621" s="3672"/>
      <c r="G621" s="3672"/>
      <c r="H621" s="1143">
        <f>J619</f>
        <v>6088.8600000000006</v>
      </c>
      <c r="I621" s="1156"/>
      <c r="J621" s="1114">
        <f>H621*B621</f>
        <v>828.998289</v>
      </c>
    </row>
    <row r="622" spans="1:10" ht="20.100000000000001" customHeight="1">
      <c r="A622" s="1105"/>
      <c r="B622" s="1125">
        <f>'Input Data'!$E$24</f>
        <v>0</v>
      </c>
      <c r="C622" s="1126" t="s">
        <v>1093</v>
      </c>
      <c r="D622" s="1121"/>
      <c r="E622" s="1121"/>
      <c r="F622" s="1121"/>
      <c r="G622" s="1121"/>
      <c r="H622" s="1143">
        <f>H621+J621</f>
        <v>6917.8582890000007</v>
      </c>
      <c r="I622" s="1156"/>
      <c r="J622" s="1114">
        <f>H622*B622</f>
        <v>0</v>
      </c>
    </row>
    <row r="623" spans="1:10" ht="20.100000000000001" customHeight="1">
      <c r="A623" s="1105"/>
      <c r="B623" s="1110" t="s">
        <v>47</v>
      </c>
      <c r="C623" s="1123" t="s">
        <v>89</v>
      </c>
      <c r="D623" s="953"/>
      <c r="E623" s="953"/>
      <c r="F623" s="1118"/>
      <c r="G623" s="1118"/>
      <c r="H623" s="1143"/>
      <c r="I623" s="1143"/>
      <c r="J623" s="1157">
        <f>J621+H621+J622</f>
        <v>6917.8582890000007</v>
      </c>
    </row>
    <row r="624" spans="1:10" ht="20.100000000000001" customHeight="1">
      <c r="A624" s="1105"/>
      <c r="B624" s="1117"/>
      <c r="C624" s="1118"/>
      <c r="D624" s="1116" t="s">
        <v>1651</v>
      </c>
      <c r="E624" s="953"/>
      <c r="F624" s="953"/>
      <c r="G624" s="953"/>
      <c r="H624" s="1143"/>
      <c r="I624" s="1143"/>
      <c r="J624" s="1151">
        <f>J623/10</f>
        <v>691.78582890000007</v>
      </c>
    </row>
    <row r="625" spans="1:10" ht="20.100000000000001" customHeight="1">
      <c r="A625" s="1105"/>
      <c r="B625" s="1105"/>
      <c r="C625" s="953"/>
      <c r="D625" s="1114" t="s">
        <v>52</v>
      </c>
      <c r="E625" s="953"/>
      <c r="F625" s="953"/>
      <c r="G625" s="953"/>
      <c r="H625" s="1143"/>
      <c r="I625" s="1143"/>
      <c r="J625" s="1153">
        <f>ROUND(J624,2)</f>
        <v>691.79</v>
      </c>
    </row>
    <row r="626" spans="1:10">
      <c r="A626" s="1105"/>
      <c r="B626" s="1105"/>
      <c r="C626" s="953"/>
      <c r="D626" s="953"/>
      <c r="E626" s="953"/>
      <c r="F626" s="953"/>
      <c r="G626" s="953"/>
      <c r="H626" s="953"/>
      <c r="I626" s="953"/>
      <c r="J626" s="1185"/>
    </row>
    <row r="627" spans="1:10" ht="82.5" customHeight="1">
      <c r="A627" s="1105"/>
      <c r="B627" s="3670" t="s">
        <v>1659</v>
      </c>
      <c r="C627" s="3670"/>
      <c r="D627" s="3670"/>
      <c r="E627" s="3670"/>
      <c r="F627" s="3670"/>
      <c r="G627" s="3670"/>
      <c r="H627" s="3670"/>
      <c r="I627" s="3670"/>
      <c r="J627" s="3670"/>
    </row>
    <row r="628" spans="1:10" ht="20.100000000000001" customHeight="1">
      <c r="A628" s="1105"/>
      <c r="B628" s="1105"/>
      <c r="C628" s="1178" t="s">
        <v>1660</v>
      </c>
      <c r="D628" s="953"/>
      <c r="E628" s="953"/>
      <c r="F628" s="953"/>
      <c r="G628" s="953"/>
      <c r="H628" s="1179"/>
      <c r="I628" s="1186"/>
      <c r="J628" s="1187"/>
    </row>
    <row r="629" spans="1:10" ht="20.100000000000001" customHeight="1">
      <c r="A629" s="1105"/>
      <c r="B629" s="1105"/>
      <c r="C629" s="1178" t="s">
        <v>1661</v>
      </c>
      <c r="D629" s="953"/>
      <c r="E629" s="953"/>
      <c r="F629" s="953"/>
      <c r="G629" s="953"/>
      <c r="H629" s="1180"/>
      <c r="I629" s="1188"/>
      <c r="J629" s="1187"/>
    </row>
    <row r="630" spans="1:10" ht="20.100000000000001" customHeight="1">
      <c r="A630" s="1105"/>
      <c r="B630" s="1105"/>
      <c r="C630" s="1181" t="s">
        <v>1662</v>
      </c>
      <c r="D630" s="953"/>
      <c r="E630" s="953"/>
      <c r="F630" s="953"/>
      <c r="G630" s="953"/>
      <c r="H630" s="1180">
        <v>48</v>
      </c>
      <c r="I630" s="1188" t="s">
        <v>1663</v>
      </c>
      <c r="J630" s="1187"/>
    </row>
    <row r="631" spans="1:10" ht="20.100000000000001" customHeight="1">
      <c r="A631" s="1105"/>
      <c r="B631" s="1105"/>
      <c r="C631" s="1178" t="s">
        <v>1664</v>
      </c>
      <c r="D631" s="953"/>
      <c r="E631" s="953"/>
      <c r="F631" s="953"/>
      <c r="G631" s="953"/>
      <c r="H631" s="1179"/>
      <c r="I631" s="1186"/>
      <c r="J631" s="1187"/>
    </row>
    <row r="632" spans="1:10" ht="20.100000000000001" customHeight="1">
      <c r="A632" s="1105"/>
      <c r="B632" s="1105"/>
      <c r="C632" s="1178" t="s">
        <v>1665</v>
      </c>
      <c r="D632" s="953"/>
      <c r="E632" s="953"/>
      <c r="F632" s="953"/>
      <c r="G632" s="953"/>
      <c r="H632" s="1179"/>
      <c r="I632" s="1186"/>
      <c r="J632" s="1187"/>
    </row>
    <row r="633" spans="1:10" ht="20.100000000000001" customHeight="1">
      <c r="A633" s="1105"/>
      <c r="B633" s="1105"/>
      <c r="C633" s="1178" t="s">
        <v>1666</v>
      </c>
      <c r="D633" s="953"/>
      <c r="E633" s="953"/>
      <c r="F633" s="953" t="s">
        <v>1667</v>
      </c>
      <c r="G633" s="953"/>
      <c r="H633" s="1182">
        <f>0.069</f>
        <v>6.9000000000000006E-2</v>
      </c>
      <c r="I633" s="1189" t="s">
        <v>353</v>
      </c>
      <c r="J633" s="1187"/>
    </row>
    <row r="634" spans="1:10" ht="20.100000000000001" customHeight="1">
      <c r="A634" s="1105"/>
      <c r="B634" s="1105"/>
      <c r="C634" s="1178" t="s">
        <v>1668</v>
      </c>
      <c r="D634" s="953"/>
      <c r="E634" s="953"/>
      <c r="F634" s="953" t="s">
        <v>1669</v>
      </c>
      <c r="G634" s="953"/>
      <c r="H634" s="1183">
        <v>1.9319999999999999</v>
      </c>
      <c r="I634" s="1189" t="s">
        <v>31</v>
      </c>
      <c r="J634" s="1187"/>
    </row>
    <row r="635" spans="1:10" ht="20.100000000000001" customHeight="1">
      <c r="A635" s="1105"/>
      <c r="B635" s="1105"/>
      <c r="C635" s="1178" t="s">
        <v>1670</v>
      </c>
      <c r="D635" s="953"/>
      <c r="E635" s="953"/>
      <c r="F635" s="953" t="s">
        <v>1671</v>
      </c>
      <c r="G635" s="953"/>
      <c r="H635" s="1182">
        <v>72</v>
      </c>
      <c r="I635" s="1189" t="s">
        <v>1672</v>
      </c>
      <c r="J635" s="1187"/>
    </row>
    <row r="636" spans="1:10" ht="20.100000000000001" customHeight="1">
      <c r="A636" s="1105"/>
      <c r="B636" s="1105"/>
      <c r="C636" s="1178" t="s">
        <v>1673</v>
      </c>
      <c r="D636" s="953"/>
      <c r="E636" s="953"/>
      <c r="F636" s="953" t="s">
        <v>1674</v>
      </c>
      <c r="G636" s="953"/>
      <c r="H636" s="1182">
        <v>0.03</v>
      </c>
      <c r="I636" s="1189" t="s">
        <v>353</v>
      </c>
      <c r="J636" s="1187"/>
    </row>
    <row r="637" spans="1:10" ht="20.100000000000001" customHeight="1">
      <c r="A637" s="1105"/>
      <c r="B637" s="1105"/>
      <c r="C637" s="1178" t="s">
        <v>1675</v>
      </c>
      <c r="D637" s="953"/>
      <c r="E637" s="953"/>
      <c r="F637" s="953"/>
      <c r="G637" s="953"/>
      <c r="H637" s="1184">
        <v>2.16</v>
      </c>
      <c r="I637" s="1189" t="s">
        <v>31</v>
      </c>
      <c r="J637" s="1187"/>
    </row>
    <row r="638" spans="1:10" ht="20.100000000000001" customHeight="1">
      <c r="A638" s="1105"/>
      <c r="B638" s="1105"/>
      <c r="C638" s="1181" t="s">
        <v>1676</v>
      </c>
      <c r="D638" s="1115"/>
      <c r="E638" s="1115"/>
      <c r="F638" s="1115" t="s">
        <v>1677</v>
      </c>
      <c r="G638" s="1115"/>
      <c r="H638" s="1184">
        <v>4.0919999999999996</v>
      </c>
      <c r="I638" s="1189" t="s">
        <v>31</v>
      </c>
      <c r="J638" s="1187"/>
    </row>
    <row r="639" spans="1:10" ht="20.100000000000001" customHeight="1">
      <c r="A639" s="1105"/>
      <c r="B639" s="1105"/>
      <c r="C639" s="1178" t="s">
        <v>1678</v>
      </c>
      <c r="D639" s="953"/>
      <c r="E639" s="953"/>
      <c r="F639" s="953"/>
      <c r="G639" s="953"/>
      <c r="H639" s="1179"/>
      <c r="I639" s="1186"/>
      <c r="J639" s="1187"/>
    </row>
    <row r="640" spans="1:10" ht="20.100000000000001" customHeight="1">
      <c r="A640" s="1105"/>
      <c r="B640" s="1105"/>
      <c r="C640" s="1178" t="s">
        <v>1679</v>
      </c>
      <c r="D640" s="953"/>
      <c r="E640" s="953"/>
      <c r="F640" s="953"/>
      <c r="G640" s="953"/>
      <c r="H640" s="1179"/>
      <c r="I640" s="1186"/>
      <c r="J640" s="1187"/>
    </row>
    <row r="641" spans="1:10" ht="20.100000000000001" customHeight="1">
      <c r="A641" s="1105"/>
      <c r="B641" s="1105"/>
      <c r="C641" s="1178" t="s">
        <v>1680</v>
      </c>
      <c r="D641" s="953"/>
      <c r="E641" s="953"/>
      <c r="F641" s="953"/>
      <c r="G641" s="953"/>
      <c r="H641" s="1179"/>
      <c r="I641" s="1186"/>
      <c r="J641" s="1187"/>
    </row>
    <row r="642" spans="1:10" ht="20.100000000000001" customHeight="1">
      <c r="A642" s="1105"/>
      <c r="B642" s="1105"/>
      <c r="C642" s="1178" t="s">
        <v>1681</v>
      </c>
      <c r="D642" s="953"/>
      <c r="E642" s="953"/>
      <c r="F642" s="953"/>
      <c r="G642" s="953"/>
      <c r="H642" s="1179"/>
      <c r="I642" s="1186"/>
      <c r="J642" s="1187"/>
    </row>
    <row r="643" spans="1:10" ht="20.100000000000001" customHeight="1">
      <c r="A643" s="1105"/>
      <c r="B643" s="1190">
        <v>5.99</v>
      </c>
      <c r="C643" s="1178" t="s">
        <v>1572</v>
      </c>
      <c r="D643" s="953"/>
      <c r="E643" s="953"/>
      <c r="F643" s="953"/>
      <c r="G643" s="953"/>
      <c r="H643" s="1117">
        <f>lead!$J$36</f>
        <v>5000</v>
      </c>
      <c r="I643" s="1186" t="s">
        <v>66</v>
      </c>
      <c r="J643" s="1129">
        <f>ROUND(B643*H643,2)</f>
        <v>29950</v>
      </c>
    </row>
    <row r="644" spans="1:10" ht="45" customHeight="1">
      <c r="A644" s="1105"/>
      <c r="B644" s="1190">
        <v>3.375</v>
      </c>
      <c r="C644" s="3669" t="s">
        <v>1442</v>
      </c>
      <c r="D644" s="3669"/>
      <c r="E644" s="3669"/>
      <c r="F644" s="3669"/>
      <c r="G644" s="1121"/>
      <c r="H644" s="1121">
        <f>lead!$J$31</f>
        <v>1850.9213132068826</v>
      </c>
      <c r="I644" s="1186"/>
      <c r="J644" s="1129">
        <f t="shared" ref="J644:J647" si="9">ROUND(B644*H644,2)</f>
        <v>6246.86</v>
      </c>
    </row>
    <row r="645" spans="1:10" ht="35.1" customHeight="1">
      <c r="A645" s="1105"/>
      <c r="B645" s="1190">
        <v>3.375</v>
      </c>
      <c r="C645" s="3669" t="s">
        <v>1443</v>
      </c>
      <c r="D645" s="3669"/>
      <c r="E645" s="3669"/>
      <c r="F645" s="3669"/>
      <c r="G645" s="1121"/>
      <c r="H645" s="1121">
        <f>lead!$J$33</f>
        <v>1473.2187651278443</v>
      </c>
      <c r="I645" s="1186"/>
      <c r="J645" s="1129">
        <f t="shared" si="9"/>
        <v>4972.1099999999997</v>
      </c>
    </row>
    <row r="646" spans="1:10" ht="20.100000000000001" customHeight="1">
      <c r="A646" s="1105"/>
      <c r="B646" s="1190">
        <v>8.1</v>
      </c>
      <c r="C646" s="1178" t="s">
        <v>1682</v>
      </c>
      <c r="D646" s="953"/>
      <c r="E646" s="953"/>
      <c r="F646" s="953"/>
      <c r="G646" s="953"/>
      <c r="H646" s="1121">
        <f>lead!J17</f>
        <v>1880.2187651278443</v>
      </c>
      <c r="I646" s="1186"/>
      <c r="J646" s="1129">
        <f t="shared" si="9"/>
        <v>15229.77</v>
      </c>
    </row>
    <row r="647" spans="1:10" ht="20.100000000000001" customHeight="1">
      <c r="A647" s="1105"/>
      <c r="B647" s="1190">
        <v>5.4</v>
      </c>
      <c r="C647" s="1178" t="s">
        <v>1683</v>
      </c>
      <c r="D647" s="953"/>
      <c r="E647" s="953"/>
      <c r="F647" s="953"/>
      <c r="G647" s="953"/>
      <c r="H647" s="1117">
        <f>+lead!$J$18</f>
        <v>1780.2187651278443</v>
      </c>
      <c r="I647" s="1186"/>
      <c r="J647" s="1129">
        <f t="shared" si="9"/>
        <v>9613.18</v>
      </c>
    </row>
    <row r="648" spans="1:10" ht="20.100000000000001" customHeight="1">
      <c r="A648" s="1105"/>
      <c r="B648" s="1190"/>
      <c r="C648" s="1178"/>
      <c r="D648" s="953"/>
      <c r="E648" s="953"/>
      <c r="F648" s="953"/>
      <c r="G648" s="953"/>
      <c r="H648" s="1121"/>
      <c r="I648" s="1186"/>
      <c r="J648" s="1197">
        <f>SUM(J643:J647)</f>
        <v>66011.920000000013</v>
      </c>
    </row>
    <row r="649" spans="1:10" ht="20.100000000000001" customHeight="1">
      <c r="A649" s="1105"/>
      <c r="B649" s="1190"/>
      <c r="C649" s="1178" t="s">
        <v>1684</v>
      </c>
      <c r="D649" s="953"/>
      <c r="E649" s="953"/>
      <c r="F649" s="953"/>
      <c r="G649" s="953"/>
      <c r="H649" s="1179"/>
      <c r="I649" s="1186"/>
      <c r="J649" s="1197"/>
    </row>
    <row r="650" spans="1:10" ht="20.100000000000001" customHeight="1">
      <c r="A650" s="1105"/>
      <c r="B650" s="1182">
        <v>0.86</v>
      </c>
      <c r="C650" s="1178" t="s">
        <v>14</v>
      </c>
      <c r="D650" s="953"/>
      <c r="E650" s="953"/>
      <c r="F650" s="953"/>
      <c r="G650" s="953"/>
      <c r="H650" s="1117">
        <f>'SSR-rates'!K$58</f>
        <v>575</v>
      </c>
      <c r="I650" s="1186"/>
      <c r="J650" s="1129">
        <f t="shared" ref="J650:J653" si="10">ROUND(B650*H650,2)</f>
        <v>494.5</v>
      </c>
    </row>
    <row r="651" spans="1:10" ht="20.100000000000001" customHeight="1">
      <c r="A651" s="1105"/>
      <c r="B651" s="1182">
        <v>1.5</v>
      </c>
      <c r="C651" s="1178" t="s">
        <v>58</v>
      </c>
      <c r="D651" s="953"/>
      <c r="E651" s="953"/>
      <c r="F651" s="953"/>
      <c r="G651" s="953"/>
      <c r="H651" s="1117">
        <f>+'SSR-rates'!$K$96</f>
        <v>645</v>
      </c>
      <c r="I651" s="1186"/>
      <c r="J651" s="1129">
        <f t="shared" si="10"/>
        <v>967.5</v>
      </c>
    </row>
    <row r="652" spans="1:10" ht="20.100000000000001" customHeight="1">
      <c r="A652" s="1105"/>
      <c r="B652" s="1182">
        <v>20</v>
      </c>
      <c r="C652" s="1178" t="s">
        <v>59</v>
      </c>
      <c r="D652" s="953"/>
      <c r="E652" s="953"/>
      <c r="F652" s="953"/>
      <c r="G652" s="953"/>
      <c r="H652" s="1117">
        <f>'SSR-rates'!K$60</f>
        <v>575</v>
      </c>
      <c r="I652" s="1186"/>
      <c r="J652" s="1129">
        <f t="shared" si="10"/>
        <v>11500</v>
      </c>
    </row>
    <row r="653" spans="1:10" ht="20.100000000000001" customHeight="1">
      <c r="A653" s="1105"/>
      <c r="B653" s="1191">
        <f>'Input Data'!D23</f>
        <v>0</v>
      </c>
      <c r="C653" s="1178">
        <v>0</v>
      </c>
      <c r="D653" s="953"/>
      <c r="E653" s="953"/>
      <c r="F653" s="953"/>
      <c r="G653" s="953"/>
      <c r="H653" s="1192">
        <f>SUM(J650:J652)</f>
        <v>12962</v>
      </c>
      <c r="I653" s="1198"/>
      <c r="J653" s="1129">
        <f t="shared" si="10"/>
        <v>0</v>
      </c>
    </row>
    <row r="654" spans="1:10" ht="20.100000000000001" customHeight="1">
      <c r="A654" s="1105"/>
      <c r="B654" s="1182"/>
      <c r="C654" s="1178"/>
      <c r="D654" s="953"/>
      <c r="E654" s="953"/>
      <c r="F654" s="953"/>
      <c r="G654" s="953"/>
      <c r="H654" s="1179"/>
      <c r="I654" s="1186"/>
      <c r="J654" s="1197">
        <f>SUM(J650:J653)</f>
        <v>12962</v>
      </c>
    </row>
    <row r="655" spans="1:10" ht="20.100000000000001" customHeight="1">
      <c r="A655" s="1105"/>
      <c r="B655" s="1190"/>
      <c r="C655" s="1178" t="s">
        <v>1685</v>
      </c>
      <c r="D655" s="953"/>
      <c r="E655" s="953"/>
      <c r="F655" s="953"/>
      <c r="G655" s="953"/>
      <c r="H655" s="1179"/>
      <c r="I655" s="1186"/>
      <c r="J655" s="1197"/>
    </row>
    <row r="656" spans="1:10" ht="20.100000000000001" customHeight="1">
      <c r="A656" s="1105"/>
      <c r="B656" s="1182">
        <v>6</v>
      </c>
      <c r="C656" s="1178" t="s">
        <v>1686</v>
      </c>
      <c r="D656" s="953"/>
      <c r="E656" s="953"/>
      <c r="F656" s="953"/>
      <c r="G656" s="953"/>
      <c r="H656" s="1117">
        <f>'SSR-rates'!$K$88</f>
        <v>697.9</v>
      </c>
      <c r="I656" s="1186" t="s">
        <v>23</v>
      </c>
      <c r="J656" s="1129">
        <f t="shared" ref="J656:J657" si="11">ROUND(B656*H656,2)</f>
        <v>4187.3999999999996</v>
      </c>
    </row>
    <row r="657" spans="1:10" ht="20.100000000000001" customHeight="1">
      <c r="A657" s="1105"/>
      <c r="B657" s="1182">
        <v>6</v>
      </c>
      <c r="C657" s="1178" t="s">
        <v>1687</v>
      </c>
      <c r="D657" s="953"/>
      <c r="E657" s="953"/>
      <c r="F657" s="953"/>
      <c r="G657" s="953"/>
      <c r="H657" s="1117">
        <f>'SSR-rates'!$K$87</f>
        <v>1323.5</v>
      </c>
      <c r="I657" s="1186" t="s">
        <v>23</v>
      </c>
      <c r="J657" s="1129">
        <f t="shared" si="11"/>
        <v>7941</v>
      </c>
    </row>
    <row r="658" spans="1:10" ht="20.100000000000001" customHeight="1">
      <c r="A658" s="1105"/>
      <c r="B658" s="1182"/>
      <c r="C658" s="1178"/>
      <c r="D658" s="953"/>
      <c r="E658" s="953"/>
      <c r="F658" s="953"/>
      <c r="G658" s="953"/>
      <c r="H658" s="1179"/>
      <c r="I658" s="1199"/>
      <c r="J658" s="1197">
        <f>SUM(J656:J657)</f>
        <v>12128.4</v>
      </c>
    </row>
    <row r="659" spans="1:10" ht="20.100000000000001" customHeight="1">
      <c r="A659" s="1105"/>
      <c r="B659" s="1182"/>
      <c r="C659" s="1178" t="s">
        <v>1688</v>
      </c>
      <c r="D659" s="953"/>
      <c r="E659" s="953"/>
      <c r="F659" s="953"/>
      <c r="G659" s="953"/>
      <c r="H659" s="1179"/>
      <c r="I659" s="1186" t="s">
        <v>60</v>
      </c>
      <c r="J659" s="1197">
        <f>J648+J654+J658</f>
        <v>91102.32</v>
      </c>
    </row>
    <row r="660" spans="1:10" ht="20.100000000000001" customHeight="1">
      <c r="A660" s="1105"/>
      <c r="B660" s="1190"/>
      <c r="C660" s="1178" t="s">
        <v>1689</v>
      </c>
      <c r="D660" s="953"/>
      <c r="E660" s="953"/>
      <c r="F660" s="953"/>
      <c r="G660" s="953"/>
      <c r="H660" s="1179"/>
      <c r="I660" s="1186"/>
      <c r="J660" s="1187">
        <f>J659/15</f>
        <v>6073.4880000000003</v>
      </c>
    </row>
    <row r="661" spans="1:10" ht="20.100000000000001" customHeight="1">
      <c r="A661" s="1105"/>
      <c r="B661" s="1193"/>
      <c r="C661" s="1181" t="s">
        <v>1690</v>
      </c>
      <c r="D661" s="953"/>
      <c r="E661" s="953"/>
      <c r="F661" s="953"/>
      <c r="G661" s="953"/>
      <c r="H661" s="1193"/>
      <c r="I661" s="1199"/>
      <c r="J661" s="1199"/>
    </row>
    <row r="662" spans="1:10" ht="20.100000000000001" customHeight="1">
      <c r="A662" s="1105"/>
      <c r="B662" s="1194">
        <f>H638</f>
        <v>4.0919999999999996</v>
      </c>
      <c r="C662" s="1178" t="s">
        <v>1691</v>
      </c>
      <c r="D662" s="953"/>
      <c r="E662" s="953"/>
      <c r="F662" s="953"/>
      <c r="G662" s="953"/>
      <c r="H662" s="1179">
        <f>+J660</f>
        <v>6073.4880000000003</v>
      </c>
      <c r="I662" s="1199"/>
      <c r="J662" s="1129">
        <f t="shared" ref="J662" si="12">ROUND(B662*H662,2)</f>
        <v>24852.71</v>
      </c>
    </row>
    <row r="663" spans="1:10" ht="20.100000000000001" customHeight="1">
      <c r="A663" s="1105"/>
      <c r="B663" s="1182">
        <v>5</v>
      </c>
      <c r="C663" s="1178" t="s">
        <v>1692</v>
      </c>
      <c r="D663" s="953"/>
      <c r="E663" s="953"/>
      <c r="F663" s="953"/>
      <c r="G663" s="953"/>
      <c r="H663" s="1179">
        <f>+J662</f>
        <v>24852.71</v>
      </c>
      <c r="I663" s="1186"/>
      <c r="J663" s="1187">
        <f>H663*B663/100</f>
        <v>1242.6354999999999</v>
      </c>
    </row>
    <row r="664" spans="1:10" ht="20.100000000000001" customHeight="1">
      <c r="A664" s="1105"/>
      <c r="B664" s="1179"/>
      <c r="C664" s="1178"/>
      <c r="D664" s="953"/>
      <c r="E664" s="953"/>
      <c r="F664" s="953"/>
      <c r="G664" s="953"/>
      <c r="H664" s="1179"/>
      <c r="I664" s="1186"/>
      <c r="J664" s="1187">
        <f>SUM(J662:J663)</f>
        <v>26095.345499999999</v>
      </c>
    </row>
    <row r="665" spans="1:10" ht="20.100000000000001" customHeight="1">
      <c r="A665" s="1105"/>
      <c r="B665" s="1190">
        <v>0</v>
      </c>
      <c r="C665" s="1178" t="s">
        <v>1693</v>
      </c>
      <c r="D665" s="953"/>
      <c r="E665" s="953"/>
      <c r="F665" s="953"/>
      <c r="G665" s="953"/>
      <c r="H665" s="1179">
        <f>J445</f>
        <v>58887</v>
      </c>
      <c r="I665" s="1186"/>
      <c r="J665" s="1187">
        <f>H665*B665</f>
        <v>0</v>
      </c>
    </row>
    <row r="666" spans="1:10" ht="20.100000000000001" customHeight="1">
      <c r="A666" s="1105"/>
      <c r="B666" s="1190"/>
      <c r="C666" s="1178"/>
      <c r="D666" s="953"/>
      <c r="E666" s="953"/>
      <c r="F666" s="953"/>
      <c r="G666" s="953"/>
      <c r="H666" s="1179"/>
      <c r="I666" s="1186"/>
      <c r="J666" s="1187">
        <f>SUM(J664:J665)</f>
        <v>26095.345499999999</v>
      </c>
    </row>
    <row r="667" spans="1:10" ht="20.100000000000001" customHeight="1">
      <c r="A667" s="1105"/>
      <c r="B667" s="1195">
        <f>'Input Data'!D24</f>
        <v>0.13614999999999999</v>
      </c>
      <c r="C667" s="1178" t="s">
        <v>1694</v>
      </c>
      <c r="D667" s="953"/>
      <c r="E667" s="953"/>
      <c r="F667" s="953"/>
      <c r="G667" s="953"/>
      <c r="H667" s="1179">
        <f>+J666</f>
        <v>26095.345499999999</v>
      </c>
      <c r="I667" s="1186"/>
      <c r="J667" s="1187">
        <f>H667*B667</f>
        <v>3552.8812898249998</v>
      </c>
    </row>
    <row r="668" spans="1:10" ht="20.100000000000001" customHeight="1">
      <c r="A668" s="1105"/>
      <c r="B668" s="1190"/>
      <c r="C668" s="1178"/>
      <c r="D668" s="953"/>
      <c r="E668" s="953"/>
      <c r="F668" s="953"/>
      <c r="G668" s="953"/>
      <c r="H668" s="1179"/>
      <c r="I668" s="1186"/>
      <c r="J668" s="1187">
        <f>SUM(J666:J667)</f>
        <v>29648.226789824999</v>
      </c>
    </row>
    <row r="669" spans="1:10" ht="20.100000000000001" customHeight="1">
      <c r="A669" s="1105"/>
      <c r="B669" s="1195">
        <f>'Input Data'!D25</f>
        <v>0</v>
      </c>
      <c r="C669" s="1178" t="s">
        <v>1695</v>
      </c>
      <c r="D669" s="953"/>
      <c r="E669" s="953"/>
      <c r="F669" s="953"/>
      <c r="G669" s="953"/>
      <c r="H669" s="1179">
        <f>+J668</f>
        <v>29648.226789824999</v>
      </c>
      <c r="I669" s="1186"/>
      <c r="J669" s="1187">
        <f>H669*B669/100</f>
        <v>0</v>
      </c>
    </row>
    <row r="670" spans="1:10" ht="20.100000000000001" customHeight="1">
      <c r="A670" s="1105"/>
      <c r="B670" s="1105"/>
      <c r="C670" s="1178"/>
      <c r="D670" s="953"/>
      <c r="E670" s="953"/>
      <c r="F670" s="953"/>
      <c r="G670" s="953"/>
      <c r="H670" s="1179"/>
      <c r="I670" s="1186"/>
      <c r="J670" s="1187">
        <f>SUM(J668:J669)</f>
        <v>29648.226789824999</v>
      </c>
    </row>
    <row r="671" spans="1:10" ht="20.100000000000001" customHeight="1">
      <c r="A671" s="1105"/>
      <c r="B671" s="1105"/>
      <c r="C671" s="1178" t="s">
        <v>1696</v>
      </c>
      <c r="D671" s="953"/>
      <c r="E671" s="953"/>
      <c r="F671" s="953"/>
      <c r="G671" s="953"/>
      <c r="H671" s="1179"/>
      <c r="I671" s="1186"/>
      <c r="J671" s="1187">
        <f>SUM(J670:J670)</f>
        <v>29648.226789824999</v>
      </c>
    </row>
    <row r="672" spans="1:10" ht="20.100000000000001" customHeight="1">
      <c r="A672" s="1105"/>
      <c r="B672" s="1105"/>
      <c r="C672" s="1178" t="s">
        <v>1697</v>
      </c>
      <c r="D672" s="953"/>
      <c r="E672" s="953"/>
      <c r="F672" s="953"/>
      <c r="G672" s="953"/>
      <c r="H672" s="1179"/>
      <c r="I672" s="1186"/>
      <c r="J672" s="1187">
        <f>J671/H630</f>
        <v>617.67139145468752</v>
      </c>
    </row>
    <row r="673" spans="1:10" ht="20.100000000000001" customHeight="1">
      <c r="A673" s="1105"/>
      <c r="B673" s="1105"/>
      <c r="C673" s="1178" t="s">
        <v>1698</v>
      </c>
      <c r="D673" s="953"/>
      <c r="E673" s="953"/>
      <c r="F673" s="953"/>
      <c r="G673" s="953"/>
      <c r="H673" s="1187"/>
      <c r="I673" s="1186" t="s">
        <v>1699</v>
      </c>
      <c r="J673" s="1197">
        <f>J672</f>
        <v>617.67139145468752</v>
      </c>
    </row>
    <row r="677" spans="1:10" ht="18" customHeight="1">
      <c r="C677" s="903" t="str">
        <f>'Pipe data'!D252</f>
        <v>Asst Exe Engineer,</v>
      </c>
      <c r="G677" s="903" t="str">
        <f>'Pipe data'!E252</f>
        <v>Dy. Exe. Engineer</v>
      </c>
    </row>
    <row r="678" spans="1:10" ht="18" customHeight="1">
      <c r="C678" s="903" t="str">
        <f>'Pipe data'!D274</f>
        <v>PRSD Maddur</v>
      </c>
      <c r="G678" s="903" t="str">
        <f>'Pipe data'!E274</f>
        <v>PRSD, Maddur</v>
      </c>
    </row>
    <row r="681" spans="1:10" ht="18" customHeight="1">
      <c r="C681" s="903" t="str">
        <f>'Pipe data'!D399</f>
        <v>District Panchayat Raj Engineer,</v>
      </c>
      <c r="G681" s="903" t="str">
        <f>'Pipe data'!E399</f>
        <v>Superintending Engineer</v>
      </c>
    </row>
    <row r="682" spans="1:10" ht="18" customHeight="1">
      <c r="C682" s="903" t="str">
        <f>'Pipe data'!D400</f>
        <v>PR Division, Narayanpet</v>
      </c>
      <c r="G682" s="1196" t="str">
        <f>'Pipe data'!E400</f>
        <v>PR, Circle, Vikarabad</v>
      </c>
    </row>
  </sheetData>
  <mergeCells count="155">
    <mergeCell ref="C644:F644"/>
    <mergeCell ref="C645:F645"/>
    <mergeCell ref="D613:G613"/>
    <mergeCell ref="D614:G614"/>
    <mergeCell ref="D615:G615"/>
    <mergeCell ref="D616:G616"/>
    <mergeCell ref="D617:G617"/>
    <mergeCell ref="D618:G618"/>
    <mergeCell ref="D619:G619"/>
    <mergeCell ref="C621:G621"/>
    <mergeCell ref="B627:J627"/>
    <mergeCell ref="B580:J580"/>
    <mergeCell ref="C597:G597"/>
    <mergeCell ref="B605:J605"/>
    <mergeCell ref="D606:G606"/>
    <mergeCell ref="D607:G607"/>
    <mergeCell ref="D608:G608"/>
    <mergeCell ref="D609:G609"/>
    <mergeCell ref="D610:G610"/>
    <mergeCell ref="D612:G612"/>
    <mergeCell ref="D488:G488"/>
    <mergeCell ref="D489:G489"/>
    <mergeCell ref="C499:G499"/>
    <mergeCell ref="B506:J506"/>
    <mergeCell ref="D519:G519"/>
    <mergeCell ref="D520:G520"/>
    <mergeCell ref="B538:J538"/>
    <mergeCell ref="B561:J561"/>
    <mergeCell ref="C575:G575"/>
    <mergeCell ref="D467:G467"/>
    <mergeCell ref="D468:G468"/>
    <mergeCell ref="D469:G469"/>
    <mergeCell ref="D470:G470"/>
    <mergeCell ref="D471:G471"/>
    <mergeCell ref="D473:G473"/>
    <mergeCell ref="D474:G474"/>
    <mergeCell ref="D475:G475"/>
    <mergeCell ref="B476:J476"/>
    <mergeCell ref="D457:G457"/>
    <mergeCell ref="D458:G458"/>
    <mergeCell ref="D459:G459"/>
    <mergeCell ref="D460:G460"/>
    <mergeCell ref="D462:G462"/>
    <mergeCell ref="D463:G463"/>
    <mergeCell ref="D464:G464"/>
    <mergeCell ref="D465:G465"/>
    <mergeCell ref="D466:G466"/>
    <mergeCell ref="D447:G447"/>
    <mergeCell ref="D448:G448"/>
    <mergeCell ref="D449:G449"/>
    <mergeCell ref="D450:G450"/>
    <mergeCell ref="D451:G451"/>
    <mergeCell ref="B453:J453"/>
    <mergeCell ref="D454:G454"/>
    <mergeCell ref="D455:G455"/>
    <mergeCell ref="D456:G456"/>
    <mergeCell ref="D437:G437"/>
    <mergeCell ref="D438:G438"/>
    <mergeCell ref="D440:G440"/>
    <mergeCell ref="D441:G441"/>
    <mergeCell ref="D442:G442"/>
    <mergeCell ref="D443:G443"/>
    <mergeCell ref="D444:G444"/>
    <mergeCell ref="D445:G445"/>
    <mergeCell ref="D446:G446"/>
    <mergeCell ref="D412:G412"/>
    <mergeCell ref="D413:G413"/>
    <mergeCell ref="C423:G423"/>
    <mergeCell ref="B431:J431"/>
    <mergeCell ref="D432:G432"/>
    <mergeCell ref="D433:G433"/>
    <mergeCell ref="D434:G434"/>
    <mergeCell ref="D435:G435"/>
    <mergeCell ref="D436:G436"/>
    <mergeCell ref="D312:F312"/>
    <mergeCell ref="B313:J313"/>
    <mergeCell ref="B338:J338"/>
    <mergeCell ref="D350:G350"/>
    <mergeCell ref="D351:G351"/>
    <mergeCell ref="B369:J369"/>
    <mergeCell ref="D381:G381"/>
    <mergeCell ref="D382:G382"/>
    <mergeCell ref="B400:J400"/>
    <mergeCell ref="D283:G283"/>
    <mergeCell ref="D284:G284"/>
    <mergeCell ref="D286:G286"/>
    <mergeCell ref="D287:G287"/>
    <mergeCell ref="D288:G288"/>
    <mergeCell ref="D289:G289"/>
    <mergeCell ref="D290:G290"/>
    <mergeCell ref="B291:J291"/>
    <mergeCell ref="C307:G307"/>
    <mergeCell ref="D273:G273"/>
    <mergeCell ref="D274:G274"/>
    <mergeCell ref="D275:G275"/>
    <mergeCell ref="D276:G276"/>
    <mergeCell ref="D278:G278"/>
    <mergeCell ref="D279:G279"/>
    <mergeCell ref="D280:G280"/>
    <mergeCell ref="D281:G281"/>
    <mergeCell ref="D282:G282"/>
    <mergeCell ref="D221:G221"/>
    <mergeCell ref="D222:G222"/>
    <mergeCell ref="B239:J239"/>
    <mergeCell ref="D251:G251"/>
    <mergeCell ref="D252:G252"/>
    <mergeCell ref="B269:J269"/>
    <mergeCell ref="D270:G270"/>
    <mergeCell ref="D271:G271"/>
    <mergeCell ref="D272:G272"/>
    <mergeCell ref="D171:G171"/>
    <mergeCell ref="D172:G172"/>
    <mergeCell ref="D173:G173"/>
    <mergeCell ref="D174:G174"/>
    <mergeCell ref="D175:G175"/>
    <mergeCell ref="B177:J177"/>
    <mergeCell ref="D190:G190"/>
    <mergeCell ref="D191:G191"/>
    <mergeCell ref="B208:J208"/>
    <mergeCell ref="D161:G161"/>
    <mergeCell ref="D162:G162"/>
    <mergeCell ref="D164:G164"/>
    <mergeCell ref="D165:G165"/>
    <mergeCell ref="D166:G166"/>
    <mergeCell ref="D167:G167"/>
    <mergeCell ref="D168:G168"/>
    <mergeCell ref="D169:G169"/>
    <mergeCell ref="D170:G170"/>
    <mergeCell ref="D137:G137"/>
    <mergeCell ref="D138:G138"/>
    <mergeCell ref="C148:G148"/>
    <mergeCell ref="B155:J155"/>
    <mergeCell ref="D156:G156"/>
    <mergeCell ref="D157:G157"/>
    <mergeCell ref="D158:G158"/>
    <mergeCell ref="D159:G159"/>
    <mergeCell ref="D160:G160"/>
    <mergeCell ref="D47:G47"/>
    <mergeCell ref="B64:J64"/>
    <mergeCell ref="D77:G77"/>
    <mergeCell ref="D78:G78"/>
    <mergeCell ref="B95:J95"/>
    <mergeCell ref="D107:G107"/>
    <mergeCell ref="D108:G108"/>
    <mergeCell ref="C118:G118"/>
    <mergeCell ref="B125:J125"/>
    <mergeCell ref="B1:J1"/>
    <mergeCell ref="D2:J2"/>
    <mergeCell ref="B3:C3"/>
    <mergeCell ref="D3:G3"/>
    <mergeCell ref="B5:J5"/>
    <mergeCell ref="D16:G16"/>
    <mergeCell ref="D17:G17"/>
    <mergeCell ref="B33:J33"/>
    <mergeCell ref="D46:G46"/>
  </mergeCells>
  <conditionalFormatting sqref="A291">
    <cfRule type="cellIs" dxfId="19" priority="8" stopIfTrue="1" operator="equal">
      <formula>#REF!</formula>
    </cfRule>
  </conditionalFormatting>
  <conditionalFormatting sqref="A312">
    <cfRule type="cellIs" dxfId="18" priority="7" stopIfTrue="1" operator="equal">
      <formula>A291</formula>
    </cfRule>
  </conditionalFormatting>
  <printOptions horizontalCentered="1" gridLines="1"/>
  <pageMargins left="0.59055118110236204" right="0.196850393700787" top="0.59055118110236204" bottom="0.39370078740157499" header="7.8740157480315001E-2" footer="0.196850393700787"/>
  <pageSetup paperSize="9" scale="95" orientation="portrait" r:id="rId1"/>
  <headerFooter alignWithMargins="0">
    <oddHeader>&amp;CPage &amp;P of &amp;N</oddHead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rgb="FFFF0000"/>
  </sheetPr>
  <dimension ref="A1:J125"/>
  <sheetViews>
    <sheetView view="pageBreakPreview" topLeftCell="A15" workbookViewId="0">
      <selection activeCell="E17" sqref="E17"/>
    </sheetView>
  </sheetViews>
  <sheetFormatPr defaultColWidth="9.33203125" defaultRowHeight="13.2"/>
  <cols>
    <col min="1" max="1" width="6.109375" style="1069" customWidth="1"/>
    <col min="2" max="2" width="39.109375" style="1069" customWidth="1"/>
    <col min="3" max="3" width="8.6640625" style="1063" customWidth="1"/>
    <col min="4" max="4" width="7.5546875" style="1063" customWidth="1"/>
    <col min="5" max="5" width="11.44140625" style="1069" customWidth="1"/>
    <col min="6" max="6" width="12.33203125" style="1069" customWidth="1"/>
    <col min="7" max="7" width="15.5546875" style="1069" customWidth="1"/>
    <col min="8" max="257" width="9.33203125" style="1069"/>
    <col min="258" max="258" width="6.109375" style="1069" customWidth="1"/>
    <col min="259" max="259" width="36" style="1069" customWidth="1"/>
    <col min="260" max="260" width="8.6640625" style="1069" customWidth="1"/>
    <col min="261" max="261" width="12.5546875" style="1069" customWidth="1"/>
    <col min="262" max="262" width="12.44140625" style="1069" customWidth="1"/>
    <col min="263" max="263" width="17.109375" style="1069" customWidth="1"/>
    <col min="264" max="513" width="9.33203125" style="1069"/>
    <col min="514" max="514" width="6.109375" style="1069" customWidth="1"/>
    <col min="515" max="515" width="36" style="1069" customWidth="1"/>
    <col min="516" max="516" width="8.6640625" style="1069" customWidth="1"/>
    <col min="517" max="517" width="12.5546875" style="1069" customWidth="1"/>
    <col min="518" max="518" width="12.44140625" style="1069" customWidth="1"/>
    <col min="519" max="519" width="17.109375" style="1069" customWidth="1"/>
    <col min="520" max="769" width="9.33203125" style="1069"/>
    <col min="770" max="770" width="6.109375" style="1069" customWidth="1"/>
    <col min="771" max="771" width="36" style="1069" customWidth="1"/>
    <col min="772" max="772" width="8.6640625" style="1069" customWidth="1"/>
    <col min="773" max="773" width="12.5546875" style="1069" customWidth="1"/>
    <col min="774" max="774" width="12.44140625" style="1069" customWidth="1"/>
    <col min="775" max="775" width="17.109375" style="1069" customWidth="1"/>
    <col min="776" max="1025" width="9.33203125" style="1069"/>
    <col min="1026" max="1026" width="6.109375" style="1069" customWidth="1"/>
    <col min="1027" max="1027" width="36" style="1069" customWidth="1"/>
    <col min="1028" max="1028" width="8.6640625" style="1069" customWidth="1"/>
    <col min="1029" max="1029" width="12.5546875" style="1069" customWidth="1"/>
    <col min="1030" max="1030" width="12.44140625" style="1069" customWidth="1"/>
    <col min="1031" max="1031" width="17.109375" style="1069" customWidth="1"/>
    <col min="1032" max="1281" width="9.33203125" style="1069"/>
    <col min="1282" max="1282" width="6.109375" style="1069" customWidth="1"/>
    <col min="1283" max="1283" width="36" style="1069" customWidth="1"/>
    <col min="1284" max="1284" width="8.6640625" style="1069" customWidth="1"/>
    <col min="1285" max="1285" width="12.5546875" style="1069" customWidth="1"/>
    <col min="1286" max="1286" width="12.44140625" style="1069" customWidth="1"/>
    <col min="1287" max="1287" width="17.109375" style="1069" customWidth="1"/>
    <col min="1288" max="1537" width="9.33203125" style="1069"/>
    <col min="1538" max="1538" width="6.109375" style="1069" customWidth="1"/>
    <col min="1539" max="1539" width="36" style="1069" customWidth="1"/>
    <col min="1540" max="1540" width="8.6640625" style="1069" customWidth="1"/>
    <col min="1541" max="1541" width="12.5546875" style="1069" customWidth="1"/>
    <col min="1542" max="1542" width="12.44140625" style="1069" customWidth="1"/>
    <col min="1543" max="1543" width="17.109375" style="1069" customWidth="1"/>
    <col min="1544" max="1793" width="9.33203125" style="1069"/>
    <col min="1794" max="1794" width="6.109375" style="1069" customWidth="1"/>
    <col min="1795" max="1795" width="36" style="1069" customWidth="1"/>
    <col min="1796" max="1796" width="8.6640625" style="1069" customWidth="1"/>
    <col min="1797" max="1797" width="12.5546875" style="1069" customWidth="1"/>
    <col min="1798" max="1798" width="12.44140625" style="1069" customWidth="1"/>
    <col min="1799" max="1799" width="17.109375" style="1069" customWidth="1"/>
    <col min="1800" max="2049" width="9.33203125" style="1069"/>
    <col min="2050" max="2050" width="6.109375" style="1069" customWidth="1"/>
    <col min="2051" max="2051" width="36" style="1069" customWidth="1"/>
    <col min="2052" max="2052" width="8.6640625" style="1069" customWidth="1"/>
    <col min="2053" max="2053" width="12.5546875" style="1069" customWidth="1"/>
    <col min="2054" max="2054" width="12.44140625" style="1069" customWidth="1"/>
    <col min="2055" max="2055" width="17.109375" style="1069" customWidth="1"/>
    <col min="2056" max="2305" width="9.33203125" style="1069"/>
    <col min="2306" max="2306" width="6.109375" style="1069" customWidth="1"/>
    <col min="2307" max="2307" width="36" style="1069" customWidth="1"/>
    <col min="2308" max="2308" width="8.6640625" style="1069" customWidth="1"/>
    <col min="2309" max="2309" width="12.5546875" style="1069" customWidth="1"/>
    <col min="2310" max="2310" width="12.44140625" style="1069" customWidth="1"/>
    <col min="2311" max="2311" width="17.109375" style="1069" customWidth="1"/>
    <col min="2312" max="2561" width="9.33203125" style="1069"/>
    <col min="2562" max="2562" width="6.109375" style="1069" customWidth="1"/>
    <col min="2563" max="2563" width="36" style="1069" customWidth="1"/>
    <col min="2564" max="2564" width="8.6640625" style="1069" customWidth="1"/>
    <col min="2565" max="2565" width="12.5546875" style="1069" customWidth="1"/>
    <col min="2566" max="2566" width="12.44140625" style="1069" customWidth="1"/>
    <col min="2567" max="2567" width="17.109375" style="1069" customWidth="1"/>
    <col min="2568" max="2817" width="9.33203125" style="1069"/>
    <col min="2818" max="2818" width="6.109375" style="1069" customWidth="1"/>
    <col min="2819" max="2819" width="36" style="1069" customWidth="1"/>
    <col min="2820" max="2820" width="8.6640625" style="1069" customWidth="1"/>
    <col min="2821" max="2821" width="12.5546875" style="1069" customWidth="1"/>
    <col min="2822" max="2822" width="12.44140625" style="1069" customWidth="1"/>
    <col min="2823" max="2823" width="17.109375" style="1069" customWidth="1"/>
    <col min="2824" max="3073" width="9.33203125" style="1069"/>
    <col min="3074" max="3074" width="6.109375" style="1069" customWidth="1"/>
    <col min="3075" max="3075" width="36" style="1069" customWidth="1"/>
    <col min="3076" max="3076" width="8.6640625" style="1069" customWidth="1"/>
    <col min="3077" max="3077" width="12.5546875" style="1069" customWidth="1"/>
    <col min="3078" max="3078" width="12.44140625" style="1069" customWidth="1"/>
    <col min="3079" max="3079" width="17.109375" style="1069" customWidth="1"/>
    <col min="3080" max="3329" width="9.33203125" style="1069"/>
    <col min="3330" max="3330" width="6.109375" style="1069" customWidth="1"/>
    <col min="3331" max="3331" width="36" style="1069" customWidth="1"/>
    <col min="3332" max="3332" width="8.6640625" style="1069" customWidth="1"/>
    <col min="3333" max="3333" width="12.5546875" style="1069" customWidth="1"/>
    <col min="3334" max="3334" width="12.44140625" style="1069" customWidth="1"/>
    <col min="3335" max="3335" width="17.109375" style="1069" customWidth="1"/>
    <col min="3336" max="3585" width="9.33203125" style="1069"/>
    <col min="3586" max="3586" width="6.109375" style="1069" customWidth="1"/>
    <col min="3587" max="3587" width="36" style="1069" customWidth="1"/>
    <col min="3588" max="3588" width="8.6640625" style="1069" customWidth="1"/>
    <col min="3589" max="3589" width="12.5546875" style="1069" customWidth="1"/>
    <col min="3590" max="3590" width="12.44140625" style="1069" customWidth="1"/>
    <col min="3591" max="3591" width="17.109375" style="1069" customWidth="1"/>
    <col min="3592" max="3841" width="9.33203125" style="1069"/>
    <col min="3842" max="3842" width="6.109375" style="1069" customWidth="1"/>
    <col min="3843" max="3843" width="36" style="1069" customWidth="1"/>
    <col min="3844" max="3844" width="8.6640625" style="1069" customWidth="1"/>
    <col min="3845" max="3845" width="12.5546875" style="1069" customWidth="1"/>
    <col min="3846" max="3846" width="12.44140625" style="1069" customWidth="1"/>
    <col min="3847" max="3847" width="17.109375" style="1069" customWidth="1"/>
    <col min="3848" max="4097" width="9.33203125" style="1069"/>
    <col min="4098" max="4098" width="6.109375" style="1069" customWidth="1"/>
    <col min="4099" max="4099" width="36" style="1069" customWidth="1"/>
    <col min="4100" max="4100" width="8.6640625" style="1069" customWidth="1"/>
    <col min="4101" max="4101" width="12.5546875" style="1069" customWidth="1"/>
    <col min="4102" max="4102" width="12.44140625" style="1069" customWidth="1"/>
    <col min="4103" max="4103" width="17.109375" style="1069" customWidth="1"/>
    <col min="4104" max="4353" width="9.33203125" style="1069"/>
    <col min="4354" max="4354" width="6.109375" style="1069" customWidth="1"/>
    <col min="4355" max="4355" width="36" style="1069" customWidth="1"/>
    <col min="4356" max="4356" width="8.6640625" style="1069" customWidth="1"/>
    <col min="4357" max="4357" width="12.5546875" style="1069" customWidth="1"/>
    <col min="4358" max="4358" width="12.44140625" style="1069" customWidth="1"/>
    <col min="4359" max="4359" width="17.109375" style="1069" customWidth="1"/>
    <col min="4360" max="4609" width="9.33203125" style="1069"/>
    <col min="4610" max="4610" width="6.109375" style="1069" customWidth="1"/>
    <col min="4611" max="4611" width="36" style="1069" customWidth="1"/>
    <col min="4612" max="4612" width="8.6640625" style="1069" customWidth="1"/>
    <col min="4613" max="4613" width="12.5546875" style="1069" customWidth="1"/>
    <col min="4614" max="4614" width="12.44140625" style="1069" customWidth="1"/>
    <col min="4615" max="4615" width="17.109375" style="1069" customWidth="1"/>
    <col min="4616" max="4865" width="9.33203125" style="1069"/>
    <col min="4866" max="4866" width="6.109375" style="1069" customWidth="1"/>
    <col min="4867" max="4867" width="36" style="1069" customWidth="1"/>
    <col min="4868" max="4868" width="8.6640625" style="1069" customWidth="1"/>
    <col min="4869" max="4869" width="12.5546875" style="1069" customWidth="1"/>
    <col min="4870" max="4870" width="12.44140625" style="1069" customWidth="1"/>
    <col min="4871" max="4871" width="17.109375" style="1069" customWidth="1"/>
    <col min="4872" max="5121" width="9.33203125" style="1069"/>
    <col min="5122" max="5122" width="6.109375" style="1069" customWidth="1"/>
    <col min="5123" max="5123" width="36" style="1069" customWidth="1"/>
    <col min="5124" max="5124" width="8.6640625" style="1069" customWidth="1"/>
    <col min="5125" max="5125" width="12.5546875" style="1069" customWidth="1"/>
    <col min="5126" max="5126" width="12.44140625" style="1069" customWidth="1"/>
    <col min="5127" max="5127" width="17.109375" style="1069" customWidth="1"/>
    <col min="5128" max="5377" width="9.33203125" style="1069"/>
    <col min="5378" max="5378" width="6.109375" style="1069" customWidth="1"/>
    <col min="5379" max="5379" width="36" style="1069" customWidth="1"/>
    <col min="5380" max="5380" width="8.6640625" style="1069" customWidth="1"/>
    <col min="5381" max="5381" width="12.5546875" style="1069" customWidth="1"/>
    <col min="5382" max="5382" width="12.44140625" style="1069" customWidth="1"/>
    <col min="5383" max="5383" width="17.109375" style="1069" customWidth="1"/>
    <col min="5384" max="5633" width="9.33203125" style="1069"/>
    <col min="5634" max="5634" width="6.109375" style="1069" customWidth="1"/>
    <col min="5635" max="5635" width="36" style="1069" customWidth="1"/>
    <col min="5636" max="5636" width="8.6640625" style="1069" customWidth="1"/>
    <col min="5637" max="5637" width="12.5546875" style="1069" customWidth="1"/>
    <col min="5638" max="5638" width="12.44140625" style="1069" customWidth="1"/>
    <col min="5639" max="5639" width="17.109375" style="1069" customWidth="1"/>
    <col min="5640" max="5889" width="9.33203125" style="1069"/>
    <col min="5890" max="5890" width="6.109375" style="1069" customWidth="1"/>
    <col min="5891" max="5891" width="36" style="1069" customWidth="1"/>
    <col min="5892" max="5892" width="8.6640625" style="1069" customWidth="1"/>
    <col min="5893" max="5893" width="12.5546875" style="1069" customWidth="1"/>
    <col min="5894" max="5894" width="12.44140625" style="1069" customWidth="1"/>
    <col min="5895" max="5895" width="17.109375" style="1069" customWidth="1"/>
    <col min="5896" max="6145" width="9.33203125" style="1069"/>
    <col min="6146" max="6146" width="6.109375" style="1069" customWidth="1"/>
    <col min="6147" max="6147" width="36" style="1069" customWidth="1"/>
    <col min="6148" max="6148" width="8.6640625" style="1069" customWidth="1"/>
    <col min="6149" max="6149" width="12.5546875" style="1069" customWidth="1"/>
    <col min="6150" max="6150" width="12.44140625" style="1069" customWidth="1"/>
    <col min="6151" max="6151" width="17.109375" style="1069" customWidth="1"/>
    <col min="6152" max="6401" width="9.33203125" style="1069"/>
    <col min="6402" max="6402" width="6.109375" style="1069" customWidth="1"/>
    <col min="6403" max="6403" width="36" style="1069" customWidth="1"/>
    <col min="6404" max="6404" width="8.6640625" style="1069" customWidth="1"/>
    <col min="6405" max="6405" width="12.5546875" style="1069" customWidth="1"/>
    <col min="6406" max="6406" width="12.44140625" style="1069" customWidth="1"/>
    <col min="6407" max="6407" width="17.109375" style="1069" customWidth="1"/>
    <col min="6408" max="6657" width="9.33203125" style="1069"/>
    <col min="6658" max="6658" width="6.109375" style="1069" customWidth="1"/>
    <col min="6659" max="6659" width="36" style="1069" customWidth="1"/>
    <col min="6660" max="6660" width="8.6640625" style="1069" customWidth="1"/>
    <col min="6661" max="6661" width="12.5546875" style="1069" customWidth="1"/>
    <col min="6662" max="6662" width="12.44140625" style="1069" customWidth="1"/>
    <col min="6663" max="6663" width="17.109375" style="1069" customWidth="1"/>
    <col min="6664" max="6913" width="9.33203125" style="1069"/>
    <col min="6914" max="6914" width="6.109375" style="1069" customWidth="1"/>
    <col min="6915" max="6915" width="36" style="1069" customWidth="1"/>
    <col min="6916" max="6916" width="8.6640625" style="1069" customWidth="1"/>
    <col min="6917" max="6917" width="12.5546875" style="1069" customWidth="1"/>
    <col min="6918" max="6918" width="12.44140625" style="1069" customWidth="1"/>
    <col min="6919" max="6919" width="17.109375" style="1069" customWidth="1"/>
    <col min="6920" max="7169" width="9.33203125" style="1069"/>
    <col min="7170" max="7170" width="6.109375" style="1069" customWidth="1"/>
    <col min="7171" max="7171" width="36" style="1069" customWidth="1"/>
    <col min="7172" max="7172" width="8.6640625" style="1069" customWidth="1"/>
    <col min="7173" max="7173" width="12.5546875" style="1069" customWidth="1"/>
    <col min="7174" max="7174" width="12.44140625" style="1069" customWidth="1"/>
    <col min="7175" max="7175" width="17.109375" style="1069" customWidth="1"/>
    <col min="7176" max="7425" width="9.33203125" style="1069"/>
    <col min="7426" max="7426" width="6.109375" style="1069" customWidth="1"/>
    <col min="7427" max="7427" width="36" style="1069" customWidth="1"/>
    <col min="7428" max="7428" width="8.6640625" style="1069" customWidth="1"/>
    <col min="7429" max="7429" width="12.5546875" style="1069" customWidth="1"/>
    <col min="7430" max="7430" width="12.44140625" style="1069" customWidth="1"/>
    <col min="7431" max="7431" width="17.109375" style="1069" customWidth="1"/>
    <col min="7432" max="7681" width="9.33203125" style="1069"/>
    <col min="7682" max="7682" width="6.109375" style="1069" customWidth="1"/>
    <col min="7683" max="7683" width="36" style="1069" customWidth="1"/>
    <col min="7684" max="7684" width="8.6640625" style="1069" customWidth="1"/>
    <col min="7685" max="7685" width="12.5546875" style="1069" customWidth="1"/>
    <col min="7686" max="7686" width="12.44140625" style="1069" customWidth="1"/>
    <col min="7687" max="7687" width="17.109375" style="1069" customWidth="1"/>
    <col min="7688" max="7937" width="9.33203125" style="1069"/>
    <col min="7938" max="7938" width="6.109375" style="1069" customWidth="1"/>
    <col min="7939" max="7939" width="36" style="1069" customWidth="1"/>
    <col min="7940" max="7940" width="8.6640625" style="1069" customWidth="1"/>
    <col min="7941" max="7941" width="12.5546875" style="1069" customWidth="1"/>
    <col min="7942" max="7942" width="12.44140625" style="1069" customWidth="1"/>
    <col min="7943" max="7943" width="17.109375" style="1069" customWidth="1"/>
    <col min="7944" max="8193" width="9.33203125" style="1069"/>
    <col min="8194" max="8194" width="6.109375" style="1069" customWidth="1"/>
    <col min="8195" max="8195" width="36" style="1069" customWidth="1"/>
    <col min="8196" max="8196" width="8.6640625" style="1069" customWidth="1"/>
    <col min="8197" max="8197" width="12.5546875" style="1069" customWidth="1"/>
    <col min="8198" max="8198" width="12.44140625" style="1069" customWidth="1"/>
    <col min="8199" max="8199" width="17.109375" style="1069" customWidth="1"/>
    <col min="8200" max="8449" width="9.33203125" style="1069"/>
    <col min="8450" max="8450" width="6.109375" style="1069" customWidth="1"/>
    <col min="8451" max="8451" width="36" style="1069" customWidth="1"/>
    <col min="8452" max="8452" width="8.6640625" style="1069" customWidth="1"/>
    <col min="8453" max="8453" width="12.5546875" style="1069" customWidth="1"/>
    <col min="8454" max="8454" width="12.44140625" style="1069" customWidth="1"/>
    <col min="8455" max="8455" width="17.109375" style="1069" customWidth="1"/>
    <col min="8456" max="8705" width="9.33203125" style="1069"/>
    <col min="8706" max="8706" width="6.109375" style="1069" customWidth="1"/>
    <col min="8707" max="8707" width="36" style="1069" customWidth="1"/>
    <col min="8708" max="8708" width="8.6640625" style="1069" customWidth="1"/>
    <col min="8709" max="8709" width="12.5546875" style="1069" customWidth="1"/>
    <col min="8710" max="8710" width="12.44140625" style="1069" customWidth="1"/>
    <col min="8711" max="8711" width="17.109375" style="1069" customWidth="1"/>
    <col min="8712" max="8961" width="9.33203125" style="1069"/>
    <col min="8962" max="8962" width="6.109375" style="1069" customWidth="1"/>
    <col min="8963" max="8963" width="36" style="1069" customWidth="1"/>
    <col min="8964" max="8964" width="8.6640625" style="1069" customWidth="1"/>
    <col min="8965" max="8965" width="12.5546875" style="1069" customWidth="1"/>
    <col min="8966" max="8966" width="12.44140625" style="1069" customWidth="1"/>
    <col min="8967" max="8967" width="17.109375" style="1069" customWidth="1"/>
    <col min="8968" max="9217" width="9.33203125" style="1069"/>
    <col min="9218" max="9218" width="6.109375" style="1069" customWidth="1"/>
    <col min="9219" max="9219" width="36" style="1069" customWidth="1"/>
    <col min="9220" max="9220" width="8.6640625" style="1069" customWidth="1"/>
    <col min="9221" max="9221" width="12.5546875" style="1069" customWidth="1"/>
    <col min="9222" max="9222" width="12.44140625" style="1069" customWidth="1"/>
    <col min="9223" max="9223" width="17.109375" style="1069" customWidth="1"/>
    <col min="9224" max="9473" width="9.33203125" style="1069"/>
    <col min="9474" max="9474" width="6.109375" style="1069" customWidth="1"/>
    <col min="9475" max="9475" width="36" style="1069" customWidth="1"/>
    <col min="9476" max="9476" width="8.6640625" style="1069" customWidth="1"/>
    <col min="9477" max="9477" width="12.5546875" style="1069" customWidth="1"/>
    <col min="9478" max="9478" width="12.44140625" style="1069" customWidth="1"/>
    <col min="9479" max="9479" width="17.109375" style="1069" customWidth="1"/>
    <col min="9480" max="9729" width="9.33203125" style="1069"/>
    <col min="9730" max="9730" width="6.109375" style="1069" customWidth="1"/>
    <col min="9731" max="9731" width="36" style="1069" customWidth="1"/>
    <col min="9732" max="9732" width="8.6640625" style="1069" customWidth="1"/>
    <col min="9733" max="9733" width="12.5546875" style="1069" customWidth="1"/>
    <col min="9734" max="9734" width="12.44140625" style="1069" customWidth="1"/>
    <col min="9735" max="9735" width="17.109375" style="1069" customWidth="1"/>
    <col min="9736" max="9985" width="9.33203125" style="1069"/>
    <col min="9986" max="9986" width="6.109375" style="1069" customWidth="1"/>
    <col min="9987" max="9987" width="36" style="1069" customWidth="1"/>
    <col min="9988" max="9988" width="8.6640625" style="1069" customWidth="1"/>
    <col min="9989" max="9989" width="12.5546875" style="1069" customWidth="1"/>
    <col min="9990" max="9990" width="12.44140625" style="1069" customWidth="1"/>
    <col min="9991" max="9991" width="17.109375" style="1069" customWidth="1"/>
    <col min="9992" max="10241" width="9.33203125" style="1069"/>
    <col min="10242" max="10242" width="6.109375" style="1069" customWidth="1"/>
    <col min="10243" max="10243" width="36" style="1069" customWidth="1"/>
    <col min="10244" max="10244" width="8.6640625" style="1069" customWidth="1"/>
    <col min="10245" max="10245" width="12.5546875" style="1069" customWidth="1"/>
    <col min="10246" max="10246" width="12.44140625" style="1069" customWidth="1"/>
    <col min="10247" max="10247" width="17.109375" style="1069" customWidth="1"/>
    <col min="10248" max="10497" width="9.33203125" style="1069"/>
    <col min="10498" max="10498" width="6.109375" style="1069" customWidth="1"/>
    <col min="10499" max="10499" width="36" style="1069" customWidth="1"/>
    <col min="10500" max="10500" width="8.6640625" style="1069" customWidth="1"/>
    <col min="10501" max="10501" width="12.5546875" style="1069" customWidth="1"/>
    <col min="10502" max="10502" width="12.44140625" style="1069" customWidth="1"/>
    <col min="10503" max="10503" width="17.109375" style="1069" customWidth="1"/>
    <col min="10504" max="10753" width="9.33203125" style="1069"/>
    <col min="10754" max="10754" width="6.109375" style="1069" customWidth="1"/>
    <col min="10755" max="10755" width="36" style="1069" customWidth="1"/>
    <col min="10756" max="10756" width="8.6640625" style="1069" customWidth="1"/>
    <col min="10757" max="10757" width="12.5546875" style="1069" customWidth="1"/>
    <col min="10758" max="10758" width="12.44140625" style="1069" customWidth="1"/>
    <col min="10759" max="10759" width="17.109375" style="1069" customWidth="1"/>
    <col min="10760" max="11009" width="9.33203125" style="1069"/>
    <col min="11010" max="11010" width="6.109375" style="1069" customWidth="1"/>
    <col min="11011" max="11011" width="36" style="1069" customWidth="1"/>
    <col min="11012" max="11012" width="8.6640625" style="1069" customWidth="1"/>
    <col min="11013" max="11013" width="12.5546875" style="1069" customWidth="1"/>
    <col min="11014" max="11014" width="12.44140625" style="1069" customWidth="1"/>
    <col min="11015" max="11015" width="17.109375" style="1069" customWidth="1"/>
    <col min="11016" max="11265" width="9.33203125" style="1069"/>
    <col min="11266" max="11266" width="6.109375" style="1069" customWidth="1"/>
    <col min="11267" max="11267" width="36" style="1069" customWidth="1"/>
    <col min="11268" max="11268" width="8.6640625" style="1069" customWidth="1"/>
    <col min="11269" max="11269" width="12.5546875" style="1069" customWidth="1"/>
    <col min="11270" max="11270" width="12.44140625" style="1069" customWidth="1"/>
    <col min="11271" max="11271" width="17.109375" style="1069" customWidth="1"/>
    <col min="11272" max="11521" width="9.33203125" style="1069"/>
    <col min="11522" max="11522" width="6.109375" style="1069" customWidth="1"/>
    <col min="11523" max="11523" width="36" style="1069" customWidth="1"/>
    <col min="11524" max="11524" width="8.6640625" style="1069" customWidth="1"/>
    <col min="11525" max="11525" width="12.5546875" style="1069" customWidth="1"/>
    <col min="11526" max="11526" width="12.44140625" style="1069" customWidth="1"/>
    <col min="11527" max="11527" width="17.109375" style="1069" customWidth="1"/>
    <col min="11528" max="11777" width="9.33203125" style="1069"/>
    <col min="11778" max="11778" width="6.109375" style="1069" customWidth="1"/>
    <col min="11779" max="11779" width="36" style="1069" customWidth="1"/>
    <col min="11780" max="11780" width="8.6640625" style="1069" customWidth="1"/>
    <col min="11781" max="11781" width="12.5546875" style="1069" customWidth="1"/>
    <col min="11782" max="11782" width="12.44140625" style="1069" customWidth="1"/>
    <col min="11783" max="11783" width="17.109375" style="1069" customWidth="1"/>
    <col min="11784" max="12033" width="9.33203125" style="1069"/>
    <col min="12034" max="12034" width="6.109375" style="1069" customWidth="1"/>
    <col min="12035" max="12035" width="36" style="1069" customWidth="1"/>
    <col min="12036" max="12036" width="8.6640625" style="1069" customWidth="1"/>
    <col min="12037" max="12037" width="12.5546875" style="1069" customWidth="1"/>
    <col min="12038" max="12038" width="12.44140625" style="1069" customWidth="1"/>
    <col min="12039" max="12039" width="17.109375" style="1069" customWidth="1"/>
    <col min="12040" max="12289" width="9.33203125" style="1069"/>
    <col min="12290" max="12290" width="6.109375" style="1069" customWidth="1"/>
    <col min="12291" max="12291" width="36" style="1069" customWidth="1"/>
    <col min="12292" max="12292" width="8.6640625" style="1069" customWidth="1"/>
    <col min="12293" max="12293" width="12.5546875" style="1069" customWidth="1"/>
    <col min="12294" max="12294" width="12.44140625" style="1069" customWidth="1"/>
    <col min="12295" max="12295" width="17.109375" style="1069" customWidth="1"/>
    <col min="12296" max="12545" width="9.33203125" style="1069"/>
    <col min="12546" max="12546" width="6.109375" style="1069" customWidth="1"/>
    <col min="12547" max="12547" width="36" style="1069" customWidth="1"/>
    <col min="12548" max="12548" width="8.6640625" style="1069" customWidth="1"/>
    <col min="12549" max="12549" width="12.5546875" style="1069" customWidth="1"/>
    <col min="12550" max="12550" width="12.44140625" style="1069" customWidth="1"/>
    <col min="12551" max="12551" width="17.109375" style="1069" customWidth="1"/>
    <col min="12552" max="12801" width="9.33203125" style="1069"/>
    <col min="12802" max="12802" width="6.109375" style="1069" customWidth="1"/>
    <col min="12803" max="12803" width="36" style="1069" customWidth="1"/>
    <col min="12804" max="12804" width="8.6640625" style="1069" customWidth="1"/>
    <col min="12805" max="12805" width="12.5546875" style="1069" customWidth="1"/>
    <col min="12806" max="12806" width="12.44140625" style="1069" customWidth="1"/>
    <col min="12807" max="12807" width="17.109375" style="1069" customWidth="1"/>
    <col min="12808" max="13057" width="9.33203125" style="1069"/>
    <col min="13058" max="13058" width="6.109375" style="1069" customWidth="1"/>
    <col min="13059" max="13059" width="36" style="1069" customWidth="1"/>
    <col min="13060" max="13060" width="8.6640625" style="1069" customWidth="1"/>
    <col min="13061" max="13061" width="12.5546875" style="1069" customWidth="1"/>
    <col min="13062" max="13062" width="12.44140625" style="1069" customWidth="1"/>
    <col min="13063" max="13063" width="17.109375" style="1069" customWidth="1"/>
    <col min="13064" max="13313" width="9.33203125" style="1069"/>
    <col min="13314" max="13314" width="6.109375" style="1069" customWidth="1"/>
    <col min="13315" max="13315" width="36" style="1069" customWidth="1"/>
    <col min="13316" max="13316" width="8.6640625" style="1069" customWidth="1"/>
    <col min="13317" max="13317" width="12.5546875" style="1069" customWidth="1"/>
    <col min="13318" max="13318" width="12.44140625" style="1069" customWidth="1"/>
    <col min="13319" max="13319" width="17.109375" style="1069" customWidth="1"/>
    <col min="13320" max="13569" width="9.33203125" style="1069"/>
    <col min="13570" max="13570" width="6.109375" style="1069" customWidth="1"/>
    <col min="13571" max="13571" width="36" style="1069" customWidth="1"/>
    <col min="13572" max="13572" width="8.6640625" style="1069" customWidth="1"/>
    <col min="13573" max="13573" width="12.5546875" style="1069" customWidth="1"/>
    <col min="13574" max="13574" width="12.44140625" style="1069" customWidth="1"/>
    <col min="13575" max="13575" width="17.109375" style="1069" customWidth="1"/>
    <col min="13576" max="13825" width="9.33203125" style="1069"/>
    <col min="13826" max="13826" width="6.109375" style="1069" customWidth="1"/>
    <col min="13827" max="13827" width="36" style="1069" customWidth="1"/>
    <col min="13828" max="13828" width="8.6640625" style="1069" customWidth="1"/>
    <col min="13829" max="13829" width="12.5546875" style="1069" customWidth="1"/>
    <col min="13830" max="13830" width="12.44140625" style="1069" customWidth="1"/>
    <col min="13831" max="13831" width="17.109375" style="1069" customWidth="1"/>
    <col min="13832" max="14081" width="9.33203125" style="1069"/>
    <col min="14082" max="14082" width="6.109375" style="1069" customWidth="1"/>
    <col min="14083" max="14083" width="36" style="1069" customWidth="1"/>
    <col min="14084" max="14084" width="8.6640625" style="1069" customWidth="1"/>
    <col min="14085" max="14085" width="12.5546875" style="1069" customWidth="1"/>
    <col min="14086" max="14086" width="12.44140625" style="1069" customWidth="1"/>
    <col min="14087" max="14087" width="17.109375" style="1069" customWidth="1"/>
    <col min="14088" max="14337" width="9.33203125" style="1069"/>
    <col min="14338" max="14338" width="6.109375" style="1069" customWidth="1"/>
    <col min="14339" max="14339" width="36" style="1069" customWidth="1"/>
    <col min="14340" max="14340" width="8.6640625" style="1069" customWidth="1"/>
    <col min="14341" max="14341" width="12.5546875" style="1069" customWidth="1"/>
    <col min="14342" max="14342" width="12.44140625" style="1069" customWidth="1"/>
    <col min="14343" max="14343" width="17.109375" style="1069" customWidth="1"/>
    <col min="14344" max="14593" width="9.33203125" style="1069"/>
    <col min="14594" max="14594" width="6.109375" style="1069" customWidth="1"/>
    <col min="14595" max="14595" width="36" style="1069" customWidth="1"/>
    <col min="14596" max="14596" width="8.6640625" style="1069" customWidth="1"/>
    <col min="14597" max="14597" width="12.5546875" style="1069" customWidth="1"/>
    <col min="14598" max="14598" width="12.44140625" style="1069" customWidth="1"/>
    <col min="14599" max="14599" width="17.109375" style="1069" customWidth="1"/>
    <col min="14600" max="14849" width="9.33203125" style="1069"/>
    <col min="14850" max="14850" width="6.109375" style="1069" customWidth="1"/>
    <col min="14851" max="14851" width="36" style="1069" customWidth="1"/>
    <col min="14852" max="14852" width="8.6640625" style="1069" customWidth="1"/>
    <col min="14853" max="14853" width="12.5546875" style="1069" customWidth="1"/>
    <col min="14854" max="14854" width="12.44140625" style="1069" customWidth="1"/>
    <col min="14855" max="14855" width="17.109375" style="1069" customWidth="1"/>
    <col min="14856" max="15105" width="9.33203125" style="1069"/>
    <col min="15106" max="15106" width="6.109375" style="1069" customWidth="1"/>
    <col min="15107" max="15107" width="36" style="1069" customWidth="1"/>
    <col min="15108" max="15108" width="8.6640625" style="1069" customWidth="1"/>
    <col min="15109" max="15109" width="12.5546875" style="1069" customWidth="1"/>
    <col min="15110" max="15110" width="12.44140625" style="1069" customWidth="1"/>
    <col min="15111" max="15111" width="17.109375" style="1069" customWidth="1"/>
    <col min="15112" max="15361" width="9.33203125" style="1069"/>
    <col min="15362" max="15362" width="6.109375" style="1069" customWidth="1"/>
    <col min="15363" max="15363" width="36" style="1069" customWidth="1"/>
    <col min="15364" max="15364" width="8.6640625" style="1069" customWidth="1"/>
    <col min="15365" max="15365" width="12.5546875" style="1069" customWidth="1"/>
    <col min="15366" max="15366" width="12.44140625" style="1069" customWidth="1"/>
    <col min="15367" max="15367" width="17.109375" style="1069" customWidth="1"/>
    <col min="15368" max="15617" width="9.33203125" style="1069"/>
    <col min="15618" max="15618" width="6.109375" style="1069" customWidth="1"/>
    <col min="15619" max="15619" width="36" style="1069" customWidth="1"/>
    <col min="15620" max="15620" width="8.6640625" style="1069" customWidth="1"/>
    <col min="15621" max="15621" width="12.5546875" style="1069" customWidth="1"/>
    <col min="15622" max="15622" width="12.44140625" style="1069" customWidth="1"/>
    <col min="15623" max="15623" width="17.109375" style="1069" customWidth="1"/>
    <col min="15624" max="15873" width="9.33203125" style="1069"/>
    <col min="15874" max="15874" width="6.109375" style="1069" customWidth="1"/>
    <col min="15875" max="15875" width="36" style="1069" customWidth="1"/>
    <col min="15876" max="15876" width="8.6640625" style="1069" customWidth="1"/>
    <col min="15877" max="15877" width="12.5546875" style="1069" customWidth="1"/>
    <col min="15878" max="15878" width="12.44140625" style="1069" customWidth="1"/>
    <col min="15879" max="15879" width="17.109375" style="1069" customWidth="1"/>
    <col min="15880" max="16129" width="9.33203125" style="1069"/>
    <col min="16130" max="16130" width="6.109375" style="1069" customWidth="1"/>
    <col min="16131" max="16131" width="36" style="1069" customWidth="1"/>
    <col min="16132" max="16132" width="8.6640625" style="1069" customWidth="1"/>
    <col min="16133" max="16133" width="12.5546875" style="1069" customWidth="1"/>
    <col min="16134" max="16134" width="12.44140625" style="1069" customWidth="1"/>
    <col min="16135" max="16135" width="17.109375" style="1069" customWidth="1"/>
    <col min="16136" max="16384" width="9.33203125" style="1069"/>
  </cols>
  <sheetData>
    <row r="1" spans="1:8" ht="15.6">
      <c r="A1" s="3688" t="s">
        <v>1700</v>
      </c>
      <c r="B1" s="3688"/>
      <c r="C1" s="3688"/>
      <c r="D1" s="3688"/>
      <c r="E1" s="3688"/>
      <c r="F1" s="3688"/>
      <c r="G1" s="3688"/>
    </row>
    <row r="2" spans="1:8" ht="25.5" customHeight="1">
      <c r="A2" s="3689" t="str">
        <f>'Input Data'!E1</f>
        <v xml:space="preserve">BT Renewal from Balabadraipally to Danamma Thanda of Gundumal Mandal in Narayanpet District </v>
      </c>
      <c r="B2" s="3690"/>
      <c r="C2" s="3690"/>
      <c r="D2" s="3690"/>
      <c r="E2" s="3690"/>
      <c r="F2" s="3690"/>
      <c r="G2" s="3690"/>
    </row>
    <row r="3" spans="1:8" s="1063" customFormat="1" ht="26.4">
      <c r="A3" s="1070" t="s">
        <v>1078</v>
      </c>
      <c r="B3" s="1070" t="s">
        <v>1701</v>
      </c>
      <c r="C3" s="1070" t="s">
        <v>1016</v>
      </c>
      <c r="D3" s="1070" t="s">
        <v>710</v>
      </c>
      <c r="E3" s="1070" t="s">
        <v>1702</v>
      </c>
      <c r="F3" s="1071" t="s">
        <v>1703</v>
      </c>
      <c r="G3" s="1072" t="s">
        <v>556</v>
      </c>
    </row>
    <row r="4" spans="1:8">
      <c r="A4" s="1073">
        <v>1</v>
      </c>
      <c r="B4" s="1073">
        <v>2</v>
      </c>
      <c r="C4" s="1073">
        <v>3</v>
      </c>
      <c r="D4" s="1073"/>
      <c r="E4" s="1074">
        <v>4</v>
      </c>
      <c r="F4" s="1073">
        <v>5</v>
      </c>
      <c r="G4" s="1073">
        <v>6</v>
      </c>
    </row>
    <row r="5" spans="1:8" hidden="1">
      <c r="A5" s="1075"/>
      <c r="B5" s="1075"/>
      <c r="C5" s="1075"/>
      <c r="D5" s="1075"/>
      <c r="E5" s="1076"/>
      <c r="F5" s="1075"/>
      <c r="G5" s="1075"/>
    </row>
    <row r="6" spans="1:8" s="1064" customFormat="1">
      <c r="A6" s="1077"/>
      <c r="B6" s="1077" t="s">
        <v>1704</v>
      </c>
      <c r="C6" s="1077"/>
      <c r="D6" s="1077"/>
      <c r="E6" s="1078"/>
      <c r="F6" s="1077"/>
      <c r="G6" s="1077"/>
    </row>
    <row r="7" spans="1:8" s="1064" customFormat="1" hidden="1">
      <c r="A7" s="1077"/>
      <c r="B7" s="1077"/>
      <c r="C7" s="1077"/>
      <c r="D7" s="1077"/>
      <c r="E7" s="1078"/>
      <c r="F7" s="1077"/>
      <c r="G7" s="1077"/>
    </row>
    <row r="8" spans="1:8" s="1065" customFormat="1" ht="26.4">
      <c r="A8" s="1079">
        <v>1</v>
      </c>
      <c r="B8" s="1080" t="s">
        <v>1705</v>
      </c>
      <c r="C8" s="1079" t="s">
        <v>73</v>
      </c>
      <c r="D8" s="1079"/>
      <c r="E8" s="1081">
        <v>0</v>
      </c>
      <c r="F8" s="1082">
        <v>30</v>
      </c>
      <c r="G8" s="1082">
        <f t="shared" ref="G8:G17" si="0">ROUND(F8*E8,0)</f>
        <v>0</v>
      </c>
    </row>
    <row r="9" spans="1:8" s="1065" customFormat="1">
      <c r="A9" s="1079">
        <v>2</v>
      </c>
      <c r="B9" s="1080" t="s">
        <v>1706</v>
      </c>
      <c r="C9" s="1079" t="s">
        <v>73</v>
      </c>
      <c r="D9" s="1079"/>
      <c r="E9" s="1081">
        <v>0</v>
      </c>
      <c r="F9" s="1082">
        <v>30</v>
      </c>
      <c r="G9" s="1082">
        <f t="shared" si="0"/>
        <v>0</v>
      </c>
    </row>
    <row r="10" spans="1:8" s="1065" customFormat="1" ht="18" customHeight="1">
      <c r="A10" s="1079">
        <f t="shared" ref="A10:A17" si="1">A9+1</f>
        <v>3</v>
      </c>
      <c r="B10" s="1080" t="s">
        <v>1707</v>
      </c>
      <c r="C10" s="1079" t="s">
        <v>73</v>
      </c>
      <c r="D10" s="1079"/>
      <c r="E10" s="1081">
        <v>0</v>
      </c>
      <c r="F10" s="1082">
        <f>1.2*97.5</f>
        <v>117</v>
      </c>
      <c r="G10" s="1082">
        <f t="shared" si="0"/>
        <v>0</v>
      </c>
    </row>
    <row r="11" spans="1:8" s="1065" customFormat="1" ht="18" customHeight="1">
      <c r="A11" s="1079">
        <f t="shared" si="1"/>
        <v>4</v>
      </c>
      <c r="B11" s="1080" t="s">
        <v>1708</v>
      </c>
      <c r="C11" s="1079" t="s">
        <v>73</v>
      </c>
      <c r="D11" s="1079"/>
      <c r="E11" s="1081">
        <f>'Road Estimate'!I26</f>
        <v>615</v>
      </c>
      <c r="F11" s="1082">
        <f>1.33*97.5</f>
        <v>129.67500000000001</v>
      </c>
      <c r="G11" s="1082">
        <f t="shared" si="0"/>
        <v>79750</v>
      </c>
    </row>
    <row r="12" spans="1:8" s="1065" customFormat="1" ht="18" customHeight="1">
      <c r="A12" s="1079">
        <f>A10+1</f>
        <v>4</v>
      </c>
      <c r="B12" s="1080" t="s">
        <v>759</v>
      </c>
      <c r="C12" s="1079" t="s">
        <v>73</v>
      </c>
      <c r="D12" s="1079"/>
      <c r="E12" s="1081">
        <f>'Road Estimate'!I46</f>
        <v>0</v>
      </c>
      <c r="F12" s="1082">
        <f>1.488*97.5</f>
        <v>145.08000000000001</v>
      </c>
      <c r="G12" s="1082">
        <f t="shared" si="0"/>
        <v>0</v>
      </c>
    </row>
    <row r="13" spans="1:8" s="1065" customFormat="1" ht="18" customHeight="1">
      <c r="A13" s="1079">
        <f>A11+1</f>
        <v>5</v>
      </c>
      <c r="B13" s="1080" t="s">
        <v>516</v>
      </c>
      <c r="C13" s="1079" t="s">
        <v>353</v>
      </c>
      <c r="D13" s="1079"/>
      <c r="E13" s="1081">
        <v>0</v>
      </c>
      <c r="F13" s="1082">
        <f>0.027*97.5</f>
        <v>2.6324999999999998</v>
      </c>
      <c r="G13" s="1082">
        <f t="shared" si="0"/>
        <v>0</v>
      </c>
    </row>
    <row r="14" spans="1:8" s="1065" customFormat="1" ht="18" customHeight="1">
      <c r="A14" s="1079">
        <f t="shared" si="1"/>
        <v>6</v>
      </c>
      <c r="B14" s="1080" t="s">
        <v>1709</v>
      </c>
      <c r="C14" s="1079" t="s">
        <v>353</v>
      </c>
      <c r="D14" s="1079"/>
      <c r="E14" s="1081">
        <f>E13</f>
        <v>0</v>
      </c>
      <c r="F14" s="1082">
        <f>0.009*97.5</f>
        <v>0.87749999999999995</v>
      </c>
      <c r="G14" s="1082">
        <f t="shared" si="0"/>
        <v>0</v>
      </c>
    </row>
    <row r="15" spans="1:8" s="1065" customFormat="1" ht="18" customHeight="1">
      <c r="A15" s="1079">
        <f t="shared" si="1"/>
        <v>7</v>
      </c>
      <c r="B15" s="1080" t="s">
        <v>514</v>
      </c>
      <c r="C15" s="1079" t="s">
        <v>73</v>
      </c>
      <c r="D15" s="1079"/>
      <c r="E15" s="1081">
        <f>'Road Estimate'!I58</f>
        <v>388.13</v>
      </c>
      <c r="F15" s="1082">
        <f>1.471*97.5</f>
        <v>143.42250000000001</v>
      </c>
      <c r="G15" s="1082">
        <f t="shared" si="0"/>
        <v>55667</v>
      </c>
    </row>
    <row r="16" spans="1:8" s="1065" customFormat="1" ht="18" customHeight="1">
      <c r="A16" s="1079">
        <f t="shared" si="1"/>
        <v>8</v>
      </c>
      <c r="B16" s="1080" t="s">
        <v>1710</v>
      </c>
      <c r="C16" s="1079" t="s">
        <v>73</v>
      </c>
      <c r="D16" s="1079"/>
      <c r="E16" s="1081">
        <v>0</v>
      </c>
      <c r="F16" s="1082">
        <f>(1.125*97.5+0.225*40)</f>
        <v>118.6875</v>
      </c>
      <c r="G16" s="1082">
        <f t="shared" si="0"/>
        <v>0</v>
      </c>
      <c r="H16" s="1083">
        <f>(0.9*75+0.225*75+0.225*40)</f>
        <v>93.375</v>
      </c>
    </row>
    <row r="17" spans="1:7" s="1065" customFormat="1" ht="18" customHeight="1">
      <c r="A17" s="1079">
        <f t="shared" si="1"/>
        <v>9</v>
      </c>
      <c r="B17" s="1080" t="s">
        <v>1711</v>
      </c>
      <c r="C17" s="1079" t="s">
        <v>73</v>
      </c>
      <c r="D17" s="1079"/>
      <c r="E17" s="1081">
        <f>'Road Estimate'!I62</f>
        <v>1164.3800000000001</v>
      </c>
      <c r="F17" s="1082">
        <v>30</v>
      </c>
      <c r="G17" s="1082">
        <f t="shared" si="0"/>
        <v>34931</v>
      </c>
    </row>
    <row r="18" spans="1:7" s="1065" customFormat="1" ht="18.75" customHeight="1">
      <c r="A18" s="1084"/>
      <c r="B18" s="3691" t="str">
        <f>'1V 1m dia Pipe Culverts'!A3</f>
        <v xml:space="preserve">Construction of HP Culvert 1V of 1000mm Dia.NP4 Pipes at Km </v>
      </c>
      <c r="C18" s="3691"/>
      <c r="D18" s="3691"/>
      <c r="E18" s="3691"/>
      <c r="F18" s="3691"/>
      <c r="G18" s="1085"/>
    </row>
    <row r="19" spans="1:7" s="1065" customFormat="1" ht="18.75" customHeight="1">
      <c r="A19" s="1079">
        <v>1</v>
      </c>
      <c r="B19" s="1080" t="s">
        <v>1712</v>
      </c>
      <c r="C19" s="1079" t="s">
        <v>73</v>
      </c>
      <c r="D19" s="1086">
        <f>'CD Abs'!C5</f>
        <v>0</v>
      </c>
      <c r="E19" s="1087">
        <f>('1V 1m dia Pipe Culverts'!I9)*D19</f>
        <v>0</v>
      </c>
      <c r="F19" s="1082">
        <v>30</v>
      </c>
      <c r="G19" s="1082">
        <f t="shared" ref="G19:G23" si="2">ROUND(F19*E19,0)</f>
        <v>0</v>
      </c>
    </row>
    <row r="20" spans="1:7" s="1065" customFormat="1" ht="18.75" customHeight="1">
      <c r="A20" s="1079">
        <f t="shared" ref="A20:A23" si="3">A19+1</f>
        <v>2</v>
      </c>
      <c r="B20" s="1080" t="s">
        <v>1713</v>
      </c>
      <c r="C20" s="1079" t="s">
        <v>73</v>
      </c>
      <c r="D20" s="1079">
        <f>D19</f>
        <v>0</v>
      </c>
      <c r="E20" s="1087">
        <f>('1V 1m dia Pipe Culverts'!I14)*D20</f>
        <v>0</v>
      </c>
      <c r="F20" s="1082">
        <f>(0.6*97.5+0.6*40)</f>
        <v>82.5</v>
      </c>
      <c r="G20" s="1082">
        <f t="shared" si="2"/>
        <v>0</v>
      </c>
    </row>
    <row r="21" spans="1:7" s="1065" customFormat="1" ht="18.75" customHeight="1">
      <c r="A21" s="1079">
        <f t="shared" si="3"/>
        <v>3</v>
      </c>
      <c r="B21" s="1080" t="s">
        <v>1714</v>
      </c>
      <c r="C21" s="1079" t="s">
        <v>73</v>
      </c>
      <c r="D21" s="1079">
        <f>D19</f>
        <v>0</v>
      </c>
      <c r="E21" s="1087">
        <f>('1V 1m dia Pipe Culverts'!I24)*D21+('1V 1m dia Pipe Culverts'!I19)*D21</f>
        <v>0</v>
      </c>
      <c r="F21" s="1082">
        <f>(1.125*97.5+0.225*40)</f>
        <v>118.6875</v>
      </c>
      <c r="G21" s="1082">
        <f t="shared" si="2"/>
        <v>0</v>
      </c>
    </row>
    <row r="22" spans="1:7" s="1065" customFormat="1" ht="18.75" customHeight="1">
      <c r="A22" s="1079">
        <f t="shared" si="3"/>
        <v>4</v>
      </c>
      <c r="B22" s="1080" t="s">
        <v>1715</v>
      </c>
      <c r="C22" s="1079" t="s">
        <v>73</v>
      </c>
      <c r="D22" s="1079">
        <f>D19</f>
        <v>0</v>
      </c>
      <c r="E22" s="1087">
        <f>('1V 1m dia Pipe Culverts'!I30)*D22</f>
        <v>0</v>
      </c>
      <c r="F22" s="1082">
        <f>(1.125*97.5+0.225*40)</f>
        <v>118.6875</v>
      </c>
      <c r="G22" s="1082">
        <f t="shared" si="2"/>
        <v>0</v>
      </c>
    </row>
    <row r="23" spans="1:7" s="1065" customFormat="1" ht="18.75" customHeight="1">
      <c r="A23" s="1079">
        <f t="shared" si="3"/>
        <v>5</v>
      </c>
      <c r="B23" s="1080" t="s">
        <v>1716</v>
      </c>
      <c r="C23" s="1079" t="s">
        <v>1054</v>
      </c>
      <c r="D23" s="1079">
        <f>D20</f>
        <v>0</v>
      </c>
      <c r="E23" s="1087">
        <f>('1V 1m dia Pipe Culverts'!I33)*D23</f>
        <v>0</v>
      </c>
      <c r="F23" s="1082">
        <f>(0.0028*97.5+0.0028*40)</f>
        <v>0.38500000000000001</v>
      </c>
      <c r="G23" s="1082">
        <f t="shared" si="2"/>
        <v>0</v>
      </c>
    </row>
    <row r="24" spans="1:7" s="1065" customFormat="1" ht="18.75" customHeight="1">
      <c r="A24" s="1079"/>
      <c r="B24" s="1080"/>
      <c r="C24" s="1079"/>
      <c r="D24" s="1079"/>
      <c r="E24" s="1081"/>
      <c r="F24" s="1082"/>
      <c r="G24" s="1082"/>
    </row>
    <row r="25" spans="1:7" s="1066" customFormat="1" ht="18" customHeight="1">
      <c r="A25" s="1084"/>
      <c r="B25" s="3691" t="str">
        <f>'2V 1m dia Pipe Culverts'!A3</f>
        <v>Construction of HP Culvert 2V of 1000mm Dia.NP4 Pipes at Km</v>
      </c>
      <c r="C25" s="3691"/>
      <c r="D25" s="3691"/>
      <c r="E25" s="3691"/>
      <c r="F25" s="3691"/>
      <c r="G25" s="1085"/>
    </row>
    <row r="26" spans="1:7" s="1065" customFormat="1" ht="18" customHeight="1">
      <c r="A26" s="1079">
        <v>1</v>
      </c>
      <c r="B26" s="1080" t="s">
        <v>1712</v>
      </c>
      <c r="C26" s="1079" t="s">
        <v>73</v>
      </c>
      <c r="D26" s="1086">
        <f>'CD Abs'!C6</f>
        <v>0</v>
      </c>
      <c r="E26" s="1087">
        <f>('2V 1m dia Pipe Culverts'!I9)*D26</f>
        <v>0</v>
      </c>
      <c r="F26" s="1082">
        <v>30</v>
      </c>
      <c r="G26" s="1082">
        <f t="shared" ref="G26:G73" si="4">ROUND(F26*E26,0)</f>
        <v>0</v>
      </c>
    </row>
    <row r="27" spans="1:7" s="1065" customFormat="1" ht="18" customHeight="1">
      <c r="A27" s="1079">
        <f>A26+1</f>
        <v>2</v>
      </c>
      <c r="B27" s="1080" t="s">
        <v>1713</v>
      </c>
      <c r="C27" s="1079" t="s">
        <v>73</v>
      </c>
      <c r="D27" s="1079">
        <f>D26</f>
        <v>0</v>
      </c>
      <c r="E27" s="1087">
        <f>('2V 1m dia Pipe Culverts'!I14)*D27</f>
        <v>0</v>
      </c>
      <c r="F27" s="1082">
        <f>(0.6*97.5+0.6*40)</f>
        <v>82.5</v>
      </c>
      <c r="G27" s="1082">
        <f t="shared" si="4"/>
        <v>0</v>
      </c>
    </row>
    <row r="28" spans="1:7" s="1065" customFormat="1" ht="18" customHeight="1">
      <c r="A28" s="1079">
        <f>A27+1</f>
        <v>3</v>
      </c>
      <c r="B28" s="1080" t="s">
        <v>1714</v>
      </c>
      <c r="C28" s="1079" t="s">
        <v>73</v>
      </c>
      <c r="D28" s="1079">
        <f>D26</f>
        <v>0</v>
      </c>
      <c r="E28" s="1087">
        <f>('2V 1m dia Pipe Culverts'!I24)*D28+('2V 1m dia Pipe Culverts'!I19)*D28</f>
        <v>0</v>
      </c>
      <c r="F28" s="1082">
        <f>(1.125*97.5+0.225*40)</f>
        <v>118.6875</v>
      </c>
      <c r="G28" s="1082">
        <f t="shared" si="4"/>
        <v>0</v>
      </c>
    </row>
    <row r="29" spans="1:7" s="1065" customFormat="1" ht="18" customHeight="1">
      <c r="A29" s="1079">
        <f>A28+1</f>
        <v>4</v>
      </c>
      <c r="B29" s="1080" t="s">
        <v>1715</v>
      </c>
      <c r="C29" s="1079" t="s">
        <v>73</v>
      </c>
      <c r="D29" s="1079">
        <f>D27</f>
        <v>0</v>
      </c>
      <c r="E29" s="1087">
        <f>('2V 1m dia Pipe Culverts'!I30)*D29</f>
        <v>0</v>
      </c>
      <c r="F29" s="1082">
        <f>(1.125*97.5+0.225*40)</f>
        <v>118.6875</v>
      </c>
      <c r="G29" s="1082">
        <f t="shared" si="4"/>
        <v>0</v>
      </c>
    </row>
    <row r="30" spans="1:7" s="1065" customFormat="1" ht="18" customHeight="1">
      <c r="A30" s="1079">
        <f>A29+1</f>
        <v>5</v>
      </c>
      <c r="B30" s="1080" t="s">
        <v>1716</v>
      </c>
      <c r="C30" s="1079" t="s">
        <v>1054</v>
      </c>
      <c r="D30" s="1079">
        <f>D28</f>
        <v>0</v>
      </c>
      <c r="E30" s="1087">
        <f>('2V 1m dia Pipe Culverts'!I33)*D30</f>
        <v>0</v>
      </c>
      <c r="F30" s="1082">
        <f>(0.0028*97.5+0.0028*40)</f>
        <v>0.38500000000000001</v>
      </c>
      <c r="G30" s="1082">
        <f t="shared" si="4"/>
        <v>0</v>
      </c>
    </row>
    <row r="31" spans="1:7" s="1066" customFormat="1" ht="24" hidden="1" customHeight="1">
      <c r="A31" s="1084"/>
      <c r="B31" s="3691" t="s">
        <v>1717</v>
      </c>
      <c r="C31" s="3691"/>
      <c r="D31" s="3691"/>
      <c r="E31" s="3691"/>
      <c r="F31" s="3691"/>
      <c r="G31" s="1085"/>
    </row>
    <row r="32" spans="1:7" s="1065" customFormat="1" ht="18" hidden="1" customHeight="1">
      <c r="A32" s="1079">
        <v>1</v>
      </c>
      <c r="B32" s="1080" t="s">
        <v>1712</v>
      </c>
      <c r="C32" s="1079" t="s">
        <v>73</v>
      </c>
      <c r="D32" s="1086">
        <f>'CD Abs'!C7</f>
        <v>0</v>
      </c>
      <c r="E32" s="1087">
        <f>'3V 1m dia Pipe Culverts'!I9*D32</f>
        <v>0</v>
      </c>
      <c r="F32" s="1082">
        <v>30</v>
      </c>
      <c r="G32" s="1082">
        <f t="shared" si="4"/>
        <v>0</v>
      </c>
    </row>
    <row r="33" spans="1:7" s="1065" customFormat="1" ht="18" hidden="1" customHeight="1">
      <c r="A33" s="1079">
        <f>A32+1</f>
        <v>2</v>
      </c>
      <c r="B33" s="1080" t="s">
        <v>1713</v>
      </c>
      <c r="C33" s="1079" t="s">
        <v>73</v>
      </c>
      <c r="D33" s="1079">
        <f>D32</f>
        <v>0</v>
      </c>
      <c r="E33" s="1087">
        <f>'3V 1m dia Pipe Culverts'!I14*D33</f>
        <v>0</v>
      </c>
      <c r="F33" s="1082">
        <f>(0.6*97.5+0.6*40)</f>
        <v>82.5</v>
      </c>
      <c r="G33" s="1082">
        <f t="shared" si="4"/>
        <v>0</v>
      </c>
    </row>
    <row r="34" spans="1:7" s="1065" customFormat="1" ht="18" hidden="1" customHeight="1">
      <c r="A34" s="1079">
        <f>A33+1</f>
        <v>3</v>
      </c>
      <c r="B34" s="1080" t="s">
        <v>1714</v>
      </c>
      <c r="C34" s="1079" t="s">
        <v>73</v>
      </c>
      <c r="D34" s="1079">
        <f>D33</f>
        <v>0</v>
      </c>
      <c r="E34" s="1087">
        <f>('3V 1m dia Pipe Culverts'!I19+'3V 1m dia Pipe Culverts'!I24)*D34</f>
        <v>0</v>
      </c>
      <c r="F34" s="1082">
        <f>(1.125*97.5+0.225*40)</f>
        <v>118.6875</v>
      </c>
      <c r="G34" s="1082">
        <f t="shared" si="4"/>
        <v>0</v>
      </c>
    </row>
    <row r="35" spans="1:7" s="1065" customFormat="1" ht="18" hidden="1" customHeight="1">
      <c r="A35" s="1079">
        <f>A34+1</f>
        <v>4</v>
      </c>
      <c r="B35" s="1080" t="s">
        <v>1715</v>
      </c>
      <c r="C35" s="1079" t="s">
        <v>73</v>
      </c>
      <c r="D35" s="1079">
        <f>D34</f>
        <v>0</v>
      </c>
      <c r="E35" s="1087">
        <f>'3V 1m dia Pipe Culverts'!I30*D35</f>
        <v>0</v>
      </c>
      <c r="F35" s="1082">
        <f>(1.125*97.5+0.225*40)</f>
        <v>118.6875</v>
      </c>
      <c r="G35" s="1082">
        <f t="shared" si="4"/>
        <v>0</v>
      </c>
    </row>
    <row r="36" spans="1:7" s="1065" customFormat="1" ht="18" hidden="1" customHeight="1">
      <c r="A36" s="1079">
        <f>A35+1</f>
        <v>5</v>
      </c>
      <c r="B36" s="1080" t="s">
        <v>1716</v>
      </c>
      <c r="C36" s="1079" t="s">
        <v>1054</v>
      </c>
      <c r="D36" s="1079">
        <f>D35</f>
        <v>0</v>
      </c>
      <c r="E36" s="1087">
        <f>'3V 1m dia Pipe Culverts'!I33*D36</f>
        <v>0</v>
      </c>
      <c r="F36" s="1082">
        <f>(0.0028*97.5+0.0028*40)</f>
        <v>0.38500000000000001</v>
      </c>
      <c r="G36" s="1082">
        <f t="shared" si="4"/>
        <v>0</v>
      </c>
    </row>
    <row r="37" spans="1:7" s="1066" customFormat="1" ht="28.2" hidden="1" customHeight="1">
      <c r="A37" s="1084"/>
      <c r="B37" s="3691" t="s">
        <v>1718</v>
      </c>
      <c r="C37" s="3691"/>
      <c r="D37" s="3691"/>
      <c r="E37" s="3691"/>
      <c r="F37" s="3691"/>
      <c r="G37" s="1085"/>
    </row>
    <row r="38" spans="1:7" s="1065" customFormat="1" ht="18" hidden="1" customHeight="1">
      <c r="A38" s="1079">
        <v>1</v>
      </c>
      <c r="B38" s="1080" t="s">
        <v>1712</v>
      </c>
      <c r="C38" s="1079" t="s">
        <v>73</v>
      </c>
      <c r="D38" s="1086">
        <f>'CD Abs'!C8</f>
        <v>0</v>
      </c>
      <c r="E38" s="1081">
        <f>('Slab Culvert 1V 5m x 2m span'!I9)*D38</f>
        <v>0</v>
      </c>
      <c r="F38" s="1082">
        <v>30</v>
      </c>
      <c r="G38" s="1082">
        <f t="shared" si="4"/>
        <v>0</v>
      </c>
    </row>
    <row r="39" spans="1:7" s="1065" customFormat="1" ht="18" hidden="1" customHeight="1">
      <c r="A39" s="1079">
        <f t="shared" ref="A39:A51" si="5">A38+1</f>
        <v>2</v>
      </c>
      <c r="B39" s="1080" t="s">
        <v>1713</v>
      </c>
      <c r="C39" s="1079" t="s">
        <v>73</v>
      </c>
      <c r="D39" s="1079">
        <f t="shared" ref="D39:D51" si="6">D38</f>
        <v>0</v>
      </c>
      <c r="E39" s="1081"/>
      <c r="F39" s="1082">
        <f>(0.6*97.5+0.6*40)</f>
        <v>82.5</v>
      </c>
      <c r="G39" s="1082">
        <f t="shared" si="4"/>
        <v>0</v>
      </c>
    </row>
    <row r="40" spans="1:7" s="1065" customFormat="1" ht="18" hidden="1" customHeight="1">
      <c r="A40" s="1079">
        <f t="shared" si="5"/>
        <v>3</v>
      </c>
      <c r="B40" s="1080" t="s">
        <v>1719</v>
      </c>
      <c r="C40" s="1079" t="s">
        <v>73</v>
      </c>
      <c r="D40" s="1079">
        <f t="shared" si="6"/>
        <v>0</v>
      </c>
      <c r="E40" s="1081">
        <f>('Slab Culvert 1V 5m x 2m span'!I18)*D40</f>
        <v>0</v>
      </c>
      <c r="F40" s="1082">
        <f>(0.92*97.5+0.23*97.5+0.23*40)</f>
        <v>121.325</v>
      </c>
      <c r="G40" s="1082">
        <f t="shared" si="4"/>
        <v>0</v>
      </c>
    </row>
    <row r="41" spans="1:7" s="1065" customFormat="1" ht="18" hidden="1" customHeight="1">
      <c r="A41" s="1079">
        <f t="shared" si="5"/>
        <v>4</v>
      </c>
      <c r="B41" s="1080" t="s">
        <v>1714</v>
      </c>
      <c r="C41" s="1079" t="s">
        <v>73</v>
      </c>
      <c r="D41" s="1079">
        <f t="shared" si="6"/>
        <v>0</v>
      </c>
      <c r="E41" s="1081">
        <f>('Slab Culvert 1V 5m x 2m span'!I29)*D41</f>
        <v>0</v>
      </c>
      <c r="F41" s="1082">
        <f t="shared" ref="F41:F47" si="7">(0.9*97.5+0.225*97.5+0.225*40)</f>
        <v>118.6875</v>
      </c>
      <c r="G41" s="1082">
        <f t="shared" si="4"/>
        <v>0</v>
      </c>
    </row>
    <row r="42" spans="1:7" s="1065" customFormat="1" ht="18" hidden="1" customHeight="1">
      <c r="A42" s="1079">
        <f t="shared" si="5"/>
        <v>5</v>
      </c>
      <c r="B42" s="1080" t="s">
        <v>1715</v>
      </c>
      <c r="C42" s="1079" t="s">
        <v>73</v>
      </c>
      <c r="D42" s="1079">
        <f t="shared" si="6"/>
        <v>0</v>
      </c>
      <c r="E42" s="1081">
        <f>('Slab Culvert 1V 5m x 2m span'!I35)*D42</f>
        <v>0</v>
      </c>
      <c r="F42" s="1082">
        <f t="shared" si="7"/>
        <v>118.6875</v>
      </c>
      <c r="G42" s="1082">
        <f t="shared" si="4"/>
        <v>0</v>
      </c>
    </row>
    <row r="43" spans="1:7" s="1065" customFormat="1" ht="18" hidden="1" customHeight="1">
      <c r="A43" s="1079">
        <f t="shared" si="5"/>
        <v>6</v>
      </c>
      <c r="B43" s="1080" t="s">
        <v>1720</v>
      </c>
      <c r="C43" s="1079" t="s">
        <v>73</v>
      </c>
      <c r="D43" s="1079">
        <f t="shared" si="6"/>
        <v>0</v>
      </c>
      <c r="E43" s="1081">
        <f>('Slab Culvert 1V 5m x 2m span'!I39)*D43</f>
        <v>0</v>
      </c>
      <c r="F43" s="1082">
        <f t="shared" si="7"/>
        <v>118.6875</v>
      </c>
      <c r="G43" s="1082">
        <f t="shared" si="4"/>
        <v>0</v>
      </c>
    </row>
    <row r="44" spans="1:7" s="1065" customFormat="1" ht="18" hidden="1" customHeight="1">
      <c r="A44" s="1079">
        <f t="shared" si="5"/>
        <v>7</v>
      </c>
      <c r="B44" s="1080" t="s">
        <v>1721</v>
      </c>
      <c r="C44" s="1079" t="s">
        <v>73</v>
      </c>
      <c r="D44" s="1079">
        <f t="shared" si="6"/>
        <v>0</v>
      </c>
      <c r="E44" s="1081">
        <f>('Slab Culvert 1V 5m x 2m span'!I43-'Slab Culvert 1V 5m x 2m span'!I39)*D44</f>
        <v>0</v>
      </c>
      <c r="F44" s="1082">
        <f t="shared" si="7"/>
        <v>118.6875</v>
      </c>
      <c r="G44" s="1082">
        <f t="shared" si="4"/>
        <v>0</v>
      </c>
    </row>
    <row r="45" spans="1:7" s="1065" customFormat="1" ht="18" hidden="1" customHeight="1">
      <c r="A45" s="1079">
        <f t="shared" si="5"/>
        <v>8</v>
      </c>
      <c r="B45" s="1080" t="s">
        <v>1722</v>
      </c>
      <c r="C45" s="1079" t="s">
        <v>73</v>
      </c>
      <c r="D45" s="1079">
        <f t="shared" si="6"/>
        <v>0</v>
      </c>
      <c r="E45" s="1081"/>
      <c r="F45" s="1082">
        <f t="shared" si="7"/>
        <v>118.6875</v>
      </c>
      <c r="G45" s="1082">
        <f t="shared" si="4"/>
        <v>0</v>
      </c>
    </row>
    <row r="46" spans="1:7" s="1065" customFormat="1" ht="18" hidden="1" customHeight="1">
      <c r="A46" s="1079">
        <f t="shared" si="5"/>
        <v>9</v>
      </c>
      <c r="B46" s="1080" t="s">
        <v>1723</v>
      </c>
      <c r="C46" s="1079" t="s">
        <v>73</v>
      </c>
      <c r="D46" s="1079">
        <f t="shared" si="6"/>
        <v>0</v>
      </c>
      <c r="E46" s="1081">
        <f>('Slab Culvert 1V 5m x 2m span'!I57)*D46</f>
        <v>0</v>
      </c>
      <c r="F46" s="1082">
        <f t="shared" si="7"/>
        <v>118.6875</v>
      </c>
      <c r="G46" s="1082">
        <f t="shared" si="4"/>
        <v>0</v>
      </c>
    </row>
    <row r="47" spans="1:7" s="1065" customFormat="1" ht="18" hidden="1" customHeight="1">
      <c r="A47" s="1079">
        <f t="shared" si="5"/>
        <v>10</v>
      </c>
      <c r="B47" s="1080" t="s">
        <v>1724</v>
      </c>
      <c r="C47" s="1079" t="s">
        <v>73</v>
      </c>
      <c r="D47" s="1079">
        <f t="shared" si="6"/>
        <v>0</v>
      </c>
      <c r="E47" s="1081"/>
      <c r="F47" s="1082">
        <f t="shared" si="7"/>
        <v>118.6875</v>
      </c>
      <c r="G47" s="1082">
        <f t="shared" si="4"/>
        <v>0</v>
      </c>
    </row>
    <row r="48" spans="1:7" s="1065" customFormat="1" ht="18" hidden="1" customHeight="1">
      <c r="A48" s="1079">
        <f t="shared" si="5"/>
        <v>11</v>
      </c>
      <c r="B48" s="1080" t="s">
        <v>1725</v>
      </c>
      <c r="C48" s="1079" t="s">
        <v>73</v>
      </c>
      <c r="D48" s="1079">
        <f t="shared" si="6"/>
        <v>0</v>
      </c>
      <c r="E48" s="1081">
        <f>('Slab Culvert 1V 5m x 2m span'!I53)*D48</f>
        <v>0</v>
      </c>
      <c r="F48" s="1082">
        <f>1.2*40</f>
        <v>48</v>
      </c>
      <c r="G48" s="1082">
        <f t="shared" si="4"/>
        <v>0</v>
      </c>
    </row>
    <row r="49" spans="1:7" s="1065" customFormat="1" ht="18" hidden="1" customHeight="1">
      <c r="A49" s="1079">
        <f t="shared" si="5"/>
        <v>12</v>
      </c>
      <c r="B49" s="1080" t="s">
        <v>1726</v>
      </c>
      <c r="C49" s="1079" t="s">
        <v>73</v>
      </c>
      <c r="D49" s="1079">
        <f t="shared" si="6"/>
        <v>0</v>
      </c>
      <c r="E49" s="1081">
        <f>('Slab Culvert 1V 5m x 2m span'!I61)*D49</f>
        <v>0</v>
      </c>
      <c r="F49" s="1082">
        <v>30</v>
      </c>
      <c r="G49" s="1082">
        <f t="shared" si="4"/>
        <v>0</v>
      </c>
    </row>
    <row r="50" spans="1:7" s="1065" customFormat="1" ht="18" hidden="1" customHeight="1">
      <c r="A50" s="1079">
        <f t="shared" si="5"/>
        <v>13</v>
      </c>
      <c r="B50" s="1080" t="s">
        <v>1727</v>
      </c>
      <c r="C50" s="1079" t="s">
        <v>73</v>
      </c>
      <c r="D50" s="1079">
        <f t="shared" si="6"/>
        <v>0</v>
      </c>
      <c r="E50" s="1081">
        <f>('Slab Culvert 1V 5m x 2m span'!I65)*D50</f>
        <v>0</v>
      </c>
      <c r="F50" s="1082">
        <f>(0.9*97.5+0.225*97.5+0.225*40)</f>
        <v>118.6875</v>
      </c>
      <c r="G50" s="1082">
        <f t="shared" si="4"/>
        <v>0</v>
      </c>
    </row>
    <row r="51" spans="1:7" s="1065" customFormat="1" ht="18" hidden="1" customHeight="1">
      <c r="A51" s="1079">
        <f t="shared" si="5"/>
        <v>14</v>
      </c>
      <c r="B51" s="1080" t="s">
        <v>1728</v>
      </c>
      <c r="C51" s="1079" t="s">
        <v>73</v>
      </c>
      <c r="D51" s="1079">
        <f t="shared" si="6"/>
        <v>0</v>
      </c>
      <c r="E51" s="1081">
        <f>('Slab Culvert 1V 5m x 2m span'!I69)*D51</f>
        <v>0</v>
      </c>
      <c r="F51" s="1082">
        <f>(0.9*97.5+0.225*97.5+0.225*40)</f>
        <v>118.6875</v>
      </c>
      <c r="G51" s="1082">
        <f t="shared" si="4"/>
        <v>0</v>
      </c>
    </row>
    <row r="52" spans="1:7" s="1065" customFormat="1" ht="18" hidden="1" customHeight="1">
      <c r="A52" s="1079">
        <v>15</v>
      </c>
      <c r="B52" s="1080" t="s">
        <v>1729</v>
      </c>
      <c r="C52" s="1079" t="s">
        <v>73</v>
      </c>
      <c r="D52" s="1079">
        <f>D50</f>
        <v>0</v>
      </c>
      <c r="E52" s="1081">
        <f>('Slab Culvert 1V 5m x 2m span'!I81)*D52</f>
        <v>0</v>
      </c>
      <c r="F52" s="1082">
        <f>1.2*97.5</f>
        <v>117</v>
      </c>
      <c r="G52" s="1082">
        <f t="shared" si="4"/>
        <v>0</v>
      </c>
    </row>
    <row r="53" spans="1:7" s="1065" customFormat="1" ht="18" hidden="1" customHeight="1">
      <c r="A53" s="1079">
        <v>16</v>
      </c>
      <c r="B53" s="1080" t="s">
        <v>1730</v>
      </c>
      <c r="C53" s="1079" t="s">
        <v>73</v>
      </c>
      <c r="D53" s="1079">
        <f>D51</f>
        <v>0</v>
      </c>
      <c r="E53" s="1081">
        <f>('Slab Culvert 1V 5m x 2m span'!I87)*D53</f>
        <v>0</v>
      </c>
      <c r="F53" s="1082">
        <f>1.2*97.5</f>
        <v>117</v>
      </c>
      <c r="G53" s="1082">
        <f t="shared" si="4"/>
        <v>0</v>
      </c>
    </row>
    <row r="54" spans="1:7" s="1066" customFormat="1" ht="18" customHeight="1">
      <c r="A54" s="1084"/>
      <c r="B54" s="3691" t="s">
        <v>1731</v>
      </c>
      <c r="C54" s="3691"/>
      <c r="D54" s="3691"/>
      <c r="E54" s="3691"/>
      <c r="F54" s="3691"/>
      <c r="G54" s="1085"/>
    </row>
    <row r="55" spans="1:7" s="1065" customFormat="1" ht="18" customHeight="1">
      <c r="A55" s="1079">
        <v>1</v>
      </c>
      <c r="B55" s="1080" t="s">
        <v>1712</v>
      </c>
      <c r="C55" s="1079" t="s">
        <v>73</v>
      </c>
      <c r="D55" s="1086">
        <f>'CD Abs'!C9</f>
        <v>0</v>
      </c>
      <c r="E55" s="1081">
        <f>('Slab Culvert 1V 6m x 2m spa'!I9)*D55</f>
        <v>0</v>
      </c>
      <c r="F55" s="1082">
        <v>30</v>
      </c>
      <c r="G55" s="1082">
        <f t="shared" si="4"/>
        <v>0</v>
      </c>
    </row>
    <row r="56" spans="1:7" s="1065" customFormat="1" ht="18" customHeight="1">
      <c r="A56" s="1079">
        <f t="shared" ref="A56:A68" si="8">A55+1</f>
        <v>2</v>
      </c>
      <c r="B56" s="1080" t="s">
        <v>1713</v>
      </c>
      <c r="C56" s="1079" t="s">
        <v>73</v>
      </c>
      <c r="D56" s="1079">
        <f t="shared" ref="D56:D68" si="9">D55</f>
        <v>0</v>
      </c>
      <c r="E56" s="1081"/>
      <c r="F56" s="1082">
        <f>(0.6*97.5+0.6*40)</f>
        <v>82.5</v>
      </c>
      <c r="G56" s="1082">
        <f t="shared" si="4"/>
        <v>0</v>
      </c>
    </row>
    <row r="57" spans="1:7" s="1065" customFormat="1" ht="18" customHeight="1">
      <c r="A57" s="1079">
        <f t="shared" si="8"/>
        <v>3</v>
      </c>
      <c r="B57" s="1080" t="s">
        <v>1719</v>
      </c>
      <c r="C57" s="1079" t="s">
        <v>73</v>
      </c>
      <c r="D57" s="1079">
        <f t="shared" si="9"/>
        <v>0</v>
      </c>
      <c r="E57" s="1081">
        <f>('Slab Culvert 1V 6m x 2m spa'!I18)*D57</f>
        <v>0</v>
      </c>
      <c r="F57" s="1082">
        <f>(0.92*97.5+0.23*97.5+0.23*40)</f>
        <v>121.325</v>
      </c>
      <c r="G57" s="1082">
        <f t="shared" si="4"/>
        <v>0</v>
      </c>
    </row>
    <row r="58" spans="1:7" s="1065" customFormat="1" ht="18" customHeight="1">
      <c r="A58" s="1079">
        <f t="shared" si="8"/>
        <v>4</v>
      </c>
      <c r="B58" s="1080" t="s">
        <v>1714</v>
      </c>
      <c r="C58" s="1079" t="s">
        <v>73</v>
      </c>
      <c r="D58" s="1079">
        <f t="shared" si="9"/>
        <v>0</v>
      </c>
      <c r="E58" s="1081">
        <f>('Slab Culvert 1V 6m x 2m spa'!I31)*D58</f>
        <v>0</v>
      </c>
      <c r="F58" s="1082">
        <f t="shared" ref="F58:F64" si="10">(0.9*97.5+0.225*97.5+0.225*40)</f>
        <v>118.6875</v>
      </c>
      <c r="G58" s="1082">
        <f t="shared" si="4"/>
        <v>0</v>
      </c>
    </row>
    <row r="59" spans="1:7" s="1065" customFormat="1" ht="18" customHeight="1">
      <c r="A59" s="1079">
        <f t="shared" si="8"/>
        <v>5</v>
      </c>
      <c r="B59" s="1080" t="s">
        <v>1715</v>
      </c>
      <c r="C59" s="1079" t="s">
        <v>73</v>
      </c>
      <c r="D59" s="1079">
        <f t="shared" si="9"/>
        <v>0</v>
      </c>
      <c r="E59" s="1081">
        <f>('Slab Culvert 1V 6m x 2m spa'!I37)*D59</f>
        <v>0</v>
      </c>
      <c r="F59" s="1082">
        <f t="shared" si="10"/>
        <v>118.6875</v>
      </c>
      <c r="G59" s="1082">
        <f t="shared" si="4"/>
        <v>0</v>
      </c>
    </row>
    <row r="60" spans="1:7" s="1065" customFormat="1" ht="18" customHeight="1">
      <c r="A60" s="1079">
        <f t="shared" si="8"/>
        <v>6</v>
      </c>
      <c r="B60" s="1080" t="s">
        <v>1720</v>
      </c>
      <c r="C60" s="1079" t="s">
        <v>73</v>
      </c>
      <c r="D60" s="1079">
        <f t="shared" si="9"/>
        <v>0</v>
      </c>
      <c r="E60" s="1081">
        <f>'Slab Culvert 1V 6m x 2m spa'!I45*D60</f>
        <v>0</v>
      </c>
      <c r="F60" s="1082">
        <f t="shared" si="10"/>
        <v>118.6875</v>
      </c>
      <c r="G60" s="1082">
        <f t="shared" si="4"/>
        <v>0</v>
      </c>
    </row>
    <row r="61" spans="1:7" s="1065" customFormat="1" ht="18" customHeight="1">
      <c r="A61" s="1079">
        <f t="shared" si="8"/>
        <v>7</v>
      </c>
      <c r="B61" s="1080" t="s">
        <v>1721</v>
      </c>
      <c r="C61" s="1079" t="s">
        <v>73</v>
      </c>
      <c r="D61" s="1079">
        <f t="shared" si="9"/>
        <v>0</v>
      </c>
      <c r="E61" s="1081">
        <f>'Slab Culvert 1V 6m x 2m spa'!I50*D61</f>
        <v>0</v>
      </c>
      <c r="F61" s="1082">
        <f t="shared" si="10"/>
        <v>118.6875</v>
      </c>
      <c r="G61" s="1082">
        <f t="shared" si="4"/>
        <v>0</v>
      </c>
    </row>
    <row r="62" spans="1:7" s="1065" customFormat="1" ht="18" customHeight="1">
      <c r="A62" s="1079">
        <f t="shared" si="8"/>
        <v>8</v>
      </c>
      <c r="B62" s="1080" t="s">
        <v>1722</v>
      </c>
      <c r="C62" s="1079" t="s">
        <v>73</v>
      </c>
      <c r="D62" s="1079">
        <f t="shared" si="9"/>
        <v>0</v>
      </c>
      <c r="E62" s="1081"/>
      <c r="F62" s="1082">
        <f t="shared" si="10"/>
        <v>118.6875</v>
      </c>
      <c r="G62" s="1082">
        <f t="shared" si="4"/>
        <v>0</v>
      </c>
    </row>
    <row r="63" spans="1:7" s="1065" customFormat="1" ht="18" customHeight="1">
      <c r="A63" s="1079">
        <f t="shared" si="8"/>
        <v>9</v>
      </c>
      <c r="B63" s="1080" t="s">
        <v>1723</v>
      </c>
      <c r="C63" s="1079" t="s">
        <v>73</v>
      </c>
      <c r="D63" s="1079">
        <f t="shared" si="9"/>
        <v>0</v>
      </c>
      <c r="E63" s="1081">
        <f>('Slab Culvert 1V 6m x 2m spa'!I65)*D63</f>
        <v>0</v>
      </c>
      <c r="F63" s="1082">
        <f t="shared" si="10"/>
        <v>118.6875</v>
      </c>
      <c r="G63" s="1082">
        <f t="shared" si="4"/>
        <v>0</v>
      </c>
    </row>
    <row r="64" spans="1:7" s="1065" customFormat="1" ht="18" customHeight="1">
      <c r="A64" s="1079">
        <f t="shared" si="8"/>
        <v>10</v>
      </c>
      <c r="B64" s="1080" t="s">
        <v>1724</v>
      </c>
      <c r="C64" s="1079" t="s">
        <v>73</v>
      </c>
      <c r="D64" s="1079">
        <f t="shared" si="9"/>
        <v>0</v>
      </c>
      <c r="E64" s="1081"/>
      <c r="F64" s="1082">
        <f t="shared" si="10"/>
        <v>118.6875</v>
      </c>
      <c r="G64" s="1082">
        <f t="shared" si="4"/>
        <v>0</v>
      </c>
    </row>
    <row r="65" spans="1:7" s="1065" customFormat="1" ht="18" customHeight="1">
      <c r="A65" s="1079">
        <f t="shared" si="8"/>
        <v>11</v>
      </c>
      <c r="B65" s="1080" t="s">
        <v>1725</v>
      </c>
      <c r="C65" s="1079" t="s">
        <v>73</v>
      </c>
      <c r="D65" s="1079">
        <f t="shared" si="9"/>
        <v>0</v>
      </c>
      <c r="E65" s="1081">
        <f>('Slab Culvert 1V 6m x 2m spa'!I60)*D65</f>
        <v>0</v>
      </c>
      <c r="F65" s="1082">
        <f>1.2*40</f>
        <v>48</v>
      </c>
      <c r="G65" s="1082">
        <f t="shared" si="4"/>
        <v>0</v>
      </c>
    </row>
    <row r="66" spans="1:7" s="1065" customFormat="1" ht="18" customHeight="1">
      <c r="A66" s="1079">
        <f t="shared" si="8"/>
        <v>12</v>
      </c>
      <c r="B66" s="1080" t="s">
        <v>1726</v>
      </c>
      <c r="C66" s="1079" t="s">
        <v>73</v>
      </c>
      <c r="D66" s="1079">
        <f t="shared" si="9"/>
        <v>0</v>
      </c>
      <c r="E66" s="1081">
        <f>('Slab Culvert 1V 6m x 2m spa'!I69)*D66</f>
        <v>0</v>
      </c>
      <c r="F66" s="1082">
        <v>30</v>
      </c>
      <c r="G66" s="1082">
        <f t="shared" si="4"/>
        <v>0</v>
      </c>
    </row>
    <row r="67" spans="1:7" s="1065" customFormat="1" ht="18" customHeight="1">
      <c r="A67" s="1079">
        <f t="shared" si="8"/>
        <v>13</v>
      </c>
      <c r="B67" s="1080" t="s">
        <v>1727</v>
      </c>
      <c r="C67" s="1079" t="s">
        <v>73</v>
      </c>
      <c r="D67" s="1079">
        <f t="shared" si="9"/>
        <v>0</v>
      </c>
      <c r="E67" s="1081">
        <f>('Slab Culvert 1V 6m x 2m spa'!I73)*D67</f>
        <v>0</v>
      </c>
      <c r="F67" s="1082">
        <f>(0.9*97.5+0.225*97.5+0.225*40)</f>
        <v>118.6875</v>
      </c>
      <c r="G67" s="1082">
        <f t="shared" si="4"/>
        <v>0</v>
      </c>
    </row>
    <row r="68" spans="1:7" s="1065" customFormat="1" ht="18" customHeight="1">
      <c r="A68" s="1079">
        <f t="shared" si="8"/>
        <v>14</v>
      </c>
      <c r="B68" s="1080" t="s">
        <v>1728</v>
      </c>
      <c r="C68" s="1079" t="s">
        <v>73</v>
      </c>
      <c r="D68" s="1079">
        <f t="shared" si="9"/>
        <v>0</v>
      </c>
      <c r="E68" s="1081">
        <f>('Slab Culvert 1V 6m x 2m spa'!I77)*D68</f>
        <v>0</v>
      </c>
      <c r="F68" s="1082">
        <f>(0.9*97.5+0.225*97.5+0.225*40)</f>
        <v>118.6875</v>
      </c>
      <c r="G68" s="1082">
        <f t="shared" si="4"/>
        <v>0</v>
      </c>
    </row>
    <row r="69" spans="1:7" s="1065" customFormat="1" ht="18" customHeight="1">
      <c r="A69" s="1079">
        <v>15</v>
      </c>
      <c r="B69" s="1080" t="s">
        <v>1729</v>
      </c>
      <c r="C69" s="1079" t="s">
        <v>73</v>
      </c>
      <c r="D69" s="1079">
        <f>D67</f>
        <v>0</v>
      </c>
      <c r="E69" s="1081">
        <f>('Slab Culvert 1V 6m x 2m spa'!I89)*D69</f>
        <v>0</v>
      </c>
      <c r="F69" s="1082">
        <f>1.2*97.5</f>
        <v>117</v>
      </c>
      <c r="G69" s="1082">
        <f t="shared" si="4"/>
        <v>0</v>
      </c>
    </row>
    <row r="70" spans="1:7" s="1065" customFormat="1" ht="18" customHeight="1">
      <c r="A70" s="1079">
        <v>16</v>
      </c>
      <c r="B70" s="1080" t="s">
        <v>1730</v>
      </c>
      <c r="C70" s="1079" t="s">
        <v>73</v>
      </c>
      <c r="D70" s="1079">
        <f>D68</f>
        <v>0</v>
      </c>
      <c r="E70" s="1081">
        <f>('Slab Culvert 1V 6m x 2m spa'!I95)*D70</f>
        <v>0</v>
      </c>
      <c r="F70" s="1082">
        <f>1.2*97.5</f>
        <v>117</v>
      </c>
      <c r="G70" s="1082">
        <f t="shared" si="4"/>
        <v>0</v>
      </c>
    </row>
    <row r="71" spans="1:7" s="1066" customFormat="1" ht="28.2" hidden="1" customHeight="1">
      <c r="A71" s="1084"/>
      <c r="B71" s="3691" t="s">
        <v>1732</v>
      </c>
      <c r="C71" s="3691"/>
      <c r="D71" s="3691"/>
      <c r="E71" s="3691"/>
      <c r="F71" s="3691"/>
      <c r="G71" s="1085"/>
    </row>
    <row r="72" spans="1:7" s="1065" customFormat="1" ht="18" hidden="1" customHeight="1">
      <c r="A72" s="1079">
        <v>1</v>
      </c>
      <c r="B72" s="1080" t="s">
        <v>1712</v>
      </c>
      <c r="C72" s="1079" t="s">
        <v>73</v>
      </c>
      <c r="D72" s="1086">
        <f>'CD Abs'!C10</f>
        <v>0</v>
      </c>
      <c r="E72" s="1081">
        <f>('Slab Culvert 2V 6m x 2m spa'!I10)*D72</f>
        <v>0</v>
      </c>
      <c r="F72" s="1082">
        <v>30</v>
      </c>
      <c r="G72" s="1082">
        <f t="shared" si="4"/>
        <v>0</v>
      </c>
    </row>
    <row r="73" spans="1:7" s="1065" customFormat="1" ht="18" hidden="1" customHeight="1">
      <c r="A73" s="1079">
        <f t="shared" ref="A73:A85" si="11">A72+1</f>
        <v>2</v>
      </c>
      <c r="B73" s="1080" t="s">
        <v>1713</v>
      </c>
      <c r="C73" s="1079" t="s">
        <v>73</v>
      </c>
      <c r="D73" s="1079">
        <f t="shared" ref="D73:D85" si="12">D72</f>
        <v>0</v>
      </c>
      <c r="E73" s="1081"/>
      <c r="F73" s="1082">
        <f>(0.6*97.5+0.6*40)</f>
        <v>82.5</v>
      </c>
      <c r="G73" s="1082">
        <f t="shared" si="4"/>
        <v>0</v>
      </c>
    </row>
    <row r="74" spans="1:7" s="1065" customFormat="1" ht="18" hidden="1" customHeight="1">
      <c r="A74" s="1079">
        <f t="shared" si="11"/>
        <v>3</v>
      </c>
      <c r="B74" s="1080" t="s">
        <v>1719</v>
      </c>
      <c r="C74" s="1079" t="s">
        <v>73</v>
      </c>
      <c r="D74" s="1079">
        <f t="shared" si="12"/>
        <v>0</v>
      </c>
      <c r="E74" s="1081">
        <f>('Slab Culvert 2V 6m x 2m spa'!I20)*D74</f>
        <v>0</v>
      </c>
      <c r="F74" s="1082">
        <f>(0.92*97.5+0.23*97.5+0.23*40)</f>
        <v>121.325</v>
      </c>
      <c r="G74" s="1082">
        <f t="shared" ref="G74:G87" si="13">ROUND(F74*E74,0)</f>
        <v>0</v>
      </c>
    </row>
    <row r="75" spans="1:7" s="1065" customFormat="1" ht="18" hidden="1" customHeight="1">
      <c r="A75" s="1079">
        <f t="shared" si="11"/>
        <v>4</v>
      </c>
      <c r="B75" s="1080" t="s">
        <v>1714</v>
      </c>
      <c r="C75" s="1079" t="s">
        <v>73</v>
      </c>
      <c r="D75" s="1079">
        <f t="shared" si="12"/>
        <v>0</v>
      </c>
      <c r="E75" s="1081">
        <f>('Slab Culvert 2V 6m x 2m spa'!I34)*D75</f>
        <v>0</v>
      </c>
      <c r="F75" s="1082">
        <f t="shared" ref="F75:F81" si="14">(0.9*97.5+0.225*97.5+0.225*40)</f>
        <v>118.6875</v>
      </c>
      <c r="G75" s="1082">
        <f t="shared" si="13"/>
        <v>0</v>
      </c>
    </row>
    <row r="76" spans="1:7" s="1065" customFormat="1" ht="18" hidden="1" customHeight="1">
      <c r="A76" s="1079">
        <f t="shared" si="11"/>
        <v>5</v>
      </c>
      <c r="B76" s="1080" t="s">
        <v>1715</v>
      </c>
      <c r="C76" s="1079" t="s">
        <v>73</v>
      </c>
      <c r="D76" s="1079">
        <f t="shared" si="12"/>
        <v>0</v>
      </c>
      <c r="E76" s="1081">
        <f>('Slab Culvert 2V 6m x 2m spa'!I42)*D76</f>
        <v>0</v>
      </c>
      <c r="F76" s="1082">
        <f t="shared" si="14"/>
        <v>118.6875</v>
      </c>
      <c r="G76" s="1082">
        <f t="shared" si="13"/>
        <v>0</v>
      </c>
    </row>
    <row r="77" spans="1:7" s="1065" customFormat="1" ht="18" hidden="1" customHeight="1">
      <c r="A77" s="1079">
        <f t="shared" si="11"/>
        <v>6</v>
      </c>
      <c r="B77" s="1080" t="s">
        <v>1720</v>
      </c>
      <c r="C77" s="1079" t="s">
        <v>73</v>
      </c>
      <c r="D77" s="1079">
        <f t="shared" si="12"/>
        <v>0</v>
      </c>
      <c r="E77" s="1081">
        <f>('Slab Culvert 2V 6m x 2m spa'!I46)*D77</f>
        <v>0</v>
      </c>
      <c r="F77" s="1082">
        <f t="shared" si="14"/>
        <v>118.6875</v>
      </c>
      <c r="G77" s="1082">
        <f t="shared" si="13"/>
        <v>0</v>
      </c>
    </row>
    <row r="78" spans="1:7" s="1065" customFormat="1" ht="18" hidden="1" customHeight="1">
      <c r="A78" s="1079">
        <f t="shared" si="11"/>
        <v>7</v>
      </c>
      <c r="B78" s="1080" t="s">
        <v>1721</v>
      </c>
      <c r="C78" s="1079" t="s">
        <v>73</v>
      </c>
      <c r="D78" s="1079">
        <f t="shared" si="12"/>
        <v>0</v>
      </c>
      <c r="E78" s="1081">
        <f>('Slab Culvert 2V 6m x 2m spa'!I51-'Slab Culvert 2V 6m x 2m spa'!I46)*D78</f>
        <v>0</v>
      </c>
      <c r="F78" s="1082">
        <f t="shared" si="14"/>
        <v>118.6875</v>
      </c>
      <c r="G78" s="1082">
        <f t="shared" si="13"/>
        <v>0</v>
      </c>
    </row>
    <row r="79" spans="1:7" s="1065" customFormat="1" ht="18" hidden="1" customHeight="1">
      <c r="A79" s="1079">
        <f t="shared" si="11"/>
        <v>8</v>
      </c>
      <c r="B79" s="1080" t="s">
        <v>1722</v>
      </c>
      <c r="C79" s="1079" t="s">
        <v>73</v>
      </c>
      <c r="D79" s="1079">
        <f t="shared" si="12"/>
        <v>0</v>
      </c>
      <c r="E79" s="1081"/>
      <c r="F79" s="1082">
        <f t="shared" si="14"/>
        <v>118.6875</v>
      </c>
      <c r="G79" s="1082">
        <f t="shared" si="13"/>
        <v>0</v>
      </c>
    </row>
    <row r="80" spans="1:7" s="1065" customFormat="1" ht="18" hidden="1" customHeight="1">
      <c r="A80" s="1079">
        <f t="shared" si="11"/>
        <v>9</v>
      </c>
      <c r="B80" s="1080" t="s">
        <v>1723</v>
      </c>
      <c r="C80" s="1079" t="s">
        <v>73</v>
      </c>
      <c r="D80" s="1079">
        <f t="shared" si="12"/>
        <v>0</v>
      </c>
      <c r="E80" s="1081">
        <f>('Slab Culvert 2V 6m x 2m spa'!I65)*D80</f>
        <v>0</v>
      </c>
      <c r="F80" s="1082">
        <f t="shared" si="14"/>
        <v>118.6875</v>
      </c>
      <c r="G80" s="1082">
        <f t="shared" si="13"/>
        <v>0</v>
      </c>
    </row>
    <row r="81" spans="1:7" s="1065" customFormat="1" ht="18" hidden="1" customHeight="1">
      <c r="A81" s="1079">
        <f t="shared" si="11"/>
        <v>10</v>
      </c>
      <c r="B81" s="1080" t="s">
        <v>1724</v>
      </c>
      <c r="C81" s="1079" t="s">
        <v>73</v>
      </c>
      <c r="D81" s="1079">
        <f t="shared" si="12"/>
        <v>0</v>
      </c>
      <c r="E81" s="1081"/>
      <c r="F81" s="1082">
        <f t="shared" si="14"/>
        <v>118.6875</v>
      </c>
      <c r="G81" s="1082">
        <f t="shared" si="13"/>
        <v>0</v>
      </c>
    </row>
    <row r="82" spans="1:7" s="1065" customFormat="1" ht="18" hidden="1" customHeight="1">
      <c r="A82" s="1079">
        <f t="shared" si="11"/>
        <v>11</v>
      </c>
      <c r="B82" s="1080" t="s">
        <v>1725</v>
      </c>
      <c r="C82" s="1079" t="s">
        <v>73</v>
      </c>
      <c r="D82" s="1079">
        <f t="shared" si="12"/>
        <v>0</v>
      </c>
      <c r="E82" s="1081">
        <f>('Slab Culvert 2V 6m x 2m spa'!I61)*D82</f>
        <v>0</v>
      </c>
      <c r="F82" s="1082">
        <f>1.2*40</f>
        <v>48</v>
      </c>
      <c r="G82" s="1082">
        <f t="shared" si="13"/>
        <v>0</v>
      </c>
    </row>
    <row r="83" spans="1:7" s="1065" customFormat="1" ht="18" hidden="1" customHeight="1">
      <c r="A83" s="1079">
        <f t="shared" si="11"/>
        <v>12</v>
      </c>
      <c r="B83" s="1080" t="s">
        <v>1726</v>
      </c>
      <c r="C83" s="1079" t="s">
        <v>73</v>
      </c>
      <c r="D83" s="1079">
        <f t="shared" si="12"/>
        <v>0</v>
      </c>
      <c r="E83" s="1081">
        <f>('Slab Culvert 2V 6m x 2m spa'!I69)*D83</f>
        <v>0</v>
      </c>
      <c r="F83" s="1082">
        <v>30</v>
      </c>
      <c r="G83" s="1082">
        <f t="shared" si="13"/>
        <v>0</v>
      </c>
    </row>
    <row r="84" spans="1:7" s="1065" customFormat="1" ht="18" hidden="1" customHeight="1">
      <c r="A84" s="1079">
        <f t="shared" si="11"/>
        <v>13</v>
      </c>
      <c r="B84" s="1080" t="s">
        <v>1727</v>
      </c>
      <c r="C84" s="1079" t="s">
        <v>73</v>
      </c>
      <c r="D84" s="1079">
        <f t="shared" si="12"/>
        <v>0</v>
      </c>
      <c r="E84" s="1081">
        <f>('Slab Culvert 2V 6m x 2m spa'!I77)*D84</f>
        <v>0</v>
      </c>
      <c r="F84" s="1082">
        <f t="shared" ref="F84:F85" si="15">(0.9*97.5+0.225*97.5+0.225*40)</f>
        <v>118.6875</v>
      </c>
      <c r="G84" s="1082">
        <f t="shared" si="13"/>
        <v>0</v>
      </c>
    </row>
    <row r="85" spans="1:7" s="1065" customFormat="1" ht="18" hidden="1" customHeight="1">
      <c r="A85" s="1079">
        <f t="shared" si="11"/>
        <v>14</v>
      </c>
      <c r="B85" s="1080" t="s">
        <v>1728</v>
      </c>
      <c r="C85" s="1079" t="s">
        <v>73</v>
      </c>
      <c r="D85" s="1079">
        <f t="shared" si="12"/>
        <v>0</v>
      </c>
      <c r="E85" s="1081">
        <f>('Slab Culvert 2V 6m x 2m spa'!I77)*D85</f>
        <v>0</v>
      </c>
      <c r="F85" s="1082">
        <f t="shared" si="15"/>
        <v>118.6875</v>
      </c>
      <c r="G85" s="1082">
        <f t="shared" si="13"/>
        <v>0</v>
      </c>
    </row>
    <row r="86" spans="1:7" s="1065" customFormat="1" ht="18" hidden="1" customHeight="1">
      <c r="A86" s="1079">
        <v>15</v>
      </c>
      <c r="B86" s="1080" t="s">
        <v>1729</v>
      </c>
      <c r="C86" s="1079" t="s">
        <v>73</v>
      </c>
      <c r="D86" s="1079">
        <f>D84</f>
        <v>0</v>
      </c>
      <c r="E86" s="1081">
        <f>('Slab Culvert 2V 6m x 2m spa'!I89)*D86</f>
        <v>0</v>
      </c>
      <c r="F86" s="1082">
        <f>1.2*97.5</f>
        <v>117</v>
      </c>
      <c r="G86" s="1082">
        <f t="shared" si="13"/>
        <v>0</v>
      </c>
    </row>
    <row r="87" spans="1:7" s="1065" customFormat="1" ht="18" hidden="1" customHeight="1">
      <c r="A87" s="1079">
        <v>16</v>
      </c>
      <c r="B87" s="1080" t="s">
        <v>1730</v>
      </c>
      <c r="C87" s="1079" t="s">
        <v>73</v>
      </c>
      <c r="D87" s="1079">
        <f>D85</f>
        <v>0</v>
      </c>
      <c r="E87" s="1081">
        <f>('Slab Culvert 2V 6m x 2m spa'!I95)*D87</f>
        <v>0</v>
      </c>
      <c r="F87" s="1082">
        <f>1.2*97.5</f>
        <v>117</v>
      </c>
      <c r="G87" s="1082">
        <f t="shared" si="13"/>
        <v>0</v>
      </c>
    </row>
    <row r="88" spans="1:7" s="1066" customFormat="1" hidden="1">
      <c r="A88" s="1084"/>
      <c r="B88" s="3691" t="s">
        <v>1733</v>
      </c>
      <c r="C88" s="3691"/>
      <c r="D88" s="3691"/>
      <c r="E88" s="3691"/>
      <c r="F88" s="3691"/>
      <c r="G88" s="1085"/>
    </row>
    <row r="89" spans="1:7" s="1065" customFormat="1" ht="18" hidden="1" customHeight="1">
      <c r="A89" s="1079">
        <v>1</v>
      </c>
      <c r="B89" s="1080" t="s">
        <v>1712</v>
      </c>
      <c r="C89" s="1079" t="s">
        <v>73</v>
      </c>
      <c r="D89" s="1086">
        <f>'CD Abs'!C11</f>
        <v>0</v>
      </c>
      <c r="E89" s="1081">
        <f>('Road dam 30m'!I10)*D89</f>
        <v>0</v>
      </c>
      <c r="F89" s="1082">
        <v>30</v>
      </c>
      <c r="G89" s="1082">
        <f t="shared" ref="G89:G97" si="16">ROUND(F89*E89,0)</f>
        <v>0</v>
      </c>
    </row>
    <row r="90" spans="1:7" s="1065" customFormat="1" ht="18" hidden="1" customHeight="1">
      <c r="A90" s="1079">
        <f t="shared" ref="A90:A96" si="17">A89+1</f>
        <v>2</v>
      </c>
      <c r="B90" s="1080" t="s">
        <v>1713</v>
      </c>
      <c r="C90" s="1079" t="s">
        <v>73</v>
      </c>
      <c r="D90" s="1079">
        <f t="shared" ref="D90:D96" si="18">D89</f>
        <v>0</v>
      </c>
      <c r="E90" s="1081">
        <f>('Road dam 30m'!I17)*D90</f>
        <v>0</v>
      </c>
      <c r="F90" s="1082">
        <f>(0.6*97.5+0.6*40)</f>
        <v>82.5</v>
      </c>
      <c r="G90" s="1082">
        <f t="shared" si="16"/>
        <v>0</v>
      </c>
    </row>
    <row r="91" spans="1:7" s="1065" customFormat="1" ht="18" hidden="1" customHeight="1">
      <c r="A91" s="1079">
        <f t="shared" si="17"/>
        <v>3</v>
      </c>
      <c r="B91" s="1080" t="s">
        <v>1734</v>
      </c>
      <c r="C91" s="1079" t="s">
        <v>73</v>
      </c>
      <c r="D91" s="1079">
        <f t="shared" si="18"/>
        <v>0</v>
      </c>
      <c r="E91" s="1081">
        <f>('Road dam 30m'!I29)*D91</f>
        <v>0</v>
      </c>
      <c r="F91" s="1082">
        <f>(0.92*97.5+0.23*97.5+0.23*40)</f>
        <v>121.325</v>
      </c>
      <c r="G91" s="1082">
        <f t="shared" si="16"/>
        <v>0</v>
      </c>
    </row>
    <row r="92" spans="1:7" s="1065" customFormat="1" ht="18" hidden="1" customHeight="1">
      <c r="A92" s="1079">
        <f t="shared" si="17"/>
        <v>4</v>
      </c>
      <c r="B92" s="1080" t="s">
        <v>1714</v>
      </c>
      <c r="C92" s="1079" t="s">
        <v>73</v>
      </c>
      <c r="D92" s="1079">
        <f t="shared" si="18"/>
        <v>0</v>
      </c>
      <c r="E92" s="1081">
        <f>('Road dam 30m'!I41)*D92</f>
        <v>0</v>
      </c>
      <c r="F92" s="1082">
        <f>(0.9*97.5+0.225*97.5+0.225*40)</f>
        <v>118.6875</v>
      </c>
      <c r="G92" s="1082">
        <f t="shared" si="16"/>
        <v>0</v>
      </c>
    </row>
    <row r="93" spans="1:7" s="1065" customFormat="1" ht="18" hidden="1" customHeight="1">
      <c r="A93" s="1079">
        <f t="shared" si="17"/>
        <v>5</v>
      </c>
      <c r="B93" s="1080" t="s">
        <v>1715</v>
      </c>
      <c r="C93" s="1079" t="s">
        <v>73</v>
      </c>
      <c r="D93" s="1079">
        <f t="shared" si="18"/>
        <v>0</v>
      </c>
      <c r="E93" s="1081">
        <v>0</v>
      </c>
      <c r="F93" s="1082">
        <f>(0.9*97.5+0.225*97.5+0.225*40)</f>
        <v>118.6875</v>
      </c>
      <c r="G93" s="1082">
        <f t="shared" si="16"/>
        <v>0</v>
      </c>
    </row>
    <row r="94" spans="1:7" s="1065" customFormat="1" ht="18" hidden="1" customHeight="1">
      <c r="A94" s="1079">
        <f t="shared" si="17"/>
        <v>6</v>
      </c>
      <c r="B94" s="1080" t="s">
        <v>1735</v>
      </c>
      <c r="C94" s="1079" t="s">
        <v>73</v>
      </c>
      <c r="D94" s="1079">
        <f t="shared" si="18"/>
        <v>0</v>
      </c>
      <c r="E94" s="1081">
        <v>0</v>
      </c>
      <c r="F94" s="1082">
        <f>(0.9*97.5+0.225*97.5+0.225*40)</f>
        <v>118.6875</v>
      </c>
      <c r="G94" s="1082">
        <f t="shared" si="16"/>
        <v>0</v>
      </c>
    </row>
    <row r="95" spans="1:7" s="1065" customFormat="1" ht="18" hidden="1" customHeight="1">
      <c r="A95" s="1079">
        <f t="shared" si="17"/>
        <v>7</v>
      </c>
      <c r="B95" s="1080" t="s">
        <v>1723</v>
      </c>
      <c r="C95" s="1079" t="s">
        <v>73</v>
      </c>
      <c r="D95" s="1079">
        <f t="shared" si="18"/>
        <v>0</v>
      </c>
      <c r="E95" s="1081">
        <f>('Road dam 30m'!I62)*D95</f>
        <v>0</v>
      </c>
      <c r="F95" s="1082">
        <f>(0.9*97.5+0.225*97.5+0.225*40)</f>
        <v>118.6875</v>
      </c>
      <c r="G95" s="1082">
        <f t="shared" si="16"/>
        <v>0</v>
      </c>
    </row>
    <row r="96" spans="1:7" s="1065" customFormat="1" ht="18" hidden="1" customHeight="1">
      <c r="A96" s="1079">
        <f t="shared" si="17"/>
        <v>8</v>
      </c>
      <c r="B96" s="1080" t="s">
        <v>1725</v>
      </c>
      <c r="C96" s="1079" t="s">
        <v>73</v>
      </c>
      <c r="D96" s="1079">
        <f t="shared" si="18"/>
        <v>0</v>
      </c>
      <c r="E96" s="1081">
        <f>('Road dam 30m'!I51)*D96</f>
        <v>0</v>
      </c>
      <c r="F96" s="1082">
        <f>1.2*40</f>
        <v>48</v>
      </c>
      <c r="G96" s="1082">
        <f t="shared" si="16"/>
        <v>0</v>
      </c>
    </row>
    <row r="97" spans="1:10" s="1065" customFormat="1" ht="18" hidden="1" customHeight="1">
      <c r="A97" s="1079">
        <v>9</v>
      </c>
      <c r="B97" s="1080" t="s">
        <v>1730</v>
      </c>
      <c r="C97" s="1079" t="s">
        <v>73</v>
      </c>
      <c r="D97" s="1079">
        <f>D95</f>
        <v>0</v>
      </c>
      <c r="E97" s="1081">
        <f>('Road dam 30m'!I57)*D97</f>
        <v>0</v>
      </c>
      <c r="F97" s="1082">
        <f>1.2*97.5</f>
        <v>117</v>
      </c>
      <c r="G97" s="1082">
        <f t="shared" si="16"/>
        <v>0</v>
      </c>
    </row>
    <row r="98" spans="1:10" s="1066" customFormat="1" ht="21" hidden="1" customHeight="1">
      <c r="A98" s="1084"/>
      <c r="B98" s="3691" t="s">
        <v>1736</v>
      </c>
      <c r="C98" s="3691"/>
      <c r="D98" s="3691"/>
      <c r="E98" s="3691"/>
      <c r="F98" s="3691"/>
      <c r="G98" s="1085"/>
    </row>
    <row r="99" spans="1:10" s="1065" customFormat="1" ht="18" hidden="1" customHeight="1">
      <c r="A99" s="1079">
        <v>1</v>
      </c>
      <c r="B99" s="1080" t="s">
        <v>1712</v>
      </c>
      <c r="C99" s="1079" t="s">
        <v>73</v>
      </c>
      <c r="D99" s="1086">
        <f>'CD Abs'!C12</f>
        <v>0</v>
      </c>
      <c r="E99" s="1087">
        <f>('Ret wall'!I8)*D99</f>
        <v>0</v>
      </c>
      <c r="F99" s="1082">
        <v>30</v>
      </c>
      <c r="G99" s="1082">
        <f t="shared" ref="G99:G102" si="19">ROUND(F99*E99,0)</f>
        <v>0</v>
      </c>
    </row>
    <row r="100" spans="1:10" s="1065" customFormat="1" ht="18" hidden="1" customHeight="1">
      <c r="A100" s="1079">
        <f>A99+1</f>
        <v>2</v>
      </c>
      <c r="B100" s="1080" t="s">
        <v>1737</v>
      </c>
      <c r="C100" s="1079" t="s">
        <v>73</v>
      </c>
      <c r="D100" s="1079">
        <f>D99</f>
        <v>0</v>
      </c>
      <c r="E100" s="1087">
        <f>('Ret wall'!I18)*D100</f>
        <v>0</v>
      </c>
      <c r="F100" s="1082">
        <f>(0.92*97.5+0.23*97.5+0.23*40)</f>
        <v>121.325</v>
      </c>
      <c r="G100" s="1082">
        <f t="shared" si="19"/>
        <v>0</v>
      </c>
    </row>
    <row r="101" spans="1:10" s="1065" customFormat="1" ht="18" hidden="1" customHeight="1">
      <c r="A101" s="1079">
        <f>A100+1</f>
        <v>3</v>
      </c>
      <c r="B101" s="1080" t="s">
        <v>1714</v>
      </c>
      <c r="C101" s="1079" t="s">
        <v>73</v>
      </c>
      <c r="D101" s="1079">
        <f>D100</f>
        <v>0</v>
      </c>
      <c r="E101" s="1087">
        <f>('Ret wall'!I23)*D101</f>
        <v>0</v>
      </c>
      <c r="F101" s="1082">
        <f>(0.9*97.5+0.225*97.5+0.225*40)</f>
        <v>118.6875</v>
      </c>
      <c r="G101" s="1082">
        <f t="shared" si="19"/>
        <v>0</v>
      </c>
    </row>
    <row r="102" spans="1:10" s="1065" customFormat="1" ht="18" hidden="1" customHeight="1">
      <c r="A102" s="1079">
        <f>A101+1</f>
        <v>4</v>
      </c>
      <c r="B102" s="1080" t="s">
        <v>1715</v>
      </c>
      <c r="C102" s="1079" t="s">
        <v>73</v>
      </c>
      <c r="D102" s="1079">
        <f>D101</f>
        <v>0</v>
      </c>
      <c r="E102" s="1087">
        <f>('Ret wall'!I27)*D102</f>
        <v>0</v>
      </c>
      <c r="F102" s="1082">
        <f>(0.9*97.5+0.225*97.5+0.225*40)</f>
        <v>118.6875</v>
      </c>
      <c r="G102" s="1082">
        <f t="shared" si="19"/>
        <v>0</v>
      </c>
    </row>
    <row r="103" spans="1:10" s="1065" customFormat="1" hidden="1">
      <c r="A103" s="1072"/>
      <c r="B103" s="3693" t="s">
        <v>1738</v>
      </c>
      <c r="C103" s="3693"/>
      <c r="D103" s="3693"/>
      <c r="E103" s="3693"/>
      <c r="F103" s="3693"/>
      <c r="G103" s="1088"/>
    </row>
    <row r="104" spans="1:10" s="1065" customFormat="1" ht="18" hidden="1" customHeight="1">
      <c r="A104" s="1079">
        <v>1</v>
      </c>
      <c r="B104" s="1080" t="s">
        <v>1712</v>
      </c>
      <c r="C104" s="1079" t="s">
        <v>73</v>
      </c>
      <c r="D104" s="1086">
        <f>'CD Abs'!C13</f>
        <v>0</v>
      </c>
      <c r="E104" s="1081">
        <f>('Drain '!I10)*D104</f>
        <v>0</v>
      </c>
      <c r="F104" s="1082">
        <v>30</v>
      </c>
      <c r="G104" s="1082">
        <f t="shared" ref="G104:G106" si="20">ROUND(F104*E104,0)</f>
        <v>0</v>
      </c>
    </row>
    <row r="105" spans="1:10" s="1065" customFormat="1" ht="18" hidden="1" customHeight="1">
      <c r="A105" s="1079">
        <f>A104+1</f>
        <v>2</v>
      </c>
      <c r="B105" s="1080" t="s">
        <v>1739</v>
      </c>
      <c r="C105" s="1079" t="s">
        <v>73</v>
      </c>
      <c r="D105" s="1079">
        <f>D104</f>
        <v>0</v>
      </c>
      <c r="E105" s="1081">
        <f>('Drain '!I16)*D105</f>
        <v>0</v>
      </c>
      <c r="F105" s="1082">
        <f>(0.6*97.5+0.6*40)</f>
        <v>82.5</v>
      </c>
      <c r="G105" s="1082">
        <f t="shared" si="20"/>
        <v>0</v>
      </c>
    </row>
    <row r="106" spans="1:10" s="1065" customFormat="1" ht="18" hidden="1" customHeight="1">
      <c r="A106" s="1079">
        <f>A105+1</f>
        <v>3</v>
      </c>
      <c r="B106" s="1080" t="s">
        <v>1740</v>
      </c>
      <c r="C106" s="1079" t="s">
        <v>73</v>
      </c>
      <c r="D106" s="1079">
        <f>D105</f>
        <v>0</v>
      </c>
      <c r="E106" s="1081">
        <f>('Drain '!I24)*D106</f>
        <v>0</v>
      </c>
      <c r="F106" s="1082">
        <f>(0.9*97.5+0.225*97.5+0.225*40)</f>
        <v>118.6875</v>
      </c>
      <c r="G106" s="1082">
        <f t="shared" si="20"/>
        <v>0</v>
      </c>
    </row>
    <row r="107" spans="1:10" s="1065" customFormat="1" ht="18.75" customHeight="1">
      <c r="A107" s="1079"/>
      <c r="B107" s="3694" t="s">
        <v>1741</v>
      </c>
      <c r="C107" s="3694"/>
      <c r="D107" s="3694"/>
      <c r="E107" s="3694"/>
      <c r="F107" s="3694"/>
      <c r="G107" s="1089">
        <f>SUM(G8:G106)</f>
        <v>170348</v>
      </c>
    </row>
    <row r="108" spans="1:10" s="1067" customFormat="1">
      <c r="A108" s="1090"/>
      <c r="B108" s="1091"/>
      <c r="C108" s="1090"/>
      <c r="D108" s="1090"/>
    </row>
    <row r="109" spans="1:10" s="1067" customFormat="1">
      <c r="A109" s="1090"/>
      <c r="B109" s="1092"/>
      <c r="C109" s="1093"/>
      <c r="D109" s="1093"/>
      <c r="E109" s="1094"/>
      <c r="F109" s="1095"/>
      <c r="G109" s="1095"/>
    </row>
    <row r="110" spans="1:10" s="1067" customFormat="1">
      <c r="A110" s="1090"/>
      <c r="B110" s="1091"/>
      <c r="C110" s="1090"/>
      <c r="D110" s="1090"/>
    </row>
    <row r="111" spans="1:10" s="1068" customFormat="1" hidden="1">
      <c r="A111" s="1068" t="s">
        <v>1742</v>
      </c>
      <c r="B111" s="1096"/>
      <c r="C111" s="1097"/>
      <c r="D111" s="1097"/>
      <c r="E111" s="1096"/>
      <c r="F111" s="1096"/>
      <c r="J111" s="1101"/>
    </row>
    <row r="112" spans="1:10" s="1068" customFormat="1" hidden="1">
      <c r="A112" s="1068" t="s">
        <v>1743</v>
      </c>
      <c r="B112" s="1096"/>
      <c r="C112" s="1097"/>
      <c r="D112" s="1097"/>
      <c r="E112" s="1096"/>
      <c r="F112" s="1096"/>
      <c r="J112" s="1101"/>
    </row>
    <row r="113" spans="2:6" s="1064" customFormat="1" hidden="1">
      <c r="B113" s="1092"/>
      <c r="C113" s="1093"/>
      <c r="D113" s="1093"/>
    </row>
    <row r="114" spans="2:6" s="1064" customFormat="1" hidden="1">
      <c r="B114" s="1092"/>
      <c r="C114" s="1093"/>
      <c r="D114" s="1093"/>
    </row>
    <row r="115" spans="2:6" s="1065" customFormat="1" ht="15.9" customHeight="1">
      <c r="B115" s="1098" t="str">
        <f>'Pipe data'!D252</f>
        <v>Asst Exe Engineer,</v>
      </c>
      <c r="C115" s="3692" t="str">
        <f>'Pipe data'!E252</f>
        <v>Dy. Exe. Engineer</v>
      </c>
      <c r="D115" s="3692"/>
      <c r="E115" s="3692"/>
      <c r="F115" s="3692"/>
    </row>
    <row r="116" spans="2:6" s="1065" customFormat="1" ht="15.9" customHeight="1">
      <c r="B116" s="1098" t="str">
        <f>'Pipe data'!D274</f>
        <v>PRSD Maddur</v>
      </c>
      <c r="C116" s="3692" t="str">
        <f>'Pipe data'!E274</f>
        <v>PRSD, Maddur</v>
      </c>
      <c r="D116" s="3692"/>
      <c r="E116" s="3692"/>
      <c r="F116" s="3692"/>
    </row>
    <row r="117" spans="2:6" s="1065" customFormat="1">
      <c r="B117" s="1100"/>
      <c r="C117" s="1099"/>
      <c r="D117" s="1099"/>
    </row>
    <row r="118" spans="2:6" s="1065" customFormat="1">
      <c r="B118" s="1100"/>
      <c r="C118" s="1099"/>
      <c r="D118" s="1099"/>
    </row>
    <row r="119" spans="2:6" s="1065" customFormat="1">
      <c r="B119" s="1100"/>
      <c r="C119" s="1099"/>
      <c r="D119" s="1099"/>
    </row>
    <row r="120" spans="2:6" s="1065" customFormat="1" ht="15.9" customHeight="1">
      <c r="B120" s="1098" t="str">
        <f>'Pipe data'!D399</f>
        <v>District Panchayat Raj Engineer,</v>
      </c>
      <c r="C120" s="3692" t="str">
        <f>'Pipe data'!E399</f>
        <v>Superintending Engineer</v>
      </c>
      <c r="D120" s="3692"/>
      <c r="E120" s="3692"/>
      <c r="F120" s="3692"/>
    </row>
    <row r="121" spans="2:6" s="1065" customFormat="1" ht="15.9" customHeight="1">
      <c r="B121" s="1098" t="str">
        <f>'Pipe data'!D400</f>
        <v>PR Division, Narayanpet</v>
      </c>
      <c r="C121" s="3692" t="str">
        <f>GA!C38</f>
        <v>PR, Circle, Vikarabad</v>
      </c>
      <c r="D121" s="3692"/>
      <c r="E121" s="3692"/>
      <c r="F121" s="3692"/>
    </row>
    <row r="122" spans="2:6">
      <c r="B122" s="1092"/>
    </row>
    <row r="123" spans="2:6">
      <c r="B123" s="1092"/>
    </row>
    <row r="124" spans="2:6">
      <c r="B124" s="1092"/>
    </row>
    <row r="125" spans="2:6">
      <c r="B125" s="1092"/>
    </row>
  </sheetData>
  <protectedRanges>
    <protectedRange sqref="G111:G112" name="Range4_1_2"/>
    <protectedRange sqref="J111:K112" name="Range4_1_1_1"/>
  </protectedRanges>
  <mergeCells count="16">
    <mergeCell ref="C121:F121"/>
    <mergeCell ref="B103:F103"/>
    <mergeCell ref="B107:F107"/>
    <mergeCell ref="C115:F115"/>
    <mergeCell ref="C116:F116"/>
    <mergeCell ref="C120:F120"/>
    <mergeCell ref="B37:F37"/>
    <mergeCell ref="B54:F54"/>
    <mergeCell ref="B71:F71"/>
    <mergeCell ref="B88:F88"/>
    <mergeCell ref="B98:F98"/>
    <mergeCell ref="A1:G1"/>
    <mergeCell ref="A2:G2"/>
    <mergeCell ref="B18:F18"/>
    <mergeCell ref="B25:F25"/>
    <mergeCell ref="B31:F31"/>
  </mergeCells>
  <printOptions horizontalCentered="1"/>
  <pageMargins left="0.59055118110236204" right="0.196850393700787" top="0.59055118110236204" bottom="0.39370078740157499" header="0.511811023622047" footer="0.23622047244094499"/>
  <pageSetup paperSize="9" scale="78"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rgb="FFFF0000"/>
  </sheetPr>
  <dimension ref="A1:P613"/>
  <sheetViews>
    <sheetView view="pageBreakPreview" topLeftCell="A14" workbookViewId="0">
      <selection activeCell="D21" sqref="D21"/>
    </sheetView>
  </sheetViews>
  <sheetFormatPr defaultColWidth="8.88671875" defaultRowHeight="14.4"/>
  <cols>
    <col min="1" max="1" width="6.44140625" style="1004" customWidth="1"/>
    <col min="2" max="2" width="11.44140625" style="1005" customWidth="1"/>
    <col min="3" max="3" width="9.109375" style="1004"/>
    <col min="4" max="4" width="69.5546875" style="489" customWidth="1"/>
    <col min="5" max="5" width="9.5546875" style="489" customWidth="1"/>
    <col min="6" max="6" width="8.5546875" style="1006" customWidth="1"/>
    <col min="7" max="7" width="11.44140625" style="489" customWidth="1"/>
    <col min="8" max="8" width="15.33203125" style="489" customWidth="1"/>
    <col min="9" max="9" width="15" style="489" customWidth="1"/>
    <col min="10" max="10" width="14.44140625" style="489" customWidth="1"/>
    <col min="11" max="11" width="15.33203125" style="489" customWidth="1"/>
    <col min="12" max="16384" width="8.88671875" style="489"/>
  </cols>
  <sheetData>
    <row r="1" spans="1:14">
      <c r="A1" s="3695" t="s">
        <v>1744</v>
      </c>
      <c r="B1" s="3695"/>
      <c r="C1" s="3695"/>
      <c r="D1" s="3695"/>
      <c r="E1" s="3695"/>
      <c r="F1" s="3695"/>
      <c r="G1" s="3695"/>
      <c r="H1" s="3695"/>
    </row>
    <row r="2" spans="1:14">
      <c r="A2" s="3695" t="s">
        <v>1745</v>
      </c>
      <c r="B2" s="3695"/>
      <c r="C2" s="3695"/>
      <c r="D2" s="3695"/>
      <c r="E2" s="3695"/>
      <c r="F2" s="3695"/>
      <c r="G2" s="3695"/>
      <c r="H2" s="3695"/>
    </row>
    <row r="3" spans="1:14" ht="32.4" customHeight="1">
      <c r="A3" s="1008" t="s">
        <v>1746</v>
      </c>
      <c r="B3" s="1009"/>
      <c r="C3" s="1007"/>
      <c r="D3" s="3696" t="str">
        <f>+'Input Data'!E1</f>
        <v xml:space="preserve">BT Renewal from Balabadraipally to Danamma Thanda of Gundumal Mandal in Narayanpet District </v>
      </c>
      <c r="E3" s="3696"/>
      <c r="F3" s="3696"/>
      <c r="G3" s="3696"/>
      <c r="H3" s="3696"/>
    </row>
    <row r="4" spans="1:14">
      <c r="A4" s="1010" t="s">
        <v>1747</v>
      </c>
      <c r="B4" s="1011"/>
      <c r="C4" s="1012">
        <f>+'Input Data'!J4</f>
        <v>96.15</v>
      </c>
      <c r="D4" s="1013" t="s">
        <v>329</v>
      </c>
      <c r="E4" s="786" t="s">
        <v>388</v>
      </c>
      <c r="F4" s="3697" t="str">
        <f>'Input Data'!J6</f>
        <v>SDF-2024-25</v>
      </c>
      <c r="G4" s="3697"/>
      <c r="H4" s="787" t="str">
        <f>"NIT.No-"&amp;'Input Data'!L5</f>
        <v>NIT.No--</v>
      </c>
    </row>
    <row r="5" spans="1:14" ht="75" customHeight="1">
      <c r="A5" s="786" t="s">
        <v>1748</v>
      </c>
      <c r="B5" s="3639" t="s">
        <v>1749</v>
      </c>
      <c r="C5" s="3639"/>
      <c r="D5" s="3639"/>
      <c r="E5" s="3639"/>
      <c r="F5" s="3639"/>
      <c r="G5" s="3639"/>
      <c r="H5" s="3639"/>
    </row>
    <row r="6" spans="1:14" ht="60" customHeight="1">
      <c r="A6" s="786" t="s">
        <v>1750</v>
      </c>
      <c r="B6" s="3639" t="s">
        <v>1751</v>
      </c>
      <c r="C6" s="3639"/>
      <c r="D6" s="3639"/>
      <c r="E6" s="3639"/>
      <c r="F6" s="3639"/>
      <c r="G6" s="3639"/>
      <c r="H6" s="3639"/>
    </row>
    <row r="7" spans="1:14" ht="17.399999999999999" customHeight="1">
      <c r="A7" s="786" t="s">
        <v>1752</v>
      </c>
      <c r="B7" s="3699" t="s">
        <v>1753</v>
      </c>
      <c r="C7" s="3699"/>
      <c r="D7" s="3699"/>
      <c r="E7" s="3699"/>
      <c r="F7" s="3699"/>
      <c r="G7" s="3699"/>
      <c r="H7" s="3699"/>
    </row>
    <row r="8" spans="1:14" ht="28.95" customHeight="1">
      <c r="A8" s="786" t="s">
        <v>1754</v>
      </c>
      <c r="B8" s="3639" t="s">
        <v>1755</v>
      </c>
      <c r="C8" s="3639"/>
      <c r="D8" s="3639"/>
      <c r="E8" s="3639"/>
      <c r="F8" s="3639"/>
      <c r="G8" s="3639"/>
      <c r="H8" s="3639"/>
    </row>
    <row r="9" spans="1:14" ht="86.4">
      <c r="A9" s="1015" t="s">
        <v>486</v>
      </c>
      <c r="B9" s="1016" t="s">
        <v>1756</v>
      </c>
      <c r="C9" s="1015" t="s">
        <v>607</v>
      </c>
      <c r="D9" s="1015" t="s">
        <v>1757</v>
      </c>
      <c r="E9" s="1015" t="s">
        <v>1758</v>
      </c>
      <c r="F9" s="1017" t="s">
        <v>1759</v>
      </c>
      <c r="G9" s="1018" t="s">
        <v>1760</v>
      </c>
      <c r="H9" s="1015" t="s">
        <v>556</v>
      </c>
    </row>
    <row r="10" spans="1:14">
      <c r="A10" s="1015">
        <v>1</v>
      </c>
      <c r="B10" s="1015">
        <v>2</v>
      </c>
      <c r="C10" s="1015">
        <v>3</v>
      </c>
      <c r="D10" s="1015">
        <v>4</v>
      </c>
      <c r="E10" s="1015">
        <v>5</v>
      </c>
      <c r="F10" s="1017">
        <v>6</v>
      </c>
      <c r="G10" s="1015">
        <v>7</v>
      </c>
      <c r="H10" s="1015">
        <v>8</v>
      </c>
    </row>
    <row r="11" spans="1:14">
      <c r="A11" s="1015"/>
      <c r="B11" s="1016"/>
      <c r="C11" s="1015">
        <v>1</v>
      </c>
      <c r="D11" s="1019" t="s">
        <v>1761</v>
      </c>
      <c r="E11" s="1020"/>
      <c r="F11" s="1017"/>
      <c r="G11" s="1020"/>
      <c r="H11" s="1020"/>
      <c r="L11" s="1021">
        <v>1</v>
      </c>
      <c r="M11" s="1021">
        <v>0</v>
      </c>
      <c r="N11" s="1031">
        <f>H11</f>
        <v>0</v>
      </c>
    </row>
    <row r="12" spans="1:14" ht="106.95" customHeight="1">
      <c r="A12" s="1021">
        <f>L12</f>
        <v>1</v>
      </c>
      <c r="B12" s="1022">
        <f>'Road Estimate'!I10</f>
        <v>4920</v>
      </c>
      <c r="C12" s="497" t="s">
        <v>353</v>
      </c>
      <c r="D12" s="499" t="str">
        <f>'Road Estimate'!B5</f>
        <v>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v>
      </c>
      <c r="E12" s="516" t="s">
        <v>1762</v>
      </c>
      <c r="F12" s="1023" t="s">
        <v>1763</v>
      </c>
      <c r="G12" s="517">
        <f>'Road Estimate'!$J$10</f>
        <v>3.93</v>
      </c>
      <c r="H12" s="1024">
        <f>ROUND(B12*G12,0)</f>
        <v>19336</v>
      </c>
      <c r="L12" s="1032">
        <f t="shared" ref="L12" si="0">IF(M12=M11,0,M12)</f>
        <v>1</v>
      </c>
      <c r="M12" s="1032">
        <f>IF(N12&gt;0,(M11+1),M11)</f>
        <v>1</v>
      </c>
      <c r="N12" s="1031">
        <f>H12</f>
        <v>19336</v>
      </c>
    </row>
    <row r="13" spans="1:14" ht="67.95" customHeight="1">
      <c r="A13" s="1021">
        <f t="shared" ref="A13:A29" si="1">L13</f>
        <v>0</v>
      </c>
      <c r="B13" s="1022">
        <f>'Road Estimate'!I14</f>
        <v>0</v>
      </c>
      <c r="C13" s="497" t="s">
        <v>31</v>
      </c>
      <c r="D13" s="499" t="str">
        <f>'Road Estimate'!B12</f>
        <v xml:space="preserve">Scarifying the granular surface  to a depth of 50 mm by Mechanical means and re-using the scarified material with all leads and lifts  as per MoRT&amp;H (5th Revision) Specn. No.305.4.3    </v>
      </c>
      <c r="E13" s="516" t="s">
        <v>1764</v>
      </c>
      <c r="F13" s="1023" t="s">
        <v>53</v>
      </c>
      <c r="G13" s="517">
        <f>'Road Estimate'!J14</f>
        <v>43.84</v>
      </c>
      <c r="H13" s="1025">
        <f>ROUND(B13*G13,0)</f>
        <v>0</v>
      </c>
      <c r="L13" s="1032">
        <f t="shared" ref="L13:L23" si="2">IF(M13=M12,0,M13)</f>
        <v>0</v>
      </c>
      <c r="M13" s="1032">
        <f t="shared" ref="M13:M23" si="3">IF(N13&gt;0,(M12+1),M12)</f>
        <v>1</v>
      </c>
      <c r="N13" s="1031">
        <f t="shared" ref="N13:N76" si="4">H13</f>
        <v>0</v>
      </c>
    </row>
    <row r="14" spans="1:14" ht="124.2" customHeight="1">
      <c r="A14" s="1021">
        <f t="shared" si="1"/>
        <v>0</v>
      </c>
      <c r="B14" s="1022">
        <f>'Road Estimate'!I18</f>
        <v>0</v>
      </c>
      <c r="C14" s="497" t="s">
        <v>31</v>
      </c>
      <c r="D14" s="499" t="str">
        <f>'Road Estimate'!B16</f>
        <v>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v>
      </c>
      <c r="E14" s="516" t="s">
        <v>1765</v>
      </c>
      <c r="F14" s="1023" t="s">
        <v>53</v>
      </c>
      <c r="G14" s="517">
        <f>'Road Estimate'!$J$18</f>
        <v>127.41</v>
      </c>
      <c r="H14" s="1025">
        <f t="shared" ref="H14:H31" si="5">ROUND(B14*G14,0)</f>
        <v>0</v>
      </c>
      <c r="L14" s="1032">
        <f t="shared" si="2"/>
        <v>0</v>
      </c>
      <c r="M14" s="1032">
        <f t="shared" si="3"/>
        <v>1</v>
      </c>
      <c r="N14" s="1031">
        <f t="shared" si="4"/>
        <v>0</v>
      </c>
    </row>
    <row r="15" spans="1:14" ht="148.19999999999999" customHeight="1">
      <c r="A15" s="1021"/>
      <c r="B15" s="1022">
        <v>0</v>
      </c>
      <c r="C15" s="497" t="s">
        <v>31</v>
      </c>
      <c r="D15" s="499"/>
      <c r="E15" s="516" t="s">
        <v>1765</v>
      </c>
      <c r="F15" s="1023" t="s">
        <v>53</v>
      </c>
      <c r="G15" s="517"/>
      <c r="H15" s="1025"/>
      <c r="L15" s="1032">
        <f t="shared" si="2"/>
        <v>0</v>
      </c>
      <c r="M15" s="1032">
        <f t="shared" si="3"/>
        <v>1</v>
      </c>
      <c r="N15" s="1031">
        <f t="shared" si="4"/>
        <v>0</v>
      </c>
    </row>
    <row r="16" spans="1:14" ht="54.6" customHeight="1">
      <c r="A16" s="1021"/>
      <c r="B16" s="1022"/>
      <c r="C16" s="497"/>
      <c r="D16" s="499"/>
      <c r="E16" s="516" t="s">
        <v>1766</v>
      </c>
      <c r="F16" s="1023" t="s">
        <v>137</v>
      </c>
      <c r="G16" s="517"/>
      <c r="H16" s="1025"/>
      <c r="L16" s="1032">
        <f t="shared" si="2"/>
        <v>0</v>
      </c>
      <c r="M16" s="1032">
        <f t="shared" si="3"/>
        <v>1</v>
      </c>
      <c r="N16" s="1031">
        <f t="shared" si="4"/>
        <v>0</v>
      </c>
    </row>
    <row r="17" spans="1:14" ht="95.4" customHeight="1">
      <c r="A17" s="1021">
        <f t="shared" si="1"/>
        <v>2</v>
      </c>
      <c r="B17" s="1022">
        <f>'Road Estimate'!I62</f>
        <v>1164.3800000000001</v>
      </c>
      <c r="C17" s="497" t="s">
        <v>31</v>
      </c>
      <c r="D17" s="1026" t="str">
        <f>'Road Estimate'!B60</f>
        <v>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v>
      </c>
      <c r="E17" s="516" t="s">
        <v>1765</v>
      </c>
      <c r="F17" s="1023" t="s">
        <v>53</v>
      </c>
      <c r="G17" s="517">
        <f>'Road Estimate'!$J$62</f>
        <v>288.3</v>
      </c>
      <c r="H17" s="1025">
        <f t="shared" si="5"/>
        <v>335691</v>
      </c>
      <c r="L17" s="1032">
        <f t="shared" si="2"/>
        <v>2</v>
      </c>
      <c r="M17" s="1032">
        <f t="shared" si="3"/>
        <v>2</v>
      </c>
      <c r="N17" s="1031">
        <f t="shared" si="4"/>
        <v>335691</v>
      </c>
    </row>
    <row r="18" spans="1:14" ht="151.19999999999999" hidden="1" customHeight="1">
      <c r="A18" s="1021">
        <f t="shared" si="1"/>
        <v>0</v>
      </c>
      <c r="B18" s="1022"/>
      <c r="C18" s="497" t="s">
        <v>31</v>
      </c>
      <c r="D18" s="499"/>
      <c r="E18" s="516" t="s">
        <v>1767</v>
      </c>
      <c r="F18" s="1023" t="s">
        <v>53</v>
      </c>
      <c r="G18" s="517"/>
      <c r="H18" s="1025"/>
      <c r="L18" s="1032">
        <f t="shared" si="2"/>
        <v>0</v>
      </c>
      <c r="M18" s="1032">
        <f t="shared" si="3"/>
        <v>2</v>
      </c>
      <c r="N18" s="1031">
        <f t="shared" si="4"/>
        <v>0</v>
      </c>
    </row>
    <row r="19" spans="1:14" ht="165.6" hidden="1" customHeight="1">
      <c r="A19" s="1021"/>
      <c r="B19" s="1022"/>
      <c r="C19" s="497" t="s">
        <v>31</v>
      </c>
      <c r="D19" s="499" t="e">
        <f>'Road Estimate'!#REF!</f>
        <v>#REF!</v>
      </c>
      <c r="E19" s="516" t="s">
        <v>1768</v>
      </c>
      <c r="F19" s="1023" t="s">
        <v>53</v>
      </c>
      <c r="G19" s="517"/>
      <c r="H19" s="1025"/>
      <c r="L19" s="1032">
        <f t="shared" si="2"/>
        <v>0</v>
      </c>
      <c r="M19" s="1032">
        <f t="shared" si="3"/>
        <v>2</v>
      </c>
      <c r="N19" s="1031">
        <f t="shared" si="4"/>
        <v>0</v>
      </c>
    </row>
    <row r="20" spans="1:14" ht="172.2" hidden="1" customHeight="1">
      <c r="A20" s="1021"/>
      <c r="B20" s="1022"/>
      <c r="C20" s="497" t="s">
        <v>31</v>
      </c>
      <c r="D20" s="499" t="e">
        <f>'Road Estimate'!#REF!</f>
        <v>#REF!</v>
      </c>
      <c r="E20" s="516" t="s">
        <v>1768</v>
      </c>
      <c r="F20" s="1023" t="s">
        <v>53</v>
      </c>
      <c r="G20" s="517"/>
      <c r="H20" s="1025"/>
      <c r="L20" s="1032">
        <f t="shared" si="2"/>
        <v>0</v>
      </c>
      <c r="M20" s="1032">
        <f t="shared" si="3"/>
        <v>2</v>
      </c>
      <c r="N20" s="1031">
        <f t="shared" si="4"/>
        <v>0</v>
      </c>
    </row>
    <row r="21" spans="1:14" ht="151.94999999999999" customHeight="1">
      <c r="A21" s="1021">
        <f t="shared" si="1"/>
        <v>3</v>
      </c>
      <c r="B21" s="1022">
        <f>'Road Estimate'!I26</f>
        <v>615</v>
      </c>
      <c r="C21" s="497" t="s">
        <v>31</v>
      </c>
      <c r="D21" s="499" t="str">
        <f>'Road Estimate'!B24</f>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v>
      </c>
      <c r="E21" s="516" t="s">
        <v>1769</v>
      </c>
      <c r="F21" s="1023" t="s">
        <v>53</v>
      </c>
      <c r="G21" s="517">
        <f>'Road Estimate'!J26</f>
        <v>3101.04</v>
      </c>
      <c r="H21" s="1024">
        <f t="shared" si="5"/>
        <v>1907140</v>
      </c>
      <c r="L21" s="1032">
        <f t="shared" si="2"/>
        <v>3</v>
      </c>
      <c r="M21" s="1032">
        <f t="shared" si="3"/>
        <v>3</v>
      </c>
      <c r="N21" s="1031">
        <f t="shared" si="4"/>
        <v>1907140</v>
      </c>
    </row>
    <row r="22" spans="1:14" ht="108.6" customHeight="1">
      <c r="A22" s="1021">
        <f t="shared" si="1"/>
        <v>4</v>
      </c>
      <c r="B22" s="1022">
        <f>'Road Estimate'!I30</f>
        <v>6150</v>
      </c>
      <c r="C22" s="497" t="s">
        <v>353</v>
      </c>
      <c r="D22" s="499" t="str">
        <f>'Road Estimate'!B28</f>
        <v>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v>
      </c>
      <c r="E22" s="516" t="s">
        <v>1770</v>
      </c>
      <c r="F22" s="1023" t="s">
        <v>137</v>
      </c>
      <c r="G22" s="517">
        <f>'Road Estimate'!J30</f>
        <v>57.03</v>
      </c>
      <c r="H22" s="1025">
        <f t="shared" si="5"/>
        <v>350735</v>
      </c>
      <c r="L22" s="1032">
        <f t="shared" si="2"/>
        <v>4</v>
      </c>
      <c r="M22" s="1032">
        <f t="shared" si="3"/>
        <v>4</v>
      </c>
      <c r="N22" s="1031">
        <f t="shared" si="4"/>
        <v>350735</v>
      </c>
    </row>
    <row r="23" spans="1:14" ht="114.6" customHeight="1">
      <c r="A23" s="1021">
        <f t="shared" si="1"/>
        <v>5</v>
      </c>
      <c r="B23" s="1022">
        <f>'Road Estimate'!I34</f>
        <v>7762.5</v>
      </c>
      <c r="C23" s="497" t="s">
        <v>353</v>
      </c>
      <c r="D23" s="499" t="str">
        <f>'Road Estimate'!B32</f>
        <v>Providing and applying tack coat with Bitumen emulsion (RS-1)  using emulsion  distributor at the rate of 0.275 kg per sqm on the prepared granular surfaces treated with primer &amp; cleaned with Hydraulic broom,as directed by the Engineer-in-Charge and as per Technical Specification Clause 503 MoRT&amp;H (5th Revision), including overhead charges &amp; Contractors profit excluding Seignarage charges etc complete.</v>
      </c>
      <c r="E23" s="516" t="s">
        <v>1770</v>
      </c>
      <c r="F23" s="1023" t="s">
        <v>137</v>
      </c>
      <c r="G23" s="517">
        <f>'Road Estimate'!$J$34</f>
        <v>16.649999999999999</v>
      </c>
      <c r="H23" s="1025">
        <f t="shared" si="5"/>
        <v>129246</v>
      </c>
      <c r="L23" s="1032">
        <f t="shared" si="2"/>
        <v>5</v>
      </c>
      <c r="M23" s="1032">
        <f t="shared" si="3"/>
        <v>5</v>
      </c>
      <c r="N23" s="1031">
        <f t="shared" si="4"/>
        <v>129246</v>
      </c>
    </row>
    <row r="24" spans="1:14" ht="230.4" hidden="1" customHeight="1">
      <c r="A24" s="1021">
        <f t="shared" si="1"/>
        <v>0</v>
      </c>
      <c r="B24" s="1022">
        <f>'Road Estimate'!I38</f>
        <v>0</v>
      </c>
      <c r="C24" s="497" t="s">
        <v>353</v>
      </c>
      <c r="D24" s="499" t="str">
        <f>'Road Estimate'!B36</f>
        <v>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v>
      </c>
      <c r="E24" s="516" t="s">
        <v>1771</v>
      </c>
      <c r="F24" s="1023" t="s">
        <v>137</v>
      </c>
      <c r="G24" s="517">
        <f>'Road Estimate'!$J$38</f>
        <v>156.63999999999999</v>
      </c>
      <c r="H24" s="1025">
        <f t="shared" ref="H24" si="6">ROUND(B24*G24,0)</f>
        <v>0</v>
      </c>
      <c r="L24" s="1032">
        <f t="shared" ref="L24:L86" si="7">IF(M24=M23,0,M24)</f>
        <v>0</v>
      </c>
      <c r="M24" s="1032">
        <f t="shared" ref="M24:M86" si="8">IF(N24&gt;0,(M23+1),M23)</f>
        <v>5</v>
      </c>
      <c r="N24" s="1031">
        <f t="shared" si="4"/>
        <v>0</v>
      </c>
    </row>
    <row r="25" spans="1:14" ht="290.39999999999998" hidden="1" customHeight="1">
      <c r="A25" s="1021">
        <f t="shared" si="1"/>
        <v>0</v>
      </c>
      <c r="B25" s="1022">
        <f>'Road Estimate'!I42</f>
        <v>0</v>
      </c>
      <c r="C25" s="497" t="s">
        <v>353</v>
      </c>
      <c r="D25" s="499" t="str">
        <f>'Road Estimate'!B40</f>
        <v>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v>
      </c>
      <c r="E25" s="516" t="s">
        <v>1772</v>
      </c>
      <c r="F25" s="1023" t="s">
        <v>137</v>
      </c>
      <c r="G25" s="517">
        <f>'Road Estimate'!$J$42</f>
        <v>62.3</v>
      </c>
      <c r="H25" s="1025">
        <f t="shared" ref="H25" si="9">ROUND(B25*G25,0)</f>
        <v>0</v>
      </c>
      <c r="L25" s="1032">
        <f t="shared" si="7"/>
        <v>0</v>
      </c>
      <c r="M25" s="1032">
        <f t="shared" si="8"/>
        <v>5</v>
      </c>
      <c r="N25" s="1031">
        <f t="shared" si="4"/>
        <v>0</v>
      </c>
    </row>
    <row r="26" spans="1:14" ht="165" customHeight="1">
      <c r="A26" s="1021">
        <f t="shared" si="1"/>
        <v>0</v>
      </c>
      <c r="B26" s="1022">
        <f>'Road Estimate'!I46</f>
        <v>0</v>
      </c>
      <c r="C26" s="497" t="s">
        <v>31</v>
      </c>
      <c r="D26" s="499" t="str">
        <f>'Road Estimate'!B44</f>
        <v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v>
      </c>
      <c r="E26" s="516" t="s">
        <v>1773</v>
      </c>
      <c r="F26" s="1023" t="s">
        <v>53</v>
      </c>
      <c r="G26" s="517">
        <f>'Road Estimate'!$J$46</f>
        <v>10406.879999999999</v>
      </c>
      <c r="H26" s="1025">
        <f t="shared" si="5"/>
        <v>0</v>
      </c>
      <c r="L26" s="1032">
        <f t="shared" si="7"/>
        <v>0</v>
      </c>
      <c r="M26" s="1032">
        <f t="shared" si="8"/>
        <v>5</v>
      </c>
      <c r="N26" s="1031">
        <f t="shared" si="4"/>
        <v>0</v>
      </c>
    </row>
    <row r="27" spans="1:14" ht="100.2" customHeight="1">
      <c r="A27" s="1021">
        <f t="shared" si="1"/>
        <v>0</v>
      </c>
      <c r="B27" s="1022">
        <f>'Road Estimate'!I50</f>
        <v>0</v>
      </c>
      <c r="C27" s="497" t="s">
        <v>353</v>
      </c>
      <c r="D27" s="499" t="str">
        <f>'Road Estimate'!B48</f>
        <v>Providing and applying tack coat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v>
      </c>
      <c r="E27" s="516" t="s">
        <v>1774</v>
      </c>
      <c r="F27" s="1023" t="s">
        <v>137</v>
      </c>
      <c r="G27" s="517">
        <f>'Road Estimate'!$J$50</f>
        <v>12.69</v>
      </c>
      <c r="H27" s="1025">
        <f t="shared" ref="H27" si="10">ROUND(B27*G27,0)</f>
        <v>0</v>
      </c>
      <c r="L27" s="1032">
        <f t="shared" si="7"/>
        <v>0</v>
      </c>
      <c r="M27" s="1032">
        <f t="shared" si="8"/>
        <v>5</v>
      </c>
      <c r="N27" s="1031">
        <f t="shared" si="4"/>
        <v>0</v>
      </c>
    </row>
    <row r="28" spans="1:14" ht="142.19999999999999" hidden="1" customHeight="1">
      <c r="A28" s="1021">
        <f t="shared" si="1"/>
        <v>0</v>
      </c>
      <c r="B28" s="1022">
        <f>'Road Estimate'!I54</f>
        <v>0</v>
      </c>
      <c r="C28" s="497" t="s">
        <v>353</v>
      </c>
      <c r="D28" s="499" t="str">
        <f>'Road Estimate'!B52</f>
        <v>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v>
      </c>
      <c r="E28" s="516" t="s">
        <v>1775</v>
      </c>
      <c r="F28" s="1023" t="s">
        <v>137</v>
      </c>
      <c r="G28" s="517">
        <f>'Road Estimate'!$J$54</f>
        <v>10958.84</v>
      </c>
      <c r="H28" s="1025">
        <f t="shared" si="5"/>
        <v>0</v>
      </c>
      <c r="L28" s="1032">
        <f t="shared" si="7"/>
        <v>0</v>
      </c>
      <c r="M28" s="1032">
        <f t="shared" si="8"/>
        <v>5</v>
      </c>
      <c r="N28" s="1031">
        <f t="shared" si="4"/>
        <v>0</v>
      </c>
    </row>
    <row r="29" spans="1:14" ht="124.95" customHeight="1">
      <c r="A29" s="1021">
        <f t="shared" si="1"/>
        <v>6</v>
      </c>
      <c r="B29" s="1022">
        <f>'Road Estimate'!I58</f>
        <v>388.13</v>
      </c>
      <c r="C29" s="497" t="s">
        <v>31</v>
      </c>
      <c r="D29" s="499" t="str">
        <f>'Road Estimate'!B56</f>
        <v>Providing and laying bituminous concrete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v>
      </c>
      <c r="E29" s="516" t="s">
        <v>1776</v>
      </c>
      <c r="F29" s="1023" t="s">
        <v>53</v>
      </c>
      <c r="G29" s="517">
        <f>'Road Estimate'!$J$58</f>
        <v>11734.57</v>
      </c>
      <c r="H29" s="1025">
        <f t="shared" si="5"/>
        <v>4554539</v>
      </c>
      <c r="L29" s="1032">
        <f t="shared" si="7"/>
        <v>6</v>
      </c>
      <c r="M29" s="1032">
        <f t="shared" si="8"/>
        <v>6</v>
      </c>
      <c r="N29" s="1031">
        <f t="shared" si="4"/>
        <v>4554539</v>
      </c>
    </row>
    <row r="30" spans="1:14" ht="271.95" customHeight="1">
      <c r="A30" s="1021">
        <v>0</v>
      </c>
      <c r="B30" s="1022">
        <v>0</v>
      </c>
      <c r="C30" s="497" t="s">
        <v>31</v>
      </c>
      <c r="D30" s="499">
        <v>0</v>
      </c>
      <c r="E30" s="516" t="s">
        <v>1777</v>
      </c>
      <c r="F30" s="1023" t="s">
        <v>53</v>
      </c>
      <c r="G30" s="517">
        <v>0</v>
      </c>
      <c r="H30" s="1025">
        <f t="shared" si="5"/>
        <v>0</v>
      </c>
      <c r="L30" s="1032">
        <f t="shared" si="7"/>
        <v>0</v>
      </c>
      <c r="M30" s="1032">
        <f t="shared" si="8"/>
        <v>6</v>
      </c>
      <c r="N30" s="1031">
        <f t="shared" si="4"/>
        <v>0</v>
      </c>
    </row>
    <row r="31" spans="1:14" ht="58.5" customHeight="1">
      <c r="A31" s="1021">
        <v>0</v>
      </c>
      <c r="B31" s="1022">
        <f>'Road Estimate'!I22</f>
        <v>6150</v>
      </c>
      <c r="C31" s="497" t="s">
        <v>31</v>
      </c>
      <c r="D31" s="509" t="str">
        <f>'Road Estimate'!B20</f>
        <v xml:space="preserve">Scarifying the existing bitumen surface  to a depth of 50 mm by Mechanical means and disposal of scarified material with all leads and lifts upto 1000 Mtrs as per MoRT&amp;H (5th Revision) Specn. No.305.4.3    </v>
      </c>
      <c r="E31" s="516" t="s">
        <v>1778</v>
      </c>
      <c r="F31" s="1023" t="s">
        <v>53</v>
      </c>
      <c r="G31" s="517">
        <f>'Road Estimate'!J22</f>
        <v>10.220000000000001</v>
      </c>
      <c r="H31" s="1024">
        <f t="shared" si="5"/>
        <v>62853</v>
      </c>
      <c r="L31" s="1032">
        <f>IF(M31=M30,0,M31)</f>
        <v>7</v>
      </c>
      <c r="M31" s="1032">
        <f>IF(N31&gt;0,(M30+1),M30)</f>
        <v>7</v>
      </c>
      <c r="N31" s="1031">
        <f t="shared" si="4"/>
        <v>62853</v>
      </c>
    </row>
    <row r="32" spans="1:14">
      <c r="A32" s="1021">
        <v>0</v>
      </c>
      <c r="B32" s="1022"/>
      <c r="C32" s="497"/>
      <c r="D32" s="1027" t="s">
        <v>657</v>
      </c>
      <c r="E32" s="516"/>
      <c r="F32" s="519"/>
      <c r="G32" s="517"/>
      <c r="H32" s="1025"/>
      <c r="I32" s="1033">
        <f>SUM(H12:H31)</f>
        <v>7359540</v>
      </c>
      <c r="J32" s="1034">
        <f>'Road Estimate'!L64</f>
        <v>7359540</v>
      </c>
      <c r="K32" s="1034">
        <f>I32-J32</f>
        <v>0</v>
      </c>
      <c r="L32" s="1032">
        <f t="shared" si="7"/>
        <v>0</v>
      </c>
      <c r="M32" s="1032">
        <f t="shared" si="8"/>
        <v>7</v>
      </c>
      <c r="N32" s="1031">
        <f t="shared" si="4"/>
        <v>0</v>
      </c>
    </row>
    <row r="33" spans="1:16" s="1003" customFormat="1" hidden="1">
      <c r="A33" s="1021">
        <v>0</v>
      </c>
      <c r="B33" s="1022"/>
      <c r="C33" s="787"/>
      <c r="D33" s="1013" t="str">
        <f>'CD Abs'!B5</f>
        <v xml:space="preserve">Construction of HP Culvert 1V of 1000mm Dia.NP4 Pipes at Km </v>
      </c>
      <c r="E33" s="1028">
        <f>'CD Abs'!C5</f>
        <v>0</v>
      </c>
      <c r="F33" s="1014"/>
      <c r="G33" s="517"/>
      <c r="H33" s="1025"/>
      <c r="L33" s="1032">
        <f t="shared" si="7"/>
        <v>0</v>
      </c>
      <c r="M33" s="1032">
        <f t="shared" si="8"/>
        <v>7</v>
      </c>
      <c r="N33" s="1031">
        <f t="shared" si="4"/>
        <v>0</v>
      </c>
      <c r="O33" s="489"/>
      <c r="P33" s="489"/>
    </row>
    <row r="34" spans="1:16" ht="100.8" hidden="1">
      <c r="A34" s="1021">
        <v>0</v>
      </c>
      <c r="B34" s="1022">
        <f>'1V 1m dia Pipe Culverts'!I9*E33</f>
        <v>0</v>
      </c>
      <c r="C34" s="497" t="s">
        <v>31</v>
      </c>
      <c r="D34" s="499" t="str">
        <f>'2V 1m dia Pipe Culverts'!$B$6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34" s="516" t="s">
        <v>1779</v>
      </c>
      <c r="F34" s="1023" t="s">
        <v>53</v>
      </c>
      <c r="G34" s="517">
        <f>'2V 1m dia Pipe Culverts'!$J$9</f>
        <v>123.69927804166667</v>
      </c>
      <c r="H34" s="1025">
        <f>ROUND(B34*G34,0)</f>
        <v>0</v>
      </c>
      <c r="L34" s="1032">
        <f t="shared" si="7"/>
        <v>0</v>
      </c>
      <c r="M34" s="1032">
        <f t="shared" si="8"/>
        <v>7</v>
      </c>
      <c r="N34" s="1031">
        <f t="shared" si="4"/>
        <v>0</v>
      </c>
    </row>
    <row r="35" spans="1:16" ht="43.2" hidden="1">
      <c r="A35" s="1021">
        <v>0</v>
      </c>
      <c r="B35" s="1022">
        <f>'1V 1m dia Pipe Culverts'!I14*E33</f>
        <v>0</v>
      </c>
      <c r="C35" s="497" t="s">
        <v>31</v>
      </c>
      <c r="D35" s="509" t="str">
        <f>'2V 1m dia Pipe Culverts'!$B$11</f>
        <v>Sand  Filling  in foundation trenches as per drawing and technical specification Clause 304 of MORTH including overhead charges &amp; Contractors profit etc complete.</v>
      </c>
      <c r="E35" s="516" t="s">
        <v>1779</v>
      </c>
      <c r="F35" s="1023" t="s">
        <v>53</v>
      </c>
      <c r="G35" s="517">
        <f>'2V 1m dia Pipe Culverts'!$J$14</f>
        <v>1237.43</v>
      </c>
      <c r="H35" s="1025">
        <f t="shared" ref="H35:H184" si="11">ROUND(B35*G35,0)</f>
        <v>0</v>
      </c>
      <c r="L35" s="1032">
        <f t="shared" si="7"/>
        <v>0</v>
      </c>
      <c r="M35" s="1032">
        <f t="shared" si="8"/>
        <v>7</v>
      </c>
      <c r="N35" s="1031">
        <f t="shared" si="4"/>
        <v>0</v>
      </c>
    </row>
    <row r="36" spans="1:16" ht="115.2" hidden="1">
      <c r="A36" s="1021">
        <v>0</v>
      </c>
      <c r="B36" s="1022">
        <f>'1V 1m dia Pipe Culverts'!I19*E33</f>
        <v>0</v>
      </c>
      <c r="C36" s="497" t="s">
        <v>31</v>
      </c>
      <c r="D36" s="509" t="str">
        <f>'1V 1m dia Pipe Culverts'!B16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36" s="516" t="s">
        <v>1780</v>
      </c>
      <c r="F36" s="1023" t="s">
        <v>53</v>
      </c>
      <c r="G36" s="517">
        <f>'1V 1m dia Pipe Culverts'!J19</f>
        <v>5748.72</v>
      </c>
      <c r="H36" s="1025">
        <f t="shared" si="11"/>
        <v>0</v>
      </c>
      <c r="L36" s="1032">
        <f t="shared" si="7"/>
        <v>0</v>
      </c>
      <c r="M36" s="1032">
        <f t="shared" si="8"/>
        <v>7</v>
      </c>
      <c r="N36" s="1031">
        <f t="shared" si="4"/>
        <v>0</v>
      </c>
    </row>
    <row r="37" spans="1:16" ht="115.2" hidden="1">
      <c r="A37" s="1021">
        <v>0</v>
      </c>
      <c r="B37" s="1022">
        <f>'1V 1m dia Pipe Culverts'!I24*E33</f>
        <v>0</v>
      </c>
      <c r="C37" s="497" t="s">
        <v>31</v>
      </c>
      <c r="D37" s="499" t="str">
        <f>'2V 1m dia Pipe Culverts'!$B$21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E37" s="516" t="s">
        <v>1780</v>
      </c>
      <c r="F37" s="1023" t="s">
        <v>53</v>
      </c>
      <c r="G37" s="517">
        <f>'2V 1m dia Pipe Culverts'!$J$24</f>
        <v>6425.92</v>
      </c>
      <c r="H37" s="1025">
        <f t="shared" si="11"/>
        <v>0</v>
      </c>
      <c r="L37" s="1032">
        <f t="shared" si="7"/>
        <v>0</v>
      </c>
      <c r="M37" s="1032">
        <f t="shared" si="8"/>
        <v>7</v>
      </c>
      <c r="N37" s="1031">
        <f t="shared" si="4"/>
        <v>0</v>
      </c>
    </row>
    <row r="38" spans="1:16" ht="115.2" hidden="1">
      <c r="A38" s="1021">
        <v>0</v>
      </c>
      <c r="B38" s="1022">
        <f>'1V 1m dia Pipe Culverts'!I30*E33</f>
        <v>0</v>
      </c>
      <c r="C38" s="497" t="s">
        <v>31</v>
      </c>
      <c r="D38" s="499"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38" s="516" t="s">
        <v>1781</v>
      </c>
      <c r="F38" s="1023" t="s">
        <v>53</v>
      </c>
      <c r="G38" s="517">
        <f>'2V 1m dia Pipe Culverts'!$J$30</f>
        <v>6796.65</v>
      </c>
      <c r="H38" s="1025">
        <f t="shared" si="11"/>
        <v>0</v>
      </c>
      <c r="L38" s="1032">
        <f t="shared" si="7"/>
        <v>0</v>
      </c>
      <c r="M38" s="1032">
        <f t="shared" si="8"/>
        <v>7</v>
      </c>
      <c r="N38" s="1031">
        <f t="shared" si="4"/>
        <v>0</v>
      </c>
    </row>
    <row r="39" spans="1:16" ht="57.6" hidden="1">
      <c r="A39" s="1021">
        <v>0</v>
      </c>
      <c r="B39" s="1022">
        <f t="shared" ref="B39" si="12">$E$33*0</f>
        <v>0</v>
      </c>
      <c r="C39" s="497" t="s">
        <v>31</v>
      </c>
      <c r="D39" s="499"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39" s="516" t="s">
        <v>1782</v>
      </c>
      <c r="F39" s="1023" t="s">
        <v>53</v>
      </c>
      <c r="G39" s="517">
        <f>'Slab-Culverts Data'!$J$559</f>
        <v>2067.88</v>
      </c>
      <c r="H39" s="1025">
        <f t="shared" ref="H39" si="13">ROUND(B39*G39,0)</f>
        <v>0</v>
      </c>
      <c r="I39" s="1035"/>
      <c r="J39" s="1036"/>
      <c r="K39" s="1036"/>
      <c r="L39" s="1032">
        <f t="shared" si="7"/>
        <v>0</v>
      </c>
      <c r="M39" s="1032">
        <f t="shared" si="8"/>
        <v>7</v>
      </c>
      <c r="N39" s="1031">
        <f t="shared" si="4"/>
        <v>0</v>
      </c>
    </row>
    <row r="40" spans="1:16" ht="100.8" hidden="1">
      <c r="A40" s="1021">
        <v>0</v>
      </c>
      <c r="B40" s="1022">
        <f>'1V 1m dia Pipe Culverts'!I33*E33</f>
        <v>0</v>
      </c>
      <c r="C40" s="497" t="s">
        <v>107</v>
      </c>
      <c r="D40" s="499" t="str">
        <f>'2V 1m dia Pipe Culverts'!$B$32</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40" s="516" t="s">
        <v>1783</v>
      </c>
      <c r="F40" s="1023" t="s">
        <v>112</v>
      </c>
      <c r="G40" s="517">
        <f>'1V 1m dia Pipe Culverts'!J33</f>
        <v>13715.57</v>
      </c>
      <c r="H40" s="1025">
        <f t="shared" si="11"/>
        <v>0</v>
      </c>
      <c r="I40" s="1034">
        <f>SUM(H34:H40)</f>
        <v>0</v>
      </c>
      <c r="J40" s="1034">
        <f>'CD Abs'!E5</f>
        <v>0</v>
      </c>
      <c r="L40" s="1032">
        <f t="shared" si="7"/>
        <v>0</v>
      </c>
      <c r="M40" s="1032">
        <f t="shared" si="8"/>
        <v>7</v>
      </c>
      <c r="N40" s="1031">
        <f t="shared" si="4"/>
        <v>0</v>
      </c>
    </row>
    <row r="41" spans="1:16" hidden="1">
      <c r="A41" s="1021">
        <v>0</v>
      </c>
      <c r="B41" s="1022"/>
      <c r="C41" s="787">
        <v>2</v>
      </c>
      <c r="D41" s="1013" t="str">
        <f>'CD Abs'!B6</f>
        <v>Construction of HP Culvert 2V of 1000mm Dia.NP4 Pipes at Km</v>
      </c>
      <c r="E41" s="1028">
        <f>'CD Abs'!C6</f>
        <v>0</v>
      </c>
      <c r="F41" s="1014"/>
      <c r="G41" s="517"/>
      <c r="H41" s="1025"/>
      <c r="I41" s="1003"/>
      <c r="L41" s="1032">
        <f t="shared" si="7"/>
        <v>0</v>
      </c>
      <c r="M41" s="1032">
        <f t="shared" si="8"/>
        <v>7</v>
      </c>
      <c r="N41" s="1031">
        <f t="shared" si="4"/>
        <v>0</v>
      </c>
    </row>
    <row r="42" spans="1:16" ht="100.8" hidden="1">
      <c r="A42" s="1021">
        <v>0</v>
      </c>
      <c r="B42" s="1022">
        <f>'2V 1m dia Pipe Culverts'!I9*E41</f>
        <v>0</v>
      </c>
      <c r="C42" s="497" t="s">
        <v>31</v>
      </c>
      <c r="D42" s="499" t="str">
        <f>'2V 1m dia Pipe Culverts'!$B$6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42" s="516" t="s">
        <v>1779</v>
      </c>
      <c r="F42" s="1023" t="s">
        <v>53</v>
      </c>
      <c r="G42" s="517">
        <f>'2V 1m dia Pipe Culverts'!$J$9</f>
        <v>123.69927804166667</v>
      </c>
      <c r="H42" s="1025">
        <f>ROUND(B42*G42,0)</f>
        <v>0</v>
      </c>
      <c r="L42" s="1032">
        <f t="shared" si="7"/>
        <v>0</v>
      </c>
      <c r="M42" s="1032">
        <f t="shared" si="8"/>
        <v>7</v>
      </c>
      <c r="N42" s="1031">
        <f t="shared" si="4"/>
        <v>0</v>
      </c>
    </row>
    <row r="43" spans="1:16" ht="43.2" hidden="1">
      <c r="A43" s="1021">
        <v>0</v>
      </c>
      <c r="B43" s="1022">
        <f>'2V 1m dia Pipe Culverts'!I14*E41</f>
        <v>0</v>
      </c>
      <c r="C43" s="497" t="s">
        <v>31</v>
      </c>
      <c r="D43" s="509" t="str">
        <f>'2V 1m dia Pipe Culverts'!$B$11</f>
        <v>Sand  Filling  in foundation trenches as per drawing and technical specification Clause 304 of MORTH including overhead charges &amp; Contractors profit etc complete.</v>
      </c>
      <c r="E43" s="516" t="s">
        <v>1779</v>
      </c>
      <c r="F43" s="1023" t="s">
        <v>53</v>
      </c>
      <c r="G43" s="517">
        <f>'2V 1m dia Pipe Culverts'!$J$14</f>
        <v>1237.43</v>
      </c>
      <c r="H43" s="1025">
        <f t="shared" ref="H43:H48" si="14">ROUND(B43*G43,0)</f>
        <v>0</v>
      </c>
      <c r="L43" s="1032">
        <f t="shared" si="7"/>
        <v>0</v>
      </c>
      <c r="M43" s="1032">
        <f t="shared" si="8"/>
        <v>7</v>
      </c>
      <c r="N43" s="1031">
        <f t="shared" si="4"/>
        <v>0</v>
      </c>
    </row>
    <row r="44" spans="1:16" ht="115.2" hidden="1">
      <c r="A44" s="1021">
        <v>0</v>
      </c>
      <c r="B44" s="1022">
        <f>'2V 1m dia Pipe Culverts'!I19*E41</f>
        <v>0</v>
      </c>
      <c r="C44" s="497" t="s">
        <v>31</v>
      </c>
      <c r="D44" s="509" t="str">
        <f>'2V 1m dia Pipe Culverts'!B16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44" s="516" t="s">
        <v>1780</v>
      </c>
      <c r="F44" s="1023" t="s">
        <v>53</v>
      </c>
      <c r="G44" s="517">
        <f>'2V 1m dia Pipe Culverts'!J19</f>
        <v>5748.72</v>
      </c>
      <c r="H44" s="1025">
        <f t="shared" si="14"/>
        <v>0</v>
      </c>
      <c r="L44" s="1032">
        <f t="shared" si="7"/>
        <v>0</v>
      </c>
      <c r="M44" s="1032">
        <f t="shared" si="8"/>
        <v>7</v>
      </c>
      <c r="N44" s="1031">
        <f t="shared" si="4"/>
        <v>0</v>
      </c>
    </row>
    <row r="45" spans="1:16" ht="115.2" hidden="1">
      <c r="A45" s="1021">
        <v>0</v>
      </c>
      <c r="B45" s="1022">
        <f>'2V 1m dia Pipe Culverts'!I24*E41</f>
        <v>0</v>
      </c>
      <c r="C45" s="497" t="s">
        <v>31</v>
      </c>
      <c r="D45" s="1029" t="s">
        <v>1784</v>
      </c>
      <c r="E45" s="516" t="s">
        <v>1780</v>
      </c>
      <c r="F45" s="1023" t="s">
        <v>53</v>
      </c>
      <c r="G45" s="517">
        <f>'2V 1m dia Pipe Culverts'!$J$24</f>
        <v>6425.92</v>
      </c>
      <c r="H45" s="1025">
        <f t="shared" si="14"/>
        <v>0</v>
      </c>
      <c r="L45" s="1032">
        <f t="shared" si="7"/>
        <v>0</v>
      </c>
      <c r="M45" s="1032">
        <f t="shared" si="8"/>
        <v>7</v>
      </c>
      <c r="N45" s="1031">
        <f t="shared" si="4"/>
        <v>0</v>
      </c>
    </row>
    <row r="46" spans="1:16" ht="115.2" hidden="1">
      <c r="A46" s="1021">
        <v>0</v>
      </c>
      <c r="B46" s="1022">
        <f>'2V 1m dia Pipe Culverts'!I30*E41</f>
        <v>0</v>
      </c>
      <c r="C46" s="497" t="s">
        <v>31</v>
      </c>
      <c r="D46" s="499"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46" s="516" t="s">
        <v>1780</v>
      </c>
      <c r="F46" s="1023" t="s">
        <v>53</v>
      </c>
      <c r="G46" s="517">
        <f>'2V 1m dia Pipe Culverts'!$J$30</f>
        <v>6796.65</v>
      </c>
      <c r="H46" s="1025">
        <f t="shared" si="14"/>
        <v>0</v>
      </c>
      <c r="L46" s="1032">
        <f t="shared" si="7"/>
        <v>0</v>
      </c>
      <c r="M46" s="1032">
        <f t="shared" si="8"/>
        <v>7</v>
      </c>
      <c r="N46" s="1031">
        <f t="shared" si="4"/>
        <v>0</v>
      </c>
    </row>
    <row r="47" spans="1:16" ht="57.6" hidden="1">
      <c r="A47" s="1021">
        <v>0</v>
      </c>
      <c r="B47" s="1022">
        <f t="shared" ref="B47" si="15">$E$41*0</f>
        <v>0</v>
      </c>
      <c r="C47" s="497" t="s">
        <v>31</v>
      </c>
      <c r="D47" s="499"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47" s="516" t="s">
        <v>1782</v>
      </c>
      <c r="F47" s="1023" t="s">
        <v>53</v>
      </c>
      <c r="G47" s="517">
        <f>'Slab-Culverts Data'!$J$559</f>
        <v>2067.88</v>
      </c>
      <c r="H47" s="1025">
        <f t="shared" ref="H47" si="16">ROUND(B47*G47,0)</f>
        <v>0</v>
      </c>
      <c r="L47" s="1032">
        <f t="shared" si="7"/>
        <v>0</v>
      </c>
      <c r="M47" s="1032">
        <f t="shared" si="8"/>
        <v>7</v>
      </c>
      <c r="N47" s="1031">
        <f t="shared" si="4"/>
        <v>0</v>
      </c>
    </row>
    <row r="48" spans="1:16" ht="100.8" hidden="1">
      <c r="A48" s="1021">
        <v>0</v>
      </c>
      <c r="B48" s="1022">
        <f>'2V 1m dia Pipe Culverts'!I33*E41</f>
        <v>0</v>
      </c>
      <c r="C48" s="497" t="s">
        <v>107</v>
      </c>
      <c r="D48" s="499" t="str">
        <f>'Pipe data'!$B$105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48" s="516" t="s">
        <v>1783</v>
      </c>
      <c r="F48" s="1023" t="s">
        <v>112</v>
      </c>
      <c r="G48" s="517">
        <f>'Pipe data'!$G$128</f>
        <v>13715.57</v>
      </c>
      <c r="H48" s="1025">
        <f t="shared" si="14"/>
        <v>0</v>
      </c>
      <c r="I48" s="1034">
        <f>SUM(H42:H48)</f>
        <v>0</v>
      </c>
      <c r="J48" s="1034">
        <f>'CD Abs'!E6</f>
        <v>0</v>
      </c>
      <c r="K48" s="1034">
        <f>I48-J48</f>
        <v>0</v>
      </c>
      <c r="L48" s="1032">
        <f t="shared" si="7"/>
        <v>0</v>
      </c>
      <c r="M48" s="1032">
        <f t="shared" si="8"/>
        <v>7</v>
      </c>
      <c r="N48" s="1031">
        <f t="shared" si="4"/>
        <v>0</v>
      </c>
    </row>
    <row r="49" spans="1:14" hidden="1">
      <c r="A49" s="1021">
        <v>0</v>
      </c>
      <c r="B49" s="1022"/>
      <c r="C49" s="787"/>
      <c r="D49" s="1013" t="str">
        <f>'CD Abs'!B7</f>
        <v xml:space="preserve">Construction of HP Culvert 3V of 1000mm Dia. NP4 Pipes </v>
      </c>
      <c r="E49" s="1028">
        <f>'CD Abs'!C7</f>
        <v>0</v>
      </c>
      <c r="F49" s="1014"/>
      <c r="G49" s="517"/>
      <c r="H49" s="1025"/>
      <c r="I49" s="1003"/>
      <c r="L49" s="1032">
        <f t="shared" si="7"/>
        <v>0</v>
      </c>
      <c r="M49" s="1032">
        <f t="shared" si="8"/>
        <v>7</v>
      </c>
      <c r="N49" s="1031">
        <f t="shared" si="4"/>
        <v>0</v>
      </c>
    </row>
    <row r="50" spans="1:14" ht="100.8" hidden="1">
      <c r="A50" s="1021">
        <v>0</v>
      </c>
      <c r="B50" s="1022">
        <f>'3V 1m dia Pipe Culverts'!I9*E49</f>
        <v>0</v>
      </c>
      <c r="C50" s="497" t="s">
        <v>31</v>
      </c>
      <c r="D50" s="499" t="str">
        <f>'2V 1m dia Pipe Culverts'!$B$6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50" s="516" t="s">
        <v>1779</v>
      </c>
      <c r="F50" s="1023" t="s">
        <v>53</v>
      </c>
      <c r="G50" s="517">
        <f>'2V 1m dia Pipe Culverts'!$J$9</f>
        <v>123.69927804166667</v>
      </c>
      <c r="H50" s="1025">
        <f t="shared" ref="H50:H56" si="17">ROUND(B50*G50,0)</f>
        <v>0</v>
      </c>
      <c r="L50" s="1032">
        <f t="shared" si="7"/>
        <v>0</v>
      </c>
      <c r="M50" s="1032">
        <f t="shared" si="8"/>
        <v>7</v>
      </c>
      <c r="N50" s="1031">
        <f t="shared" si="4"/>
        <v>0</v>
      </c>
    </row>
    <row r="51" spans="1:14" ht="43.2" hidden="1">
      <c r="A51" s="1021">
        <v>0</v>
      </c>
      <c r="B51" s="1022">
        <f>'3V 1m dia Pipe Culverts'!I14*E49</f>
        <v>0</v>
      </c>
      <c r="C51" s="497" t="s">
        <v>31</v>
      </c>
      <c r="D51" s="509" t="str">
        <f>'2V 1m dia Pipe Culverts'!$B$11</f>
        <v>Sand  Filling  in foundation trenches as per drawing and technical specification Clause 304 of MORTH including overhead charges &amp; Contractors profit etc complete.</v>
      </c>
      <c r="E51" s="516" t="s">
        <v>1779</v>
      </c>
      <c r="F51" s="1023" t="s">
        <v>53</v>
      </c>
      <c r="G51" s="517">
        <f>'2V 1m dia Pipe Culverts'!$J$14</f>
        <v>1237.43</v>
      </c>
      <c r="H51" s="1025">
        <f t="shared" si="17"/>
        <v>0</v>
      </c>
      <c r="L51" s="1032">
        <f t="shared" si="7"/>
        <v>0</v>
      </c>
      <c r="M51" s="1032">
        <f t="shared" si="8"/>
        <v>7</v>
      </c>
      <c r="N51" s="1031">
        <f t="shared" si="4"/>
        <v>0</v>
      </c>
    </row>
    <row r="52" spans="1:14" ht="115.2" hidden="1">
      <c r="A52" s="1021">
        <v>0</v>
      </c>
      <c r="B52" s="1022">
        <f>'3V 1m dia Pipe Culverts'!I19*E49</f>
        <v>0</v>
      </c>
      <c r="C52" s="497" t="s">
        <v>31</v>
      </c>
      <c r="D52" s="509" t="str">
        <f>'3V 1m dia Pipe Culverts'!B16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52" s="516" t="s">
        <v>1780</v>
      </c>
      <c r="F52" s="1023" t="s">
        <v>53</v>
      </c>
      <c r="G52" s="517">
        <f>'3V 1m dia Pipe Culverts'!J19</f>
        <v>5748.72</v>
      </c>
      <c r="H52" s="1025">
        <f t="shared" si="17"/>
        <v>0</v>
      </c>
      <c r="L52" s="1032">
        <f t="shared" si="7"/>
        <v>0</v>
      </c>
      <c r="M52" s="1032">
        <f t="shared" si="8"/>
        <v>7</v>
      </c>
      <c r="N52" s="1031">
        <f t="shared" si="4"/>
        <v>0</v>
      </c>
    </row>
    <row r="53" spans="1:14" ht="115.2" hidden="1">
      <c r="A53" s="1021">
        <v>0</v>
      </c>
      <c r="B53" s="1022">
        <f>'3V 1m dia Pipe Culverts'!I24*E49</f>
        <v>0</v>
      </c>
      <c r="C53" s="497" t="s">
        <v>31</v>
      </c>
      <c r="D53" s="499" t="str">
        <f>'2V 1m dia Pipe Culverts'!$B$21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E53" s="516" t="s">
        <v>1780</v>
      </c>
      <c r="F53" s="1023" t="s">
        <v>53</v>
      </c>
      <c r="G53" s="517">
        <f>'2V 1m dia Pipe Culverts'!$J$24</f>
        <v>6425.92</v>
      </c>
      <c r="H53" s="1025">
        <f t="shared" si="17"/>
        <v>0</v>
      </c>
      <c r="L53" s="1032">
        <f t="shared" si="7"/>
        <v>0</v>
      </c>
      <c r="M53" s="1032">
        <f t="shared" si="8"/>
        <v>7</v>
      </c>
      <c r="N53" s="1031">
        <f t="shared" si="4"/>
        <v>0</v>
      </c>
    </row>
    <row r="54" spans="1:14" ht="115.2" hidden="1">
      <c r="A54" s="1021">
        <v>0</v>
      </c>
      <c r="B54" s="1022">
        <f>'3V 1m dia Pipe Culverts'!I30*E49</f>
        <v>0</v>
      </c>
      <c r="C54" s="497" t="s">
        <v>31</v>
      </c>
      <c r="D54" s="499"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54" s="516" t="s">
        <v>1781</v>
      </c>
      <c r="F54" s="1023" t="s">
        <v>53</v>
      </c>
      <c r="G54" s="517">
        <f>'2V 1m dia Pipe Culverts'!$J$30</f>
        <v>6796.65</v>
      </c>
      <c r="H54" s="1025">
        <f t="shared" si="17"/>
        <v>0</v>
      </c>
      <c r="L54" s="1032">
        <f t="shared" si="7"/>
        <v>0</v>
      </c>
      <c r="M54" s="1032">
        <f t="shared" si="8"/>
        <v>7</v>
      </c>
      <c r="N54" s="1031">
        <f t="shared" si="4"/>
        <v>0</v>
      </c>
    </row>
    <row r="55" spans="1:14" ht="57.6" hidden="1">
      <c r="A55" s="1021">
        <v>0</v>
      </c>
      <c r="B55" s="1022">
        <f t="shared" ref="B55" si="18">$E$49*0</f>
        <v>0</v>
      </c>
      <c r="C55" s="497" t="s">
        <v>31</v>
      </c>
      <c r="D55" s="499"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55" s="516" t="s">
        <v>1782</v>
      </c>
      <c r="F55" s="1023" t="s">
        <v>53</v>
      </c>
      <c r="G55" s="517">
        <f>'Slab-Culverts Data'!$J$559</f>
        <v>2067.88</v>
      </c>
      <c r="H55" s="1025">
        <f t="shared" ref="H55" si="19">ROUND(B55*G55,0)</f>
        <v>0</v>
      </c>
      <c r="L55" s="1032">
        <f t="shared" si="7"/>
        <v>0</v>
      </c>
      <c r="M55" s="1032">
        <f t="shared" si="8"/>
        <v>7</v>
      </c>
      <c r="N55" s="1031">
        <f t="shared" si="4"/>
        <v>0</v>
      </c>
    </row>
    <row r="56" spans="1:14" ht="100.8" hidden="1">
      <c r="A56" s="1021">
        <v>0</v>
      </c>
      <c r="B56" s="1022">
        <f>'3V 1m dia Pipe Culverts'!I33*E49</f>
        <v>0</v>
      </c>
      <c r="C56" s="497" t="s">
        <v>107</v>
      </c>
      <c r="D56" s="499" t="str">
        <f>'Pipe data'!$B$105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56" s="516" t="s">
        <v>1783</v>
      </c>
      <c r="F56" s="1023" t="s">
        <v>112</v>
      </c>
      <c r="G56" s="517">
        <f>'Pipe data'!$G$128</f>
        <v>13715.57</v>
      </c>
      <c r="H56" s="1025">
        <f t="shared" si="17"/>
        <v>0</v>
      </c>
      <c r="I56" s="1034">
        <f>SUM(H50:H56)</f>
        <v>0</v>
      </c>
      <c r="L56" s="1032">
        <f t="shared" si="7"/>
        <v>0</v>
      </c>
      <c r="M56" s="1032">
        <f t="shared" si="8"/>
        <v>7</v>
      </c>
      <c r="N56" s="1031">
        <f t="shared" si="4"/>
        <v>0</v>
      </c>
    </row>
    <row r="57" spans="1:14" hidden="1">
      <c r="A57" s="1021">
        <v>0</v>
      </c>
      <c r="B57" s="1022"/>
      <c r="C57" s="787"/>
      <c r="D57" s="1013" t="str">
        <f>"Wearing Coat over  existing road Dam  - "&amp;E57&amp;" at     Km  "</f>
        <v xml:space="preserve">Wearing Coat over  existing road Dam  - 0 at     Km  </v>
      </c>
      <c r="E57" s="1028">
        <v>0</v>
      </c>
      <c r="F57" s="1023"/>
      <c r="G57" s="1030"/>
      <c r="H57" s="1025"/>
      <c r="I57" s="1036"/>
      <c r="J57" s="1036"/>
      <c r="K57" s="1036"/>
      <c r="L57" s="1032">
        <f t="shared" si="7"/>
        <v>0</v>
      </c>
      <c r="M57" s="1032">
        <f t="shared" si="8"/>
        <v>7</v>
      </c>
      <c r="N57" s="1031">
        <f t="shared" si="4"/>
        <v>0</v>
      </c>
    </row>
    <row r="58" spans="1:14" ht="100.8" hidden="1">
      <c r="A58" s="1021">
        <v>0</v>
      </c>
      <c r="B58" s="1022">
        <f>$E$57*0</f>
        <v>0</v>
      </c>
      <c r="C58" s="497" t="s">
        <v>31</v>
      </c>
      <c r="D58" s="499" t="str">
        <f>'Slab Culvert 1V 5m x 2m span'!$B$6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58" s="516" t="s">
        <v>1779</v>
      </c>
      <c r="F58" s="1023" t="s">
        <v>53</v>
      </c>
      <c r="G58" s="517">
        <f>'Slab Culvert 1V 5m x 2m span'!$J$9</f>
        <v>123.69927804166667</v>
      </c>
      <c r="H58" s="1025">
        <f t="shared" si="11"/>
        <v>0</v>
      </c>
      <c r="I58" s="1036"/>
      <c r="J58" s="1036"/>
      <c r="K58" s="1036"/>
      <c r="L58" s="1032">
        <f t="shared" si="7"/>
        <v>0</v>
      </c>
      <c r="M58" s="1032">
        <f t="shared" si="8"/>
        <v>7</v>
      </c>
      <c r="N58" s="1031">
        <f t="shared" si="4"/>
        <v>0</v>
      </c>
    </row>
    <row r="59" spans="1:14" ht="43.2" hidden="1">
      <c r="A59" s="1021">
        <v>0</v>
      </c>
      <c r="B59" s="1022">
        <f t="shared" ref="B59:B64" si="20">$E$57*0</f>
        <v>0</v>
      </c>
      <c r="C59" s="497" t="s">
        <v>31</v>
      </c>
      <c r="D59" s="509" t="str">
        <f>'Slab Culvert 1V 5m x 2m span'!$B$11</f>
        <v>Sand  Filling  in foundation trenches as per drawing and technical specification Clause 304 of MORTH including overhead charges &amp; Contractors profit etc complete.</v>
      </c>
      <c r="E59" s="516" t="s">
        <v>1779</v>
      </c>
      <c r="F59" s="1023" t="s">
        <v>53</v>
      </c>
      <c r="G59" s="517">
        <f>'Slab Culvert 1V 5m x 2m span'!$J$13</f>
        <v>1237.43</v>
      </c>
      <c r="H59" s="1025">
        <f t="shared" si="11"/>
        <v>0</v>
      </c>
      <c r="I59" s="1036"/>
      <c r="J59" s="1036"/>
      <c r="K59" s="1036"/>
      <c r="L59" s="1032">
        <f t="shared" si="7"/>
        <v>0</v>
      </c>
      <c r="M59" s="1032">
        <f t="shared" si="8"/>
        <v>7</v>
      </c>
      <c r="N59" s="1031">
        <f t="shared" si="4"/>
        <v>0</v>
      </c>
    </row>
    <row r="60" spans="1:14" ht="115.2" hidden="1">
      <c r="A60" s="1021">
        <v>0</v>
      </c>
      <c r="B60" s="1022">
        <f t="shared" si="20"/>
        <v>0</v>
      </c>
      <c r="C60" s="497" t="s">
        <v>31</v>
      </c>
      <c r="D60" s="499" t="str">
        <f>'Slab Culvert 1V 5m x 2m span'!$B$15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60" s="516" t="s">
        <v>1780</v>
      </c>
      <c r="F60" s="1023" t="s">
        <v>53</v>
      </c>
      <c r="G60" s="517">
        <f>'Slab Culvert 1V 5m x 2m span'!$J$18</f>
        <v>5748.72</v>
      </c>
      <c r="H60" s="1025">
        <f t="shared" si="11"/>
        <v>0</v>
      </c>
      <c r="I60" s="1036"/>
      <c r="J60" s="1036"/>
      <c r="K60" s="1036"/>
      <c r="L60" s="1032">
        <f t="shared" si="7"/>
        <v>0</v>
      </c>
      <c r="M60" s="1032">
        <f t="shared" si="8"/>
        <v>7</v>
      </c>
      <c r="N60" s="1031">
        <f t="shared" si="4"/>
        <v>0</v>
      </c>
    </row>
    <row r="61" spans="1:14" ht="115.2" hidden="1">
      <c r="A61" s="1021">
        <v>0</v>
      </c>
      <c r="B61" s="1022">
        <f t="shared" si="20"/>
        <v>0</v>
      </c>
      <c r="C61" s="497" t="s">
        <v>31</v>
      </c>
      <c r="D61" s="499"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61" s="516" t="s">
        <v>1781</v>
      </c>
      <c r="F61" s="1023" t="s">
        <v>53</v>
      </c>
      <c r="G61" s="517">
        <f>'2V 1m dia Pipe Culverts'!$J$30</f>
        <v>6796.65</v>
      </c>
      <c r="H61" s="1025">
        <f t="shared" si="11"/>
        <v>0</v>
      </c>
      <c r="I61" s="1036"/>
      <c r="J61" s="1036"/>
      <c r="K61" s="1036"/>
      <c r="L61" s="1032">
        <f t="shared" si="7"/>
        <v>0</v>
      </c>
      <c r="M61" s="1032">
        <f t="shared" si="8"/>
        <v>7</v>
      </c>
      <c r="N61" s="1031">
        <f t="shared" si="4"/>
        <v>0</v>
      </c>
    </row>
    <row r="62" spans="1:14" ht="129.6" hidden="1">
      <c r="A62" s="1021">
        <v>0</v>
      </c>
      <c r="B62" s="1022">
        <f t="shared" si="20"/>
        <v>0</v>
      </c>
      <c r="C62" s="497" t="s">
        <v>31</v>
      </c>
      <c r="D62" s="499" t="str">
        <f>'Slab Culvert 1V 5m x 2m span'!B$46</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62" s="516" t="s">
        <v>1785</v>
      </c>
      <c r="F62" s="1023" t="s">
        <v>53</v>
      </c>
      <c r="G62" s="517">
        <f>'Slab Culvert 1V 5m x 2m span'!$J$49</f>
        <v>8387.5499999999993</v>
      </c>
      <c r="H62" s="1025">
        <f t="shared" si="11"/>
        <v>0</v>
      </c>
      <c r="I62" s="1036"/>
      <c r="J62" s="1036"/>
      <c r="K62" s="1036"/>
      <c r="L62" s="1032">
        <f t="shared" si="7"/>
        <v>0</v>
      </c>
      <c r="M62" s="1032">
        <f t="shared" si="8"/>
        <v>7</v>
      </c>
      <c r="N62" s="1031">
        <f t="shared" si="4"/>
        <v>0</v>
      </c>
    </row>
    <row r="63" spans="1:14" ht="129.6" hidden="1">
      <c r="A63" s="1021">
        <v>0</v>
      </c>
      <c r="B63" s="1022">
        <f t="shared" si="20"/>
        <v>0</v>
      </c>
      <c r="C63" s="497" t="s">
        <v>31</v>
      </c>
      <c r="D63" s="499" t="str">
        <f>'Slab Culvert 1V 5m x 2m span'!B$55</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63" s="516" t="s">
        <v>1786</v>
      </c>
      <c r="F63" s="1023" t="s">
        <v>53</v>
      </c>
      <c r="G63" s="517">
        <f>'Slab Culvert 1V 5m x 2m span'!$J$57</f>
        <v>7079.99</v>
      </c>
      <c r="H63" s="1025">
        <f t="shared" si="11"/>
        <v>0</v>
      </c>
      <c r="I63" s="1036"/>
      <c r="J63" s="1036"/>
      <c r="K63" s="1036"/>
      <c r="L63" s="1032">
        <f t="shared" si="7"/>
        <v>0</v>
      </c>
      <c r="M63" s="1032">
        <f t="shared" si="8"/>
        <v>7</v>
      </c>
      <c r="N63" s="1031">
        <f t="shared" si="4"/>
        <v>0</v>
      </c>
    </row>
    <row r="64" spans="1:14" ht="144" hidden="1">
      <c r="A64" s="1021">
        <v>0</v>
      </c>
      <c r="B64" s="1022">
        <f t="shared" si="20"/>
        <v>0</v>
      </c>
      <c r="C64" s="497" t="s">
        <v>66</v>
      </c>
      <c r="D64" s="499" t="str">
        <f>'Slab Culvert 1V 5m x 2m span'!B$97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64" s="516" t="s">
        <v>1787</v>
      </c>
      <c r="F64" s="1023" t="s">
        <v>1788</v>
      </c>
      <c r="G64" s="517">
        <f>'Slab Culvert 1V 5m x 2m span'!$J$98</f>
        <v>66904.47</v>
      </c>
      <c r="H64" s="1025">
        <f t="shared" si="11"/>
        <v>0</v>
      </c>
      <c r="I64" s="1036">
        <f>SUM(H58:H64)</f>
        <v>0</v>
      </c>
      <c r="J64" s="1036"/>
      <c r="K64" s="1036">
        <f>I64-J64</f>
        <v>0</v>
      </c>
      <c r="L64" s="1032">
        <f t="shared" si="7"/>
        <v>0</v>
      </c>
      <c r="M64" s="1032">
        <f t="shared" si="8"/>
        <v>7</v>
      </c>
      <c r="N64" s="1031">
        <f t="shared" si="4"/>
        <v>0</v>
      </c>
    </row>
    <row r="65" spans="1:14" hidden="1">
      <c r="A65" s="1021">
        <v>0</v>
      </c>
      <c r="B65" s="1022"/>
      <c r="C65" s="787"/>
      <c r="D65" s="1013" t="str">
        <f>"Construction of 1 Vents of 2.00m span Slab Culvert  "&amp;E65&amp;" Nos at 1/944  Km "</f>
        <v xml:space="preserve">Construction of 1 Vents of 2.00m span Slab Culvert  0 Nos at 1/944  Km </v>
      </c>
      <c r="E65" s="1028">
        <v>0</v>
      </c>
      <c r="F65" s="1023"/>
      <c r="G65" s="1030"/>
      <c r="H65" s="1025"/>
      <c r="I65" s="1036"/>
      <c r="J65" s="1036"/>
      <c r="K65" s="1036"/>
      <c r="L65" s="1032">
        <f t="shared" si="7"/>
        <v>0</v>
      </c>
      <c r="M65" s="1032">
        <f t="shared" si="8"/>
        <v>7</v>
      </c>
      <c r="N65" s="1031">
        <f t="shared" si="4"/>
        <v>0</v>
      </c>
    </row>
    <row r="66" spans="1:14" ht="100.8" hidden="1">
      <c r="A66" s="1021">
        <v>0</v>
      </c>
      <c r="B66" s="1022">
        <f>$E$65*0</f>
        <v>0</v>
      </c>
      <c r="C66" s="497" t="s">
        <v>31</v>
      </c>
      <c r="D66" s="499" t="str">
        <f>'Slab Culvert 1V 5m x 2m span'!$B$6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66" s="516" t="s">
        <v>1779</v>
      </c>
      <c r="F66" s="1023" t="s">
        <v>53</v>
      </c>
      <c r="G66" s="517">
        <f>'Slab Culvert 1V 5m x 2m span'!$J$9</f>
        <v>123.69927804166667</v>
      </c>
      <c r="H66" s="1025">
        <f t="shared" si="11"/>
        <v>0</v>
      </c>
      <c r="I66" s="1035"/>
      <c r="J66" s="1036"/>
      <c r="K66" s="1036"/>
      <c r="L66" s="1032">
        <f t="shared" si="7"/>
        <v>0</v>
      </c>
      <c r="M66" s="1032">
        <f t="shared" si="8"/>
        <v>7</v>
      </c>
      <c r="N66" s="1031">
        <f t="shared" si="4"/>
        <v>0</v>
      </c>
    </row>
    <row r="67" spans="1:14" ht="43.2" hidden="1">
      <c r="A67" s="1021">
        <v>0</v>
      </c>
      <c r="B67" s="1022">
        <f t="shared" ref="B67:B75" si="21">$E$65*0</f>
        <v>0</v>
      </c>
      <c r="C67" s="497" t="s">
        <v>31</v>
      </c>
      <c r="D67" s="509" t="str">
        <f>'Slab Culvert 1V 5m x 2m span'!$B$11</f>
        <v>Sand  Filling  in foundation trenches as per drawing and technical specification Clause 304 of MORTH including overhead charges &amp; Contractors profit etc complete.</v>
      </c>
      <c r="E67" s="516" t="s">
        <v>1779</v>
      </c>
      <c r="F67" s="1023" t="s">
        <v>53</v>
      </c>
      <c r="G67" s="517">
        <f>'Slab Culvert 1V 5m x 2m span'!$J$13</f>
        <v>1237.43</v>
      </c>
      <c r="H67" s="1025">
        <f t="shared" si="11"/>
        <v>0</v>
      </c>
      <c r="I67" s="1035"/>
      <c r="J67" s="1036"/>
      <c r="K67" s="1036"/>
      <c r="L67" s="1032">
        <f t="shared" si="7"/>
        <v>0</v>
      </c>
      <c r="M67" s="1032">
        <f t="shared" si="8"/>
        <v>7</v>
      </c>
      <c r="N67" s="1031">
        <f t="shared" si="4"/>
        <v>0</v>
      </c>
    </row>
    <row r="68" spans="1:14" ht="115.2" hidden="1">
      <c r="A68" s="1021">
        <v>0</v>
      </c>
      <c r="B68" s="1022">
        <f t="shared" si="21"/>
        <v>0</v>
      </c>
      <c r="C68" s="497" t="s">
        <v>31</v>
      </c>
      <c r="D68" s="499" t="str">
        <f>'Slab Culvert 1V 5m x 2m span'!$B$15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68" s="516" t="s">
        <v>1780</v>
      </c>
      <c r="F68" s="1023" t="s">
        <v>53</v>
      </c>
      <c r="G68" s="517">
        <f>'Slab Culvert 1V 5m x 2m span'!$J$18</f>
        <v>5748.72</v>
      </c>
      <c r="H68" s="1025">
        <f t="shared" si="11"/>
        <v>0</v>
      </c>
      <c r="I68" s="1035"/>
      <c r="J68" s="1036"/>
      <c r="K68" s="1036"/>
      <c r="L68" s="1032">
        <f t="shared" si="7"/>
        <v>0</v>
      </c>
      <c r="M68" s="1032">
        <f t="shared" si="8"/>
        <v>7</v>
      </c>
      <c r="N68" s="1031">
        <f t="shared" si="4"/>
        <v>0</v>
      </c>
    </row>
    <row r="69" spans="1:14" ht="115.2" hidden="1">
      <c r="A69" s="1021">
        <v>0</v>
      </c>
      <c r="B69" s="1022">
        <f t="shared" si="21"/>
        <v>0</v>
      </c>
      <c r="C69" s="497" t="s">
        <v>31</v>
      </c>
      <c r="D69" s="499" t="str">
        <f>'2V 1m dia Pipe Culverts'!$B$21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E69" s="516" t="s">
        <v>1780</v>
      </c>
      <c r="F69" s="1023" t="s">
        <v>53</v>
      </c>
      <c r="G69" s="517">
        <f>'2V 1m dia Pipe Culverts'!$J$24</f>
        <v>6425.92</v>
      </c>
      <c r="H69" s="1025">
        <f t="shared" ref="H69" si="22">ROUND(B69*G69,0)</f>
        <v>0</v>
      </c>
      <c r="I69" s="1035"/>
      <c r="J69" s="1036"/>
      <c r="K69" s="1036"/>
      <c r="L69" s="1032">
        <f t="shared" si="7"/>
        <v>0</v>
      </c>
      <c r="M69" s="1032">
        <f t="shared" si="8"/>
        <v>7</v>
      </c>
      <c r="N69" s="1031">
        <f t="shared" si="4"/>
        <v>0</v>
      </c>
    </row>
    <row r="70" spans="1:14" ht="115.2" hidden="1">
      <c r="A70" s="1021">
        <v>0</v>
      </c>
      <c r="B70" s="1022">
        <f t="shared" si="21"/>
        <v>0</v>
      </c>
      <c r="C70" s="497" t="s">
        <v>31</v>
      </c>
      <c r="D70" s="499"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70" s="516" t="s">
        <v>1781</v>
      </c>
      <c r="F70" s="1023" t="s">
        <v>53</v>
      </c>
      <c r="G70" s="517">
        <f>'2V 1m dia Pipe Culverts'!$J$30</f>
        <v>6796.65</v>
      </c>
      <c r="H70" s="1025">
        <f t="shared" si="11"/>
        <v>0</v>
      </c>
      <c r="I70" s="1035"/>
      <c r="J70" s="1036"/>
      <c r="K70" s="1036"/>
      <c r="L70" s="1032">
        <f t="shared" si="7"/>
        <v>0</v>
      </c>
      <c r="M70" s="1032">
        <f t="shared" si="8"/>
        <v>7</v>
      </c>
      <c r="N70" s="1031">
        <f t="shared" si="4"/>
        <v>0</v>
      </c>
    </row>
    <row r="71" spans="1:14" ht="115.2" hidden="1">
      <c r="A71" s="1021">
        <v>0</v>
      </c>
      <c r="B71" s="1022">
        <f t="shared" si="21"/>
        <v>0</v>
      </c>
      <c r="C71" s="497" t="s">
        <v>31</v>
      </c>
      <c r="D71" s="1037" t="str">
        <f>'Slab-Culverts Data'!$B$239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71" s="1038" t="s">
        <v>1789</v>
      </c>
      <c r="F71" s="1039" t="s">
        <v>53</v>
      </c>
      <c r="G71" s="1040">
        <f>'Slab-Culverts Data'!$J$267</f>
        <v>7713.58</v>
      </c>
      <c r="H71" s="1025">
        <f t="shared" ref="H71" si="23">ROUND(B71*G71,0)</f>
        <v>0</v>
      </c>
      <c r="I71" s="1035"/>
      <c r="J71" s="1036"/>
      <c r="K71" s="1036"/>
      <c r="L71" s="1032">
        <f t="shared" si="7"/>
        <v>0</v>
      </c>
      <c r="M71" s="1032">
        <f t="shared" si="8"/>
        <v>7</v>
      </c>
      <c r="N71" s="1031">
        <f t="shared" si="4"/>
        <v>0</v>
      </c>
    </row>
    <row r="72" spans="1:14" ht="129.6" hidden="1">
      <c r="A72" s="1021">
        <v>0</v>
      </c>
      <c r="B72" s="1022">
        <f t="shared" si="21"/>
        <v>0</v>
      </c>
      <c r="C72" s="497" t="s">
        <v>31</v>
      </c>
      <c r="D72" s="499" t="str">
        <f>'Slab Culvert 1V 5m x 2m span'!B$46</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72" s="516" t="s">
        <v>1785</v>
      </c>
      <c r="F72" s="1023" t="s">
        <v>53</v>
      </c>
      <c r="G72" s="517">
        <f>'Slab Culvert 1V 5m x 2m span'!$J$49</f>
        <v>8387.5499999999993</v>
      </c>
      <c r="H72" s="1025">
        <f t="shared" si="11"/>
        <v>0</v>
      </c>
      <c r="I72" s="1035"/>
      <c r="J72" s="1036"/>
      <c r="K72" s="1036"/>
      <c r="L72" s="1032">
        <f t="shared" si="7"/>
        <v>0</v>
      </c>
      <c r="M72" s="1032">
        <f t="shared" si="8"/>
        <v>7</v>
      </c>
      <c r="N72" s="1031">
        <f t="shared" si="4"/>
        <v>0</v>
      </c>
    </row>
    <row r="73" spans="1:14" ht="129.6" hidden="1">
      <c r="A73" s="1021">
        <v>0</v>
      </c>
      <c r="B73" s="1022">
        <f t="shared" si="21"/>
        <v>0</v>
      </c>
      <c r="C73" s="497" t="s">
        <v>31</v>
      </c>
      <c r="D73" s="499" t="str">
        <f>'Slab Culvert 1V 5m x 2m span'!B$55</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73" s="516" t="s">
        <v>1786</v>
      </c>
      <c r="F73" s="1023" t="s">
        <v>53</v>
      </c>
      <c r="G73" s="517">
        <f>'Slab Culvert 1V 5m x 2m span'!$J$57</f>
        <v>7079.99</v>
      </c>
      <c r="H73" s="1025">
        <f t="shared" si="11"/>
        <v>0</v>
      </c>
      <c r="I73" s="1035"/>
      <c r="J73" s="1036"/>
      <c r="K73" s="1036"/>
      <c r="L73" s="1032">
        <f t="shared" si="7"/>
        <v>0</v>
      </c>
      <c r="M73" s="1032">
        <f t="shared" si="8"/>
        <v>7</v>
      </c>
      <c r="N73" s="1031">
        <f t="shared" si="4"/>
        <v>0</v>
      </c>
    </row>
    <row r="74" spans="1:14" ht="144" hidden="1">
      <c r="A74" s="1021">
        <v>0</v>
      </c>
      <c r="B74" s="1022">
        <f t="shared" si="21"/>
        <v>0</v>
      </c>
      <c r="C74" s="497" t="s">
        <v>31</v>
      </c>
      <c r="D74" s="499" t="str">
        <f>'Slab Culvert 1V 5m x 2m span'!B$97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74" s="516" t="s">
        <v>1787</v>
      </c>
      <c r="F74" s="1023" t="s">
        <v>1788</v>
      </c>
      <c r="G74" s="517">
        <f>'Slab Culvert 1V 5m x 2m span'!$J$98</f>
        <v>66904.47</v>
      </c>
      <c r="H74" s="1025">
        <f t="shared" si="11"/>
        <v>0</v>
      </c>
      <c r="I74" s="1035"/>
      <c r="J74" s="1036"/>
      <c r="K74" s="1042"/>
      <c r="L74" s="1032">
        <f t="shared" si="7"/>
        <v>0</v>
      </c>
      <c r="M74" s="1032">
        <f t="shared" si="8"/>
        <v>7</v>
      </c>
      <c r="N74" s="1031">
        <f t="shared" si="4"/>
        <v>0</v>
      </c>
    </row>
    <row r="75" spans="1:14" hidden="1">
      <c r="A75" s="1021">
        <v>0</v>
      </c>
      <c r="B75" s="1022">
        <f t="shared" si="21"/>
        <v>0</v>
      </c>
      <c r="C75" s="497" t="s">
        <v>579</v>
      </c>
      <c r="D75" s="499"/>
      <c r="E75" s="516"/>
      <c r="F75" s="1023"/>
      <c r="G75" s="517"/>
      <c r="H75" s="1025">
        <f t="shared" si="11"/>
        <v>0</v>
      </c>
      <c r="I75" s="1036">
        <f>SUM(H66:H75)</f>
        <v>0</v>
      </c>
      <c r="J75" s="1036"/>
      <c r="K75" s="1036"/>
      <c r="L75" s="1032">
        <f t="shared" si="7"/>
        <v>0</v>
      </c>
      <c r="M75" s="1032">
        <f t="shared" si="8"/>
        <v>7</v>
      </c>
      <c r="N75" s="1031">
        <f t="shared" si="4"/>
        <v>0</v>
      </c>
    </row>
    <row r="76" spans="1:14" hidden="1">
      <c r="A76" s="1021">
        <v>0</v>
      </c>
      <c r="B76" s="1022"/>
      <c r="C76" s="787"/>
      <c r="D76" s="1013" t="str">
        <f>"Construction of  1 Vents of  2.00m span Slab Culverts  "&amp;E76&amp;" Nos at  1/944 Kms "</f>
        <v xml:space="preserve">Construction of  1 Vents of  2.00m span Slab Culverts  0 Nos at  1/944 Kms </v>
      </c>
      <c r="E76" s="1028">
        <v>0</v>
      </c>
      <c r="F76" s="1023"/>
      <c r="G76" s="1030"/>
      <c r="H76" s="1025"/>
      <c r="I76" s="1036"/>
      <c r="J76" s="1036"/>
      <c r="K76" s="1036"/>
      <c r="L76" s="1032">
        <f t="shared" si="7"/>
        <v>0</v>
      </c>
      <c r="M76" s="1032">
        <f t="shared" si="8"/>
        <v>7</v>
      </c>
      <c r="N76" s="1031">
        <f t="shared" si="4"/>
        <v>0</v>
      </c>
    </row>
    <row r="77" spans="1:14" ht="100.8" hidden="1">
      <c r="A77" s="1021">
        <v>0</v>
      </c>
      <c r="B77" s="1022">
        <f>$E$76*0</f>
        <v>0</v>
      </c>
      <c r="C77" s="1041" t="s">
        <v>31</v>
      </c>
      <c r="D77" s="1037" t="str">
        <f>'Pipe data'!$B$4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77" s="1038" t="s">
        <v>1779</v>
      </c>
      <c r="F77" s="1039" t="s">
        <v>53</v>
      </c>
      <c r="G77" s="1040">
        <f>'Pipe data'!$G$20</f>
        <v>123.69927804166667</v>
      </c>
      <c r="H77" s="1025">
        <f t="shared" ref="H77:H93" si="24">ROUND(B77*G77,0)</f>
        <v>0</v>
      </c>
      <c r="I77" s="1035"/>
      <c r="J77" s="1036"/>
      <c r="K77" s="1036"/>
      <c r="L77" s="1032">
        <f t="shared" si="7"/>
        <v>0</v>
      </c>
      <c r="M77" s="1032">
        <f t="shared" si="8"/>
        <v>7</v>
      </c>
      <c r="N77" s="1031">
        <f t="shared" ref="N77:N140" si="25">H77</f>
        <v>0</v>
      </c>
    </row>
    <row r="78" spans="1:14" ht="43.2" hidden="1">
      <c r="A78" s="1021">
        <v>0</v>
      </c>
      <c r="B78" s="1022">
        <f t="shared" ref="B78:B93" si="26">$E$76*0</f>
        <v>0</v>
      </c>
      <c r="C78" s="1041" t="s">
        <v>31</v>
      </c>
      <c r="D78" s="1029" t="str">
        <f>'Pipe data'!$B$55</f>
        <v>Sand  Filling  in foundation trenches as per drawing and technical specification Clause 304 of MORTH including overhead charges &amp; Contractors profit etc complete.</v>
      </c>
      <c r="E78" s="1038" t="s">
        <v>1779</v>
      </c>
      <c r="F78" s="1039" t="s">
        <v>53</v>
      </c>
      <c r="G78" s="1040">
        <f>'Pipe data'!$G$72</f>
        <v>1237.43</v>
      </c>
      <c r="H78" s="1025">
        <f t="shared" si="24"/>
        <v>0</v>
      </c>
      <c r="I78" s="1035"/>
      <c r="J78" s="1036"/>
      <c r="K78" s="1036"/>
      <c r="L78" s="1032">
        <f t="shared" si="7"/>
        <v>0</v>
      </c>
      <c r="M78" s="1032">
        <f t="shared" si="8"/>
        <v>7</v>
      </c>
      <c r="N78" s="1031">
        <f t="shared" si="25"/>
        <v>0</v>
      </c>
    </row>
    <row r="79" spans="1:14" ht="115.2" hidden="1">
      <c r="A79" s="1021">
        <v>0</v>
      </c>
      <c r="B79" s="1022">
        <f t="shared" si="26"/>
        <v>0</v>
      </c>
      <c r="C79" s="1041" t="s">
        <v>31</v>
      </c>
      <c r="D79" s="1037" t="str">
        <f>'Slab-Culverts Data'!$B$5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79" s="1038" t="s">
        <v>1780</v>
      </c>
      <c r="F79" s="1039" t="s">
        <v>53</v>
      </c>
      <c r="G79" s="1040">
        <f>'Slab-Culverts Data'!$J$31</f>
        <v>5748.72</v>
      </c>
      <c r="H79" s="1025">
        <f t="shared" si="24"/>
        <v>0</v>
      </c>
      <c r="I79" s="1035"/>
      <c r="J79" s="1036"/>
      <c r="K79" s="1036"/>
      <c r="L79" s="1032">
        <f t="shared" si="7"/>
        <v>0</v>
      </c>
      <c r="M79" s="1032">
        <f t="shared" si="8"/>
        <v>7</v>
      </c>
      <c r="N79" s="1031">
        <f t="shared" si="25"/>
        <v>0</v>
      </c>
    </row>
    <row r="80" spans="1:14" ht="115.2" hidden="1">
      <c r="A80" s="1021">
        <v>0</v>
      </c>
      <c r="B80" s="1022">
        <f t="shared" si="26"/>
        <v>0</v>
      </c>
      <c r="C80" s="1041" t="s">
        <v>31</v>
      </c>
      <c r="D80" s="1029" t="str">
        <f>'Slab-Culverts Data'!$B$33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80" s="1038" t="s">
        <v>1780</v>
      </c>
      <c r="F80" s="1039" t="s">
        <v>53</v>
      </c>
      <c r="G80" s="1040">
        <f>'Slab-Culverts Data'!$J$62</f>
        <v>6425.92</v>
      </c>
      <c r="H80" s="1025">
        <f t="shared" si="24"/>
        <v>0</v>
      </c>
      <c r="I80" s="1035"/>
      <c r="J80" s="1036"/>
      <c r="K80" s="1036"/>
      <c r="L80" s="1032">
        <f t="shared" si="7"/>
        <v>0</v>
      </c>
      <c r="M80" s="1032">
        <f t="shared" si="8"/>
        <v>7</v>
      </c>
      <c r="N80" s="1031">
        <f t="shared" si="25"/>
        <v>0</v>
      </c>
    </row>
    <row r="81" spans="1:14" ht="115.2" hidden="1">
      <c r="A81" s="1021">
        <v>0</v>
      </c>
      <c r="B81" s="1022">
        <f t="shared" si="26"/>
        <v>0</v>
      </c>
      <c r="C81" s="1041" t="s">
        <v>31</v>
      </c>
      <c r="D81" s="1037" t="str">
        <f>'Slab-Culverts Data'!$B$177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81" s="1038" t="s">
        <v>1780</v>
      </c>
      <c r="F81" s="1039" t="s">
        <v>53</v>
      </c>
      <c r="G81" s="1040">
        <f>'Slab-Culverts Data'!$J$206</f>
        <v>6796.65</v>
      </c>
      <c r="H81" s="1025">
        <f t="shared" si="24"/>
        <v>0</v>
      </c>
      <c r="I81" s="1035"/>
      <c r="J81" s="1036"/>
      <c r="K81" s="1036"/>
      <c r="L81" s="1032">
        <f t="shared" si="7"/>
        <v>0</v>
      </c>
      <c r="M81" s="1032">
        <f t="shared" si="8"/>
        <v>7</v>
      </c>
      <c r="N81" s="1031">
        <f t="shared" si="25"/>
        <v>0</v>
      </c>
    </row>
    <row r="82" spans="1:14" ht="115.2" hidden="1">
      <c r="A82" s="1021">
        <v>0</v>
      </c>
      <c r="B82" s="1022">
        <f t="shared" si="26"/>
        <v>0</v>
      </c>
      <c r="C82" s="1041" t="s">
        <v>31</v>
      </c>
      <c r="D82" s="1037" t="str">
        <f>'Slab-Culverts Data'!$B$239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82" s="1038" t="s">
        <v>1789</v>
      </c>
      <c r="F82" s="1039" t="s">
        <v>53</v>
      </c>
      <c r="G82" s="1040">
        <f>'Slab-Culverts Data'!$J$267</f>
        <v>7713.58</v>
      </c>
      <c r="H82" s="1025">
        <f t="shared" si="24"/>
        <v>0</v>
      </c>
      <c r="I82" s="1035"/>
      <c r="J82" s="1036"/>
      <c r="K82" s="1036">
        <f>18774/G82</f>
        <v>2.4338893224676479</v>
      </c>
      <c r="L82" s="1032">
        <f t="shared" si="7"/>
        <v>0</v>
      </c>
      <c r="M82" s="1032">
        <f t="shared" si="8"/>
        <v>7</v>
      </c>
      <c r="N82" s="1031">
        <f t="shared" si="25"/>
        <v>0</v>
      </c>
    </row>
    <row r="83" spans="1:14" ht="129.6" hidden="1">
      <c r="A83" s="1021">
        <v>0</v>
      </c>
      <c r="B83" s="1022">
        <f t="shared" si="26"/>
        <v>0</v>
      </c>
      <c r="C83" s="1041" t="s">
        <v>31</v>
      </c>
      <c r="D83" s="1037" t="str">
        <f>'Slab-Culverts Data'!$B$369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E83" s="1038" t="s">
        <v>1785</v>
      </c>
      <c r="F83" s="1039" t="s">
        <v>53</v>
      </c>
      <c r="G83" s="1040">
        <f>'Slab-Culverts Data'!$J$397</f>
        <v>8495.99</v>
      </c>
      <c r="H83" s="1025">
        <f t="shared" si="24"/>
        <v>0</v>
      </c>
      <c r="I83" s="1035"/>
      <c r="J83" s="1036"/>
      <c r="K83" s="1042"/>
      <c r="L83" s="1032">
        <f t="shared" si="7"/>
        <v>0</v>
      </c>
      <c r="M83" s="1032">
        <f t="shared" si="8"/>
        <v>7</v>
      </c>
      <c r="N83" s="1031">
        <f t="shared" si="25"/>
        <v>0</v>
      </c>
    </row>
    <row r="84" spans="1:14" ht="129.6" hidden="1">
      <c r="A84" s="1021">
        <v>0</v>
      </c>
      <c r="B84" s="1022">
        <f t="shared" si="26"/>
        <v>0</v>
      </c>
      <c r="C84" s="1041" t="s">
        <v>31</v>
      </c>
      <c r="D84" s="1037" t="str">
        <f>'Slab-Culverts Data'!$B$400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84" s="1038" t="s">
        <v>1786</v>
      </c>
      <c r="F84" s="1039" t="s">
        <v>53</v>
      </c>
      <c r="G84" s="1040">
        <f>'Slab-Culverts Data'!$J$428</f>
        <v>7079.99</v>
      </c>
      <c r="H84" s="1025">
        <f t="shared" si="24"/>
        <v>0</v>
      </c>
      <c r="I84" s="1035"/>
      <c r="J84" s="1036"/>
      <c r="K84" s="1036">
        <f>61979/5270.45</f>
        <v>11.759716912218122</v>
      </c>
      <c r="L84" s="1032">
        <f t="shared" si="7"/>
        <v>0</v>
      </c>
      <c r="M84" s="1032">
        <f t="shared" si="8"/>
        <v>7</v>
      </c>
      <c r="N84" s="1031">
        <f t="shared" si="25"/>
        <v>0</v>
      </c>
    </row>
    <row r="85" spans="1:14" ht="115.2" hidden="1">
      <c r="A85" s="1021">
        <v>0</v>
      </c>
      <c r="B85" s="1022">
        <f t="shared" si="26"/>
        <v>0</v>
      </c>
      <c r="C85" s="1041" t="s">
        <v>31</v>
      </c>
      <c r="D85" s="1029" t="str">
        <f>'Slab-Culverts Data'!$B$33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85" s="1038" t="s">
        <v>1780</v>
      </c>
      <c r="F85" s="1039" t="s">
        <v>53</v>
      </c>
      <c r="G85" s="1040">
        <f>'Slab-Culverts Data'!$J$62</f>
        <v>6425.92</v>
      </c>
      <c r="H85" s="1025">
        <f t="shared" ref="H85" si="27">ROUND(B85*G85,0)</f>
        <v>0</v>
      </c>
      <c r="I85" s="1035"/>
      <c r="J85" s="1036"/>
      <c r="K85" s="1036"/>
      <c r="L85" s="1032">
        <f t="shared" si="7"/>
        <v>0</v>
      </c>
      <c r="M85" s="1032">
        <f t="shared" si="8"/>
        <v>7</v>
      </c>
      <c r="N85" s="1031">
        <f t="shared" si="25"/>
        <v>0</v>
      </c>
    </row>
    <row r="86" spans="1:14" ht="144" hidden="1">
      <c r="A86" s="1021">
        <v>0</v>
      </c>
      <c r="B86" s="1022">
        <f t="shared" si="26"/>
        <v>0</v>
      </c>
      <c r="C86" s="1041" t="s">
        <v>66</v>
      </c>
      <c r="D86" s="1037" t="str">
        <f>'Slab-Culverts Data'!$B$431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86" s="1038" t="s">
        <v>1787</v>
      </c>
      <c r="F86" s="1039" t="s">
        <v>1788</v>
      </c>
      <c r="G86" s="1040">
        <f>'Slab-Culverts Data'!$J$451</f>
        <v>66904.47</v>
      </c>
      <c r="H86" s="1025">
        <f t="shared" si="24"/>
        <v>0</v>
      </c>
      <c r="I86" s="1035"/>
      <c r="J86" s="1036"/>
      <c r="K86" s="1036"/>
      <c r="L86" s="1032">
        <f t="shared" si="7"/>
        <v>0</v>
      </c>
      <c r="M86" s="1032">
        <f t="shared" si="8"/>
        <v>7</v>
      </c>
      <c r="N86" s="1031">
        <f t="shared" si="25"/>
        <v>0</v>
      </c>
    </row>
    <row r="87" spans="1:14" ht="57.6" hidden="1">
      <c r="A87" s="1021">
        <v>0</v>
      </c>
      <c r="B87" s="1022">
        <f t="shared" si="26"/>
        <v>0</v>
      </c>
      <c r="C87" s="1041" t="s">
        <v>31</v>
      </c>
      <c r="D87" s="1037" t="str">
        <f>'Pipe data'!$B$156</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E87" s="1038" t="s">
        <v>1790</v>
      </c>
      <c r="F87" s="1039" t="s">
        <v>53</v>
      </c>
      <c r="G87" s="1040">
        <f>'Pipe data'!$G$177</f>
        <v>691.79</v>
      </c>
      <c r="H87" s="1025">
        <f t="shared" si="24"/>
        <v>0</v>
      </c>
      <c r="I87" s="1035"/>
      <c r="J87" s="1036"/>
      <c r="K87" s="1036"/>
      <c r="L87" s="1032">
        <f t="shared" ref="L87:L150" si="28">IF(M87=M86,0,M87)</f>
        <v>0</v>
      </c>
      <c r="M87" s="1032">
        <f t="shared" ref="M87:M150" si="29">IF(N87&gt;0,(M86+1),M86)</f>
        <v>7</v>
      </c>
      <c r="N87" s="1031">
        <f t="shared" si="25"/>
        <v>0</v>
      </c>
    </row>
    <row r="88" spans="1:14" ht="57.6" hidden="1">
      <c r="A88" s="1021">
        <v>0</v>
      </c>
      <c r="B88" s="1022">
        <f t="shared" si="26"/>
        <v>0</v>
      </c>
      <c r="C88" s="1041" t="s">
        <v>31</v>
      </c>
      <c r="D88" s="1037"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88" s="1038" t="s">
        <v>1782</v>
      </c>
      <c r="F88" s="1039" t="s">
        <v>53</v>
      </c>
      <c r="G88" s="1040">
        <f>'Slab-Culverts Data'!$J$559</f>
        <v>2067.88</v>
      </c>
      <c r="H88" s="1025">
        <f t="shared" si="24"/>
        <v>0</v>
      </c>
      <c r="I88" s="1035"/>
      <c r="J88" s="1036"/>
      <c r="K88" s="1036"/>
      <c r="L88" s="1032">
        <f t="shared" si="28"/>
        <v>0</v>
      </c>
      <c r="M88" s="1032">
        <f t="shared" si="29"/>
        <v>7</v>
      </c>
      <c r="N88" s="1031">
        <f t="shared" si="25"/>
        <v>0</v>
      </c>
    </row>
    <row r="89" spans="1:14" ht="115.2" hidden="1">
      <c r="A89" s="1021">
        <v>0</v>
      </c>
      <c r="B89" s="1022">
        <f t="shared" si="26"/>
        <v>0</v>
      </c>
      <c r="C89" s="1041" t="s">
        <v>31</v>
      </c>
      <c r="D89" s="1037" t="str">
        <f>'Slab-Culverts Data'!$B$506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E89" s="1038" t="s">
        <v>1780</v>
      </c>
      <c r="F89" s="1039" t="s">
        <v>53</v>
      </c>
      <c r="G89" s="1040">
        <f>'Slab-Culverts Data'!$J$535</f>
        <v>6182.18</v>
      </c>
      <c r="H89" s="1025">
        <f t="shared" si="24"/>
        <v>0</v>
      </c>
      <c r="I89" s="1035"/>
      <c r="J89" s="1036"/>
      <c r="K89" s="1036"/>
      <c r="L89" s="1032">
        <f t="shared" si="28"/>
        <v>0</v>
      </c>
      <c r="M89" s="1032">
        <f t="shared" si="29"/>
        <v>7</v>
      </c>
      <c r="N89" s="1031">
        <f t="shared" si="25"/>
        <v>0</v>
      </c>
    </row>
    <row r="90" spans="1:14" ht="129.6" hidden="1">
      <c r="A90" s="1021">
        <v>0</v>
      </c>
      <c r="B90" s="1022">
        <f t="shared" si="26"/>
        <v>0</v>
      </c>
      <c r="C90" s="1041" t="s">
        <v>31</v>
      </c>
      <c r="D90" s="1037" t="str">
        <f>'Slab-Culverts Data'!$B$476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E90" s="1038" t="s">
        <v>1791</v>
      </c>
      <c r="F90" s="1039" t="s">
        <v>53</v>
      </c>
      <c r="G90" s="1040">
        <f>'Slab-Culverts Data'!$J$504</f>
        <v>7175.39</v>
      </c>
      <c r="H90" s="1025">
        <f t="shared" si="24"/>
        <v>0</v>
      </c>
      <c r="I90" s="1035"/>
      <c r="J90" s="1036"/>
      <c r="K90" s="1036"/>
      <c r="L90" s="1032">
        <f t="shared" si="28"/>
        <v>0</v>
      </c>
      <c r="M90" s="1032">
        <f t="shared" si="29"/>
        <v>7</v>
      </c>
      <c r="N90" s="1031">
        <f t="shared" si="25"/>
        <v>0</v>
      </c>
    </row>
    <row r="91" spans="1:14" ht="129.6" hidden="1">
      <c r="A91" s="1021">
        <v>0</v>
      </c>
      <c r="B91" s="1022">
        <f t="shared" si="26"/>
        <v>0</v>
      </c>
      <c r="C91" s="1041" t="s">
        <v>31</v>
      </c>
      <c r="D91" s="1037" t="str">
        <f>'Road data'!$B$161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E91" s="1038" t="s">
        <v>1765</v>
      </c>
      <c r="F91" s="1039" t="s">
        <v>53</v>
      </c>
      <c r="G91" s="1040">
        <f>'Road data'!$G$188</f>
        <v>318.8</v>
      </c>
      <c r="H91" s="1025">
        <f t="shared" si="24"/>
        <v>0</v>
      </c>
      <c r="I91" s="1035"/>
      <c r="J91" s="1036"/>
      <c r="K91" s="1036"/>
      <c r="L91" s="1032">
        <f t="shared" si="28"/>
        <v>0</v>
      </c>
      <c r="M91" s="1032">
        <f t="shared" si="29"/>
        <v>7</v>
      </c>
      <c r="N91" s="1031">
        <f t="shared" si="25"/>
        <v>0</v>
      </c>
    </row>
    <row r="92" spans="1:14" ht="43.2" hidden="1">
      <c r="A92" s="1021">
        <v>0</v>
      </c>
      <c r="B92" s="1022">
        <f t="shared" si="26"/>
        <v>0</v>
      </c>
      <c r="C92" s="1041" t="s">
        <v>579</v>
      </c>
      <c r="D92" s="1037" t="str">
        <f>'Slab-Culverts Data'!$B$580</f>
        <v>Construction of RCC guide posts of 250 mm dia M25 grade cast-in-situ with 20 mm nominal size aggregate, true to line and grade, tolerance of vertical RCC posts not to exceed 1 in 500 as per drawing and Technical Specification Clause 1608.2</v>
      </c>
      <c r="E92" s="1038" t="s">
        <v>1792</v>
      </c>
      <c r="F92" s="1039" t="s">
        <v>1611</v>
      </c>
      <c r="G92" s="1040">
        <f>'Slab-Culverts Data'!$J$601</f>
        <v>805.61</v>
      </c>
      <c r="H92" s="1025">
        <f t="shared" si="24"/>
        <v>0</v>
      </c>
      <c r="I92" s="1035"/>
      <c r="J92" s="1036"/>
      <c r="K92" s="1036"/>
      <c r="L92" s="1032">
        <f t="shared" si="28"/>
        <v>0</v>
      </c>
      <c r="M92" s="1032">
        <f t="shared" si="29"/>
        <v>7</v>
      </c>
      <c r="N92" s="1031">
        <f t="shared" si="25"/>
        <v>0</v>
      </c>
    </row>
    <row r="93" spans="1:14" ht="115.2" hidden="1">
      <c r="A93" s="1021">
        <v>0</v>
      </c>
      <c r="B93" s="1022">
        <f t="shared" si="26"/>
        <v>0</v>
      </c>
      <c r="C93" s="1041" t="s">
        <v>579</v>
      </c>
      <c r="D93" s="1037" t="str">
        <f>'Slab-Culverts Data'!$B$291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E93" s="1038" t="s">
        <v>1793</v>
      </c>
      <c r="F93" s="1039" t="s">
        <v>1611</v>
      </c>
      <c r="G93" s="1040">
        <f>'Slab-Culverts Data'!J289</f>
        <v>64943.470150000001</v>
      </c>
      <c r="H93" s="1025">
        <f t="shared" si="24"/>
        <v>0</v>
      </c>
      <c r="I93" s="1036">
        <f>SUM(H77:H93)</f>
        <v>0</v>
      </c>
      <c r="J93" s="1036"/>
      <c r="K93" s="1036">
        <f>I93-J93</f>
        <v>0</v>
      </c>
      <c r="L93" s="1032">
        <f t="shared" si="28"/>
        <v>0</v>
      </c>
      <c r="M93" s="1032">
        <f t="shared" si="29"/>
        <v>7</v>
      </c>
      <c r="N93" s="1031">
        <f t="shared" si="25"/>
        <v>0</v>
      </c>
    </row>
    <row r="94" spans="1:14" hidden="1">
      <c r="A94" s="1021">
        <v>0</v>
      </c>
      <c r="B94" s="1022"/>
      <c r="C94" s="497"/>
      <c r="D94" s="499"/>
      <c r="E94" s="516"/>
      <c r="F94" s="1023"/>
      <c r="G94" s="517"/>
      <c r="H94" s="1025"/>
      <c r="I94" s="1036"/>
      <c r="J94" s="1036"/>
      <c r="K94" s="1036"/>
      <c r="L94" s="1032">
        <f t="shared" si="28"/>
        <v>0</v>
      </c>
      <c r="M94" s="1032">
        <f t="shared" si="29"/>
        <v>7</v>
      </c>
      <c r="N94" s="1031">
        <f t="shared" si="25"/>
        <v>0</v>
      </c>
    </row>
    <row r="95" spans="1:14" hidden="1">
      <c r="A95" s="1021">
        <v>0</v>
      </c>
      <c r="B95" s="1022"/>
      <c r="C95" s="787">
        <v>3</v>
      </c>
      <c r="D95" s="1013" t="str">
        <f>'Slab Culvert 1V 5m x 2m span'!A3</f>
        <v xml:space="preserve">Construction of 1 Vent of 5.00 x 2.00m span Slab Culverts- 1nos  at Km 2/100 </v>
      </c>
      <c r="E95" s="1028">
        <v>0</v>
      </c>
      <c r="F95" s="1023"/>
      <c r="G95" s="1030"/>
      <c r="H95" s="1025"/>
      <c r="I95" s="1036"/>
      <c r="J95" s="1036"/>
      <c r="K95" s="1036"/>
      <c r="L95" s="1032">
        <f t="shared" si="28"/>
        <v>0</v>
      </c>
      <c r="M95" s="1032">
        <f t="shared" si="29"/>
        <v>7</v>
      </c>
      <c r="N95" s="1031">
        <f t="shared" si="25"/>
        <v>0</v>
      </c>
    </row>
    <row r="96" spans="1:14" ht="100.8" hidden="1">
      <c r="A96" s="1021">
        <v>0</v>
      </c>
      <c r="B96" s="517">
        <f>'Slab Culvert 1V 5m x 2m span'!I9*E95</f>
        <v>0</v>
      </c>
      <c r="C96" s="1041" t="s">
        <v>31</v>
      </c>
      <c r="D96" s="1037" t="str">
        <f>'Pipe data'!$B$4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96" s="1038" t="s">
        <v>1779</v>
      </c>
      <c r="F96" s="1039" t="s">
        <v>53</v>
      </c>
      <c r="G96" s="1040">
        <f>'Pipe data'!$G$20</f>
        <v>123.69927804166667</v>
      </c>
      <c r="H96" s="1025">
        <f>ROUND(B96*G96,0)</f>
        <v>0</v>
      </c>
      <c r="I96" s="1035"/>
      <c r="J96" s="1036"/>
      <c r="K96" s="1036"/>
      <c r="L96" s="1032">
        <f t="shared" si="28"/>
        <v>0</v>
      </c>
      <c r="M96" s="1032">
        <f t="shared" si="29"/>
        <v>7</v>
      </c>
      <c r="N96" s="1031">
        <f t="shared" si="25"/>
        <v>0</v>
      </c>
    </row>
    <row r="97" spans="1:14" ht="43.2" hidden="1">
      <c r="A97" s="1021">
        <v>0</v>
      </c>
      <c r="B97" s="1022">
        <f>'Slab Culvert 1V 5m x 2m span'!I13*E95</f>
        <v>0</v>
      </c>
      <c r="C97" s="1041" t="s">
        <v>31</v>
      </c>
      <c r="D97" s="1029" t="str">
        <f>'Pipe data'!$B$55</f>
        <v>Sand  Filling  in foundation trenches as per drawing and technical specification Clause 304 of MORTH including overhead charges &amp; Contractors profit etc complete.</v>
      </c>
      <c r="E97" s="1038" t="s">
        <v>1779</v>
      </c>
      <c r="F97" s="1039" t="s">
        <v>53</v>
      </c>
      <c r="G97" s="1040">
        <f>'Pipe data'!$G$72</f>
        <v>1237.43</v>
      </c>
      <c r="H97" s="1025">
        <f t="shared" ref="H97:H114" si="30">ROUND(B97*G97,0)</f>
        <v>0</v>
      </c>
      <c r="I97" s="1035"/>
      <c r="J97" s="1036"/>
      <c r="K97" s="1036"/>
      <c r="L97" s="1032">
        <f t="shared" si="28"/>
        <v>0</v>
      </c>
      <c r="M97" s="1032">
        <f t="shared" si="29"/>
        <v>7</v>
      </c>
      <c r="N97" s="1031">
        <f t="shared" si="25"/>
        <v>0</v>
      </c>
    </row>
    <row r="98" spans="1:14" ht="115.2" hidden="1">
      <c r="A98" s="1021">
        <v>0</v>
      </c>
      <c r="B98" s="1022">
        <f>'Slab Culvert 1V 5m x 2m span'!I18*E95</f>
        <v>0</v>
      </c>
      <c r="C98" s="1041" t="s">
        <v>31</v>
      </c>
      <c r="D98" s="1037" t="str">
        <f>'Slab-Culverts Data'!$B$5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98" s="1038" t="s">
        <v>1780</v>
      </c>
      <c r="F98" s="1039" t="s">
        <v>53</v>
      </c>
      <c r="G98" s="1040">
        <f>'Slab-Culverts Data'!$J$31</f>
        <v>5748.72</v>
      </c>
      <c r="H98" s="1025">
        <f t="shared" si="30"/>
        <v>0</v>
      </c>
      <c r="I98" s="1035"/>
      <c r="J98" s="1036"/>
      <c r="K98" s="1036"/>
      <c r="L98" s="1032">
        <f t="shared" si="28"/>
        <v>0</v>
      </c>
      <c r="M98" s="1032">
        <f t="shared" si="29"/>
        <v>7</v>
      </c>
      <c r="N98" s="1031">
        <f t="shared" si="25"/>
        <v>0</v>
      </c>
    </row>
    <row r="99" spans="1:14" ht="115.2" hidden="1">
      <c r="A99" s="1021">
        <v>0</v>
      </c>
      <c r="B99" s="1022">
        <f>'Slab Culvert 1V 5m x 2m span'!I29*E95</f>
        <v>0</v>
      </c>
      <c r="C99" s="1041" t="s">
        <v>31</v>
      </c>
      <c r="D99" s="1029" t="str">
        <f>'Slab-Culverts Data'!$B$33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99" s="1038" t="s">
        <v>1780</v>
      </c>
      <c r="F99" s="1039" t="s">
        <v>53</v>
      </c>
      <c r="G99" s="1040">
        <f>'Slab-Culverts Data'!$J$62</f>
        <v>6425.92</v>
      </c>
      <c r="H99" s="1025">
        <f t="shared" si="30"/>
        <v>0</v>
      </c>
      <c r="I99" s="1035"/>
      <c r="J99" s="1036"/>
      <c r="K99" s="1036"/>
      <c r="L99" s="1032">
        <f t="shared" si="28"/>
        <v>0</v>
      </c>
      <c r="M99" s="1032">
        <f t="shared" si="29"/>
        <v>7</v>
      </c>
      <c r="N99" s="1031">
        <f t="shared" si="25"/>
        <v>0</v>
      </c>
    </row>
    <row r="100" spans="1:14" ht="115.2" hidden="1">
      <c r="A100" s="1021">
        <v>0</v>
      </c>
      <c r="B100" s="1022">
        <f>'Slab Culvert 1V 5m x 2m span'!I35*E95</f>
        <v>0</v>
      </c>
      <c r="C100" s="1041" t="s">
        <v>31</v>
      </c>
      <c r="D100" s="1037" t="str">
        <f>'Slab-Culverts Data'!$B$177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100" s="1038" t="s">
        <v>1780</v>
      </c>
      <c r="F100" s="1039" t="s">
        <v>53</v>
      </c>
      <c r="G100" s="1040">
        <f>'Slab-Culverts Data'!$J$206</f>
        <v>6796.65</v>
      </c>
      <c r="H100" s="1025">
        <f t="shared" si="30"/>
        <v>0</v>
      </c>
      <c r="I100" s="1035"/>
      <c r="J100" s="1036"/>
      <c r="K100" s="1036"/>
      <c r="L100" s="1032">
        <f t="shared" si="28"/>
        <v>0</v>
      </c>
      <c r="M100" s="1032">
        <f t="shared" si="29"/>
        <v>7</v>
      </c>
      <c r="N100" s="1031">
        <f t="shared" si="25"/>
        <v>0</v>
      </c>
    </row>
    <row r="101" spans="1:14" ht="115.2" hidden="1">
      <c r="A101" s="1021">
        <v>0</v>
      </c>
      <c r="B101" s="1022">
        <f>'Slab Culvert 1V 5m x 2m span'!I43*E95</f>
        <v>0</v>
      </c>
      <c r="C101" s="1041" t="s">
        <v>31</v>
      </c>
      <c r="D101" s="1037" t="str">
        <f>'Slab-Culverts Data'!$B$239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101" s="1038" t="s">
        <v>1789</v>
      </c>
      <c r="F101" s="1039" t="s">
        <v>53</v>
      </c>
      <c r="G101" s="1040">
        <f>'Slab-Culverts Data'!$J$267</f>
        <v>7713.58</v>
      </c>
      <c r="H101" s="1025">
        <f t="shared" si="30"/>
        <v>0</v>
      </c>
      <c r="I101" s="1035"/>
      <c r="J101" s="1036"/>
      <c r="K101" s="1036">
        <f>18774/G101</f>
        <v>2.4338893224676479</v>
      </c>
      <c r="L101" s="1032">
        <f t="shared" si="28"/>
        <v>0</v>
      </c>
      <c r="M101" s="1032">
        <f t="shared" si="29"/>
        <v>7</v>
      </c>
      <c r="N101" s="1031">
        <f t="shared" si="25"/>
        <v>0</v>
      </c>
    </row>
    <row r="102" spans="1:14" ht="129.6" hidden="1">
      <c r="A102" s="1021">
        <v>0</v>
      </c>
      <c r="B102" s="1022">
        <f>'Slab Culvert 1V 5m x 2m span'!I49*E95</f>
        <v>0</v>
      </c>
      <c r="C102" s="1041" t="s">
        <v>31</v>
      </c>
      <c r="D102" s="1037" t="str">
        <f>'Slab-Culverts Data'!B338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102" s="1038" t="s">
        <v>1785</v>
      </c>
      <c r="F102" s="1039" t="s">
        <v>53</v>
      </c>
      <c r="G102" s="1040">
        <f>'Slab-Culverts Data'!J366</f>
        <v>8387.5499999999993</v>
      </c>
      <c r="H102" s="1025">
        <f t="shared" si="30"/>
        <v>0</v>
      </c>
      <c r="I102" s="1035"/>
      <c r="J102" s="1036"/>
      <c r="K102" s="1042"/>
      <c r="L102" s="1032">
        <f t="shared" si="28"/>
        <v>0</v>
      </c>
      <c r="M102" s="1032">
        <f t="shared" si="29"/>
        <v>7</v>
      </c>
      <c r="N102" s="1031">
        <f t="shared" si="25"/>
        <v>0</v>
      </c>
    </row>
    <row r="103" spans="1:14" ht="129.6" hidden="1">
      <c r="A103" s="1021">
        <v>0</v>
      </c>
      <c r="B103" s="1022">
        <f>'Slab Culvert 1V 5m x 2m span'!I57*E95</f>
        <v>0</v>
      </c>
      <c r="C103" s="1041" t="s">
        <v>31</v>
      </c>
      <c r="D103" s="1037" t="str">
        <f>'Slab-Culverts Data'!$B$400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103" s="1038" t="s">
        <v>1786</v>
      </c>
      <c r="F103" s="1039" t="s">
        <v>53</v>
      </c>
      <c r="G103" s="1040">
        <f>'Slab-Culverts Data'!$J$428</f>
        <v>7079.99</v>
      </c>
      <c r="H103" s="1025">
        <f t="shared" si="30"/>
        <v>0</v>
      </c>
      <c r="I103" s="1035"/>
      <c r="J103" s="1036"/>
      <c r="K103" s="1036">
        <f>61979/5270.45</f>
        <v>11.759716912218122</v>
      </c>
      <c r="L103" s="1032">
        <f t="shared" si="28"/>
        <v>0</v>
      </c>
      <c r="M103" s="1032">
        <f t="shared" si="29"/>
        <v>7</v>
      </c>
      <c r="N103" s="1031">
        <f t="shared" si="25"/>
        <v>0</v>
      </c>
    </row>
    <row r="104" spans="1:14" ht="144" hidden="1">
      <c r="A104" s="1021">
        <v>0</v>
      </c>
      <c r="B104" s="1022">
        <f>'Slab Culvert 1V 5m x 2m span'!I91*E95</f>
        <v>0</v>
      </c>
      <c r="C104" s="1041" t="s">
        <v>66</v>
      </c>
      <c r="D104" s="1037" t="str">
        <f>'Slab Culvert 1V 5m x 2m span'!B90</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E104" s="1038" t="s">
        <v>1787</v>
      </c>
      <c r="F104" s="1039" t="s">
        <v>1788</v>
      </c>
      <c r="G104" s="1040">
        <f>'Slab Culvert 1V 5m x 2m span'!$J$91</f>
        <v>64656.02</v>
      </c>
      <c r="H104" s="1025">
        <f t="shared" si="30"/>
        <v>0</v>
      </c>
      <c r="I104" s="1035"/>
      <c r="J104" s="1036"/>
      <c r="K104" s="1036"/>
      <c r="L104" s="1032">
        <f t="shared" si="28"/>
        <v>0</v>
      </c>
      <c r="M104" s="1032">
        <f t="shared" si="29"/>
        <v>7</v>
      </c>
      <c r="N104" s="1031">
        <f t="shared" si="25"/>
        <v>0</v>
      </c>
    </row>
    <row r="105" spans="1:14" ht="57.6" hidden="1">
      <c r="A105" s="1021">
        <v>0</v>
      </c>
      <c r="B105" s="1022">
        <f>'Slab Culvert 1V 5m x 2m span'!I53*E95</f>
        <v>0</v>
      </c>
      <c r="C105" s="1041" t="s">
        <v>31</v>
      </c>
      <c r="D105" s="1037" t="str">
        <f>'Slab Culvert 1V 5m x 2m span'!B51</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E105" s="1038" t="s">
        <v>1794</v>
      </c>
      <c r="F105" s="1039" t="s">
        <v>53</v>
      </c>
      <c r="G105" s="1040">
        <f>'Slab Culvert 1V 5m x 2m span'!$J$53</f>
        <v>691.79</v>
      </c>
      <c r="H105" s="1025">
        <f t="shared" si="30"/>
        <v>0</v>
      </c>
      <c r="I105" s="1035"/>
      <c r="J105" s="1036"/>
      <c r="K105" s="1036"/>
      <c r="L105" s="1032">
        <f t="shared" si="28"/>
        <v>0</v>
      </c>
      <c r="M105" s="1032">
        <f t="shared" si="29"/>
        <v>7</v>
      </c>
      <c r="N105" s="1031">
        <f t="shared" si="25"/>
        <v>0</v>
      </c>
    </row>
    <row r="106" spans="1:14" ht="115.2" hidden="1">
      <c r="A106" s="1021">
        <v>0</v>
      </c>
      <c r="B106" s="1022">
        <f>'Slab Culvert 1V 5m x 2m span'!I65*E95</f>
        <v>0</v>
      </c>
      <c r="C106" s="1041" t="s">
        <v>31</v>
      </c>
      <c r="D106" s="1037" t="str">
        <f>'Slab-Culverts Data'!$B$506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E106" s="1038" t="s">
        <v>1780</v>
      </c>
      <c r="F106" s="1039" t="s">
        <v>53</v>
      </c>
      <c r="G106" s="1040">
        <f>'Slab-Culverts Data'!$J$535</f>
        <v>6182.18</v>
      </c>
      <c r="H106" s="1025">
        <f t="shared" si="30"/>
        <v>0</v>
      </c>
      <c r="I106" s="1035"/>
      <c r="J106" s="1036"/>
      <c r="K106" s="1036"/>
      <c r="L106" s="1032">
        <f t="shared" si="28"/>
        <v>0</v>
      </c>
      <c r="M106" s="1032">
        <f t="shared" si="29"/>
        <v>7</v>
      </c>
      <c r="N106" s="1031">
        <f t="shared" si="25"/>
        <v>0</v>
      </c>
    </row>
    <row r="107" spans="1:14" ht="129.6" hidden="1">
      <c r="A107" s="1021">
        <v>0</v>
      </c>
      <c r="B107" s="1022">
        <f>'Slab Culvert 1V 5m x 2m span'!I69*E95</f>
        <v>0</v>
      </c>
      <c r="C107" s="1041" t="s">
        <v>31</v>
      </c>
      <c r="D107" s="1037" t="str">
        <f>'Slab-Culverts Data'!$B$476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E107" s="1038" t="s">
        <v>1791</v>
      </c>
      <c r="F107" s="1039" t="s">
        <v>53</v>
      </c>
      <c r="G107" s="1040">
        <f>'Slab-Culverts Data'!$J$504</f>
        <v>7175.39</v>
      </c>
      <c r="H107" s="1025">
        <f t="shared" si="30"/>
        <v>0</v>
      </c>
      <c r="I107" s="1035"/>
      <c r="J107" s="1036"/>
      <c r="K107" s="1036"/>
      <c r="L107" s="1032">
        <f t="shared" si="28"/>
        <v>0</v>
      </c>
      <c r="M107" s="1032">
        <f t="shared" si="29"/>
        <v>7</v>
      </c>
      <c r="N107" s="1031">
        <f t="shared" si="25"/>
        <v>0</v>
      </c>
    </row>
    <row r="108" spans="1:14" ht="86.4" hidden="1">
      <c r="A108" s="1021">
        <v>0</v>
      </c>
      <c r="B108" s="1022">
        <f>'Slab Culvert 1V 5m x 2m span'!I73*E95</f>
        <v>0</v>
      </c>
      <c r="C108" s="1041" t="s">
        <v>202</v>
      </c>
      <c r="D108" s="1037" t="str">
        <f>'Slab Culvert 1V 5m x 2m span'!B71</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E108" s="1038" t="s">
        <v>1795</v>
      </c>
      <c r="F108" s="1039" t="s">
        <v>1796</v>
      </c>
      <c r="G108" s="1040">
        <f>'Slab-Culverts Data'!$J$673</f>
        <v>617.67139145468752</v>
      </c>
      <c r="H108" s="1025">
        <f t="shared" si="30"/>
        <v>0</v>
      </c>
      <c r="I108" s="1035"/>
      <c r="J108" s="1036"/>
      <c r="K108" s="1036"/>
      <c r="L108" s="1032">
        <f t="shared" si="28"/>
        <v>0</v>
      </c>
      <c r="M108" s="1032">
        <f t="shared" si="29"/>
        <v>7</v>
      </c>
      <c r="N108" s="1031">
        <f t="shared" si="25"/>
        <v>0</v>
      </c>
    </row>
    <row r="109" spans="1:14" ht="129.6" hidden="1">
      <c r="A109" s="1021">
        <v>0</v>
      </c>
      <c r="B109" s="1022">
        <f>$E$95*'Slab Culvert 1V 5m x 2m span'!I61</f>
        <v>0</v>
      </c>
      <c r="C109" s="1041" t="s">
        <v>31</v>
      </c>
      <c r="D109" s="1037" t="str">
        <f>'Road data'!$B$161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E109" s="1038" t="s">
        <v>1765</v>
      </c>
      <c r="F109" s="1039" t="s">
        <v>53</v>
      </c>
      <c r="G109" s="1040">
        <f>'Road data'!$G$188</f>
        <v>318.8</v>
      </c>
      <c r="H109" s="1025">
        <f t="shared" si="30"/>
        <v>0</v>
      </c>
      <c r="I109" s="1035"/>
      <c r="J109" s="1036"/>
      <c r="K109" s="1036"/>
      <c r="L109" s="1032">
        <f t="shared" si="28"/>
        <v>0</v>
      </c>
      <c r="M109" s="1032">
        <f t="shared" si="29"/>
        <v>7</v>
      </c>
      <c r="N109" s="1031">
        <f t="shared" si="25"/>
        <v>0</v>
      </c>
    </row>
    <row r="110" spans="1:14" ht="57.6" hidden="1">
      <c r="A110" s="1021">
        <v>0</v>
      </c>
      <c r="B110" s="1022">
        <f>'Slab Culvert 1V 5m x 2m span'!I87*E95</f>
        <v>0</v>
      </c>
      <c r="C110" s="1041" t="s">
        <v>31</v>
      </c>
      <c r="D110" s="1037" t="str">
        <f>'Slab Culvert 1V 5m x 2m span'!B83</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10" s="1038" t="s">
        <v>1782</v>
      </c>
      <c r="F110" s="1039" t="s">
        <v>53</v>
      </c>
      <c r="G110" s="1040">
        <f>'Slab Culvert 1V 5m x 2m span'!$J$87</f>
        <v>2067.88</v>
      </c>
      <c r="H110" s="1025">
        <f t="shared" si="30"/>
        <v>0</v>
      </c>
      <c r="I110" s="1035"/>
      <c r="J110" s="1036"/>
      <c r="K110" s="1036"/>
      <c r="L110" s="1032">
        <f t="shared" si="28"/>
        <v>0</v>
      </c>
      <c r="M110" s="1032">
        <f t="shared" si="29"/>
        <v>7</v>
      </c>
      <c r="N110" s="1031">
        <f t="shared" si="25"/>
        <v>0</v>
      </c>
    </row>
    <row r="111" spans="1:14" ht="144" hidden="1">
      <c r="A111" s="1021">
        <v>0</v>
      </c>
      <c r="B111" s="1022">
        <f>'Slab Culvert 1V 5m x 2m span'!I95*E95</f>
        <v>0</v>
      </c>
      <c r="C111" s="1041" t="s">
        <v>66</v>
      </c>
      <c r="D111" s="1037" t="str">
        <f>'Slab Culvert 1V 5m x 2m span'!B94</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E111" s="1038" t="s">
        <v>1787</v>
      </c>
      <c r="F111" s="1039" t="s">
        <v>1788</v>
      </c>
      <c r="G111" s="1040">
        <f>'Slab Culvert 1V 5m x 2m span'!$J$95</f>
        <v>64943.47</v>
      </c>
      <c r="H111" s="1025">
        <f t="shared" si="30"/>
        <v>0</v>
      </c>
      <c r="I111" s="1035"/>
      <c r="J111" s="1036"/>
      <c r="K111" s="1036"/>
      <c r="L111" s="1032">
        <f t="shared" si="28"/>
        <v>0</v>
      </c>
      <c r="M111" s="1032">
        <f t="shared" si="29"/>
        <v>7</v>
      </c>
      <c r="N111" s="1031">
        <f t="shared" si="25"/>
        <v>0</v>
      </c>
    </row>
    <row r="112" spans="1:14" ht="144" hidden="1">
      <c r="A112" s="1021">
        <v>0</v>
      </c>
      <c r="B112" s="1022">
        <f>'Slab Culvert 1V 5m x 2m span'!I98*E95</f>
        <v>0</v>
      </c>
      <c r="C112" s="1041" t="s">
        <v>66</v>
      </c>
      <c r="D112" s="1037" t="str">
        <f>'Slab Culvert 1V 5m x 2m span'!B97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112" s="1038" t="s">
        <v>1787</v>
      </c>
      <c r="F112" s="1039" t="s">
        <v>1788</v>
      </c>
      <c r="G112" s="1040">
        <f>'Slab Culvert 1V 5m x 2m span'!$J$98</f>
        <v>66904.47</v>
      </c>
      <c r="H112" s="1025">
        <f t="shared" ref="H112" si="31">ROUND(B112*G112,0)</f>
        <v>0</v>
      </c>
      <c r="I112" s="1035"/>
      <c r="J112" s="1036"/>
      <c r="K112" s="1036"/>
      <c r="L112" s="1032">
        <f t="shared" si="28"/>
        <v>0</v>
      </c>
      <c r="M112" s="1032">
        <f t="shared" si="29"/>
        <v>7</v>
      </c>
      <c r="N112" s="1031">
        <f t="shared" si="25"/>
        <v>0</v>
      </c>
    </row>
    <row r="113" spans="1:14" ht="144" hidden="1">
      <c r="A113" s="1021">
        <v>0</v>
      </c>
      <c r="B113" s="1022">
        <f>'Slab Culvert 1V 5m x 2m span'!I81*E95</f>
        <v>0</v>
      </c>
      <c r="C113" s="1041" t="s">
        <v>31</v>
      </c>
      <c r="D113" s="1037" t="str">
        <f>'Slab Culvert 1V 5m x 2m span'!B79</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E113" s="1038" t="s">
        <v>1797</v>
      </c>
      <c r="F113" s="1023" t="s">
        <v>53</v>
      </c>
      <c r="G113" s="1040">
        <f>'Slab Culvert 1V 5m x 2m span'!$J$81</f>
        <v>2427.13</v>
      </c>
      <c r="H113" s="1025">
        <f t="shared" si="30"/>
        <v>0</v>
      </c>
      <c r="I113" s="1035"/>
      <c r="J113" s="1036"/>
      <c r="K113" s="1036"/>
      <c r="L113" s="1032">
        <f t="shared" si="28"/>
        <v>0</v>
      </c>
      <c r="M113" s="1032">
        <f t="shared" si="29"/>
        <v>7</v>
      </c>
      <c r="N113" s="1031">
        <f t="shared" si="25"/>
        <v>0</v>
      </c>
    </row>
    <row r="114" spans="1:14" ht="115.2" hidden="1">
      <c r="A114" s="1021">
        <v>0</v>
      </c>
      <c r="B114" s="1022">
        <f>'Slab Culvert 1V 5m x 2m span'!I77*E95</f>
        <v>0</v>
      </c>
      <c r="C114" s="1041" t="s">
        <v>107</v>
      </c>
      <c r="D114" s="1037" t="str">
        <f>'Slab-Culverts Data'!$B$291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E114" s="1038" t="s">
        <v>1793</v>
      </c>
      <c r="F114" s="1039" t="s">
        <v>1798</v>
      </c>
      <c r="G114" s="1040">
        <f>'Slab-Culverts Data'!$J$312</f>
        <v>614.33766666666668</v>
      </c>
      <c r="H114" s="1025">
        <f t="shared" si="30"/>
        <v>0</v>
      </c>
      <c r="I114" s="1036">
        <f>SUM(H96:H114)</f>
        <v>0</v>
      </c>
      <c r="J114" s="1036">
        <f>'CD Abs'!E8</f>
        <v>0</v>
      </c>
      <c r="K114" s="1036">
        <f>I114-J114</f>
        <v>0</v>
      </c>
      <c r="L114" s="1032">
        <f t="shared" si="28"/>
        <v>0</v>
      </c>
      <c r="M114" s="1032">
        <f t="shared" si="29"/>
        <v>7</v>
      </c>
      <c r="N114" s="1031">
        <f t="shared" si="25"/>
        <v>0</v>
      </c>
    </row>
    <row r="115" spans="1:14" ht="28.8" hidden="1">
      <c r="A115" s="1021">
        <v>0</v>
      </c>
      <c r="B115" s="1022"/>
      <c r="C115" s="787">
        <v>4</v>
      </c>
      <c r="D115" s="1013" t="s">
        <v>1799</v>
      </c>
      <c r="E115" s="1028">
        <f>'CD Abs'!C9</f>
        <v>0</v>
      </c>
      <c r="F115" s="1023"/>
      <c r="G115" s="1030"/>
      <c r="H115" s="1025"/>
      <c r="I115" s="1036"/>
      <c r="J115" s="1036"/>
      <c r="K115" s="1036"/>
      <c r="L115" s="1032">
        <f t="shared" si="28"/>
        <v>0</v>
      </c>
      <c r="M115" s="1032">
        <f t="shared" si="29"/>
        <v>7</v>
      </c>
      <c r="N115" s="1031">
        <f t="shared" si="25"/>
        <v>0</v>
      </c>
    </row>
    <row r="116" spans="1:14" ht="100.8" hidden="1">
      <c r="A116" s="1021">
        <v>0</v>
      </c>
      <c r="B116" s="517">
        <f>'Slab Culvert 1V 6m x 2m spa'!I9*E115</f>
        <v>0</v>
      </c>
      <c r="C116" s="1041" t="s">
        <v>31</v>
      </c>
      <c r="D116" s="1037" t="s">
        <v>1179</v>
      </c>
      <c r="E116" s="1038" t="s">
        <v>1779</v>
      </c>
      <c r="F116" s="1039" t="s">
        <v>53</v>
      </c>
      <c r="G116" s="1040">
        <f>'Pipe data'!$G$20</f>
        <v>123.69927804166667</v>
      </c>
      <c r="H116" s="1025">
        <f t="shared" ref="H116:H135" si="32">ROUND(B116*G116,0)</f>
        <v>0</v>
      </c>
      <c r="I116" s="1035"/>
      <c r="J116" s="1036"/>
      <c r="K116" s="1036"/>
      <c r="L116" s="1032">
        <f t="shared" si="28"/>
        <v>0</v>
      </c>
      <c r="M116" s="1032">
        <f t="shared" si="29"/>
        <v>7</v>
      </c>
      <c r="N116" s="1031">
        <f t="shared" si="25"/>
        <v>0</v>
      </c>
    </row>
    <row r="117" spans="1:14" ht="43.2" hidden="1">
      <c r="A117" s="1021">
        <v>0</v>
      </c>
      <c r="B117" s="1022">
        <v>0</v>
      </c>
      <c r="C117" s="1041" t="s">
        <v>31</v>
      </c>
      <c r="D117" s="1029" t="s">
        <v>1800</v>
      </c>
      <c r="E117" s="1038" t="s">
        <v>1779</v>
      </c>
      <c r="F117" s="1039" t="s">
        <v>53</v>
      </c>
      <c r="G117" s="1040">
        <v>1230.83</v>
      </c>
      <c r="H117" s="1025">
        <f t="shared" si="32"/>
        <v>0</v>
      </c>
      <c r="I117" s="1035"/>
      <c r="J117" s="1036"/>
      <c r="K117" s="1036"/>
      <c r="L117" s="1032">
        <f t="shared" si="28"/>
        <v>0</v>
      </c>
      <c r="M117" s="1032">
        <f t="shared" si="29"/>
        <v>7</v>
      </c>
      <c r="N117" s="1031">
        <f t="shared" si="25"/>
        <v>0</v>
      </c>
    </row>
    <row r="118" spans="1:14" ht="115.2" hidden="1">
      <c r="A118" s="1021">
        <v>0</v>
      </c>
      <c r="B118" s="1022">
        <f>'Slab Culvert 1V 6m x 2m spa'!I18*E115</f>
        <v>0</v>
      </c>
      <c r="C118" s="1041" t="s">
        <v>31</v>
      </c>
      <c r="D118" s="1037" t="s">
        <v>1183</v>
      </c>
      <c r="E118" s="1038" t="s">
        <v>1780</v>
      </c>
      <c r="F118" s="1039" t="s">
        <v>53</v>
      </c>
      <c r="G118" s="1040">
        <f>'Slab-Culverts Data'!$J$31</f>
        <v>5748.72</v>
      </c>
      <c r="H118" s="1025">
        <f t="shared" si="32"/>
        <v>0</v>
      </c>
      <c r="I118" s="1035"/>
      <c r="J118" s="1036"/>
      <c r="K118" s="1036"/>
      <c r="L118" s="1032">
        <f t="shared" si="28"/>
        <v>0</v>
      </c>
      <c r="M118" s="1032">
        <f t="shared" si="29"/>
        <v>7</v>
      </c>
      <c r="N118" s="1031">
        <f t="shared" si="25"/>
        <v>0</v>
      </c>
    </row>
    <row r="119" spans="1:14" ht="115.2" hidden="1">
      <c r="A119" s="1021">
        <v>0</v>
      </c>
      <c r="B119" s="1022">
        <f>'Slab Culvert 1V 6m x 2m spa'!I31*E115</f>
        <v>0</v>
      </c>
      <c r="C119" s="1041" t="s">
        <v>31</v>
      </c>
      <c r="D119" s="1029" t="s">
        <v>1784</v>
      </c>
      <c r="E119" s="1038" t="s">
        <v>1780</v>
      </c>
      <c r="F119" s="1039" t="s">
        <v>53</v>
      </c>
      <c r="G119" s="1040">
        <f>'Slab-Culverts Data'!$J$62</f>
        <v>6425.92</v>
      </c>
      <c r="H119" s="1025">
        <f t="shared" si="32"/>
        <v>0</v>
      </c>
      <c r="I119" s="1035"/>
      <c r="J119" s="1036"/>
      <c r="K119" s="1036"/>
      <c r="L119" s="1032">
        <f t="shared" si="28"/>
        <v>0</v>
      </c>
      <c r="M119" s="1032">
        <f t="shared" si="29"/>
        <v>7</v>
      </c>
      <c r="N119" s="1031">
        <f t="shared" si="25"/>
        <v>0</v>
      </c>
    </row>
    <row r="120" spans="1:14" ht="115.2" hidden="1">
      <c r="A120" s="1021">
        <v>0</v>
      </c>
      <c r="B120" s="1022">
        <f>'Slab Culvert 1V 6m x 2m spa'!I37*E115</f>
        <v>0</v>
      </c>
      <c r="C120" s="1041" t="s">
        <v>31</v>
      </c>
      <c r="D120" s="1037" t="s">
        <v>1189</v>
      </c>
      <c r="E120" s="1038" t="s">
        <v>1780</v>
      </c>
      <c r="F120" s="1039" t="s">
        <v>53</v>
      </c>
      <c r="G120" s="1040">
        <f>'Slab-Culverts Data'!$J$206</f>
        <v>6796.65</v>
      </c>
      <c r="H120" s="1025">
        <f t="shared" si="32"/>
        <v>0</v>
      </c>
      <c r="I120" s="1035"/>
      <c r="J120" s="1036"/>
      <c r="K120" s="1036"/>
      <c r="L120" s="1032">
        <f t="shared" si="28"/>
        <v>0</v>
      </c>
      <c r="M120" s="1032">
        <f t="shared" si="29"/>
        <v>7</v>
      </c>
      <c r="N120" s="1031">
        <f t="shared" si="25"/>
        <v>0</v>
      </c>
    </row>
    <row r="121" spans="1:14" ht="115.2" hidden="1">
      <c r="A121" s="1021">
        <v>0</v>
      </c>
      <c r="B121" s="1022">
        <f>'Slab Culvert 1V 6m x 2m spa'!I45*E115</f>
        <v>0</v>
      </c>
      <c r="C121" s="1041" t="s">
        <v>31</v>
      </c>
      <c r="D121" s="1037" t="s">
        <v>1801</v>
      </c>
      <c r="E121" s="1038" t="s">
        <v>1789</v>
      </c>
      <c r="F121" s="1039" t="s">
        <v>53</v>
      </c>
      <c r="G121" s="1040">
        <f>'Slab-Culverts Data'!$J$267</f>
        <v>7713.58</v>
      </c>
      <c r="H121" s="1025">
        <f t="shared" si="32"/>
        <v>0</v>
      </c>
      <c r="I121" s="1035"/>
      <c r="J121" s="1036"/>
      <c r="K121" s="1036">
        <f>18774/G121</f>
        <v>2.4338893224676479</v>
      </c>
      <c r="L121" s="1032">
        <f t="shared" si="28"/>
        <v>0</v>
      </c>
      <c r="M121" s="1032">
        <f t="shared" si="29"/>
        <v>7</v>
      </c>
      <c r="N121" s="1031">
        <f t="shared" si="25"/>
        <v>0</v>
      </c>
    </row>
    <row r="122" spans="1:14" ht="129.6" hidden="1">
      <c r="A122" s="1021">
        <v>0</v>
      </c>
      <c r="B122" s="1022">
        <f>'Slab Culvert 1V 6m x 2m spa'!I50*E115</f>
        <v>0</v>
      </c>
      <c r="C122" s="1041" t="s">
        <v>31</v>
      </c>
      <c r="D122" s="1037" t="str">
        <f>'Slab-Culverts Data'!B338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122" s="1038" t="s">
        <v>1785</v>
      </c>
      <c r="F122" s="1039" t="s">
        <v>53</v>
      </c>
      <c r="G122" s="1040">
        <f>'Slab-Culverts Data'!J366</f>
        <v>8387.5499999999993</v>
      </c>
      <c r="H122" s="1025">
        <f t="shared" si="32"/>
        <v>0</v>
      </c>
      <c r="I122" s="1035"/>
      <c r="J122" s="1036"/>
      <c r="K122" s="1042"/>
      <c r="L122" s="1032">
        <f t="shared" si="28"/>
        <v>0</v>
      </c>
      <c r="M122" s="1032">
        <f t="shared" si="29"/>
        <v>7</v>
      </c>
      <c r="N122" s="1031">
        <f t="shared" si="25"/>
        <v>0</v>
      </c>
    </row>
    <row r="123" spans="1:14" ht="129.6" hidden="1">
      <c r="A123" s="1021">
        <v>0</v>
      </c>
      <c r="B123" s="1022">
        <f>'Slab Culvert 1V 6m x 2m spa'!I65*E115</f>
        <v>0</v>
      </c>
      <c r="C123" s="1041" t="s">
        <v>31</v>
      </c>
      <c r="D123" s="1037" t="s">
        <v>1620</v>
      </c>
      <c r="E123" s="1038" t="s">
        <v>1786</v>
      </c>
      <c r="F123" s="1039" t="s">
        <v>53</v>
      </c>
      <c r="G123" s="1040">
        <f>'Slab-Culverts Data'!$J$428</f>
        <v>7079.99</v>
      </c>
      <c r="H123" s="1025">
        <f t="shared" si="32"/>
        <v>0</v>
      </c>
      <c r="I123" s="1035"/>
      <c r="J123" s="1036"/>
      <c r="K123" s="1036">
        <f>61979/5270.45</f>
        <v>11.759716912218122</v>
      </c>
      <c r="L123" s="1032">
        <f t="shared" si="28"/>
        <v>0</v>
      </c>
      <c r="M123" s="1032">
        <f t="shared" si="29"/>
        <v>7</v>
      </c>
      <c r="N123" s="1031">
        <f t="shared" si="25"/>
        <v>0</v>
      </c>
    </row>
    <row r="124" spans="1:14" ht="57.6" hidden="1">
      <c r="A124" s="1021">
        <v>0</v>
      </c>
      <c r="B124" s="1022">
        <f>'Slab Culvert 1V 6m x 2m spa'!I60*E115</f>
        <v>0</v>
      </c>
      <c r="C124" s="1041" t="s">
        <v>31</v>
      </c>
      <c r="D124" s="1029" t="s">
        <v>1653</v>
      </c>
      <c r="E124" s="1038" t="s">
        <v>1780</v>
      </c>
      <c r="F124" s="1039" t="s">
        <v>53</v>
      </c>
      <c r="G124" s="1040">
        <f>'Slab-Culverts Data'!$J$625</f>
        <v>691.79</v>
      </c>
      <c r="H124" s="1025">
        <f t="shared" si="32"/>
        <v>0</v>
      </c>
      <c r="I124" s="1035"/>
      <c r="J124" s="1036"/>
      <c r="K124" s="1036"/>
      <c r="L124" s="1032">
        <f t="shared" si="28"/>
        <v>0</v>
      </c>
      <c r="M124" s="1032">
        <f t="shared" si="29"/>
        <v>7</v>
      </c>
      <c r="N124" s="1031">
        <f t="shared" si="25"/>
        <v>0</v>
      </c>
    </row>
    <row r="125" spans="1:14" ht="144" hidden="1">
      <c r="A125" s="1021">
        <v>0</v>
      </c>
      <c r="B125" s="1022">
        <f>'Slab Culvert 1V 6m x 2m spa'!I99*E115</f>
        <v>0</v>
      </c>
      <c r="C125" s="1041" t="s">
        <v>66</v>
      </c>
      <c r="D125" s="1037" t="s">
        <v>1592</v>
      </c>
      <c r="E125" s="1038" t="s">
        <v>1787</v>
      </c>
      <c r="F125" s="1039" t="s">
        <v>1788</v>
      </c>
      <c r="G125" s="1040">
        <f>'Slab-Culverts Data'!$J$175</f>
        <v>64656.02</v>
      </c>
      <c r="H125" s="1025">
        <f t="shared" si="32"/>
        <v>0</v>
      </c>
      <c r="I125" s="1035"/>
      <c r="J125" s="1036"/>
      <c r="K125" s="1036"/>
      <c r="L125" s="1032">
        <f t="shared" si="28"/>
        <v>0</v>
      </c>
      <c r="M125" s="1032">
        <f t="shared" si="29"/>
        <v>7</v>
      </c>
      <c r="N125" s="1031">
        <f t="shared" si="25"/>
        <v>0</v>
      </c>
    </row>
    <row r="126" spans="1:14" ht="86.4" hidden="1">
      <c r="A126" s="1021">
        <v>0</v>
      </c>
      <c r="B126" s="1022">
        <f>'Slab Culvert 1V 6m x 2m spa'!I81*E115</f>
        <v>0</v>
      </c>
      <c r="C126" s="1041" t="s">
        <v>31</v>
      </c>
      <c r="D126" s="1037" t="s">
        <v>1659</v>
      </c>
      <c r="E126" s="1038" t="s">
        <v>1794</v>
      </c>
      <c r="F126" s="1039" t="s">
        <v>53</v>
      </c>
      <c r="G126" s="1040">
        <f>'Slab-Culverts Data'!$J$673</f>
        <v>617.67139145468752</v>
      </c>
      <c r="H126" s="1025">
        <f t="shared" si="32"/>
        <v>0</v>
      </c>
      <c r="I126" s="1035"/>
      <c r="J126" s="1036"/>
      <c r="K126" s="1036"/>
      <c r="L126" s="1032">
        <f t="shared" si="28"/>
        <v>0</v>
      </c>
      <c r="M126" s="1032">
        <f t="shared" si="29"/>
        <v>7</v>
      </c>
      <c r="N126" s="1031">
        <f t="shared" si="25"/>
        <v>0</v>
      </c>
    </row>
    <row r="127" spans="1:14" ht="57.6" hidden="1">
      <c r="A127" s="1021">
        <v>0</v>
      </c>
      <c r="B127" s="1022">
        <v>0</v>
      </c>
      <c r="C127" s="1041" t="s">
        <v>31</v>
      </c>
      <c r="D127" s="1037" t="s">
        <v>1635</v>
      </c>
      <c r="E127" s="1038" t="s">
        <v>1782</v>
      </c>
      <c r="F127" s="1039" t="s">
        <v>53</v>
      </c>
      <c r="G127" s="1040">
        <v>1355.97</v>
      </c>
      <c r="H127" s="1025">
        <f t="shared" si="32"/>
        <v>0</v>
      </c>
      <c r="I127" s="1035"/>
      <c r="J127" s="1036"/>
      <c r="K127" s="1036"/>
      <c r="L127" s="1032">
        <f t="shared" si="28"/>
        <v>0</v>
      </c>
      <c r="M127" s="1032">
        <f t="shared" si="29"/>
        <v>7</v>
      </c>
      <c r="N127" s="1031">
        <f t="shared" si="25"/>
        <v>0</v>
      </c>
    </row>
    <row r="128" spans="1:14" ht="115.2" hidden="1">
      <c r="A128" s="1021">
        <v>0</v>
      </c>
      <c r="B128" s="1022">
        <f>'Slab Culvert 1V 6m x 2m spa'!I73*E115</f>
        <v>0</v>
      </c>
      <c r="C128" s="1041" t="s">
        <v>31</v>
      </c>
      <c r="D128" s="1037" t="s">
        <v>1631</v>
      </c>
      <c r="E128" s="1038" t="s">
        <v>1780</v>
      </c>
      <c r="F128" s="1039" t="s">
        <v>53</v>
      </c>
      <c r="G128" s="1040">
        <f>'Slab-Culverts Data'!$J$535</f>
        <v>6182.18</v>
      </c>
      <c r="H128" s="1025">
        <f t="shared" si="32"/>
        <v>0</v>
      </c>
      <c r="I128" s="1035"/>
      <c r="J128" s="1036"/>
      <c r="K128" s="1036"/>
      <c r="L128" s="1032">
        <f t="shared" si="28"/>
        <v>0</v>
      </c>
      <c r="M128" s="1032">
        <f t="shared" si="29"/>
        <v>7</v>
      </c>
      <c r="N128" s="1031">
        <f t="shared" si="25"/>
        <v>0</v>
      </c>
    </row>
    <row r="129" spans="1:14" ht="129.6" hidden="1">
      <c r="A129" s="1021">
        <v>0</v>
      </c>
      <c r="B129" s="1022">
        <f>'Slab Culvert 1V 6m x 2m spa'!I77*E115</f>
        <v>0</v>
      </c>
      <c r="C129" s="1041" t="s">
        <v>31</v>
      </c>
      <c r="D129" s="1037" t="s">
        <v>1628</v>
      </c>
      <c r="E129" s="1038" t="s">
        <v>1791</v>
      </c>
      <c r="F129" s="1039" t="s">
        <v>53</v>
      </c>
      <c r="G129" s="1040">
        <f>'Slab-Culverts Data'!$J$504</f>
        <v>7175.39</v>
      </c>
      <c r="H129" s="1025">
        <f t="shared" si="32"/>
        <v>0</v>
      </c>
      <c r="I129" s="1035"/>
      <c r="J129" s="1036"/>
      <c r="K129" s="1036"/>
      <c r="L129" s="1032">
        <f t="shared" si="28"/>
        <v>0</v>
      </c>
      <c r="M129" s="1032">
        <f t="shared" si="29"/>
        <v>7</v>
      </c>
      <c r="N129" s="1031">
        <f t="shared" si="25"/>
        <v>0</v>
      </c>
    </row>
    <row r="130" spans="1:14" ht="57.6" hidden="1">
      <c r="A130" s="1021">
        <v>0</v>
      </c>
      <c r="B130" s="1022">
        <f>'Slab Culvert 1V 6m x 2m spa'!I95*E115</f>
        <v>0</v>
      </c>
      <c r="C130" s="1041" t="s">
        <v>31</v>
      </c>
      <c r="D130" s="1037" t="str">
        <f>'Slab Culvert 1V 6m x 2m spa'!B91</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30" s="1038" t="s">
        <v>1802</v>
      </c>
      <c r="F130" s="1039" t="s">
        <v>53</v>
      </c>
      <c r="G130" s="1040">
        <f>'Slab Culvert 1V 6m x 2m spa'!J95</f>
        <v>2067.88</v>
      </c>
      <c r="H130" s="1025">
        <f t="shared" si="32"/>
        <v>0</v>
      </c>
      <c r="I130" s="1035"/>
      <c r="J130" s="1036"/>
      <c r="K130" s="1036"/>
      <c r="L130" s="1032">
        <f t="shared" si="28"/>
        <v>0</v>
      </c>
      <c r="M130" s="1032">
        <f t="shared" si="29"/>
        <v>7</v>
      </c>
      <c r="N130" s="1031">
        <f t="shared" si="25"/>
        <v>0</v>
      </c>
    </row>
    <row r="131" spans="1:14" ht="129.6" hidden="1">
      <c r="A131" s="1021">
        <v>0</v>
      </c>
      <c r="B131" s="1022">
        <f>'Slab Culvert 1V 6m x 2m spa'!I69*E115</f>
        <v>0</v>
      </c>
      <c r="C131" s="1041" t="s">
        <v>31</v>
      </c>
      <c r="D131" s="1037" t="s">
        <v>1803</v>
      </c>
      <c r="E131" s="1038" t="s">
        <v>1765</v>
      </c>
      <c r="F131" s="1039" t="s">
        <v>53</v>
      </c>
      <c r="G131" s="1040">
        <f>'Road data'!$G$188</f>
        <v>318.8</v>
      </c>
      <c r="H131" s="1025">
        <f t="shared" si="32"/>
        <v>0</v>
      </c>
      <c r="I131" s="1035"/>
      <c r="J131" s="1036"/>
      <c r="K131" s="1036"/>
      <c r="L131" s="1032">
        <f t="shared" si="28"/>
        <v>0</v>
      </c>
      <c r="M131" s="1032">
        <f t="shared" si="29"/>
        <v>7</v>
      </c>
      <c r="N131" s="1031">
        <f t="shared" si="25"/>
        <v>0</v>
      </c>
    </row>
    <row r="132" spans="1:14" ht="144" hidden="1">
      <c r="A132" s="1021">
        <v>0</v>
      </c>
      <c r="B132" s="1022">
        <f>'Slab Culvert 1V 6m x 2m spa'!I89*E115</f>
        <v>0</v>
      </c>
      <c r="C132" s="1041" t="s">
        <v>31</v>
      </c>
      <c r="D132" s="1037" t="s">
        <v>1612</v>
      </c>
      <c r="E132" s="1038" t="s">
        <v>1782</v>
      </c>
      <c r="F132" s="1039" t="s">
        <v>53</v>
      </c>
      <c r="G132" s="1040">
        <f>'Slab-Culverts Data'!$J$335</f>
        <v>2427.13</v>
      </c>
      <c r="H132" s="1025">
        <f t="shared" si="32"/>
        <v>0</v>
      </c>
      <c r="I132" s="1035"/>
      <c r="J132" s="1036"/>
      <c r="K132" s="1036"/>
      <c r="L132" s="1032">
        <f t="shared" si="28"/>
        <v>0</v>
      </c>
      <c r="M132" s="1032">
        <f t="shared" si="29"/>
        <v>7</v>
      </c>
      <c r="N132" s="1031">
        <f t="shared" si="25"/>
        <v>0</v>
      </c>
    </row>
    <row r="133" spans="1:14" ht="144" hidden="1">
      <c r="A133" s="1021">
        <v>0</v>
      </c>
      <c r="B133" s="1022">
        <f>'Slab Culvert 1V 6m x 2m spa'!I103*E115</f>
        <v>0</v>
      </c>
      <c r="C133" s="1041" t="s">
        <v>66</v>
      </c>
      <c r="D133" s="1037" t="s">
        <v>1600</v>
      </c>
      <c r="E133" s="1038" t="s">
        <v>1787</v>
      </c>
      <c r="F133" s="1039" t="s">
        <v>1788</v>
      </c>
      <c r="G133" s="1040">
        <f>'Slab-Culverts Data'!$J$290</f>
        <v>64943.47</v>
      </c>
      <c r="H133" s="1025">
        <f t="shared" si="32"/>
        <v>0</v>
      </c>
      <c r="I133" s="1035"/>
      <c r="J133" s="1036"/>
      <c r="K133" s="1036"/>
      <c r="L133" s="1032">
        <f t="shared" si="28"/>
        <v>0</v>
      </c>
      <c r="M133" s="1032">
        <f t="shared" si="29"/>
        <v>7</v>
      </c>
      <c r="N133" s="1031">
        <f t="shared" si="25"/>
        <v>0</v>
      </c>
    </row>
    <row r="134" spans="1:14" ht="144" hidden="1">
      <c r="A134" s="1021">
        <v>0</v>
      </c>
      <c r="B134" s="1022">
        <f>'Slab Culvert 1V 6m x 2m spa'!I106*E115</f>
        <v>0</v>
      </c>
      <c r="C134" s="1041" t="s">
        <v>66</v>
      </c>
      <c r="D134" s="1037" t="s">
        <v>1622</v>
      </c>
      <c r="E134" s="1038" t="s">
        <v>1797</v>
      </c>
      <c r="F134" s="1023" t="s">
        <v>1788</v>
      </c>
      <c r="G134" s="1040">
        <f>'Slab-Culverts Data'!$J$451</f>
        <v>66904.47</v>
      </c>
      <c r="H134" s="1025">
        <f t="shared" si="32"/>
        <v>0</v>
      </c>
      <c r="I134" s="1035"/>
      <c r="J134" s="1036"/>
      <c r="K134" s="1036"/>
      <c r="L134" s="1032">
        <f t="shared" si="28"/>
        <v>0</v>
      </c>
      <c r="M134" s="1032">
        <f t="shared" si="29"/>
        <v>7</v>
      </c>
      <c r="N134" s="1031">
        <f t="shared" si="25"/>
        <v>0</v>
      </c>
    </row>
    <row r="135" spans="1:14" ht="115.2" hidden="1">
      <c r="A135" s="1021">
        <v>0</v>
      </c>
      <c r="B135" s="1022">
        <f>'Slab Culvert 1V 6m x 2m spa'!I85*E115</f>
        <v>0</v>
      </c>
      <c r="C135" s="1041" t="s">
        <v>579</v>
      </c>
      <c r="D135" s="1037" t="s">
        <v>200</v>
      </c>
      <c r="E135" s="1038" t="s">
        <v>1793</v>
      </c>
      <c r="F135" s="1039" t="s">
        <v>710</v>
      </c>
      <c r="G135" s="1040">
        <f>'Slab-Culverts Data'!$J$312</f>
        <v>614.33766666666668</v>
      </c>
      <c r="H135" s="1025">
        <f t="shared" si="32"/>
        <v>0</v>
      </c>
      <c r="I135" s="1036">
        <f>SUM(H116:H135)</f>
        <v>0</v>
      </c>
      <c r="J135" s="1036">
        <f>'CD Abs'!D9</f>
        <v>2541649</v>
      </c>
      <c r="K135" s="1036">
        <f>I135-J135</f>
        <v>-2541649</v>
      </c>
      <c r="L135" s="1032">
        <f t="shared" si="28"/>
        <v>0</v>
      </c>
      <c r="M135" s="1032">
        <f t="shared" si="29"/>
        <v>7</v>
      </c>
      <c r="N135" s="1031">
        <f t="shared" si="25"/>
        <v>0</v>
      </c>
    </row>
    <row r="136" spans="1:14" ht="28.8">
      <c r="A136" s="1021">
        <v>0</v>
      </c>
      <c r="B136" s="1022"/>
      <c r="C136" s="787">
        <v>5</v>
      </c>
      <c r="D136" s="1013" t="s">
        <v>1804</v>
      </c>
      <c r="E136" s="1028">
        <f>'CD Abs'!C10</f>
        <v>0</v>
      </c>
      <c r="F136" s="1023"/>
      <c r="G136" s="1030"/>
      <c r="H136" s="1025"/>
      <c r="I136" s="1036"/>
      <c r="J136" s="1036"/>
      <c r="K136" s="1036"/>
      <c r="L136" s="1032">
        <f t="shared" si="28"/>
        <v>0</v>
      </c>
      <c r="M136" s="1032">
        <f t="shared" si="29"/>
        <v>7</v>
      </c>
      <c r="N136" s="1031">
        <f t="shared" si="25"/>
        <v>0</v>
      </c>
    </row>
    <row r="137" spans="1:14" ht="100.8">
      <c r="A137" s="1021">
        <v>0</v>
      </c>
      <c r="B137" s="517">
        <f>'Slab Culvert 2V 6m x 2m spa'!I10*E136</f>
        <v>0</v>
      </c>
      <c r="C137" s="1041" t="s">
        <v>31</v>
      </c>
      <c r="D137" s="1037" t="s">
        <v>1179</v>
      </c>
      <c r="E137" s="1038" t="s">
        <v>1779</v>
      </c>
      <c r="F137" s="1039" t="s">
        <v>53</v>
      </c>
      <c r="G137" s="1040">
        <f>'Pipe data'!$G$20</f>
        <v>123.69927804166667</v>
      </c>
      <c r="H137" s="1025">
        <f t="shared" ref="H137:H155" si="33">ROUND(B137*G137,0)</f>
        <v>0</v>
      </c>
      <c r="I137" s="1035"/>
      <c r="J137" s="1036"/>
      <c r="K137" s="1036"/>
      <c r="L137" s="1032">
        <f t="shared" si="28"/>
        <v>0</v>
      </c>
      <c r="M137" s="1032">
        <f t="shared" si="29"/>
        <v>7</v>
      </c>
      <c r="N137" s="1031">
        <f t="shared" si="25"/>
        <v>0</v>
      </c>
    </row>
    <row r="138" spans="1:14" ht="43.2" hidden="1">
      <c r="A138" s="1021">
        <v>0</v>
      </c>
      <c r="B138" s="1022">
        <v>0</v>
      </c>
      <c r="C138" s="1041" t="s">
        <v>31</v>
      </c>
      <c r="D138" s="1029" t="s">
        <v>1800</v>
      </c>
      <c r="E138" s="1038" t="s">
        <v>1779</v>
      </c>
      <c r="F138" s="1039" t="s">
        <v>53</v>
      </c>
      <c r="G138" s="1040">
        <v>1230.83</v>
      </c>
      <c r="H138" s="1025">
        <f t="shared" si="33"/>
        <v>0</v>
      </c>
      <c r="I138" s="1035"/>
      <c r="J138" s="1036"/>
      <c r="K138" s="1036"/>
      <c r="L138" s="1032">
        <f t="shared" si="28"/>
        <v>0</v>
      </c>
      <c r="M138" s="1032">
        <f t="shared" si="29"/>
        <v>7</v>
      </c>
      <c r="N138" s="1031">
        <f t="shared" si="25"/>
        <v>0</v>
      </c>
    </row>
    <row r="139" spans="1:14" ht="115.2">
      <c r="A139" s="1021">
        <v>0</v>
      </c>
      <c r="B139" s="1022">
        <f>'Slab Culvert 2V 6m x 2m spa'!I20*E136</f>
        <v>0</v>
      </c>
      <c r="C139" s="1041" t="s">
        <v>31</v>
      </c>
      <c r="D139" s="1037" t="s">
        <v>1183</v>
      </c>
      <c r="E139" s="1038" t="s">
        <v>1780</v>
      </c>
      <c r="F139" s="1039" t="s">
        <v>53</v>
      </c>
      <c r="G139" s="1040">
        <f>'Slab-Culverts Data'!$J$31</f>
        <v>5748.72</v>
      </c>
      <c r="H139" s="1025">
        <f t="shared" si="33"/>
        <v>0</v>
      </c>
      <c r="I139" s="1035"/>
      <c r="J139" s="1036"/>
      <c r="K139" s="1036"/>
      <c r="L139" s="1032">
        <f t="shared" si="28"/>
        <v>0</v>
      </c>
      <c r="M139" s="1032">
        <f t="shared" si="29"/>
        <v>7</v>
      </c>
      <c r="N139" s="1031">
        <f t="shared" si="25"/>
        <v>0</v>
      </c>
    </row>
    <row r="140" spans="1:14" ht="115.2">
      <c r="A140" s="1021">
        <v>0</v>
      </c>
      <c r="B140" s="1022">
        <f>'Slab Culvert 2V 6m x 2m spa'!I34*E136</f>
        <v>0</v>
      </c>
      <c r="C140" s="1041" t="s">
        <v>31</v>
      </c>
      <c r="D140" s="1029" t="s">
        <v>1784</v>
      </c>
      <c r="E140" s="1038" t="s">
        <v>1780</v>
      </c>
      <c r="F140" s="1039" t="s">
        <v>53</v>
      </c>
      <c r="G140" s="1040">
        <f>'Slab-Culverts Data'!$J$62</f>
        <v>6425.92</v>
      </c>
      <c r="H140" s="1025">
        <f t="shared" si="33"/>
        <v>0</v>
      </c>
      <c r="I140" s="1035"/>
      <c r="J140" s="1036"/>
      <c r="K140" s="1036"/>
      <c r="L140" s="1032">
        <f t="shared" si="28"/>
        <v>0</v>
      </c>
      <c r="M140" s="1032">
        <f t="shared" si="29"/>
        <v>7</v>
      </c>
      <c r="N140" s="1031">
        <f t="shared" si="25"/>
        <v>0</v>
      </c>
    </row>
    <row r="141" spans="1:14" ht="115.2">
      <c r="A141" s="1021">
        <v>0</v>
      </c>
      <c r="B141" s="1022">
        <f>'Slab Culvert 2V 6m x 2m spa'!I42*E136</f>
        <v>0</v>
      </c>
      <c r="C141" s="1041" t="s">
        <v>31</v>
      </c>
      <c r="D141" s="1037" t="s">
        <v>1189</v>
      </c>
      <c r="E141" s="1038" t="s">
        <v>1780</v>
      </c>
      <c r="F141" s="1039" t="s">
        <v>53</v>
      </c>
      <c r="G141" s="1040">
        <f>'Slab-Culverts Data'!$J$206</f>
        <v>6796.65</v>
      </c>
      <c r="H141" s="1025">
        <f t="shared" si="33"/>
        <v>0</v>
      </c>
      <c r="I141" s="1035"/>
      <c r="J141" s="1036"/>
      <c r="K141" s="1036"/>
      <c r="L141" s="1032">
        <f t="shared" si="28"/>
        <v>0</v>
      </c>
      <c r="M141" s="1032">
        <f t="shared" si="29"/>
        <v>7</v>
      </c>
      <c r="N141" s="1031">
        <f t="shared" ref="N141:N188" si="34">H141</f>
        <v>0</v>
      </c>
    </row>
    <row r="142" spans="1:14" ht="115.2">
      <c r="A142" s="1021">
        <v>0</v>
      </c>
      <c r="B142" s="1022">
        <f>'Slab Culvert 2V 6m x 2m spa'!I51*E136</f>
        <v>0</v>
      </c>
      <c r="C142" s="1041" t="s">
        <v>31</v>
      </c>
      <c r="D142" s="1037" t="s">
        <v>1801</v>
      </c>
      <c r="E142" s="1038" t="s">
        <v>1789</v>
      </c>
      <c r="F142" s="1039" t="s">
        <v>53</v>
      </c>
      <c r="G142" s="1040">
        <f>'Slab-Culverts Data'!$J$267</f>
        <v>7713.58</v>
      </c>
      <c r="H142" s="1025">
        <f t="shared" si="33"/>
        <v>0</v>
      </c>
      <c r="I142" s="1035"/>
      <c r="J142" s="1036"/>
      <c r="K142" s="1036">
        <f>18774/G142</f>
        <v>2.4338893224676479</v>
      </c>
      <c r="L142" s="1032">
        <f t="shared" si="28"/>
        <v>0</v>
      </c>
      <c r="M142" s="1032">
        <f t="shared" si="29"/>
        <v>7</v>
      </c>
      <c r="N142" s="1031">
        <f t="shared" si="34"/>
        <v>0</v>
      </c>
    </row>
    <row r="143" spans="1:14" ht="129.6">
      <c r="A143" s="1021">
        <v>0</v>
      </c>
      <c r="B143" s="1022">
        <f>'Slab Culvert 2V 6m x 2m spa'!I57*E136</f>
        <v>0</v>
      </c>
      <c r="C143" s="1041" t="s">
        <v>31</v>
      </c>
      <c r="D143" s="1037" t="str">
        <f>'Slab-Culverts Data'!B338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143" s="1038" t="s">
        <v>1785</v>
      </c>
      <c r="F143" s="1039" t="s">
        <v>53</v>
      </c>
      <c r="G143" s="1040">
        <f>'Slab-Culverts Data'!J366</f>
        <v>8387.5499999999993</v>
      </c>
      <c r="H143" s="1025">
        <f t="shared" si="33"/>
        <v>0</v>
      </c>
      <c r="I143" s="1035"/>
      <c r="J143" s="1036"/>
      <c r="K143" s="1042"/>
      <c r="L143" s="1032">
        <f t="shared" si="28"/>
        <v>0</v>
      </c>
      <c r="M143" s="1032">
        <f t="shared" si="29"/>
        <v>7</v>
      </c>
      <c r="N143" s="1031">
        <f t="shared" si="34"/>
        <v>0</v>
      </c>
    </row>
    <row r="144" spans="1:14" ht="129.6">
      <c r="A144" s="1021">
        <v>0</v>
      </c>
      <c r="B144" s="1022">
        <f>'Slab Culvert 2V 6m x 2m spa'!I65*E136</f>
        <v>0</v>
      </c>
      <c r="C144" s="1041" t="s">
        <v>31</v>
      </c>
      <c r="D144" s="1037" t="s">
        <v>1620</v>
      </c>
      <c r="E144" s="1038" t="s">
        <v>1786</v>
      </c>
      <c r="F144" s="1039" t="s">
        <v>53</v>
      </c>
      <c r="G144" s="1040">
        <f>'Slab-Culverts Data'!$J$428</f>
        <v>7079.99</v>
      </c>
      <c r="H144" s="1025">
        <f t="shared" si="33"/>
        <v>0</v>
      </c>
      <c r="I144" s="1035"/>
      <c r="J144" s="1036"/>
      <c r="K144" s="1036">
        <f>61979/5270.45</f>
        <v>11.759716912218122</v>
      </c>
      <c r="L144" s="1032">
        <f t="shared" si="28"/>
        <v>0</v>
      </c>
      <c r="M144" s="1032">
        <f t="shared" si="29"/>
        <v>7</v>
      </c>
      <c r="N144" s="1031">
        <f t="shared" si="34"/>
        <v>0</v>
      </c>
    </row>
    <row r="145" spans="1:14" ht="57.6">
      <c r="A145" s="1021">
        <v>0</v>
      </c>
      <c r="B145" s="1022">
        <f>'Slab Culvert 2V 6m x 2m spa'!I61*E136</f>
        <v>0</v>
      </c>
      <c r="C145" s="1041" t="s">
        <v>31</v>
      </c>
      <c r="D145" s="1029" t="s">
        <v>1653</v>
      </c>
      <c r="E145" s="1038" t="s">
        <v>1780</v>
      </c>
      <c r="F145" s="1039" t="s">
        <v>53</v>
      </c>
      <c r="G145" s="1040">
        <f>'Slab-Culverts Data'!$J$625</f>
        <v>691.79</v>
      </c>
      <c r="H145" s="1025">
        <f t="shared" si="33"/>
        <v>0</v>
      </c>
      <c r="I145" s="1035"/>
      <c r="J145" s="1036"/>
      <c r="K145" s="1036"/>
      <c r="L145" s="1032">
        <f t="shared" si="28"/>
        <v>0</v>
      </c>
      <c r="M145" s="1032">
        <f t="shared" si="29"/>
        <v>7</v>
      </c>
      <c r="N145" s="1031">
        <f t="shared" si="34"/>
        <v>0</v>
      </c>
    </row>
    <row r="146" spans="1:14" ht="144">
      <c r="A146" s="1021">
        <v>0</v>
      </c>
      <c r="B146" s="1022">
        <f>'Slab Culvert 2V 6m x 2m spa'!I99*E136</f>
        <v>0</v>
      </c>
      <c r="C146" s="1041" t="s">
        <v>66</v>
      </c>
      <c r="D146" s="1037" t="s">
        <v>1592</v>
      </c>
      <c r="E146" s="1038" t="s">
        <v>1787</v>
      </c>
      <c r="F146" s="1039" t="s">
        <v>1788</v>
      </c>
      <c r="G146" s="1040">
        <f>'Slab-Culverts Data'!$J$175</f>
        <v>64656.02</v>
      </c>
      <c r="H146" s="1025">
        <f t="shared" si="33"/>
        <v>0</v>
      </c>
      <c r="I146" s="1035"/>
      <c r="J146" s="1036"/>
      <c r="K146" s="1036"/>
      <c r="L146" s="1032">
        <f t="shared" si="28"/>
        <v>0</v>
      </c>
      <c r="M146" s="1032">
        <f t="shared" si="29"/>
        <v>7</v>
      </c>
      <c r="N146" s="1031">
        <f t="shared" si="34"/>
        <v>0</v>
      </c>
    </row>
    <row r="147" spans="1:14" ht="86.4">
      <c r="A147" s="1021">
        <v>0</v>
      </c>
      <c r="B147" s="1022">
        <f>'Slab Culvert 2V 6m x 2m spa'!I81*E136</f>
        <v>0</v>
      </c>
      <c r="C147" s="1041" t="s">
        <v>31</v>
      </c>
      <c r="D147" s="1037" t="s">
        <v>1659</v>
      </c>
      <c r="E147" s="1038" t="s">
        <v>1794</v>
      </c>
      <c r="F147" s="1039" t="s">
        <v>53</v>
      </c>
      <c r="G147" s="1040">
        <f>'Slab-Culverts Data'!$J$673</f>
        <v>617.67139145468752</v>
      </c>
      <c r="H147" s="1025">
        <f t="shared" si="33"/>
        <v>0</v>
      </c>
      <c r="I147" s="1035"/>
      <c r="J147" s="1036"/>
      <c r="K147" s="1036"/>
      <c r="L147" s="1032">
        <f t="shared" si="28"/>
        <v>0</v>
      </c>
      <c r="M147" s="1032">
        <f t="shared" si="29"/>
        <v>7</v>
      </c>
      <c r="N147" s="1031">
        <f t="shared" si="34"/>
        <v>0</v>
      </c>
    </row>
    <row r="148" spans="1:14" ht="115.2">
      <c r="A148" s="1021">
        <v>0</v>
      </c>
      <c r="B148" s="1022">
        <f>'Slab Culvert 2V 6m x 2m spa'!I73*E136</f>
        <v>0</v>
      </c>
      <c r="C148" s="1041" t="s">
        <v>31</v>
      </c>
      <c r="D148" s="1037" t="s">
        <v>1631</v>
      </c>
      <c r="E148" s="1038" t="s">
        <v>1780</v>
      </c>
      <c r="F148" s="1039" t="s">
        <v>53</v>
      </c>
      <c r="G148" s="1040">
        <f>'Slab-Culverts Data'!$J$535</f>
        <v>6182.18</v>
      </c>
      <c r="H148" s="1025">
        <f t="shared" si="33"/>
        <v>0</v>
      </c>
      <c r="I148" s="1035"/>
      <c r="J148" s="1036"/>
      <c r="K148" s="1036"/>
      <c r="L148" s="1032">
        <f t="shared" si="28"/>
        <v>0</v>
      </c>
      <c r="M148" s="1032">
        <f t="shared" si="29"/>
        <v>7</v>
      </c>
      <c r="N148" s="1031">
        <f t="shared" si="34"/>
        <v>0</v>
      </c>
    </row>
    <row r="149" spans="1:14" ht="129.6">
      <c r="A149" s="1021">
        <v>0</v>
      </c>
      <c r="B149" s="1022">
        <f>'Slab Culvert 2V 6m x 2m spa'!I77*E136</f>
        <v>0</v>
      </c>
      <c r="C149" s="1041" t="s">
        <v>31</v>
      </c>
      <c r="D149" s="1037" t="s">
        <v>1628</v>
      </c>
      <c r="E149" s="1038" t="s">
        <v>1791</v>
      </c>
      <c r="F149" s="1039" t="s">
        <v>53</v>
      </c>
      <c r="G149" s="1040">
        <f>'Slab-Culverts Data'!$J$504</f>
        <v>7175.39</v>
      </c>
      <c r="H149" s="1025">
        <f t="shared" si="33"/>
        <v>0</v>
      </c>
      <c r="I149" s="1035"/>
      <c r="J149" s="1036"/>
      <c r="K149" s="1036"/>
      <c r="L149" s="1032">
        <f t="shared" si="28"/>
        <v>0</v>
      </c>
      <c r="M149" s="1032">
        <f t="shared" si="29"/>
        <v>7</v>
      </c>
      <c r="N149" s="1031">
        <f t="shared" si="34"/>
        <v>0</v>
      </c>
    </row>
    <row r="150" spans="1:14" ht="57.6">
      <c r="A150" s="1021">
        <v>0</v>
      </c>
      <c r="B150" s="1022">
        <f>'Slab Culvert 2V 6m x 2m spa'!I95*E136</f>
        <v>0</v>
      </c>
      <c r="C150" s="1041" t="s">
        <v>31</v>
      </c>
      <c r="D150" s="1037" t="str">
        <f>'Slab Culvert 2V 6m x 2m spa'!B91</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50" s="1038" t="s">
        <v>1802</v>
      </c>
      <c r="F150" s="1039" t="s">
        <v>53</v>
      </c>
      <c r="G150" s="1040">
        <f>'Slab-Culverts Data'!J559</f>
        <v>2067.88</v>
      </c>
      <c r="H150" s="1025">
        <f t="shared" si="33"/>
        <v>0</v>
      </c>
      <c r="I150" s="1035"/>
      <c r="J150" s="1036"/>
      <c r="K150" s="1036"/>
      <c r="L150" s="1032">
        <f t="shared" si="28"/>
        <v>0</v>
      </c>
      <c r="M150" s="1032">
        <f t="shared" si="29"/>
        <v>7</v>
      </c>
      <c r="N150" s="1031">
        <f t="shared" si="34"/>
        <v>0</v>
      </c>
    </row>
    <row r="151" spans="1:14" ht="129.6">
      <c r="A151" s="1021">
        <v>0</v>
      </c>
      <c r="B151" s="1022">
        <f>'Slab Culvert 2V 6m x 2m spa'!I69*E136</f>
        <v>0</v>
      </c>
      <c r="C151" s="1041" t="s">
        <v>31</v>
      </c>
      <c r="D151" s="1037" t="s">
        <v>1803</v>
      </c>
      <c r="E151" s="1038" t="s">
        <v>1765</v>
      </c>
      <c r="F151" s="1039" t="s">
        <v>53</v>
      </c>
      <c r="G151" s="1040">
        <f>'Road data'!$G$188</f>
        <v>318.8</v>
      </c>
      <c r="H151" s="1025">
        <f t="shared" si="33"/>
        <v>0</v>
      </c>
      <c r="I151" s="1035"/>
      <c r="J151" s="1036"/>
      <c r="K151" s="1036"/>
      <c r="L151" s="1032">
        <f t="shared" ref="L151:L188" si="35">IF(M151=M150,0,M151)</f>
        <v>0</v>
      </c>
      <c r="M151" s="1032">
        <f t="shared" ref="M151:M188" si="36">IF(N151&gt;0,(M150+1),M150)</f>
        <v>7</v>
      </c>
      <c r="N151" s="1031">
        <f t="shared" si="34"/>
        <v>0</v>
      </c>
    </row>
    <row r="152" spans="1:14" ht="144">
      <c r="A152" s="1021">
        <v>0</v>
      </c>
      <c r="B152" s="1022">
        <f>'Slab Culvert 2V 6m x 2m spa'!I89*E136</f>
        <v>0</v>
      </c>
      <c r="C152" s="1041" t="s">
        <v>31</v>
      </c>
      <c r="D152" s="1037" t="s">
        <v>1612</v>
      </c>
      <c r="E152" s="1038" t="s">
        <v>1782</v>
      </c>
      <c r="F152" s="1039" t="s">
        <v>53</v>
      </c>
      <c r="G152" s="1040">
        <f>'Slab-Culverts Data'!$J$335</f>
        <v>2427.13</v>
      </c>
      <c r="H152" s="1025">
        <f t="shared" si="33"/>
        <v>0</v>
      </c>
      <c r="I152" s="1035"/>
      <c r="J152" s="1036"/>
      <c r="K152" s="1036"/>
      <c r="L152" s="1032">
        <f t="shared" si="35"/>
        <v>0</v>
      </c>
      <c r="M152" s="1032">
        <f t="shared" si="36"/>
        <v>7</v>
      </c>
      <c r="N152" s="1031">
        <f t="shared" si="34"/>
        <v>0</v>
      </c>
    </row>
    <row r="153" spans="1:14" ht="144">
      <c r="A153" s="1021">
        <v>0</v>
      </c>
      <c r="B153" s="1022">
        <f>'Slab Culvert 2V 6m x 2m spa'!I103*E136</f>
        <v>0</v>
      </c>
      <c r="C153" s="1041" t="s">
        <v>66</v>
      </c>
      <c r="D153" s="1037" t="s">
        <v>1600</v>
      </c>
      <c r="E153" s="1038" t="s">
        <v>1787</v>
      </c>
      <c r="F153" s="1039" t="s">
        <v>1788</v>
      </c>
      <c r="G153" s="1040">
        <f>'Slab-Culverts Data'!$J$290</f>
        <v>64943.47</v>
      </c>
      <c r="H153" s="1025">
        <f t="shared" si="33"/>
        <v>0</v>
      </c>
      <c r="I153" s="1035"/>
      <c r="J153" s="1036"/>
      <c r="K153" s="1036"/>
      <c r="L153" s="1032">
        <f t="shared" si="35"/>
        <v>0</v>
      </c>
      <c r="M153" s="1032">
        <f t="shared" si="36"/>
        <v>7</v>
      </c>
      <c r="N153" s="1031">
        <f t="shared" si="34"/>
        <v>0</v>
      </c>
    </row>
    <row r="154" spans="1:14" ht="144">
      <c r="A154" s="1021">
        <v>0</v>
      </c>
      <c r="B154" s="1022">
        <f>'Slab Culvert 2V 6m x 2m spa'!I106*E136</f>
        <v>0</v>
      </c>
      <c r="C154" s="1041" t="s">
        <v>66</v>
      </c>
      <c r="D154" s="1037" t="s">
        <v>1622</v>
      </c>
      <c r="E154" s="1038" t="s">
        <v>1797</v>
      </c>
      <c r="F154" s="1023" t="s">
        <v>1788</v>
      </c>
      <c r="G154" s="1040">
        <f>'Slab-Culverts Data'!$J$451</f>
        <v>66904.47</v>
      </c>
      <c r="H154" s="1025">
        <f t="shared" si="33"/>
        <v>0</v>
      </c>
      <c r="I154" s="1035"/>
      <c r="J154" s="1036"/>
      <c r="K154" s="1036"/>
      <c r="L154" s="1032">
        <f t="shared" si="35"/>
        <v>0</v>
      </c>
      <c r="M154" s="1032">
        <f t="shared" si="36"/>
        <v>7</v>
      </c>
      <c r="N154" s="1031">
        <f t="shared" si="34"/>
        <v>0</v>
      </c>
    </row>
    <row r="155" spans="1:14" ht="115.2">
      <c r="A155" s="1021">
        <v>0</v>
      </c>
      <c r="B155" s="1022">
        <f>'Slab Culvert 2V 6m x 2m spa'!I85*E136</f>
        <v>0</v>
      </c>
      <c r="C155" s="1041" t="s">
        <v>579</v>
      </c>
      <c r="D155" s="1037" t="s">
        <v>200</v>
      </c>
      <c r="E155" s="1038" t="s">
        <v>1793</v>
      </c>
      <c r="F155" s="1039" t="s">
        <v>710</v>
      </c>
      <c r="G155" s="1040">
        <f>'Slab-Culverts Data'!$J$312</f>
        <v>614.33766666666668</v>
      </c>
      <c r="H155" s="1025">
        <f t="shared" si="33"/>
        <v>0</v>
      </c>
      <c r="I155" s="1036">
        <f>SUM(H137:H155)</f>
        <v>0</v>
      </c>
      <c r="J155" s="1036">
        <f>'CD Abs'!E10</f>
        <v>0</v>
      </c>
      <c r="K155" s="1036">
        <f>I155-J155</f>
        <v>0</v>
      </c>
      <c r="L155" s="1032">
        <f t="shared" si="35"/>
        <v>0</v>
      </c>
      <c r="M155" s="1032">
        <f t="shared" si="36"/>
        <v>7</v>
      </c>
      <c r="N155" s="1031">
        <f t="shared" si="34"/>
        <v>0</v>
      </c>
    </row>
    <row r="156" spans="1:14" s="1003" customFormat="1" hidden="1">
      <c r="A156" s="1021">
        <v>0</v>
      </c>
      <c r="B156" s="1043"/>
      <c r="C156" s="787"/>
      <c r="D156" s="1013" t="str">
        <f>'CD Abs'!B11</f>
        <v>Construction of Road dam</v>
      </c>
      <c r="E156" s="1028">
        <f>'CD Abs'!C11</f>
        <v>0</v>
      </c>
      <c r="F156" s="1014"/>
      <c r="G156" s="1044"/>
      <c r="H156" s="1025"/>
      <c r="L156" s="1032">
        <f t="shared" si="35"/>
        <v>0</v>
      </c>
      <c r="M156" s="1032">
        <f t="shared" si="36"/>
        <v>7</v>
      </c>
      <c r="N156" s="1031">
        <f t="shared" si="34"/>
        <v>0</v>
      </c>
    </row>
    <row r="157" spans="1:14" ht="100.8" hidden="1">
      <c r="A157" s="1021">
        <v>0</v>
      </c>
      <c r="B157" s="1022">
        <f>'Road dam 30m'!I10*E156</f>
        <v>0</v>
      </c>
      <c r="C157" s="497" t="s">
        <v>31</v>
      </c>
      <c r="D157" s="499" t="str">
        <f>'Road dam 30m'!$B$6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57" s="516" t="s">
        <v>1779</v>
      </c>
      <c r="F157" s="1023" t="s">
        <v>53</v>
      </c>
      <c r="G157" s="1030">
        <f>'Road dam 30m'!$J$10</f>
        <v>123.69927804166667</v>
      </c>
      <c r="H157" s="1025">
        <f t="shared" si="11"/>
        <v>0</v>
      </c>
      <c r="L157" s="1032">
        <f t="shared" si="35"/>
        <v>0</v>
      </c>
      <c r="M157" s="1032">
        <f t="shared" si="36"/>
        <v>7</v>
      </c>
      <c r="N157" s="1031">
        <f t="shared" si="34"/>
        <v>0</v>
      </c>
    </row>
    <row r="158" spans="1:14" ht="43.2" hidden="1">
      <c r="A158" s="1021">
        <v>0</v>
      </c>
      <c r="B158" s="1022">
        <f>'Road dam 30m'!I17*E156</f>
        <v>0</v>
      </c>
      <c r="C158" s="497" t="s">
        <v>31</v>
      </c>
      <c r="D158" s="509" t="str">
        <f>'Road dam 30m'!$B$13</f>
        <v>Sand  Filling  in foundation trenches as per drawing and technical specification Clause 304 of MORTH including overhead charges &amp; Contractors profit etc complete.</v>
      </c>
      <c r="E158" s="516" t="s">
        <v>1779</v>
      </c>
      <c r="F158" s="1023" t="s">
        <v>53</v>
      </c>
      <c r="G158" s="1030">
        <f>'Road dam 30m'!$J$17</f>
        <v>1237.43</v>
      </c>
      <c r="H158" s="1025">
        <f t="shared" si="11"/>
        <v>0</v>
      </c>
      <c r="L158" s="1032">
        <f t="shared" si="35"/>
        <v>0</v>
      </c>
      <c r="M158" s="1032">
        <f t="shared" si="36"/>
        <v>7</v>
      </c>
      <c r="N158" s="1031">
        <f t="shared" si="34"/>
        <v>0</v>
      </c>
    </row>
    <row r="159" spans="1:14" ht="115.2" hidden="1">
      <c r="A159" s="1021">
        <v>0</v>
      </c>
      <c r="B159" s="1022">
        <f>'Road dam 30m'!I29*E156</f>
        <v>0</v>
      </c>
      <c r="C159" s="497" t="s">
        <v>31</v>
      </c>
      <c r="D159" s="499" t="str">
        <f>'Road dam 30m'!$B$20</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59" s="516" t="s">
        <v>1780</v>
      </c>
      <c r="F159" s="1023" t="s">
        <v>53</v>
      </c>
      <c r="G159" s="1030">
        <f>'Road dam 30m'!$J$29</f>
        <v>5748.72</v>
      </c>
      <c r="H159" s="1025">
        <f t="shared" si="11"/>
        <v>0</v>
      </c>
      <c r="L159" s="1032">
        <f t="shared" si="35"/>
        <v>0</v>
      </c>
      <c r="M159" s="1032">
        <f t="shared" si="36"/>
        <v>7</v>
      </c>
      <c r="N159" s="1031">
        <f t="shared" si="34"/>
        <v>0</v>
      </c>
    </row>
    <row r="160" spans="1:14" ht="115.2" hidden="1">
      <c r="A160" s="1021">
        <v>0</v>
      </c>
      <c r="B160" s="1022">
        <f>'Road dam 30m'!I41*E156</f>
        <v>0</v>
      </c>
      <c r="C160" s="497" t="s">
        <v>31</v>
      </c>
      <c r="D160" s="509" t="str">
        <f>'Road dam 30m'!$B$32</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60" s="516" t="s">
        <v>1780</v>
      </c>
      <c r="F160" s="1023" t="s">
        <v>53</v>
      </c>
      <c r="G160" s="1030">
        <f>'Road dam 30m'!$J$41</f>
        <v>6425.92</v>
      </c>
      <c r="H160" s="1025">
        <f t="shared" si="11"/>
        <v>0</v>
      </c>
      <c r="L160" s="1032">
        <f t="shared" si="35"/>
        <v>0</v>
      </c>
      <c r="M160" s="1032">
        <f t="shared" si="36"/>
        <v>7</v>
      </c>
      <c r="N160" s="1031">
        <f t="shared" si="34"/>
        <v>0</v>
      </c>
    </row>
    <row r="161" spans="1:14" ht="100.8" hidden="1">
      <c r="A161" s="1021">
        <v>0</v>
      </c>
      <c r="B161" s="1022">
        <f>'Road dam 30m'!I45*E156</f>
        <v>0</v>
      </c>
      <c r="C161" s="497" t="s">
        <v>107</v>
      </c>
      <c r="D161" s="499" t="str">
        <f>'Road dam 30m'!$B$43</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161" s="516" t="s">
        <v>1783</v>
      </c>
      <c r="F161" s="1023" t="s">
        <v>112</v>
      </c>
      <c r="G161" s="1030">
        <f>'Road dam 30m'!$J$45</f>
        <v>13715.57</v>
      </c>
      <c r="H161" s="1025">
        <f t="shared" si="11"/>
        <v>0</v>
      </c>
      <c r="L161" s="1032">
        <f t="shared" si="35"/>
        <v>0</v>
      </c>
      <c r="M161" s="1032">
        <f t="shared" si="36"/>
        <v>7</v>
      </c>
      <c r="N161" s="1031">
        <f t="shared" si="34"/>
        <v>0</v>
      </c>
    </row>
    <row r="162" spans="1:14" ht="57.6" hidden="1">
      <c r="A162" s="1021">
        <v>0</v>
      </c>
      <c r="B162" s="1022">
        <f>'Road dam 30m'!I51*E156</f>
        <v>0</v>
      </c>
      <c r="C162" s="497" t="s">
        <v>31</v>
      </c>
      <c r="D162" s="499" t="str">
        <f>'Road dam 30m'!$B$47</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E162" s="516" t="s">
        <v>1794</v>
      </c>
      <c r="F162" s="1023" t="s">
        <v>53</v>
      </c>
      <c r="G162" s="1030">
        <f>'Road dam 30m'!$J$51</f>
        <v>691.79</v>
      </c>
      <c r="H162" s="1025">
        <f t="shared" si="11"/>
        <v>0</v>
      </c>
      <c r="L162" s="1032">
        <f t="shared" si="35"/>
        <v>0</v>
      </c>
      <c r="M162" s="1032">
        <f t="shared" si="36"/>
        <v>7</v>
      </c>
      <c r="N162" s="1031">
        <f t="shared" si="34"/>
        <v>0</v>
      </c>
    </row>
    <row r="163" spans="1:14" ht="57.6" hidden="1">
      <c r="A163" s="1021">
        <v>0</v>
      </c>
      <c r="B163" s="1022">
        <f>'Road dam 30m'!I57*E156</f>
        <v>0</v>
      </c>
      <c r="C163" s="497" t="s">
        <v>31</v>
      </c>
      <c r="D163" s="499" t="str">
        <f>'Road dam 30m'!$B$53</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63" s="516" t="s">
        <v>1782</v>
      </c>
      <c r="F163" s="1023" t="s">
        <v>53</v>
      </c>
      <c r="G163" s="1030">
        <f>'Road dam 30m'!$J$57</f>
        <v>2067.88</v>
      </c>
      <c r="H163" s="1025">
        <f t="shared" si="11"/>
        <v>0</v>
      </c>
      <c r="L163" s="1032">
        <f t="shared" si="35"/>
        <v>0</v>
      </c>
      <c r="M163" s="1032">
        <f t="shared" si="36"/>
        <v>7</v>
      </c>
      <c r="N163" s="1031">
        <f t="shared" si="34"/>
        <v>0</v>
      </c>
    </row>
    <row r="164" spans="1:14" ht="129.6" hidden="1">
      <c r="A164" s="1021">
        <v>0</v>
      </c>
      <c r="B164" s="1022">
        <f>'Road dam 30m'!I62*E156</f>
        <v>0</v>
      </c>
      <c r="C164" s="497" t="s">
        <v>31</v>
      </c>
      <c r="D164" s="499" t="str">
        <f>'Road dam 30m'!$B$59</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164" s="516" t="s">
        <v>1805</v>
      </c>
      <c r="F164" s="1023" t="s">
        <v>53</v>
      </c>
      <c r="G164" s="1030">
        <f>'Road dam 30m'!$J$62</f>
        <v>7079.99</v>
      </c>
      <c r="H164" s="1025">
        <f t="shared" si="11"/>
        <v>0</v>
      </c>
      <c r="L164" s="1032">
        <f t="shared" si="35"/>
        <v>0</v>
      </c>
      <c r="M164" s="1032">
        <f t="shared" si="36"/>
        <v>7</v>
      </c>
      <c r="N164" s="1031">
        <f t="shared" si="34"/>
        <v>0</v>
      </c>
    </row>
    <row r="165" spans="1:14" hidden="1">
      <c r="A165" s="1021">
        <v>0</v>
      </c>
      <c r="B165" s="1022"/>
      <c r="C165" s="497"/>
      <c r="D165" s="499"/>
      <c r="E165" s="516"/>
      <c r="F165" s="1023"/>
      <c r="G165" s="1030"/>
      <c r="H165" s="1025"/>
      <c r="I165" s="1036">
        <f>SUM(H157:H164)</f>
        <v>0</v>
      </c>
      <c r="J165" s="1036"/>
      <c r="K165" s="1036">
        <f>I165-J165</f>
        <v>0</v>
      </c>
      <c r="L165" s="1032">
        <f t="shared" si="35"/>
        <v>0</v>
      </c>
      <c r="M165" s="1032">
        <f t="shared" si="36"/>
        <v>7</v>
      </c>
      <c r="N165" s="1031">
        <f t="shared" si="34"/>
        <v>0</v>
      </c>
    </row>
    <row r="166" spans="1:14" s="1003" customFormat="1" hidden="1">
      <c r="A166" s="1021">
        <v>0</v>
      </c>
      <c r="B166" s="1043"/>
      <c r="C166" s="787">
        <v>6</v>
      </c>
      <c r="D166" s="1013" t="str">
        <f>'CD Abs'!B12</f>
        <v>Construction of Retaining walls/Protection walls</v>
      </c>
      <c r="E166" s="1028">
        <f>'CD Abs'!C12</f>
        <v>0</v>
      </c>
      <c r="F166" s="1014"/>
      <c r="G166" s="1044"/>
      <c r="H166" s="1025"/>
      <c r="L166" s="1032">
        <f t="shared" si="35"/>
        <v>0</v>
      </c>
      <c r="M166" s="1032">
        <f t="shared" si="36"/>
        <v>7</v>
      </c>
      <c r="N166" s="1031">
        <f t="shared" si="34"/>
        <v>0</v>
      </c>
    </row>
    <row r="167" spans="1:14" ht="100.8" hidden="1">
      <c r="A167" s="1021">
        <v>0</v>
      </c>
      <c r="B167" s="1022">
        <f>$E$166*'Ret wall'!I8</f>
        <v>0</v>
      </c>
      <c r="C167" s="497" t="s">
        <v>31</v>
      </c>
      <c r="D167" s="499" t="str">
        <f>'Ret wall'!$B$6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67" s="516" t="s">
        <v>1779</v>
      </c>
      <c r="F167" s="1023" t="s">
        <v>53</v>
      </c>
      <c r="G167" s="1030">
        <f>'Ret wall'!$J$8</f>
        <v>123.69927804166667</v>
      </c>
      <c r="H167" s="1025">
        <f>ROUND(B167*G167,0)</f>
        <v>0</v>
      </c>
      <c r="L167" s="1032">
        <f t="shared" si="35"/>
        <v>0</v>
      </c>
      <c r="M167" s="1032">
        <f t="shared" si="36"/>
        <v>7</v>
      </c>
      <c r="N167" s="1031">
        <f t="shared" si="34"/>
        <v>0</v>
      </c>
    </row>
    <row r="168" spans="1:14" ht="43.2" hidden="1">
      <c r="A168" s="1021">
        <v>0</v>
      </c>
      <c r="B168" s="1022">
        <f t="shared" ref="B168" si="37">$E$166*0</f>
        <v>0</v>
      </c>
      <c r="C168" s="497" t="s">
        <v>31</v>
      </c>
      <c r="D168" s="509" t="str">
        <f>'Ret wall'!$B$11</f>
        <v>Sand  Filling  in foundation trenches as per drawing and technical specification Clause 304 of MORTH including overhead charges &amp; Contractors profit etc complete.</v>
      </c>
      <c r="E168" s="516" t="s">
        <v>1779</v>
      </c>
      <c r="F168" s="1023" t="s">
        <v>53</v>
      </c>
      <c r="G168" s="1030">
        <f>'Ret wall'!$J$13</f>
        <v>1237.43</v>
      </c>
      <c r="H168" s="1025">
        <f t="shared" si="11"/>
        <v>0</v>
      </c>
      <c r="L168" s="1032">
        <f t="shared" si="35"/>
        <v>0</v>
      </c>
      <c r="M168" s="1032">
        <f t="shared" si="36"/>
        <v>7</v>
      </c>
      <c r="N168" s="1031">
        <f t="shared" si="34"/>
        <v>0</v>
      </c>
    </row>
    <row r="169" spans="1:14" ht="115.2" hidden="1">
      <c r="A169" s="1021">
        <v>0</v>
      </c>
      <c r="B169" s="1022">
        <f>$E$166*'Ret wall'!I18</f>
        <v>0</v>
      </c>
      <c r="C169" s="497" t="s">
        <v>31</v>
      </c>
      <c r="D169" s="509" t="str">
        <f>'Ret wall'!$B$16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69" s="516" t="s">
        <v>1780</v>
      </c>
      <c r="F169" s="1023" t="s">
        <v>53</v>
      </c>
      <c r="G169" s="1030">
        <f>'Ret wall'!$J$18</f>
        <v>5748.72</v>
      </c>
      <c r="H169" s="1025">
        <f t="shared" si="11"/>
        <v>0</v>
      </c>
      <c r="L169" s="1032">
        <f t="shared" si="35"/>
        <v>0</v>
      </c>
      <c r="M169" s="1032">
        <f t="shared" si="36"/>
        <v>7</v>
      </c>
      <c r="N169" s="1031">
        <f t="shared" si="34"/>
        <v>0</v>
      </c>
    </row>
    <row r="170" spans="1:14" ht="115.2" hidden="1">
      <c r="A170" s="1021">
        <v>0</v>
      </c>
      <c r="B170" s="1022">
        <f>$E$166*'Ret wall'!I23</f>
        <v>0</v>
      </c>
      <c r="C170" s="497" t="s">
        <v>31</v>
      </c>
      <c r="D170" s="509" t="str">
        <f>'Ret wall'!$B$21</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70" s="516" t="s">
        <v>1780</v>
      </c>
      <c r="F170" s="1023" t="s">
        <v>53</v>
      </c>
      <c r="G170" s="1030">
        <f>'Ret wall'!$J$23</f>
        <v>6425.92</v>
      </c>
      <c r="H170" s="1025">
        <f t="shared" ref="H170" si="38">ROUND(B170*G170,0)</f>
        <v>0</v>
      </c>
      <c r="L170" s="1032">
        <f t="shared" si="35"/>
        <v>0</v>
      </c>
      <c r="M170" s="1032">
        <f t="shared" si="36"/>
        <v>7</v>
      </c>
      <c r="N170" s="1031">
        <f t="shared" si="34"/>
        <v>0</v>
      </c>
    </row>
    <row r="171" spans="1:14" ht="115.2" hidden="1">
      <c r="A171" s="1021">
        <v>0</v>
      </c>
      <c r="B171" s="1022">
        <f>$E$166*'Ret wall'!I27</f>
        <v>0</v>
      </c>
      <c r="C171" s="497" t="s">
        <v>31</v>
      </c>
      <c r="D171" s="509" t="str">
        <f>'Ret wall'!B25</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171" s="516" t="s">
        <v>1780</v>
      </c>
      <c r="F171" s="1023" t="s">
        <v>53</v>
      </c>
      <c r="G171" s="1030">
        <f>'Ret wall'!$J$27</f>
        <v>6796.65</v>
      </c>
      <c r="H171" s="1025">
        <f t="shared" ref="H171" si="39">ROUND(B171*G171,0)</f>
        <v>0</v>
      </c>
      <c r="L171" s="1032">
        <f t="shared" si="35"/>
        <v>0</v>
      </c>
      <c r="M171" s="1032">
        <f t="shared" si="36"/>
        <v>7</v>
      </c>
      <c r="N171" s="1031">
        <f t="shared" si="34"/>
        <v>0</v>
      </c>
    </row>
    <row r="172" spans="1:14" hidden="1">
      <c r="A172" s="1021">
        <v>0</v>
      </c>
      <c r="B172" s="1022"/>
      <c r="C172" s="787">
        <v>7</v>
      </c>
      <c r="D172" s="1013" t="str">
        <f>'CD Abs'!B13</f>
        <v xml:space="preserve">Construction of Village Side Drains </v>
      </c>
      <c r="E172" s="1028">
        <f>'CD Abs'!C13</f>
        <v>0</v>
      </c>
      <c r="F172" s="1023"/>
      <c r="G172" s="1030"/>
      <c r="H172" s="1025"/>
      <c r="I172" s="1036">
        <f>SUM(H167:H171)</f>
        <v>0</v>
      </c>
      <c r="J172" s="1036">
        <f>'CD Abs'!E12</f>
        <v>0</v>
      </c>
      <c r="K172" s="1036">
        <f>I172-J172</f>
        <v>0</v>
      </c>
      <c r="L172" s="1032">
        <f t="shared" si="35"/>
        <v>0</v>
      </c>
      <c r="M172" s="1032">
        <f t="shared" si="36"/>
        <v>7</v>
      </c>
      <c r="N172" s="1031">
        <f t="shared" si="34"/>
        <v>0</v>
      </c>
    </row>
    <row r="173" spans="1:14" ht="100.8" hidden="1">
      <c r="A173" s="1021">
        <v>0</v>
      </c>
      <c r="B173" s="1022">
        <f>$E$172*'Drain '!I10</f>
        <v>0</v>
      </c>
      <c r="C173" s="497" t="s">
        <v>31</v>
      </c>
      <c r="D173" s="509" t="str">
        <f>'Drain '!B6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73" s="516" t="s">
        <v>1779</v>
      </c>
      <c r="F173" s="1023" t="s">
        <v>53</v>
      </c>
      <c r="G173" s="1030">
        <f>'Drain '!$J$10</f>
        <v>123.69927804166667</v>
      </c>
      <c r="H173" s="1025">
        <f t="shared" si="11"/>
        <v>0</v>
      </c>
      <c r="I173" s="1036"/>
      <c r="J173" s="1036"/>
      <c r="K173" s="1036"/>
      <c r="L173" s="1032">
        <f t="shared" si="35"/>
        <v>0</v>
      </c>
      <c r="M173" s="1032">
        <f t="shared" si="36"/>
        <v>7</v>
      </c>
      <c r="N173" s="1031">
        <f t="shared" si="34"/>
        <v>0</v>
      </c>
    </row>
    <row r="174" spans="1:14" ht="43.2" hidden="1">
      <c r="A174" s="1021">
        <v>0</v>
      </c>
      <c r="B174" s="1022">
        <f>$E$172*'Drain '!I16</f>
        <v>0</v>
      </c>
      <c r="C174" s="497" t="s">
        <v>31</v>
      </c>
      <c r="D174" s="509" t="str">
        <f>'Drain '!B13</f>
        <v>Sand  Filling  in foundation trenches as per drawing and technical specification Clause 304 of MORTH including overhead charges &amp; Contractors profit etc complete.</v>
      </c>
      <c r="E174" s="516" t="s">
        <v>1779</v>
      </c>
      <c r="F174" s="1023" t="s">
        <v>53</v>
      </c>
      <c r="G174" s="1030">
        <f>'Drain '!$J$16</f>
        <v>1237.43</v>
      </c>
      <c r="H174" s="1025">
        <f t="shared" si="11"/>
        <v>0</v>
      </c>
      <c r="I174" s="1036"/>
      <c r="J174" s="1036"/>
      <c r="K174" s="1036"/>
      <c r="L174" s="1032">
        <f t="shared" si="35"/>
        <v>0</v>
      </c>
      <c r="M174" s="1032">
        <f t="shared" si="36"/>
        <v>7</v>
      </c>
      <c r="N174" s="1031">
        <f t="shared" si="34"/>
        <v>0</v>
      </c>
    </row>
    <row r="175" spans="1:14" ht="115.2" hidden="1">
      <c r="A175" s="1021">
        <v>0</v>
      </c>
      <c r="B175" s="1022">
        <f>$E$172*'Drain '!I24</f>
        <v>0</v>
      </c>
      <c r="C175" s="497" t="s">
        <v>31</v>
      </c>
      <c r="D175" s="509" t="str">
        <f>'Drain '!B19</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75" s="516" t="s">
        <v>1780</v>
      </c>
      <c r="F175" s="1023" t="s">
        <v>53</v>
      </c>
      <c r="G175" s="1030">
        <f>'Drain '!$J$24</f>
        <v>6425.92</v>
      </c>
      <c r="H175" s="1025">
        <f t="shared" si="11"/>
        <v>0</v>
      </c>
      <c r="I175" s="1036"/>
      <c r="J175" s="1036"/>
      <c r="K175" s="1036"/>
      <c r="L175" s="1032">
        <f t="shared" si="35"/>
        <v>0</v>
      </c>
      <c r="M175" s="1032">
        <f t="shared" si="36"/>
        <v>7</v>
      </c>
      <c r="N175" s="1031">
        <f t="shared" si="34"/>
        <v>0</v>
      </c>
    </row>
    <row r="176" spans="1:14" ht="129.6" hidden="1">
      <c r="A176" s="1021">
        <v>0</v>
      </c>
      <c r="B176" s="1022">
        <f>'Drain '!I28*E172</f>
        <v>0</v>
      </c>
      <c r="C176" s="497" t="s">
        <v>31</v>
      </c>
      <c r="D176" s="509" t="str">
        <f>'Drain '!B26</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E176" s="516" t="s">
        <v>1806</v>
      </c>
      <c r="F176" s="1023" t="s">
        <v>53</v>
      </c>
      <c r="G176" s="1030">
        <f>'Drain '!$J$28</f>
        <v>8495.99</v>
      </c>
      <c r="H176" s="1025">
        <f t="shared" si="11"/>
        <v>0</v>
      </c>
      <c r="I176" s="1036"/>
      <c r="J176" s="1036"/>
      <c r="K176" s="1036"/>
      <c r="L176" s="1032">
        <f t="shared" si="35"/>
        <v>0</v>
      </c>
      <c r="M176" s="1032">
        <f t="shared" si="36"/>
        <v>7</v>
      </c>
      <c r="N176" s="1031">
        <f t="shared" si="34"/>
        <v>0</v>
      </c>
    </row>
    <row r="177" spans="1:14" ht="144" hidden="1">
      <c r="A177" s="1021">
        <v>0</v>
      </c>
      <c r="B177" s="1022">
        <f>'Drain '!I31*E172</f>
        <v>0</v>
      </c>
      <c r="C177" s="497" t="s">
        <v>66</v>
      </c>
      <c r="D177" s="509" t="str">
        <f>'Drain '!B30</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177" s="516" t="s">
        <v>1787</v>
      </c>
      <c r="F177" s="1023" t="s">
        <v>1788</v>
      </c>
      <c r="G177" s="1030">
        <f>'Drain '!$J$31</f>
        <v>66904.47</v>
      </c>
      <c r="H177" s="1025">
        <f t="shared" si="11"/>
        <v>0</v>
      </c>
      <c r="I177" s="1036"/>
      <c r="J177" s="1036"/>
      <c r="K177" s="1036"/>
      <c r="L177" s="1032">
        <f t="shared" si="35"/>
        <v>0</v>
      </c>
      <c r="M177" s="1032">
        <f t="shared" si="36"/>
        <v>7</v>
      </c>
      <c r="N177" s="1031">
        <f t="shared" si="34"/>
        <v>0</v>
      </c>
    </row>
    <row r="178" spans="1:14" hidden="1">
      <c r="A178" s="1021">
        <v>0</v>
      </c>
      <c r="B178" s="1022"/>
      <c r="C178" s="497"/>
      <c r="D178" s="509"/>
      <c r="E178" s="516"/>
      <c r="F178" s="1023"/>
      <c r="G178" s="1030"/>
      <c r="H178" s="1025"/>
      <c r="I178" s="1036">
        <f>SUM(H173:H177)</f>
        <v>0</v>
      </c>
      <c r="J178" s="1036">
        <f>'CD Abs'!E13</f>
        <v>0</v>
      </c>
      <c r="K178" s="1036">
        <f>I178-J178</f>
        <v>0</v>
      </c>
      <c r="L178" s="1032">
        <f t="shared" si="35"/>
        <v>0</v>
      </c>
      <c r="M178" s="1032">
        <f t="shared" si="36"/>
        <v>7</v>
      </c>
      <c r="N178" s="1031">
        <f t="shared" si="34"/>
        <v>0</v>
      </c>
    </row>
    <row r="179" spans="1:14">
      <c r="A179" s="1021">
        <v>0</v>
      </c>
      <c r="B179" s="1022"/>
      <c r="C179" s="787">
        <v>3</v>
      </c>
      <c r="D179" s="1013" t="s">
        <v>587</v>
      </c>
      <c r="E179" s="516"/>
      <c r="F179" s="519"/>
      <c r="G179" s="1045"/>
      <c r="H179" s="1025"/>
      <c r="I179" s="1033"/>
      <c r="J179" s="1034"/>
      <c r="K179" s="1036">
        <f>I179-J179</f>
        <v>0</v>
      </c>
      <c r="L179" s="1032">
        <f t="shared" si="35"/>
        <v>0</v>
      </c>
      <c r="M179" s="1032">
        <f t="shared" si="36"/>
        <v>7</v>
      </c>
      <c r="N179" s="1031">
        <f t="shared" si="34"/>
        <v>0</v>
      </c>
    </row>
    <row r="180" spans="1:14" ht="71.25" customHeight="1">
      <c r="A180" s="1021">
        <v>0</v>
      </c>
      <c r="B180" s="1046">
        <f>'Road-furniture '!C5</f>
        <v>2</v>
      </c>
      <c r="C180" s="517" t="s">
        <v>579</v>
      </c>
      <c r="D180" s="499" t="s">
        <v>1807</v>
      </c>
      <c r="E180" s="516" t="s">
        <v>1808</v>
      </c>
      <c r="F180" s="519" t="s">
        <v>241</v>
      </c>
      <c r="G180" s="1030">
        <f>'Road-furniture '!$E$5</f>
        <v>2691.9102218214284</v>
      </c>
      <c r="H180" s="1025">
        <f t="shared" ref="H180:H181" si="40">ROUND(B180*G180,0)</f>
        <v>5384</v>
      </c>
      <c r="L180" s="1032">
        <f t="shared" si="35"/>
        <v>8</v>
      </c>
      <c r="M180" s="1032">
        <f t="shared" si="36"/>
        <v>8</v>
      </c>
      <c r="N180" s="1031">
        <f t="shared" si="34"/>
        <v>5384</v>
      </c>
    </row>
    <row r="181" spans="1:14" ht="79.2" customHeight="1">
      <c r="A181" s="1021">
        <v>0</v>
      </c>
      <c r="B181" s="1046">
        <f>'Road-furniture '!C6</f>
        <v>8</v>
      </c>
      <c r="C181" s="517" t="s">
        <v>579</v>
      </c>
      <c r="D181" s="499" t="s">
        <v>1809</v>
      </c>
      <c r="E181" s="516" t="s">
        <v>1808</v>
      </c>
      <c r="F181" s="519" t="s">
        <v>241</v>
      </c>
      <c r="G181" s="1030">
        <f>'Road-furniture '!$E$6</f>
        <v>746.89364849999993</v>
      </c>
      <c r="H181" s="1025">
        <f t="shared" si="40"/>
        <v>5975</v>
      </c>
      <c r="L181" s="1032">
        <f t="shared" si="35"/>
        <v>9</v>
      </c>
      <c r="M181" s="1032">
        <f t="shared" si="36"/>
        <v>9</v>
      </c>
      <c r="N181" s="1031">
        <f t="shared" si="34"/>
        <v>5975</v>
      </c>
    </row>
    <row r="182" spans="1:14" ht="234.6" customHeight="1">
      <c r="A182" s="1021">
        <v>0</v>
      </c>
      <c r="B182" s="1046">
        <f>'Road-furniture '!C8</f>
        <v>2</v>
      </c>
      <c r="C182" s="517" t="s">
        <v>579</v>
      </c>
      <c r="D182" s="499" t="str">
        <f>'Road-furniture '!B7</f>
        <v>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v>
      </c>
      <c r="E182" s="516" t="s">
        <v>1810</v>
      </c>
      <c r="F182" s="519" t="s">
        <v>241</v>
      </c>
      <c r="G182" s="1030">
        <f>'Road-furniture '!$E$8</f>
        <v>15913.926823734997</v>
      </c>
      <c r="H182" s="1025">
        <f t="shared" si="11"/>
        <v>31828</v>
      </c>
      <c r="L182" s="1032">
        <f t="shared" si="35"/>
        <v>10</v>
      </c>
      <c r="M182" s="1032">
        <f t="shared" si="36"/>
        <v>10</v>
      </c>
      <c r="N182" s="1031">
        <f t="shared" si="34"/>
        <v>31828</v>
      </c>
    </row>
    <row r="183" spans="1:14" ht="190.95" customHeight="1">
      <c r="A183" s="1021">
        <v>0</v>
      </c>
      <c r="B183" s="1046">
        <f>'Road-furniture '!C10</f>
        <v>2</v>
      </c>
      <c r="C183" s="517" t="s">
        <v>579</v>
      </c>
      <c r="D183" s="499" t="str">
        <f>'Road-furniture '!B9</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v>
      </c>
      <c r="E183" s="516" t="s">
        <v>1810</v>
      </c>
      <c r="F183" s="519" t="s">
        <v>241</v>
      </c>
      <c r="G183" s="1030">
        <f>'Road-furniture '!$E$10</f>
        <v>3001.1832850850005</v>
      </c>
      <c r="H183" s="1025">
        <f t="shared" si="11"/>
        <v>6002</v>
      </c>
      <c r="L183" s="1032">
        <f t="shared" si="35"/>
        <v>11</v>
      </c>
      <c r="M183" s="1032">
        <f t="shared" si="36"/>
        <v>11</v>
      </c>
      <c r="N183" s="1031">
        <f t="shared" si="34"/>
        <v>6002</v>
      </c>
    </row>
    <row r="184" spans="1:14" ht="168.6" customHeight="1">
      <c r="A184" s="1021">
        <v>0</v>
      </c>
      <c r="B184" s="1046">
        <f>'Road-furniture '!C12</f>
        <v>4</v>
      </c>
      <c r="C184" s="517" t="s">
        <v>579</v>
      </c>
      <c r="D184" s="499" t="str">
        <f>'Road-furniture '!B11</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v>
      </c>
      <c r="E184" s="516" t="s">
        <v>1810</v>
      </c>
      <c r="F184" s="519" t="s">
        <v>241</v>
      </c>
      <c r="G184" s="1030">
        <f>'Road-furniture '!$E$12</f>
        <v>2296.2180025699995</v>
      </c>
      <c r="H184" s="1025">
        <f t="shared" si="11"/>
        <v>9185</v>
      </c>
      <c r="I184" s="1034">
        <f>SUM(H180:H184)</f>
        <v>58374</v>
      </c>
      <c r="L184" s="1032">
        <f t="shared" si="35"/>
        <v>12</v>
      </c>
      <c r="M184" s="1032">
        <f t="shared" si="36"/>
        <v>12</v>
      </c>
      <c r="N184" s="1031">
        <f t="shared" si="34"/>
        <v>9185</v>
      </c>
    </row>
    <row r="185" spans="1:14">
      <c r="A185" s="1021">
        <v>0</v>
      </c>
      <c r="B185" s="1046"/>
      <c r="C185" s="517"/>
      <c r="D185" s="1013" t="s">
        <v>711</v>
      </c>
      <c r="E185" s="516"/>
      <c r="F185" s="519"/>
      <c r="G185" s="1030"/>
      <c r="H185" s="1025"/>
      <c r="I185" s="1034"/>
      <c r="L185" s="1032">
        <f t="shared" si="35"/>
        <v>0</v>
      </c>
      <c r="M185" s="1032">
        <f t="shared" si="36"/>
        <v>12</v>
      </c>
      <c r="N185" s="1031">
        <f t="shared" si="34"/>
        <v>0</v>
      </c>
    </row>
    <row r="186" spans="1:14" ht="60.9" customHeight="1">
      <c r="A186" s="1021">
        <v>0</v>
      </c>
      <c r="B186" s="1047">
        <f>'RSI-Estt'!I12</f>
        <v>22</v>
      </c>
      <c r="C186" s="517" t="s">
        <v>579</v>
      </c>
      <c r="D186" s="499" t="str">
        <f>'RSI-Estt'!B6</f>
        <v>Cost, supply and fixing on road of Reflective Studs - RMP (Twin Moulded Shanks) including cost and conveyance and all labour charges and including contractors profit &amp; Over head charges,  but excluding  GST etc,. Complete.</v>
      </c>
      <c r="E186" s="516" t="s">
        <v>1811</v>
      </c>
      <c r="F186" s="519" t="s">
        <v>1611</v>
      </c>
      <c r="G186" s="1030">
        <f>'RSI-Estt'!J12</f>
        <v>399</v>
      </c>
      <c r="H186" s="1025">
        <f>ROUND(B186*G186,0)</f>
        <v>8778</v>
      </c>
      <c r="I186" s="1034"/>
      <c r="L186" s="1032">
        <f t="shared" si="35"/>
        <v>13</v>
      </c>
      <c r="M186" s="1032">
        <f t="shared" si="36"/>
        <v>13</v>
      </c>
      <c r="N186" s="1031">
        <f t="shared" si="34"/>
        <v>8778</v>
      </c>
    </row>
    <row r="187" spans="1:14" ht="60.9" customHeight="1">
      <c r="A187" s="1021">
        <v>0</v>
      </c>
      <c r="B187" s="1047">
        <f>'RSI-Estt'!I18</f>
        <v>414</v>
      </c>
      <c r="C187" s="517" t="s">
        <v>353</v>
      </c>
      <c r="D187" s="499" t="str">
        <f>'RSI-Estt'!B14</f>
        <v>Cost, supply and Painting on road of Thermoplastic Paint of 2.50 mm thick including cost and conveyance and all labour charges and including contractors profit &amp; Over head charges,  but excluding  GST etc,. Complete.</v>
      </c>
      <c r="E187" s="516"/>
      <c r="F187" s="519" t="s">
        <v>137</v>
      </c>
      <c r="G187" s="1030">
        <f>'RSI-Estt'!J18</f>
        <v>728</v>
      </c>
      <c r="H187" s="1025">
        <f>ROUND(B187*G187,0)</f>
        <v>301392</v>
      </c>
      <c r="I187" s="1034"/>
      <c r="L187" s="1032">
        <f t="shared" si="35"/>
        <v>14</v>
      </c>
      <c r="M187" s="1032">
        <f t="shared" si="36"/>
        <v>14</v>
      </c>
      <c r="N187" s="1031">
        <f t="shared" si="34"/>
        <v>301392</v>
      </c>
    </row>
    <row r="188" spans="1:14" s="1003" customFormat="1" ht="60.9" customHeight="1">
      <c r="A188" s="1021">
        <v>0</v>
      </c>
      <c r="B188" s="1047">
        <f>'RSI-Estt'!I26</f>
        <v>4.5</v>
      </c>
      <c r="C188" s="517" t="s">
        <v>353</v>
      </c>
      <c r="D188" s="499" t="str">
        <f>'RSI-Estt'!B24</f>
        <v>Cost, supply and Painting on road for Rumble strips 7.5mm thick (in 3 layers each of 2.5mm thick)  including cost and conveyance and all labour charges and including contractors profit &amp; Over head charges,  but excluding  GST etc,. Complete.</v>
      </c>
      <c r="E188" s="786"/>
      <c r="F188" s="519" t="s">
        <v>137</v>
      </c>
      <c r="G188" s="1030">
        <f>'RSI-Estt'!J26</f>
        <v>2107</v>
      </c>
      <c r="H188" s="1025">
        <f>ROUND(B188*G188,0)</f>
        <v>9482</v>
      </c>
      <c r="I188" s="1033"/>
      <c r="L188" s="1032">
        <f t="shared" si="35"/>
        <v>15</v>
      </c>
      <c r="M188" s="1032">
        <f t="shared" si="36"/>
        <v>15</v>
      </c>
      <c r="N188" s="1031">
        <f t="shared" si="34"/>
        <v>9482</v>
      </c>
    </row>
    <row r="189" spans="1:14" s="1003" customFormat="1" ht="87.75" hidden="1" customHeight="1">
      <c r="A189" s="1021">
        <f t="shared" ref="A189" si="41">L189</f>
        <v>0</v>
      </c>
      <c r="B189" s="1047">
        <f>'RSI-Estt'!I22</f>
        <v>0</v>
      </c>
      <c r="C189" s="517" t="s">
        <v>202</v>
      </c>
      <c r="D189" s="1026" t="str">
        <f>'RSI-Estt'!B19</f>
        <v>Providing and erecting a "W" metal beam crash barrier comprising of 3mm thick corrugated sheet metal beam rail 70 cm above road/ground level, fixed on ISMC  series chennel verical post 150x75x5mm spaced 2.00m cente-to-centre, 1.80m high, 1.10m below ground/road level, all steel parts and fitiings to be galvanized by hot dip process, all fittings to confirm to IS:1367 and IS: 1364, metal beam rail to be fixed on vertical post with a spacer of chennel section 150x75x5mm, 330mm longs complete as per clause 810, including cost and conveyance and all labour charges and including contractors profit &amp; Over head charges,  but excluding  GST etc,. Complete.</v>
      </c>
      <c r="E189" s="786"/>
      <c r="F189" s="519" t="s">
        <v>1812</v>
      </c>
      <c r="G189" s="1030">
        <f>'RSI-Estt'!J22</f>
        <v>3183</v>
      </c>
      <c r="H189" s="1025">
        <f>ROUND(B189*G189,0)</f>
        <v>0</v>
      </c>
      <c r="I189" s="1033"/>
      <c r="L189" s="1032">
        <f t="shared" ref="L189:L191" si="42">IF(M189=M188,0,M189)</f>
        <v>0</v>
      </c>
      <c r="M189" s="1032">
        <f t="shared" ref="M189:M191" si="43">IF(N189&gt;0,(M188+1),M188)</f>
        <v>15</v>
      </c>
      <c r="N189" s="1031">
        <f t="shared" ref="N189:N190" si="44">H189</f>
        <v>0</v>
      </c>
    </row>
    <row r="190" spans="1:14">
      <c r="A190" s="1021"/>
      <c r="B190" s="1022"/>
      <c r="C190" s="517"/>
      <c r="D190" s="499"/>
      <c r="E190" s="516"/>
      <c r="F190" s="519"/>
      <c r="G190" s="1030"/>
      <c r="H190" s="1025"/>
      <c r="I190" s="1034">
        <f>SUM(H180:H186)</f>
        <v>67152</v>
      </c>
      <c r="J190" s="1034">
        <f>'Road-furniture '!G18</f>
        <v>58374</v>
      </c>
      <c r="K190" s="1036">
        <f>I190-J190</f>
        <v>8778</v>
      </c>
      <c r="L190" s="1032">
        <f t="shared" si="42"/>
        <v>0</v>
      </c>
      <c r="M190" s="1032">
        <f t="shared" si="43"/>
        <v>15</v>
      </c>
      <c r="N190" s="1031">
        <f t="shared" si="44"/>
        <v>0</v>
      </c>
    </row>
    <row r="191" spans="1:14" s="1003" customFormat="1" ht="30" customHeight="1">
      <c r="A191" s="1021"/>
      <c r="B191" s="1043"/>
      <c r="C191" s="1048"/>
      <c r="D191" s="1013"/>
      <c r="E191" s="1044"/>
      <c r="F191" s="1014"/>
      <c r="G191" s="1049"/>
      <c r="H191" s="1050">
        <f>SUBTOTAL(9,H12:H188)</f>
        <v>7737566</v>
      </c>
      <c r="I191" s="1052">
        <f>I190+I48+I40+I32</f>
        <v>7426692</v>
      </c>
      <c r="J191" s="1053">
        <f>GA!E11</f>
        <v>7737566</v>
      </c>
      <c r="K191" s="1054">
        <f>I191-J191</f>
        <v>-310874</v>
      </c>
      <c r="L191" s="1032">
        <f t="shared" si="42"/>
        <v>16</v>
      </c>
      <c r="M191" s="1032">
        <f t="shared" si="43"/>
        <v>16</v>
      </c>
      <c r="N191" s="1031">
        <f t="shared" ref="N191:N194" si="45">H191</f>
        <v>7737566</v>
      </c>
    </row>
    <row r="192" spans="1:14" s="1003" customFormat="1">
      <c r="A192" s="497"/>
      <c r="B192" s="1043"/>
      <c r="C192" s="787"/>
      <c r="D192" s="1051" t="str">
        <f>"Total no. of items in the Schedule is "&amp;A188&amp;" only"</f>
        <v>Total no. of items in the Schedule is 0 only</v>
      </c>
      <c r="E192" s="1044"/>
      <c r="F192" s="1014"/>
      <c r="G192" s="1044"/>
      <c r="H192" s="1050">
        <f>H191</f>
        <v>7737566</v>
      </c>
      <c r="I192" s="1055" t="e">
        <f>+GA!E11+'Schedule-A'!#REF!</f>
        <v>#REF!</v>
      </c>
      <c r="J192" s="1056" t="e">
        <f>+H192-I192</f>
        <v>#REF!</v>
      </c>
      <c r="L192" s="1032" t="e">
        <f>IF(M192=#REF!,0,M192)</f>
        <v>#REF!</v>
      </c>
      <c r="M192" s="1032" t="e">
        <f>IF(N192&gt;0,(#REF!+1),#REF!)</f>
        <v>#REF!</v>
      </c>
      <c r="N192" s="1031">
        <f t="shared" si="45"/>
        <v>7737566</v>
      </c>
    </row>
    <row r="193" spans="4:14" ht="18.600000000000001" customHeight="1">
      <c r="D193" s="1057"/>
      <c r="E193" s="1058"/>
      <c r="F193" s="1058"/>
      <c r="G193" s="1059"/>
      <c r="L193" s="1032" t="e">
        <f>IF(M193=M192,0,M193)</f>
        <v>#REF!</v>
      </c>
      <c r="M193" s="1032" t="e">
        <f>IF(N193&gt;0,(M192+1),M192)</f>
        <v>#REF!</v>
      </c>
      <c r="N193" s="1031">
        <f t="shared" si="45"/>
        <v>0</v>
      </c>
    </row>
    <row r="194" spans="4:14">
      <c r="D194" s="1060"/>
      <c r="E194" s="3698" t="s">
        <v>1813</v>
      </c>
      <c r="F194" s="3698"/>
      <c r="G194" s="3698"/>
      <c r="L194" s="1032" t="e">
        <f>IF(M194=M193,0,M194)</f>
        <v>#REF!</v>
      </c>
      <c r="M194" s="1032" t="e">
        <f>IF(N194&gt;0,(M193+1),M193)</f>
        <v>#REF!</v>
      </c>
      <c r="N194" s="1031">
        <f t="shared" si="45"/>
        <v>0</v>
      </c>
    </row>
    <row r="195" spans="4:14">
      <c r="D195" s="1060"/>
      <c r="E195" s="1061"/>
      <c r="F195" s="1061"/>
      <c r="G195" s="1061"/>
    </row>
    <row r="196" spans="4:14">
      <c r="D196" s="1060"/>
      <c r="E196" s="3700"/>
      <c r="F196" s="3700"/>
      <c r="G196" s="3700"/>
    </row>
    <row r="197" spans="4:14">
      <c r="D197" s="1060"/>
      <c r="E197" s="3698" t="s">
        <v>1814</v>
      </c>
      <c r="F197" s="3698"/>
      <c r="G197" s="3698"/>
    </row>
    <row r="198" spans="4:14">
      <c r="D198" s="1060"/>
      <c r="E198" s="3698" t="s">
        <v>1815</v>
      </c>
      <c r="F198" s="3698"/>
      <c r="G198" s="3698"/>
    </row>
    <row r="199" spans="4:14">
      <c r="D199" s="1062"/>
    </row>
    <row r="200" spans="4:14">
      <c r="D200" s="1062"/>
    </row>
    <row r="201" spans="4:14">
      <c r="D201" s="1062"/>
    </row>
    <row r="202" spans="4:14">
      <c r="D202" s="1062"/>
    </row>
    <row r="203" spans="4:14">
      <c r="D203" s="1062"/>
    </row>
    <row r="204" spans="4:14">
      <c r="D204" s="1062"/>
    </row>
    <row r="205" spans="4:14">
      <c r="D205" s="1062"/>
    </row>
    <row r="206" spans="4:14">
      <c r="D206" s="1062"/>
    </row>
    <row r="207" spans="4:14">
      <c r="D207" s="1062"/>
    </row>
    <row r="208" spans="4:14">
      <c r="D208" s="1062"/>
    </row>
    <row r="209" spans="4:4">
      <c r="D209" s="1062"/>
    </row>
    <row r="210" spans="4:4">
      <c r="D210" s="1062"/>
    </row>
    <row r="211" spans="4:4">
      <c r="D211" s="1062"/>
    </row>
    <row r="212" spans="4:4">
      <c r="D212" s="1062"/>
    </row>
    <row r="213" spans="4:4">
      <c r="D213" s="1062"/>
    </row>
    <row r="214" spans="4:4">
      <c r="D214" s="1062"/>
    </row>
    <row r="215" spans="4:4">
      <c r="D215" s="1062"/>
    </row>
    <row r="216" spans="4:4">
      <c r="D216" s="1062"/>
    </row>
    <row r="217" spans="4:4">
      <c r="D217" s="1062"/>
    </row>
    <row r="218" spans="4:4">
      <c r="D218" s="1062"/>
    </row>
    <row r="219" spans="4:4">
      <c r="D219" s="1062"/>
    </row>
    <row r="220" spans="4:4">
      <c r="D220" s="1062"/>
    </row>
    <row r="221" spans="4:4">
      <c r="D221" s="1062"/>
    </row>
    <row r="222" spans="4:4">
      <c r="D222" s="1062"/>
    </row>
    <row r="223" spans="4:4">
      <c r="D223" s="1062"/>
    </row>
    <row r="224" spans="4:4">
      <c r="D224" s="1062"/>
    </row>
    <row r="225" spans="4:4">
      <c r="D225" s="1062"/>
    </row>
    <row r="226" spans="4:4">
      <c r="D226" s="1062"/>
    </row>
    <row r="227" spans="4:4">
      <c r="D227" s="1062"/>
    </row>
    <row r="228" spans="4:4">
      <c r="D228" s="1062"/>
    </row>
    <row r="229" spans="4:4">
      <c r="D229" s="1062"/>
    </row>
    <row r="230" spans="4:4">
      <c r="D230" s="1062"/>
    </row>
    <row r="231" spans="4:4">
      <c r="D231" s="1062"/>
    </row>
    <row r="232" spans="4:4">
      <c r="D232" s="1062"/>
    </row>
    <row r="233" spans="4:4">
      <c r="D233" s="1062"/>
    </row>
    <row r="234" spans="4:4">
      <c r="D234" s="1062"/>
    </row>
    <row r="235" spans="4:4">
      <c r="D235" s="1062"/>
    </row>
    <row r="236" spans="4:4">
      <c r="D236" s="1062"/>
    </row>
    <row r="237" spans="4:4">
      <c r="D237" s="1062"/>
    </row>
    <row r="238" spans="4:4">
      <c r="D238" s="1062"/>
    </row>
    <row r="239" spans="4:4">
      <c r="D239" s="1062"/>
    </row>
    <row r="240" spans="4:4">
      <c r="D240" s="1062"/>
    </row>
    <row r="241" spans="4:4">
      <c r="D241" s="1062"/>
    </row>
    <row r="242" spans="4:4">
      <c r="D242" s="1062"/>
    </row>
    <row r="243" spans="4:4">
      <c r="D243" s="1062"/>
    </row>
    <row r="244" spans="4:4">
      <c r="D244" s="1062"/>
    </row>
    <row r="245" spans="4:4">
      <c r="D245" s="1062"/>
    </row>
    <row r="246" spans="4:4">
      <c r="D246" s="1062"/>
    </row>
    <row r="247" spans="4:4">
      <c r="D247" s="1062"/>
    </row>
    <row r="248" spans="4:4">
      <c r="D248" s="1062"/>
    </row>
    <row r="249" spans="4:4">
      <c r="D249" s="1062"/>
    </row>
    <row r="250" spans="4:4">
      <c r="D250" s="1062"/>
    </row>
    <row r="251" spans="4:4">
      <c r="D251" s="1062"/>
    </row>
    <row r="252" spans="4:4">
      <c r="D252" s="1062"/>
    </row>
    <row r="253" spans="4:4">
      <c r="D253" s="1062"/>
    </row>
    <row r="254" spans="4:4">
      <c r="D254" s="1062"/>
    </row>
    <row r="255" spans="4:4">
      <c r="D255" s="1062"/>
    </row>
    <row r="256" spans="4:4">
      <c r="D256" s="1062"/>
    </row>
    <row r="257" spans="4:4">
      <c r="D257" s="1062"/>
    </row>
    <row r="258" spans="4:4">
      <c r="D258" s="1062"/>
    </row>
    <row r="259" spans="4:4">
      <c r="D259" s="1062"/>
    </row>
    <row r="260" spans="4:4">
      <c r="D260" s="1062"/>
    </row>
    <row r="261" spans="4:4">
      <c r="D261" s="1062"/>
    </row>
    <row r="262" spans="4:4">
      <c r="D262" s="1062"/>
    </row>
    <row r="263" spans="4:4">
      <c r="D263" s="1062"/>
    </row>
    <row r="264" spans="4:4">
      <c r="D264" s="1062"/>
    </row>
    <row r="265" spans="4:4">
      <c r="D265" s="1062"/>
    </row>
    <row r="266" spans="4:4">
      <c r="D266" s="1062"/>
    </row>
    <row r="267" spans="4:4">
      <c r="D267" s="1062"/>
    </row>
    <row r="268" spans="4:4">
      <c r="D268" s="1062"/>
    </row>
    <row r="269" spans="4:4">
      <c r="D269" s="1062"/>
    </row>
    <row r="270" spans="4:4">
      <c r="D270" s="1062"/>
    </row>
    <row r="271" spans="4:4">
      <c r="D271" s="1062"/>
    </row>
    <row r="272" spans="4:4">
      <c r="D272" s="1062"/>
    </row>
    <row r="273" spans="4:4">
      <c r="D273" s="1062"/>
    </row>
    <row r="274" spans="4:4">
      <c r="D274" s="1062"/>
    </row>
    <row r="275" spans="4:4">
      <c r="D275" s="1062"/>
    </row>
    <row r="276" spans="4:4">
      <c r="D276" s="1062"/>
    </row>
    <row r="277" spans="4:4">
      <c r="D277" s="1062"/>
    </row>
    <row r="278" spans="4:4">
      <c r="D278" s="1062"/>
    </row>
    <row r="279" spans="4:4">
      <c r="D279" s="1062"/>
    </row>
    <row r="280" spans="4:4">
      <c r="D280" s="1062"/>
    </row>
    <row r="281" spans="4:4">
      <c r="D281" s="1062"/>
    </row>
    <row r="282" spans="4:4">
      <c r="D282" s="1062"/>
    </row>
    <row r="283" spans="4:4">
      <c r="D283" s="1062"/>
    </row>
    <row r="284" spans="4:4">
      <c r="D284" s="1062"/>
    </row>
    <row r="285" spans="4:4">
      <c r="D285" s="1062"/>
    </row>
    <row r="286" spans="4:4">
      <c r="D286" s="1062"/>
    </row>
    <row r="287" spans="4:4">
      <c r="D287" s="1062"/>
    </row>
    <row r="288" spans="4:4">
      <c r="D288" s="1062"/>
    </row>
    <row r="289" spans="4:4">
      <c r="D289" s="1062"/>
    </row>
    <row r="290" spans="4:4">
      <c r="D290" s="1062"/>
    </row>
    <row r="291" spans="4:4">
      <c r="D291" s="1062"/>
    </row>
    <row r="292" spans="4:4">
      <c r="D292" s="1062"/>
    </row>
    <row r="293" spans="4:4">
      <c r="D293" s="1062"/>
    </row>
    <row r="294" spans="4:4">
      <c r="D294" s="1062"/>
    </row>
    <row r="295" spans="4:4">
      <c r="D295" s="1062"/>
    </row>
    <row r="296" spans="4:4">
      <c r="D296" s="1062"/>
    </row>
    <row r="297" spans="4:4">
      <c r="D297" s="1062"/>
    </row>
    <row r="298" spans="4:4">
      <c r="D298" s="1062"/>
    </row>
    <row r="299" spans="4:4">
      <c r="D299" s="1062"/>
    </row>
    <row r="300" spans="4:4">
      <c r="D300" s="1062"/>
    </row>
    <row r="301" spans="4:4">
      <c r="D301" s="1062"/>
    </row>
    <row r="302" spans="4:4">
      <c r="D302" s="1062"/>
    </row>
    <row r="303" spans="4:4">
      <c r="D303" s="1062"/>
    </row>
    <row r="304" spans="4:4">
      <c r="D304" s="1062"/>
    </row>
    <row r="305" spans="4:4">
      <c r="D305" s="1062"/>
    </row>
    <row r="306" spans="4:4">
      <c r="D306" s="1062"/>
    </row>
    <row r="307" spans="4:4">
      <c r="D307" s="1062"/>
    </row>
    <row r="308" spans="4:4">
      <c r="D308" s="1062"/>
    </row>
    <row r="309" spans="4:4">
      <c r="D309" s="1062"/>
    </row>
    <row r="310" spans="4:4">
      <c r="D310" s="1062"/>
    </row>
    <row r="311" spans="4:4">
      <c r="D311" s="1062"/>
    </row>
    <row r="312" spans="4:4">
      <c r="D312" s="1062"/>
    </row>
    <row r="313" spans="4:4">
      <c r="D313" s="1062"/>
    </row>
    <row r="314" spans="4:4">
      <c r="D314" s="1062"/>
    </row>
    <row r="315" spans="4:4">
      <c r="D315" s="1062"/>
    </row>
    <row r="316" spans="4:4">
      <c r="D316" s="1062"/>
    </row>
    <row r="317" spans="4:4">
      <c r="D317" s="1062"/>
    </row>
    <row r="318" spans="4:4">
      <c r="D318" s="1062"/>
    </row>
    <row r="319" spans="4:4">
      <c r="D319" s="1062"/>
    </row>
    <row r="320" spans="4:4">
      <c r="D320" s="1062"/>
    </row>
    <row r="321" spans="4:4">
      <c r="D321" s="1062"/>
    </row>
    <row r="322" spans="4:4">
      <c r="D322" s="1062"/>
    </row>
    <row r="323" spans="4:4">
      <c r="D323" s="1062"/>
    </row>
    <row r="324" spans="4:4">
      <c r="D324" s="1062"/>
    </row>
    <row r="325" spans="4:4">
      <c r="D325" s="1062"/>
    </row>
    <row r="326" spans="4:4">
      <c r="D326" s="1062"/>
    </row>
    <row r="327" spans="4:4">
      <c r="D327" s="1062"/>
    </row>
    <row r="328" spans="4:4">
      <c r="D328" s="1062"/>
    </row>
    <row r="329" spans="4:4">
      <c r="D329" s="1062"/>
    </row>
    <row r="330" spans="4:4">
      <c r="D330" s="1062"/>
    </row>
    <row r="331" spans="4:4">
      <c r="D331" s="1062"/>
    </row>
    <row r="332" spans="4:4">
      <c r="D332" s="1062"/>
    </row>
    <row r="333" spans="4:4">
      <c r="D333" s="1062"/>
    </row>
    <row r="334" spans="4:4">
      <c r="D334" s="1062"/>
    </row>
    <row r="335" spans="4:4">
      <c r="D335" s="1062"/>
    </row>
    <row r="336" spans="4:4">
      <c r="D336" s="1062"/>
    </row>
    <row r="337" spans="4:4">
      <c r="D337" s="1062"/>
    </row>
    <row r="338" spans="4:4">
      <c r="D338" s="1062"/>
    </row>
    <row r="339" spans="4:4">
      <c r="D339" s="1062"/>
    </row>
    <row r="340" spans="4:4">
      <c r="D340" s="1062"/>
    </row>
    <row r="341" spans="4:4">
      <c r="D341" s="1062"/>
    </row>
    <row r="342" spans="4:4">
      <c r="D342" s="1062"/>
    </row>
    <row r="343" spans="4:4">
      <c r="D343" s="1062"/>
    </row>
    <row r="344" spans="4:4">
      <c r="D344" s="1062"/>
    </row>
    <row r="345" spans="4:4">
      <c r="D345" s="1062"/>
    </row>
    <row r="346" spans="4:4">
      <c r="D346" s="1062"/>
    </row>
    <row r="347" spans="4:4">
      <c r="D347" s="1062"/>
    </row>
    <row r="348" spans="4:4">
      <c r="D348" s="1062"/>
    </row>
    <row r="349" spans="4:4">
      <c r="D349" s="1062"/>
    </row>
    <row r="350" spans="4:4">
      <c r="D350" s="1062"/>
    </row>
    <row r="351" spans="4:4">
      <c r="D351" s="1062"/>
    </row>
    <row r="352" spans="4:4">
      <c r="D352" s="1062"/>
    </row>
    <row r="353" spans="4:4">
      <c r="D353" s="1062"/>
    </row>
    <row r="354" spans="4:4">
      <c r="D354" s="1062"/>
    </row>
    <row r="355" spans="4:4">
      <c r="D355" s="1062"/>
    </row>
    <row r="356" spans="4:4">
      <c r="D356" s="1062"/>
    </row>
    <row r="357" spans="4:4">
      <c r="D357" s="1062"/>
    </row>
    <row r="358" spans="4:4">
      <c r="D358" s="1062"/>
    </row>
    <row r="359" spans="4:4">
      <c r="D359" s="1062"/>
    </row>
    <row r="360" spans="4:4">
      <c r="D360" s="1062"/>
    </row>
    <row r="361" spans="4:4">
      <c r="D361" s="1062"/>
    </row>
    <row r="362" spans="4:4">
      <c r="D362" s="1062"/>
    </row>
    <row r="363" spans="4:4">
      <c r="D363" s="1062"/>
    </row>
    <row r="364" spans="4:4">
      <c r="D364" s="1062"/>
    </row>
    <row r="365" spans="4:4">
      <c r="D365" s="1062"/>
    </row>
    <row r="366" spans="4:4">
      <c r="D366" s="1062"/>
    </row>
    <row r="367" spans="4:4">
      <c r="D367" s="1062"/>
    </row>
    <row r="368" spans="4:4">
      <c r="D368" s="1062"/>
    </row>
    <row r="369" spans="4:4">
      <c r="D369" s="1062"/>
    </row>
    <row r="370" spans="4:4">
      <c r="D370" s="1062"/>
    </row>
    <row r="371" spans="4:4">
      <c r="D371" s="1062"/>
    </row>
    <row r="372" spans="4:4">
      <c r="D372" s="1062"/>
    </row>
    <row r="373" spans="4:4">
      <c r="D373" s="1062"/>
    </row>
    <row r="374" spans="4:4">
      <c r="D374" s="1062"/>
    </row>
    <row r="375" spans="4:4">
      <c r="D375" s="1062"/>
    </row>
    <row r="376" spans="4:4">
      <c r="D376" s="1062"/>
    </row>
    <row r="377" spans="4:4">
      <c r="D377" s="1062"/>
    </row>
    <row r="378" spans="4:4">
      <c r="D378" s="1062"/>
    </row>
    <row r="379" spans="4:4">
      <c r="D379" s="1062"/>
    </row>
    <row r="380" spans="4:4">
      <c r="D380" s="1062"/>
    </row>
    <row r="381" spans="4:4">
      <c r="D381" s="1062"/>
    </row>
    <row r="382" spans="4:4">
      <c r="D382" s="1062"/>
    </row>
    <row r="383" spans="4:4">
      <c r="D383" s="1062"/>
    </row>
    <row r="384" spans="4:4">
      <c r="D384" s="1062"/>
    </row>
    <row r="385" spans="4:4">
      <c r="D385" s="1062"/>
    </row>
    <row r="386" spans="4:4">
      <c r="D386" s="1062"/>
    </row>
    <row r="387" spans="4:4">
      <c r="D387" s="1062"/>
    </row>
    <row r="388" spans="4:4">
      <c r="D388" s="1062"/>
    </row>
    <row r="389" spans="4:4">
      <c r="D389" s="1062"/>
    </row>
    <row r="390" spans="4:4">
      <c r="D390" s="1062"/>
    </row>
    <row r="391" spans="4:4">
      <c r="D391" s="1062"/>
    </row>
    <row r="392" spans="4:4">
      <c r="D392" s="1062"/>
    </row>
    <row r="393" spans="4:4">
      <c r="D393" s="1062"/>
    </row>
    <row r="394" spans="4:4">
      <c r="D394" s="1062"/>
    </row>
    <row r="395" spans="4:4">
      <c r="D395" s="1062"/>
    </row>
    <row r="396" spans="4:4">
      <c r="D396" s="1062"/>
    </row>
    <row r="397" spans="4:4">
      <c r="D397" s="1062"/>
    </row>
    <row r="398" spans="4:4">
      <c r="D398" s="1062"/>
    </row>
    <row r="399" spans="4:4">
      <c r="D399" s="1062"/>
    </row>
    <row r="400" spans="4:4">
      <c r="D400" s="1062"/>
    </row>
    <row r="401" spans="4:4">
      <c r="D401" s="1062"/>
    </row>
    <row r="402" spans="4:4">
      <c r="D402" s="1062"/>
    </row>
    <row r="403" spans="4:4">
      <c r="D403" s="1062"/>
    </row>
    <row r="404" spans="4:4">
      <c r="D404" s="1062"/>
    </row>
    <row r="405" spans="4:4">
      <c r="D405" s="1062"/>
    </row>
    <row r="406" spans="4:4">
      <c r="D406" s="1062"/>
    </row>
    <row r="407" spans="4:4">
      <c r="D407" s="1062"/>
    </row>
    <row r="408" spans="4:4">
      <c r="D408" s="1062"/>
    </row>
    <row r="409" spans="4:4">
      <c r="D409" s="1062"/>
    </row>
    <row r="410" spans="4:4">
      <c r="D410" s="1062"/>
    </row>
    <row r="411" spans="4:4">
      <c r="D411" s="1062"/>
    </row>
    <row r="412" spans="4:4">
      <c r="D412" s="1062"/>
    </row>
    <row r="413" spans="4:4">
      <c r="D413" s="1062"/>
    </row>
    <row r="414" spans="4:4">
      <c r="D414" s="1062"/>
    </row>
    <row r="415" spans="4:4">
      <c r="D415" s="1062"/>
    </row>
    <row r="416" spans="4:4">
      <c r="D416" s="1062"/>
    </row>
    <row r="417" spans="4:4">
      <c r="D417" s="1062"/>
    </row>
    <row r="418" spans="4:4">
      <c r="D418" s="1062"/>
    </row>
    <row r="419" spans="4:4">
      <c r="D419" s="1062"/>
    </row>
    <row r="420" spans="4:4">
      <c r="D420" s="1062"/>
    </row>
    <row r="421" spans="4:4">
      <c r="D421" s="1062"/>
    </row>
    <row r="422" spans="4:4">
      <c r="D422" s="1062"/>
    </row>
    <row r="423" spans="4:4">
      <c r="D423" s="1062"/>
    </row>
    <row r="424" spans="4:4">
      <c r="D424" s="1062"/>
    </row>
    <row r="425" spans="4:4">
      <c r="D425" s="1062"/>
    </row>
    <row r="426" spans="4:4">
      <c r="D426" s="1062"/>
    </row>
    <row r="427" spans="4:4">
      <c r="D427" s="1062"/>
    </row>
    <row r="428" spans="4:4">
      <c r="D428" s="1062"/>
    </row>
    <row r="429" spans="4:4">
      <c r="D429" s="1062"/>
    </row>
    <row r="430" spans="4:4">
      <c r="D430" s="1062"/>
    </row>
    <row r="431" spans="4:4">
      <c r="D431" s="1062"/>
    </row>
    <row r="432" spans="4:4">
      <c r="D432" s="1062"/>
    </row>
    <row r="433" spans="4:4">
      <c r="D433" s="1062"/>
    </row>
    <row r="434" spans="4:4">
      <c r="D434" s="1062"/>
    </row>
    <row r="435" spans="4:4">
      <c r="D435" s="1062"/>
    </row>
    <row r="436" spans="4:4">
      <c r="D436" s="1062"/>
    </row>
    <row r="437" spans="4:4">
      <c r="D437" s="1062"/>
    </row>
    <row r="438" spans="4:4">
      <c r="D438" s="1062"/>
    </row>
    <row r="439" spans="4:4">
      <c r="D439" s="1062"/>
    </row>
    <row r="440" spans="4:4">
      <c r="D440" s="1062"/>
    </row>
    <row r="441" spans="4:4">
      <c r="D441" s="1062"/>
    </row>
    <row r="442" spans="4:4">
      <c r="D442" s="1062"/>
    </row>
    <row r="443" spans="4:4">
      <c r="D443" s="1062"/>
    </row>
    <row r="444" spans="4:4">
      <c r="D444" s="1062"/>
    </row>
    <row r="445" spans="4:4">
      <c r="D445" s="1062"/>
    </row>
    <row r="446" spans="4:4">
      <c r="D446" s="1062"/>
    </row>
    <row r="447" spans="4:4">
      <c r="D447" s="1062"/>
    </row>
    <row r="448" spans="4:4">
      <c r="D448" s="1062"/>
    </row>
    <row r="449" spans="4:4">
      <c r="D449" s="1062"/>
    </row>
    <row r="450" spans="4:4">
      <c r="D450" s="1062"/>
    </row>
    <row r="451" spans="4:4">
      <c r="D451" s="1062"/>
    </row>
    <row r="452" spans="4:4">
      <c r="D452" s="1062"/>
    </row>
    <row r="453" spans="4:4">
      <c r="D453" s="1062"/>
    </row>
    <row r="454" spans="4:4">
      <c r="D454" s="1062"/>
    </row>
    <row r="455" spans="4:4">
      <c r="D455" s="1062"/>
    </row>
    <row r="456" spans="4:4">
      <c r="D456" s="1062"/>
    </row>
    <row r="457" spans="4:4">
      <c r="D457" s="1062"/>
    </row>
    <row r="458" spans="4:4">
      <c r="D458" s="1062"/>
    </row>
    <row r="459" spans="4:4">
      <c r="D459" s="1062"/>
    </row>
    <row r="460" spans="4:4">
      <c r="D460" s="1062"/>
    </row>
    <row r="461" spans="4:4">
      <c r="D461" s="1062"/>
    </row>
    <row r="462" spans="4:4">
      <c r="D462" s="1062"/>
    </row>
    <row r="463" spans="4:4">
      <c r="D463" s="1062"/>
    </row>
    <row r="464" spans="4:4">
      <c r="D464" s="1062"/>
    </row>
    <row r="465" spans="4:4">
      <c r="D465" s="1062"/>
    </row>
    <row r="466" spans="4:4">
      <c r="D466" s="1062"/>
    </row>
    <row r="467" spans="4:4">
      <c r="D467" s="1062"/>
    </row>
    <row r="468" spans="4:4">
      <c r="D468" s="1062"/>
    </row>
    <row r="469" spans="4:4">
      <c r="D469" s="1062"/>
    </row>
    <row r="470" spans="4:4">
      <c r="D470" s="1062"/>
    </row>
    <row r="471" spans="4:4">
      <c r="D471" s="1062"/>
    </row>
    <row r="472" spans="4:4">
      <c r="D472" s="1062"/>
    </row>
    <row r="473" spans="4:4">
      <c r="D473" s="1062"/>
    </row>
    <row r="474" spans="4:4">
      <c r="D474" s="1062"/>
    </row>
    <row r="475" spans="4:4">
      <c r="D475" s="1062"/>
    </row>
    <row r="476" spans="4:4">
      <c r="D476" s="1062"/>
    </row>
    <row r="477" spans="4:4">
      <c r="D477" s="1062"/>
    </row>
    <row r="478" spans="4:4">
      <c r="D478" s="1062"/>
    </row>
    <row r="479" spans="4:4">
      <c r="D479" s="1062"/>
    </row>
    <row r="480" spans="4:4">
      <c r="D480" s="1062"/>
    </row>
    <row r="481" spans="4:4">
      <c r="D481" s="1062"/>
    </row>
    <row r="482" spans="4:4">
      <c r="D482" s="1062"/>
    </row>
    <row r="483" spans="4:4">
      <c r="D483" s="1062"/>
    </row>
    <row r="484" spans="4:4">
      <c r="D484" s="1062"/>
    </row>
    <row r="485" spans="4:4">
      <c r="D485" s="1062"/>
    </row>
    <row r="486" spans="4:4">
      <c r="D486" s="1062"/>
    </row>
    <row r="487" spans="4:4">
      <c r="D487" s="1062"/>
    </row>
    <row r="488" spans="4:4">
      <c r="D488" s="1062"/>
    </row>
    <row r="489" spans="4:4">
      <c r="D489" s="1062"/>
    </row>
    <row r="490" spans="4:4">
      <c r="D490" s="1062"/>
    </row>
    <row r="491" spans="4:4">
      <c r="D491" s="1062"/>
    </row>
    <row r="492" spans="4:4">
      <c r="D492" s="1062"/>
    </row>
    <row r="493" spans="4:4">
      <c r="D493" s="1062"/>
    </row>
    <row r="494" spans="4:4">
      <c r="D494" s="1062"/>
    </row>
    <row r="495" spans="4:4">
      <c r="D495" s="1062"/>
    </row>
    <row r="496" spans="4:4">
      <c r="D496" s="1062"/>
    </row>
    <row r="497" spans="4:4">
      <c r="D497" s="1062"/>
    </row>
    <row r="498" spans="4:4">
      <c r="D498" s="1062"/>
    </row>
    <row r="499" spans="4:4">
      <c r="D499" s="1062"/>
    </row>
    <row r="500" spans="4:4">
      <c r="D500" s="1062"/>
    </row>
    <row r="501" spans="4:4">
      <c r="D501" s="1062"/>
    </row>
    <row r="502" spans="4:4">
      <c r="D502" s="1062"/>
    </row>
    <row r="503" spans="4:4">
      <c r="D503" s="1062"/>
    </row>
    <row r="504" spans="4:4">
      <c r="D504" s="1062"/>
    </row>
    <row r="505" spans="4:4">
      <c r="D505" s="1062"/>
    </row>
    <row r="506" spans="4:4">
      <c r="D506" s="1062"/>
    </row>
    <row r="507" spans="4:4">
      <c r="D507" s="1062"/>
    </row>
    <row r="508" spans="4:4">
      <c r="D508" s="1062"/>
    </row>
    <row r="509" spans="4:4">
      <c r="D509" s="1062"/>
    </row>
    <row r="510" spans="4:4">
      <c r="D510" s="1062"/>
    </row>
    <row r="511" spans="4:4">
      <c r="D511" s="1062"/>
    </row>
    <row r="512" spans="4:4">
      <c r="D512" s="1062"/>
    </row>
    <row r="513" spans="4:4">
      <c r="D513" s="1062"/>
    </row>
    <row r="514" spans="4:4">
      <c r="D514" s="1062"/>
    </row>
    <row r="515" spans="4:4">
      <c r="D515" s="1062"/>
    </row>
    <row r="516" spans="4:4">
      <c r="D516" s="1062"/>
    </row>
    <row r="517" spans="4:4">
      <c r="D517" s="1062"/>
    </row>
    <row r="518" spans="4:4">
      <c r="D518" s="1062"/>
    </row>
    <row r="519" spans="4:4">
      <c r="D519" s="1062"/>
    </row>
    <row r="520" spans="4:4">
      <c r="D520" s="1062"/>
    </row>
    <row r="521" spans="4:4">
      <c r="D521" s="1062"/>
    </row>
    <row r="522" spans="4:4">
      <c r="D522" s="1062"/>
    </row>
    <row r="523" spans="4:4">
      <c r="D523" s="1062"/>
    </row>
    <row r="524" spans="4:4">
      <c r="D524" s="1062"/>
    </row>
    <row r="525" spans="4:4">
      <c r="D525" s="1062"/>
    </row>
    <row r="526" spans="4:4">
      <c r="D526" s="1062"/>
    </row>
    <row r="527" spans="4:4">
      <c r="D527" s="1062"/>
    </row>
    <row r="528" spans="4:4">
      <c r="D528" s="1062"/>
    </row>
    <row r="529" spans="4:4">
      <c r="D529" s="1062"/>
    </row>
    <row r="530" spans="4:4">
      <c r="D530" s="1062"/>
    </row>
    <row r="531" spans="4:4">
      <c r="D531" s="1062"/>
    </row>
    <row r="532" spans="4:4">
      <c r="D532" s="1062"/>
    </row>
    <row r="533" spans="4:4">
      <c r="D533" s="1062"/>
    </row>
    <row r="534" spans="4:4">
      <c r="D534" s="1062"/>
    </row>
    <row r="535" spans="4:4">
      <c r="D535" s="1062"/>
    </row>
    <row r="536" spans="4:4">
      <c r="D536" s="1062"/>
    </row>
    <row r="537" spans="4:4">
      <c r="D537" s="1062"/>
    </row>
    <row r="538" spans="4:4">
      <c r="D538" s="1062"/>
    </row>
    <row r="539" spans="4:4">
      <c r="D539" s="1062"/>
    </row>
    <row r="540" spans="4:4">
      <c r="D540" s="1062"/>
    </row>
    <row r="541" spans="4:4">
      <c r="D541" s="1062"/>
    </row>
    <row r="542" spans="4:4">
      <c r="D542" s="1062"/>
    </row>
    <row r="543" spans="4:4">
      <c r="D543" s="1062"/>
    </row>
    <row r="544" spans="4:4">
      <c r="D544" s="1062"/>
    </row>
    <row r="545" spans="4:4">
      <c r="D545" s="1062"/>
    </row>
    <row r="546" spans="4:4">
      <c r="D546" s="1062"/>
    </row>
    <row r="547" spans="4:4">
      <c r="D547" s="1062"/>
    </row>
    <row r="548" spans="4:4">
      <c r="D548" s="1062"/>
    </row>
    <row r="549" spans="4:4">
      <c r="D549" s="1062"/>
    </row>
    <row r="550" spans="4:4">
      <c r="D550" s="1062"/>
    </row>
    <row r="551" spans="4:4">
      <c r="D551" s="1062"/>
    </row>
    <row r="552" spans="4:4">
      <c r="D552" s="1062"/>
    </row>
    <row r="553" spans="4:4">
      <c r="D553" s="1062"/>
    </row>
    <row r="554" spans="4:4">
      <c r="D554" s="1062"/>
    </row>
    <row r="555" spans="4:4">
      <c r="D555" s="1062"/>
    </row>
    <row r="556" spans="4:4">
      <c r="D556" s="1062"/>
    </row>
    <row r="557" spans="4:4">
      <c r="D557" s="1062"/>
    </row>
    <row r="558" spans="4:4">
      <c r="D558" s="1062"/>
    </row>
    <row r="559" spans="4:4">
      <c r="D559" s="1062"/>
    </row>
    <row r="560" spans="4:4">
      <c r="D560" s="1062"/>
    </row>
    <row r="561" spans="4:4">
      <c r="D561" s="1062"/>
    </row>
    <row r="562" spans="4:4">
      <c r="D562" s="1062"/>
    </row>
    <row r="563" spans="4:4">
      <c r="D563" s="1062"/>
    </row>
    <row r="564" spans="4:4">
      <c r="D564" s="1062"/>
    </row>
    <row r="565" spans="4:4">
      <c r="D565" s="1062"/>
    </row>
    <row r="566" spans="4:4">
      <c r="D566" s="1062"/>
    </row>
    <row r="567" spans="4:4">
      <c r="D567" s="1062"/>
    </row>
    <row r="568" spans="4:4">
      <c r="D568" s="1062"/>
    </row>
    <row r="569" spans="4:4">
      <c r="D569" s="1062"/>
    </row>
    <row r="570" spans="4:4">
      <c r="D570" s="1062"/>
    </row>
    <row r="571" spans="4:4">
      <c r="D571" s="1062"/>
    </row>
    <row r="572" spans="4:4">
      <c r="D572" s="1062"/>
    </row>
    <row r="573" spans="4:4">
      <c r="D573" s="1062"/>
    </row>
    <row r="574" spans="4:4">
      <c r="D574" s="1062"/>
    </row>
    <row r="575" spans="4:4">
      <c r="D575" s="1062"/>
    </row>
    <row r="576" spans="4:4">
      <c r="D576" s="1062"/>
    </row>
    <row r="577" spans="4:4">
      <c r="D577" s="1062"/>
    </row>
    <row r="578" spans="4:4">
      <c r="D578" s="1062"/>
    </row>
    <row r="579" spans="4:4">
      <c r="D579" s="1062"/>
    </row>
    <row r="580" spans="4:4">
      <c r="D580" s="1062"/>
    </row>
    <row r="581" spans="4:4">
      <c r="D581" s="1062"/>
    </row>
    <row r="582" spans="4:4">
      <c r="D582" s="1062"/>
    </row>
    <row r="583" spans="4:4">
      <c r="D583" s="1062"/>
    </row>
    <row r="584" spans="4:4">
      <c r="D584" s="1062"/>
    </row>
    <row r="585" spans="4:4">
      <c r="D585" s="1062"/>
    </row>
    <row r="586" spans="4:4">
      <c r="D586" s="1062"/>
    </row>
    <row r="587" spans="4:4">
      <c r="D587" s="1062"/>
    </row>
    <row r="588" spans="4:4">
      <c r="D588" s="1062"/>
    </row>
    <row r="589" spans="4:4">
      <c r="D589" s="1062"/>
    </row>
    <row r="590" spans="4:4">
      <c r="D590" s="1062"/>
    </row>
    <row r="591" spans="4:4">
      <c r="D591" s="1062"/>
    </row>
    <row r="592" spans="4:4">
      <c r="D592" s="1062"/>
    </row>
    <row r="593" spans="4:4">
      <c r="D593" s="1062"/>
    </row>
    <row r="594" spans="4:4">
      <c r="D594" s="1062"/>
    </row>
    <row r="595" spans="4:4">
      <c r="D595" s="1062"/>
    </row>
    <row r="596" spans="4:4">
      <c r="D596" s="1062"/>
    </row>
    <row r="597" spans="4:4">
      <c r="D597" s="1062"/>
    </row>
    <row r="598" spans="4:4">
      <c r="D598" s="1062"/>
    </row>
    <row r="599" spans="4:4">
      <c r="D599" s="1062"/>
    </row>
    <row r="600" spans="4:4">
      <c r="D600" s="1062"/>
    </row>
    <row r="601" spans="4:4">
      <c r="D601" s="1062"/>
    </row>
    <row r="602" spans="4:4">
      <c r="D602" s="1062"/>
    </row>
    <row r="603" spans="4:4">
      <c r="D603" s="1062"/>
    </row>
    <row r="604" spans="4:4">
      <c r="D604" s="1062"/>
    </row>
    <row r="605" spans="4:4">
      <c r="D605" s="1062"/>
    </row>
    <row r="606" spans="4:4">
      <c r="D606" s="1062"/>
    </row>
    <row r="607" spans="4:4">
      <c r="D607" s="1062"/>
    </row>
    <row r="608" spans="4:4">
      <c r="D608" s="1062"/>
    </row>
    <row r="609" spans="4:4">
      <c r="D609" s="1062"/>
    </row>
    <row r="610" spans="4:4">
      <c r="D610" s="1062"/>
    </row>
    <row r="611" spans="4:4">
      <c r="D611" s="1062"/>
    </row>
    <row r="612" spans="4:4">
      <c r="D612" s="1062"/>
    </row>
    <row r="613" spans="4:4">
      <c r="D613" s="1062"/>
    </row>
  </sheetData>
  <autoFilter ref="A10:P194"/>
  <mergeCells count="12">
    <mergeCell ref="E197:G197"/>
    <mergeCell ref="E198:G198"/>
    <mergeCell ref="B6:H6"/>
    <mergeCell ref="B7:H7"/>
    <mergeCell ref="B8:H8"/>
    <mergeCell ref="E194:G194"/>
    <mergeCell ref="E196:G196"/>
    <mergeCell ref="A1:H1"/>
    <mergeCell ref="A2:H2"/>
    <mergeCell ref="D3:H3"/>
    <mergeCell ref="F4:G4"/>
    <mergeCell ref="B5:H5"/>
  </mergeCells>
  <conditionalFormatting sqref="L12:L194 A12:A191">
    <cfRule type="cellIs" dxfId="17" priority="3" stopIfTrue="1" operator="lessThan">
      <formula>1</formula>
    </cfRule>
  </conditionalFormatting>
  <conditionalFormatting sqref="H12:H192">
    <cfRule type="cellIs" dxfId="16" priority="4" operator="lessThanOrEqual">
      <formula>0</formula>
    </cfRule>
  </conditionalFormatting>
  <pageMargins left="0.70866141732283505" right="0.70866141732283505" top="0.643700787" bottom="0.55118110236220497" header="0.31496062992126" footer="0.31496062992126"/>
  <pageSetup paperSize="9" scale="94" orientation="landscape" r:id="rId1"/>
  <headerFooter>
    <oddHeader>&amp;CPage &amp;P of &amp;N</oddHead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9" tint="-0.249977111117893"/>
  </sheetPr>
  <dimension ref="A1:J29"/>
  <sheetViews>
    <sheetView view="pageBreakPreview" zoomScale="115" workbookViewId="0">
      <selection activeCell="E11" sqref="E11"/>
    </sheetView>
  </sheetViews>
  <sheetFormatPr defaultColWidth="9.109375" defaultRowHeight="13.8"/>
  <cols>
    <col min="1" max="1" width="5.44140625" style="976" customWidth="1"/>
    <col min="2" max="2" width="39.44140625" style="976" customWidth="1"/>
    <col min="3" max="3" width="20.6640625" style="976" customWidth="1"/>
    <col min="4" max="5" width="16" style="976" customWidth="1"/>
    <col min="6" max="6" width="9.44140625" style="976" customWidth="1"/>
    <col min="7" max="16384" width="9.109375" style="976"/>
  </cols>
  <sheetData>
    <row r="1" spans="1:10" ht="15" customHeight="1">
      <c r="A1" s="3701" t="s">
        <v>1816</v>
      </c>
      <c r="B1" s="3701"/>
      <c r="C1" s="3701"/>
      <c r="D1" s="3701"/>
      <c r="E1" s="3701"/>
      <c r="F1" s="3701"/>
      <c r="G1" s="3701"/>
      <c r="H1" s="978"/>
      <c r="I1" s="978"/>
      <c r="J1" s="999"/>
    </row>
    <row r="2" spans="1:10" s="973" customFormat="1" ht="15" customHeight="1">
      <c r="A2" s="3702" t="s">
        <v>1817</v>
      </c>
      <c r="B2" s="3702"/>
      <c r="C2" s="3702"/>
      <c r="D2" s="3702"/>
      <c r="E2" s="3702"/>
      <c r="F2" s="3702"/>
      <c r="G2" s="3702"/>
      <c r="H2" s="980"/>
      <c r="I2" s="980"/>
      <c r="J2" s="1000"/>
    </row>
    <row r="3" spans="1:10" s="973" customFormat="1" ht="15" customHeight="1">
      <c r="A3" s="979"/>
      <c r="B3" s="979"/>
      <c r="C3" s="979"/>
      <c r="D3" s="979"/>
      <c r="E3" s="979"/>
      <c r="F3" s="979"/>
      <c r="G3" s="979"/>
      <c r="H3" s="979"/>
      <c r="I3" s="979"/>
      <c r="J3" s="1000"/>
    </row>
    <row r="4" spans="1:10" s="973" customFormat="1" ht="30" customHeight="1">
      <c r="A4" s="3702" t="str">
        <f>'Schedule-A'!D3</f>
        <v xml:space="preserve">BT Renewal from Balabadraipally to Danamma Thanda of Gundumal Mandal in Narayanpet District </v>
      </c>
      <c r="B4" s="3702"/>
      <c r="C4" s="3702"/>
      <c r="D4" s="3702"/>
      <c r="E4" s="3702"/>
      <c r="F4" s="3702"/>
      <c r="G4" s="3702"/>
      <c r="H4" s="980"/>
      <c r="I4" s="980"/>
      <c r="J4" s="1001"/>
    </row>
    <row r="5" spans="1:10" s="974" customFormat="1" ht="18.75" customHeight="1">
      <c r="A5" s="981">
        <v>1</v>
      </c>
      <c r="B5" s="3703" t="s">
        <v>661</v>
      </c>
      <c r="C5" s="3703"/>
      <c r="D5" s="982"/>
      <c r="E5" s="983">
        <f>GA!E13</f>
        <v>7738</v>
      </c>
      <c r="F5" s="984"/>
      <c r="G5" s="984"/>
      <c r="H5" s="984"/>
      <c r="I5" s="984"/>
    </row>
    <row r="6" spans="1:10" s="974" customFormat="1" ht="18.75" customHeight="1">
      <c r="A6" s="981">
        <v>2</v>
      </c>
      <c r="B6" s="3703" t="s">
        <v>1818</v>
      </c>
      <c r="C6" s="3703"/>
      <c r="D6" s="985"/>
      <c r="E6" s="983">
        <f>GA!E14</f>
        <v>170348</v>
      </c>
      <c r="F6" s="984"/>
      <c r="G6" s="984"/>
      <c r="H6" s="984"/>
      <c r="I6" s="984"/>
    </row>
    <row r="7" spans="1:10" s="974" customFormat="1" ht="18.75" customHeight="1">
      <c r="A7" s="981">
        <v>3</v>
      </c>
      <c r="B7" s="3703" t="s">
        <v>1819</v>
      </c>
      <c r="C7" s="3703"/>
      <c r="D7" s="985"/>
      <c r="E7" s="983">
        <f>GA!E15</f>
        <v>51104</v>
      </c>
      <c r="F7" s="984"/>
      <c r="G7" s="984"/>
      <c r="H7" s="984"/>
      <c r="I7" s="984"/>
    </row>
    <row r="8" spans="1:10" s="974" customFormat="1" ht="18.75" customHeight="1">
      <c r="A8" s="981">
        <v>4</v>
      </c>
      <c r="B8" s="3703" t="s">
        <v>1820</v>
      </c>
      <c r="C8" s="3703"/>
      <c r="D8" s="985"/>
      <c r="E8" s="983">
        <f>GA!E16</f>
        <v>3407</v>
      </c>
      <c r="F8" s="984"/>
      <c r="G8" s="984"/>
      <c r="H8" s="984"/>
      <c r="I8" s="984"/>
    </row>
    <row r="9" spans="1:10" s="974" customFormat="1" ht="18.75" customHeight="1">
      <c r="A9" s="981">
        <v>5</v>
      </c>
      <c r="B9" s="3703" t="s">
        <v>1821</v>
      </c>
      <c r="C9" s="3703"/>
      <c r="D9" s="985"/>
      <c r="E9" s="983">
        <f>GA!E19</f>
        <v>1466123</v>
      </c>
      <c r="F9" s="984"/>
      <c r="G9" s="984"/>
      <c r="H9" s="984"/>
      <c r="I9" s="984"/>
    </row>
    <row r="10" spans="1:10" s="974" customFormat="1" ht="14.4">
      <c r="A10" s="981">
        <v>6</v>
      </c>
      <c r="B10" s="986" t="str">
        <f>GA!B17</f>
        <v>Add 0.8 times permit fee on Seign Charges</v>
      </c>
      <c r="C10" s="987"/>
      <c r="D10" s="985"/>
      <c r="E10" s="983">
        <f>GA!E17</f>
        <v>136278</v>
      </c>
      <c r="F10" s="984"/>
      <c r="G10" s="984"/>
      <c r="H10" s="984"/>
      <c r="I10" s="984"/>
    </row>
    <row r="11" spans="1:10" s="975" customFormat="1" ht="18.75" customHeight="1">
      <c r="A11" s="988"/>
      <c r="B11" s="3704" t="s">
        <v>60</v>
      </c>
      <c r="C11" s="3705"/>
      <c r="D11" s="989" t="s">
        <v>437</v>
      </c>
      <c r="E11" s="990">
        <f>SUM(E5:E10)</f>
        <v>1834998</v>
      </c>
      <c r="F11" s="991"/>
      <c r="G11" s="991"/>
      <c r="H11" s="991"/>
      <c r="I11" s="991"/>
    </row>
    <row r="12" spans="1:10" ht="15.6">
      <c r="A12" s="977"/>
      <c r="B12" s="992"/>
      <c r="C12" s="993"/>
      <c r="D12" s="994"/>
      <c r="E12" s="994"/>
      <c r="F12" s="994"/>
      <c r="G12" s="995"/>
      <c r="H12" s="995"/>
      <c r="I12" s="995"/>
      <c r="J12" s="999"/>
    </row>
    <row r="13" spans="1:10" ht="82.2" customHeight="1">
      <c r="A13" s="996"/>
      <c r="B13" s="3706" t="s">
        <v>1822</v>
      </c>
      <c r="C13" s="3706"/>
      <c r="D13" s="3706"/>
      <c r="E13" s="3706"/>
      <c r="F13" s="998"/>
      <c r="G13" s="998"/>
      <c r="H13" s="998"/>
      <c r="I13" s="998"/>
      <c r="J13" s="1000"/>
    </row>
    <row r="14" spans="1:10" ht="15.6">
      <c r="A14" s="996"/>
      <c r="B14" s="997"/>
      <c r="C14" s="997"/>
      <c r="D14" s="3698" t="s">
        <v>1813</v>
      </c>
      <c r="E14" s="3698"/>
      <c r="F14" s="3698"/>
      <c r="G14" s="998"/>
      <c r="H14" s="998"/>
      <c r="I14" s="998"/>
      <c r="J14" s="1000"/>
    </row>
    <row r="15" spans="1:10" ht="14.4">
      <c r="A15" s="996"/>
      <c r="B15" s="996"/>
      <c r="C15" s="996"/>
      <c r="D15" s="996"/>
      <c r="E15" s="996"/>
      <c r="F15" s="996"/>
      <c r="G15" s="996"/>
      <c r="H15" s="996"/>
      <c r="I15" s="996"/>
      <c r="J15" s="1002"/>
    </row>
    <row r="16" spans="1:10" ht="14.4">
      <c r="A16" s="996"/>
      <c r="B16" s="996"/>
      <c r="C16" s="996"/>
      <c r="D16" s="3713"/>
      <c r="E16" s="3713"/>
      <c r="F16" s="3713"/>
      <c r="G16" s="996"/>
      <c r="H16" s="996"/>
      <c r="I16" s="996"/>
      <c r="J16" s="1002"/>
    </row>
    <row r="17" spans="1:10" ht="15" customHeight="1">
      <c r="A17" s="996"/>
      <c r="B17" s="996"/>
      <c r="C17" s="996"/>
      <c r="D17" s="3698" t="s">
        <v>1814</v>
      </c>
      <c r="E17" s="3698"/>
      <c r="F17" s="3698"/>
      <c r="G17" s="996"/>
      <c r="H17" s="996"/>
      <c r="I17" s="996"/>
      <c r="J17" s="1002"/>
    </row>
    <row r="18" spans="1:10" ht="15" customHeight="1">
      <c r="A18" s="996"/>
      <c r="B18" s="996"/>
      <c r="C18" s="996"/>
      <c r="D18" s="3698" t="s">
        <v>1815</v>
      </c>
      <c r="E18" s="3698"/>
      <c r="F18" s="3698"/>
      <c r="G18" s="996"/>
      <c r="H18" s="996"/>
      <c r="I18" s="996"/>
      <c r="J18" s="1002"/>
    </row>
    <row r="25" spans="1:10" ht="14.4">
      <c r="B25" s="3706"/>
      <c r="C25" s="3706"/>
      <c r="D25" s="3706"/>
      <c r="E25" s="3706"/>
    </row>
    <row r="28" spans="1:10" ht="37.950000000000003" customHeight="1">
      <c r="B28" s="3707" t="s">
        <v>1823</v>
      </c>
      <c r="C28" s="3708"/>
      <c r="D28" s="3708"/>
      <c r="E28" s="3709"/>
    </row>
    <row r="29" spans="1:10" ht="198" customHeight="1">
      <c r="B29" s="3710" t="s">
        <v>1824</v>
      </c>
      <c r="C29" s="3711"/>
      <c r="D29" s="3711"/>
      <c r="E29" s="3712"/>
    </row>
  </sheetData>
  <mergeCells count="17">
    <mergeCell ref="B28:E28"/>
    <mergeCell ref="B29:E29"/>
    <mergeCell ref="D14:F14"/>
    <mergeCell ref="D16:F16"/>
    <mergeCell ref="D17:F17"/>
    <mergeCell ref="D18:F18"/>
    <mergeCell ref="B25:E25"/>
    <mergeCell ref="B7:C7"/>
    <mergeCell ref="B8:C8"/>
    <mergeCell ref="B9:C9"/>
    <mergeCell ref="B11:C11"/>
    <mergeCell ref="B13:E13"/>
    <mergeCell ref="A1:G1"/>
    <mergeCell ref="A2:G2"/>
    <mergeCell ref="A4:G4"/>
    <mergeCell ref="B5:C5"/>
    <mergeCell ref="B6:C6"/>
  </mergeCells>
  <printOptions horizontalCentered="1"/>
  <pageMargins left="0.77" right="0.49" top="0.8" bottom="0.98425196850393704" header="0.511811023622047" footer="0.511811023622047"/>
  <pageSetup paperSize="9" orientation="landscape" verticalDpi="180"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68"/>
  <sheetViews>
    <sheetView view="pageBreakPreview" workbookViewId="0">
      <selection activeCell="C12" sqref="C12"/>
    </sheetView>
  </sheetViews>
  <sheetFormatPr defaultColWidth="9.109375" defaultRowHeight="20.100000000000001" customHeight="1"/>
  <cols>
    <col min="1" max="1" width="11.44140625" style="904" customWidth="1"/>
    <col min="2" max="2" width="47.109375" style="904" customWidth="1"/>
    <col min="3" max="3" width="16.6640625" style="904" customWidth="1"/>
    <col min="4" max="4" width="8.109375" style="904" customWidth="1"/>
    <col min="5" max="5" width="11.5546875" style="904" customWidth="1"/>
    <col min="6" max="6" width="12" style="904" customWidth="1"/>
    <col min="7" max="7" width="9.33203125" style="904" customWidth="1"/>
    <col min="8" max="8" width="11.6640625" style="904" customWidth="1"/>
    <col min="9" max="9" width="14.6640625" style="904" customWidth="1"/>
    <col min="10" max="10" width="10.5546875" style="904" customWidth="1"/>
    <col min="11" max="11" width="10" style="904" customWidth="1"/>
    <col min="12" max="16384" width="9.109375" style="904"/>
  </cols>
  <sheetData>
    <row r="1" spans="1:13" ht="17.399999999999999" customHeight="1">
      <c r="A1" s="3714" t="s">
        <v>1825</v>
      </c>
      <c r="B1" s="3714"/>
      <c r="C1" s="3714"/>
      <c r="D1" s="3714"/>
      <c r="E1" s="3714"/>
      <c r="F1" s="3714"/>
      <c r="G1" s="3714"/>
      <c r="H1" s="3714"/>
      <c r="I1" s="3714"/>
      <c r="J1" s="3714"/>
      <c r="K1" s="956" t="s">
        <v>1826</v>
      </c>
    </row>
    <row r="2" spans="1:13" ht="15.6">
      <c r="A2" s="3715" t="s">
        <v>1827</v>
      </c>
      <c r="B2" s="3715"/>
      <c r="C2" s="3716" t="str">
        <f>'Input Data'!E1</f>
        <v xml:space="preserve">BT Renewal from Balabadraipally to Danamma Thanda of Gundumal Mandal in Narayanpet District </v>
      </c>
      <c r="D2" s="3717"/>
      <c r="E2" s="3717"/>
      <c r="F2" s="3717"/>
      <c r="G2" s="3717"/>
      <c r="H2" s="3717"/>
      <c r="I2" s="3717"/>
      <c r="J2" s="3718"/>
    </row>
    <row r="3" spans="1:13" s="899" customFormat="1" ht="51" customHeight="1">
      <c r="A3" s="906" t="s">
        <v>486</v>
      </c>
      <c r="B3" s="906" t="s">
        <v>1828</v>
      </c>
      <c r="C3" s="906" t="s">
        <v>1829</v>
      </c>
      <c r="D3" s="906" t="s">
        <v>1830</v>
      </c>
      <c r="E3" s="906" t="s">
        <v>1831</v>
      </c>
      <c r="F3" s="906" t="s">
        <v>1832</v>
      </c>
      <c r="G3" s="906" t="s">
        <v>1833</v>
      </c>
      <c r="H3" s="906" t="s">
        <v>1834</v>
      </c>
      <c r="I3" s="906" t="s">
        <v>1835</v>
      </c>
      <c r="J3" s="906" t="s">
        <v>1836</v>
      </c>
    </row>
    <row r="4" spans="1:13" s="899" customFormat="1" ht="31.2">
      <c r="A4" s="907">
        <v>1</v>
      </c>
      <c r="B4" s="908" t="s">
        <v>1837</v>
      </c>
      <c r="C4" s="909" t="str">
        <f>+'Input Data'!$D$11</f>
        <v>MBNR(Palkonda)</v>
      </c>
      <c r="D4" s="910">
        <f>'Input Data'!$E$11</f>
        <v>59</v>
      </c>
      <c r="E4" s="911">
        <f>VLOOKUP(D4,'SSR-rates'!$B$8:$D$239,3,0)</f>
        <v>823.21876512784434</v>
      </c>
      <c r="F4" s="911">
        <f>'SSR-rates'!K5-'SSR-rates'!$D$5</f>
        <v>655</v>
      </c>
      <c r="G4" s="911">
        <f>$G$5</f>
        <v>0</v>
      </c>
      <c r="H4" s="911">
        <f>ROUND((0.25*F4),2)</f>
        <v>163.75</v>
      </c>
      <c r="I4" s="911">
        <f>('SSR-rates'!D5)*-1</f>
        <v>0</v>
      </c>
      <c r="J4" s="911">
        <f>SUM(E4:I4)</f>
        <v>1641.9687651278443</v>
      </c>
      <c r="L4" s="957"/>
    </row>
    <row r="5" spans="1:13" s="900" customFormat="1" ht="31.2">
      <c r="A5" s="907">
        <v>2</v>
      </c>
      <c r="B5" s="908" t="s">
        <v>1838</v>
      </c>
      <c r="C5" s="912" t="str">
        <f>+C4</f>
        <v>MBNR(Palkonda)</v>
      </c>
      <c r="D5" s="910">
        <f>'Input Data'!$E$11</f>
        <v>59</v>
      </c>
      <c r="E5" s="911">
        <f>VLOOKUP(D5,'SSR-rates'!$B$8:$D$239,3,0)</f>
        <v>823.21876512784434</v>
      </c>
      <c r="F5" s="911">
        <f>'SSR-rates'!K17-'SSR-rates'!$D$5</f>
        <v>909</v>
      </c>
      <c r="G5" s="911">
        <v>0</v>
      </c>
      <c r="H5" s="911">
        <v>0</v>
      </c>
      <c r="I5" s="911">
        <f>$I$4</f>
        <v>0</v>
      </c>
      <c r="J5" s="911">
        <f t="shared" ref="J5:J31" si="0">SUM(E5:I5)</f>
        <v>1732.2187651278443</v>
      </c>
      <c r="L5" s="957"/>
      <c r="M5" s="958"/>
    </row>
    <row r="6" spans="1:13" s="900" customFormat="1" ht="31.2">
      <c r="A6" s="907">
        <v>3</v>
      </c>
      <c r="B6" s="908" t="s">
        <v>1839</v>
      </c>
      <c r="C6" s="912" t="str">
        <f>+C5</f>
        <v>MBNR(Palkonda)</v>
      </c>
      <c r="D6" s="910">
        <f>'Input Data'!$E$11</f>
        <v>59</v>
      </c>
      <c r="E6" s="911">
        <f>VLOOKUP(D6,'SSR-rates'!$B$8:$D$239,3,0)</f>
        <v>823.21876512784434</v>
      </c>
      <c r="F6" s="911">
        <f>'SSR-rates'!K18-'SSR-rates'!$D$5</f>
        <v>1098</v>
      </c>
      <c r="G6" s="911">
        <v>0</v>
      </c>
      <c r="H6" s="911">
        <v>0</v>
      </c>
      <c r="I6" s="911">
        <f>$I$4</f>
        <v>0</v>
      </c>
      <c r="J6" s="911">
        <f t="shared" si="0"/>
        <v>1921.2187651278443</v>
      </c>
      <c r="L6" s="957"/>
    </row>
    <row r="7" spans="1:13" s="900" customFormat="1" ht="31.2">
      <c r="A7" s="907">
        <v>4</v>
      </c>
      <c r="B7" s="908" t="s">
        <v>1840</v>
      </c>
      <c r="C7" s="912" t="str">
        <f t="shared" ref="C7:C12" si="1">+C6</f>
        <v>MBNR(Palkonda)</v>
      </c>
      <c r="D7" s="910">
        <f>'Input Data'!$E$11</f>
        <v>59</v>
      </c>
      <c r="E7" s="911">
        <f>VLOOKUP(D7,'SSR-rates'!$B$8:$D$239,3,0)</f>
        <v>823.21876512784434</v>
      </c>
      <c r="F7" s="911">
        <f>'SSR-rates'!K19-'SSR-rates'!$D$5</f>
        <v>1208</v>
      </c>
      <c r="G7" s="911">
        <v>0</v>
      </c>
      <c r="H7" s="911">
        <v>0</v>
      </c>
      <c r="I7" s="911">
        <f t="shared" ref="I7:I24" si="2">$I$4</f>
        <v>0</v>
      </c>
      <c r="J7" s="911">
        <f t="shared" si="0"/>
        <v>2031.2187651278443</v>
      </c>
      <c r="L7" s="957"/>
    </row>
    <row r="8" spans="1:13" s="900" customFormat="1" ht="31.2">
      <c r="A8" s="907">
        <v>5</v>
      </c>
      <c r="B8" s="908" t="s">
        <v>1841</v>
      </c>
      <c r="C8" s="912" t="str">
        <f t="shared" si="1"/>
        <v>MBNR(Palkonda)</v>
      </c>
      <c r="D8" s="910">
        <f>'Input Data'!$E$11</f>
        <v>59</v>
      </c>
      <c r="E8" s="911">
        <f>VLOOKUP(D8,'SSR-rates'!$B$8:$D$239,3,0)</f>
        <v>823.21876512784434</v>
      </c>
      <c r="F8" s="911">
        <f>'SSR-rates'!K20-'SSR-rates'!$D$5</f>
        <v>1057</v>
      </c>
      <c r="G8" s="911">
        <v>0</v>
      </c>
      <c r="H8" s="911">
        <v>0</v>
      </c>
      <c r="I8" s="911">
        <f t="shared" si="2"/>
        <v>0</v>
      </c>
      <c r="J8" s="911">
        <f t="shared" si="0"/>
        <v>1880.2187651278443</v>
      </c>
      <c r="L8" s="957"/>
    </row>
    <row r="9" spans="1:13" s="900" customFormat="1" ht="31.2">
      <c r="A9" s="907">
        <v>6</v>
      </c>
      <c r="B9" s="908" t="s">
        <v>1842</v>
      </c>
      <c r="C9" s="912" t="str">
        <f t="shared" si="1"/>
        <v>MBNR(Palkonda)</v>
      </c>
      <c r="D9" s="910">
        <f>'Input Data'!$E$11</f>
        <v>59</v>
      </c>
      <c r="E9" s="911">
        <f>VLOOKUP(D9,'SSR-rates'!$B$8:$D$239,3,0)</f>
        <v>823.21876512784434</v>
      </c>
      <c r="F9" s="911">
        <f>'SSR-rates'!K21-'SSR-rates'!$D$5</f>
        <v>957</v>
      </c>
      <c r="G9" s="911">
        <v>0</v>
      </c>
      <c r="H9" s="911">
        <v>0</v>
      </c>
      <c r="I9" s="911">
        <f t="shared" si="2"/>
        <v>0</v>
      </c>
      <c r="J9" s="911">
        <f t="shared" si="0"/>
        <v>1780.2187651278443</v>
      </c>
      <c r="L9" s="957"/>
      <c r="M9" s="958"/>
    </row>
    <row r="10" spans="1:13" s="900" customFormat="1" ht="31.2">
      <c r="A10" s="907">
        <v>7</v>
      </c>
      <c r="B10" s="908" t="s">
        <v>1843</v>
      </c>
      <c r="C10" s="912" t="str">
        <f t="shared" si="1"/>
        <v>MBNR(Palkonda)</v>
      </c>
      <c r="D10" s="910">
        <f>'Input Data'!$E$11</f>
        <v>59</v>
      </c>
      <c r="E10" s="911">
        <f>VLOOKUP(D10,'SSR-rates'!$B$8:$D$239,3,0)</f>
        <v>823.21876512784434</v>
      </c>
      <c r="F10" s="911">
        <f>'SSR-rates'!K22-'SSR-rates'!$D$5</f>
        <v>900</v>
      </c>
      <c r="G10" s="911">
        <f>$G$9</f>
        <v>0</v>
      </c>
      <c r="H10" s="911">
        <v>0</v>
      </c>
      <c r="I10" s="911">
        <f t="shared" si="2"/>
        <v>0</v>
      </c>
      <c r="J10" s="911">
        <f t="shared" si="0"/>
        <v>1723.2187651278443</v>
      </c>
      <c r="L10" s="957"/>
    </row>
    <row r="11" spans="1:13" s="900" customFormat="1" ht="31.2">
      <c r="A11" s="907">
        <v>8</v>
      </c>
      <c r="B11" s="908" t="s">
        <v>1844</v>
      </c>
      <c r="C11" s="912" t="str">
        <f t="shared" si="1"/>
        <v>MBNR(Palkonda)</v>
      </c>
      <c r="D11" s="910">
        <f>'Input Data'!$E$11</f>
        <v>59</v>
      </c>
      <c r="E11" s="911">
        <f>VLOOKUP(D11,'SSR-rates'!$B$8:$D$239,3,0)</f>
        <v>823.21876512784434</v>
      </c>
      <c r="F11" s="911">
        <f>'SSR-rates'!K23-'SSR-rates'!D5</f>
        <v>883</v>
      </c>
      <c r="G11" s="911">
        <f>$G$10</f>
        <v>0</v>
      </c>
      <c r="H11" s="911">
        <v>0</v>
      </c>
      <c r="I11" s="911">
        <f t="shared" si="2"/>
        <v>0</v>
      </c>
      <c r="J11" s="911">
        <f t="shared" si="0"/>
        <v>1706.2187651278443</v>
      </c>
      <c r="L11" s="957"/>
    </row>
    <row r="12" spans="1:13" s="900" customFormat="1" ht="31.2">
      <c r="A12" s="907">
        <v>9</v>
      </c>
      <c r="B12" s="908" t="s">
        <v>1845</v>
      </c>
      <c r="C12" s="912" t="str">
        <f t="shared" si="1"/>
        <v>MBNR(Palkonda)</v>
      </c>
      <c r="D12" s="910">
        <f>'Input Data'!$E$11</f>
        <v>59</v>
      </c>
      <c r="E12" s="911">
        <f>VLOOKUP(D12,'SSR-rates'!$B$8:$D$239,3,0)</f>
        <v>823.21876512784434</v>
      </c>
      <c r="F12" s="911">
        <f>'SSR-rates'!K24-'SSR-rates'!D5</f>
        <v>709</v>
      </c>
      <c r="G12" s="911">
        <v>0</v>
      </c>
      <c r="H12" s="911">
        <f>ROUND((0.25*(F12-100)),2)</f>
        <v>152.25</v>
      </c>
      <c r="I12" s="911">
        <f t="shared" si="2"/>
        <v>0</v>
      </c>
      <c r="J12" s="911">
        <f t="shared" si="0"/>
        <v>1684.4687651278443</v>
      </c>
      <c r="L12" s="957"/>
    </row>
    <row r="13" spans="1:13" s="900" customFormat="1" ht="17.25" customHeight="1">
      <c r="A13" s="907"/>
      <c r="B13" s="913" t="s">
        <v>1846</v>
      </c>
      <c r="C13" s="907"/>
      <c r="D13" s="910"/>
      <c r="E13" s="911"/>
      <c r="F13" s="914"/>
      <c r="G13" s="914"/>
      <c r="H13" s="914"/>
      <c r="I13" s="914"/>
      <c r="J13" s="911">
        <f t="shared" si="0"/>
        <v>0</v>
      </c>
      <c r="L13" s="957"/>
    </row>
    <row r="14" spans="1:13" s="900" customFormat="1" ht="20.399999999999999" customHeight="1">
      <c r="A14" s="907">
        <v>10</v>
      </c>
      <c r="B14" s="915" t="s">
        <v>1847</v>
      </c>
      <c r="C14" s="912" t="str">
        <f>+C4</f>
        <v>MBNR(Palkonda)</v>
      </c>
      <c r="D14" s="910">
        <f>'Input Data'!$E$11</f>
        <v>59</v>
      </c>
      <c r="E14" s="911">
        <f>VLOOKUP(D14,'SSR-rates'!$B$8:$D$239,3,0)</f>
        <v>823.21876512784434</v>
      </c>
      <c r="F14" s="911">
        <f>'SSR-rates'!K26</f>
        <v>909</v>
      </c>
      <c r="G14" s="911">
        <v>0</v>
      </c>
      <c r="H14" s="911">
        <v>0</v>
      </c>
      <c r="I14" s="911">
        <f t="shared" si="2"/>
        <v>0</v>
      </c>
      <c r="J14" s="911">
        <f t="shared" si="0"/>
        <v>1732.2187651278443</v>
      </c>
      <c r="L14" s="957"/>
    </row>
    <row r="15" spans="1:13" s="900" customFormat="1" ht="20.399999999999999" customHeight="1">
      <c r="A15" s="907">
        <v>11</v>
      </c>
      <c r="B15" s="915" t="s">
        <v>1848</v>
      </c>
      <c r="C15" s="912" t="str">
        <f>+C5</f>
        <v>MBNR(Palkonda)</v>
      </c>
      <c r="D15" s="910">
        <f>'Input Data'!$E$11</f>
        <v>59</v>
      </c>
      <c r="E15" s="911">
        <f>VLOOKUP(D15,'SSR-rates'!$B$8:$D$239,3,0)</f>
        <v>823.21876512784434</v>
      </c>
      <c r="F15" s="911">
        <f>'SSR-rates'!K27</f>
        <v>1098</v>
      </c>
      <c r="G15" s="911">
        <v>0</v>
      </c>
      <c r="H15" s="911">
        <v>0</v>
      </c>
      <c r="I15" s="911">
        <f t="shared" si="2"/>
        <v>0</v>
      </c>
      <c r="J15" s="911">
        <f t="shared" si="0"/>
        <v>1921.2187651278443</v>
      </c>
      <c r="L15" s="957"/>
    </row>
    <row r="16" spans="1:13" s="900" customFormat="1" ht="20.399999999999999" customHeight="1">
      <c r="A16" s="907">
        <v>12</v>
      </c>
      <c r="B16" s="915" t="s">
        <v>1849</v>
      </c>
      <c r="C16" s="912" t="str">
        <f t="shared" ref="C16:C29" si="3">+C14</f>
        <v>MBNR(Palkonda)</v>
      </c>
      <c r="D16" s="910">
        <f>'Input Data'!$E$11</f>
        <v>59</v>
      </c>
      <c r="E16" s="911">
        <f>VLOOKUP(D16,'SSR-rates'!$B$8:$D$239,3,0)</f>
        <v>823.21876512784434</v>
      </c>
      <c r="F16" s="911">
        <f>'SSR-rates'!K28</f>
        <v>1208</v>
      </c>
      <c r="G16" s="911">
        <v>0</v>
      </c>
      <c r="H16" s="911">
        <v>0</v>
      </c>
      <c r="I16" s="911">
        <f t="shared" si="2"/>
        <v>0</v>
      </c>
      <c r="J16" s="911">
        <f t="shared" si="0"/>
        <v>2031.2187651278443</v>
      </c>
      <c r="L16" s="957"/>
    </row>
    <row r="17" spans="1:12" s="900" customFormat="1" ht="20.399999999999999" customHeight="1">
      <c r="A17" s="907">
        <v>13</v>
      </c>
      <c r="B17" s="915" t="s">
        <v>1850</v>
      </c>
      <c r="C17" s="912" t="str">
        <f t="shared" si="3"/>
        <v>MBNR(Palkonda)</v>
      </c>
      <c r="D17" s="910">
        <f>'Input Data'!$E$11</f>
        <v>59</v>
      </c>
      <c r="E17" s="911">
        <f>VLOOKUP(D17,'SSR-rates'!$B$8:$D$239,3,0)</f>
        <v>823.21876512784434</v>
      </c>
      <c r="F17" s="911">
        <f>'SSR-rates'!K29</f>
        <v>1057</v>
      </c>
      <c r="G17" s="911">
        <v>0</v>
      </c>
      <c r="H17" s="911">
        <v>0</v>
      </c>
      <c r="I17" s="911">
        <f t="shared" si="2"/>
        <v>0</v>
      </c>
      <c r="J17" s="911">
        <f t="shared" si="0"/>
        <v>1880.2187651278443</v>
      </c>
      <c r="L17" s="957"/>
    </row>
    <row r="18" spans="1:12" s="900" customFormat="1" ht="20.399999999999999" customHeight="1">
      <c r="A18" s="907">
        <v>14</v>
      </c>
      <c r="B18" s="915" t="s">
        <v>1851</v>
      </c>
      <c r="C18" s="912" t="str">
        <f t="shared" si="3"/>
        <v>MBNR(Palkonda)</v>
      </c>
      <c r="D18" s="910">
        <f>'Input Data'!$E$11</f>
        <v>59</v>
      </c>
      <c r="E18" s="911">
        <f>VLOOKUP(D18,'SSR-rates'!$B$8:$D$239,3,0)</f>
        <v>823.21876512784434</v>
      </c>
      <c r="F18" s="911">
        <f>'SSR-rates'!K30</f>
        <v>957</v>
      </c>
      <c r="G18" s="911">
        <v>0</v>
      </c>
      <c r="H18" s="911">
        <v>0</v>
      </c>
      <c r="I18" s="911">
        <f t="shared" si="2"/>
        <v>0</v>
      </c>
      <c r="J18" s="911">
        <f t="shared" si="0"/>
        <v>1780.2187651278443</v>
      </c>
      <c r="L18" s="957"/>
    </row>
    <row r="19" spans="1:12" s="900" customFormat="1" ht="20.399999999999999" customHeight="1">
      <c r="A19" s="907">
        <v>15</v>
      </c>
      <c r="B19" s="915" t="s">
        <v>1852</v>
      </c>
      <c r="C19" s="912" t="str">
        <f t="shared" si="3"/>
        <v>MBNR(Palkonda)</v>
      </c>
      <c r="D19" s="910">
        <f>'Input Data'!$E$11</f>
        <v>59</v>
      </c>
      <c r="E19" s="911">
        <f>VLOOKUP(D19,'SSR-rates'!$B$8:$D$239,3,0)</f>
        <v>823.21876512784434</v>
      </c>
      <c r="F19" s="911">
        <f>'SSR-rates'!K31</f>
        <v>910</v>
      </c>
      <c r="G19" s="911">
        <v>0</v>
      </c>
      <c r="H19" s="911">
        <v>0</v>
      </c>
      <c r="I19" s="911">
        <f t="shared" si="2"/>
        <v>0</v>
      </c>
      <c r="J19" s="911">
        <f t="shared" si="0"/>
        <v>1733.2187651278443</v>
      </c>
      <c r="L19" s="957"/>
    </row>
    <row r="20" spans="1:12" s="900" customFormat="1" ht="31.2">
      <c r="A20" s="907">
        <v>16</v>
      </c>
      <c r="B20" s="908" t="s">
        <v>1853</v>
      </c>
      <c r="C20" s="916" t="str">
        <f>'Input Data'!D21</f>
        <v>MBNR(Palkonda)</v>
      </c>
      <c r="D20" s="910">
        <f>'Input Data'!E21</f>
        <v>59</v>
      </c>
      <c r="E20" s="911">
        <f>VLOOKUP(D20,'SSR-rates'!$B$8:$D$239,3,0)</f>
        <v>823.21876512784434</v>
      </c>
      <c r="F20" s="911">
        <f>'SSR-rates'!K6</f>
        <v>909</v>
      </c>
      <c r="G20" s="911">
        <v>0</v>
      </c>
      <c r="H20" s="911">
        <v>0</v>
      </c>
      <c r="I20" s="911">
        <f t="shared" si="2"/>
        <v>0</v>
      </c>
      <c r="J20" s="911">
        <f t="shared" si="0"/>
        <v>1732.2187651278443</v>
      </c>
      <c r="L20" s="957"/>
    </row>
    <row r="21" spans="1:12" s="900" customFormat="1" ht="32.25" customHeight="1">
      <c r="A21" s="907">
        <v>17</v>
      </c>
      <c r="B21" s="908" t="s">
        <v>1854</v>
      </c>
      <c r="C21" s="912" t="str">
        <f t="shared" si="3"/>
        <v>MBNR(Palkonda)</v>
      </c>
      <c r="D21" s="910">
        <f>D20</f>
        <v>59</v>
      </c>
      <c r="E21" s="911">
        <f>VLOOKUP(D21,'SSR-rates'!$B$8:$D$239,3,0)</f>
        <v>823.21876512784434</v>
      </c>
      <c r="F21" s="911">
        <f>'SSR-rates'!K5</f>
        <v>655</v>
      </c>
      <c r="G21" s="911">
        <v>0</v>
      </c>
      <c r="H21" s="911">
        <f>ROUND((0.25*F21),2)</f>
        <v>163.75</v>
      </c>
      <c r="I21" s="911">
        <f t="shared" si="2"/>
        <v>0</v>
      </c>
      <c r="J21" s="911">
        <f t="shared" si="0"/>
        <v>1641.9687651278443</v>
      </c>
      <c r="L21" s="957"/>
    </row>
    <row r="22" spans="1:12" s="900" customFormat="1" ht="32.25" customHeight="1">
      <c r="A22" s="907">
        <v>18</v>
      </c>
      <c r="B22" s="908" t="s">
        <v>1855</v>
      </c>
      <c r="C22" s="912" t="str">
        <f>C21</f>
        <v>MBNR(Palkonda)</v>
      </c>
      <c r="D22" s="910">
        <f>D21</f>
        <v>59</v>
      </c>
      <c r="E22" s="911">
        <f>VLOOKUP(D22,'SSR-rates'!$B$8:$D$239,3,0)</f>
        <v>823.21876512784434</v>
      </c>
      <c r="F22" s="911">
        <f>'SSR-rates'!K4</f>
        <v>544</v>
      </c>
      <c r="G22" s="911">
        <v>0</v>
      </c>
      <c r="H22" s="911">
        <f>ROUND((0.25*F22),2)</f>
        <v>136</v>
      </c>
      <c r="I22" s="911">
        <f t="shared" si="2"/>
        <v>0</v>
      </c>
      <c r="J22" s="911">
        <f t="shared" si="0"/>
        <v>1503.2187651278443</v>
      </c>
      <c r="L22" s="957"/>
    </row>
    <row r="23" spans="1:12" s="900" customFormat="1" ht="17.25" customHeight="1">
      <c r="A23" s="907">
        <v>19</v>
      </c>
      <c r="B23" s="908" t="s">
        <v>1856</v>
      </c>
      <c r="C23" s="912" t="str">
        <f>C22</f>
        <v>MBNR(Palkonda)</v>
      </c>
      <c r="D23" s="910">
        <f>D22</f>
        <v>59</v>
      </c>
      <c r="E23" s="911">
        <f>VLOOKUP(D23,'SSR-rates'!$B$8:$D$239,3,0)</f>
        <v>823.21876512784434</v>
      </c>
      <c r="F23" s="911">
        <f>'SSR-rates'!K10</f>
        <v>173</v>
      </c>
      <c r="G23" s="911">
        <f>'SSR-rates'!K$46</f>
        <v>100</v>
      </c>
      <c r="H23" s="911">
        <v>0</v>
      </c>
      <c r="I23" s="911">
        <f t="shared" si="2"/>
        <v>0</v>
      </c>
      <c r="J23" s="911">
        <f t="shared" si="0"/>
        <v>1096.2187651278443</v>
      </c>
      <c r="L23" s="957"/>
    </row>
    <row r="24" spans="1:12" s="901" customFormat="1" ht="18.600000000000001" customHeight="1">
      <c r="A24" s="907">
        <v>20</v>
      </c>
      <c r="B24" s="908" t="s">
        <v>1857</v>
      </c>
      <c r="C24" s="912" t="str">
        <f t="shared" si="3"/>
        <v>MBNR(Palkonda)</v>
      </c>
      <c r="D24" s="917">
        <f>D23</f>
        <v>59</v>
      </c>
      <c r="E24" s="911">
        <f>VLOOKUP(D24,'SSR-rates'!$B$8:$D$239,3,0)</f>
        <v>823.21876512784434</v>
      </c>
      <c r="F24" s="918">
        <f>'SSR-rates'!K11</f>
        <v>143</v>
      </c>
      <c r="G24" s="918">
        <f>'SSR-rates'!K$46</f>
        <v>100</v>
      </c>
      <c r="H24" s="918">
        <v>0</v>
      </c>
      <c r="I24" s="911">
        <f t="shared" si="2"/>
        <v>0</v>
      </c>
      <c r="J24" s="918">
        <f t="shared" si="0"/>
        <v>1066.2187651278443</v>
      </c>
      <c r="L24" s="957"/>
    </row>
    <row r="25" spans="1:12" s="901" customFormat="1" ht="17.25" customHeight="1">
      <c r="A25" s="907">
        <v>21</v>
      </c>
      <c r="B25" s="919" t="s">
        <v>1858</v>
      </c>
      <c r="C25" s="912" t="str">
        <f t="shared" si="3"/>
        <v>MBNR(Palkonda)</v>
      </c>
      <c r="D25" s="917">
        <f t="shared" ref="D25:D26" si="4">D24</f>
        <v>59</v>
      </c>
      <c r="E25" s="911">
        <f>VLOOKUP(D25,'SSR-rates'!$B$8:$D$239,3,0)</f>
        <v>823.21876512784434</v>
      </c>
      <c r="F25" s="918">
        <f>'SSR-rates'!K15</f>
        <v>44</v>
      </c>
      <c r="G25" s="918">
        <v>0</v>
      </c>
      <c r="H25" s="918">
        <v>0</v>
      </c>
      <c r="I25" s="918">
        <v>0</v>
      </c>
      <c r="J25" s="918">
        <f t="shared" si="0"/>
        <v>867.21876512784434</v>
      </c>
      <c r="L25" s="957"/>
    </row>
    <row r="26" spans="1:12" s="900" customFormat="1" ht="17.25" customHeight="1">
      <c r="A26" s="907">
        <v>22</v>
      </c>
      <c r="B26" s="908" t="s">
        <v>1859</v>
      </c>
      <c r="C26" s="912" t="str">
        <f t="shared" si="3"/>
        <v>MBNR(Palkonda)</v>
      </c>
      <c r="D26" s="917">
        <f t="shared" si="4"/>
        <v>59</v>
      </c>
      <c r="E26" s="911">
        <f>VLOOKUP(D26,'SSR-rates'!$B$8:$D$239,3,0)</f>
        <v>823.21876512784434</v>
      </c>
      <c r="F26" s="911">
        <f>'SSR-rates'!K16</f>
        <v>100</v>
      </c>
      <c r="G26" s="911">
        <f>'SSR-rates'!K$46</f>
        <v>100</v>
      </c>
      <c r="H26" s="911">
        <v>0</v>
      </c>
      <c r="I26" s="911">
        <v>0</v>
      </c>
      <c r="J26" s="911">
        <f t="shared" si="0"/>
        <v>1023.2187651278443</v>
      </c>
      <c r="L26" s="957"/>
    </row>
    <row r="27" spans="1:12" s="900" customFormat="1" ht="31.2">
      <c r="A27" s="907">
        <v>23</v>
      </c>
      <c r="B27" s="908" t="s">
        <v>1860</v>
      </c>
      <c r="C27" s="912" t="str">
        <f t="shared" si="3"/>
        <v>MBNR(Palkonda)</v>
      </c>
      <c r="D27" s="910">
        <f>'Input Data'!$E$11</f>
        <v>59</v>
      </c>
      <c r="E27" s="911">
        <f>VLOOKUP(D27,'SSR-rates'!$B$8:$D$239,3,0)</f>
        <v>823.21876512784434</v>
      </c>
      <c r="F27" s="911">
        <f>'SSR-rates'!K95</f>
        <v>709</v>
      </c>
      <c r="G27" s="911">
        <v>0</v>
      </c>
      <c r="H27" s="911">
        <v>0</v>
      </c>
      <c r="I27" s="911">
        <v>0</v>
      </c>
      <c r="J27" s="911">
        <f t="shared" si="0"/>
        <v>1532.2187651278443</v>
      </c>
      <c r="L27" s="957"/>
    </row>
    <row r="28" spans="1:12" s="900" customFormat="1" ht="31.2">
      <c r="A28" s="907">
        <v>24</v>
      </c>
      <c r="B28" s="908" t="s">
        <v>1861</v>
      </c>
      <c r="C28" s="912" t="str">
        <f t="shared" si="3"/>
        <v>MBNR(Palkonda)</v>
      </c>
      <c r="D28" s="910">
        <f>'Input Data'!$E$11</f>
        <v>59</v>
      </c>
      <c r="E28" s="911">
        <f>VLOOKUP(D28,'SSR-rates'!$B$8:$D$239,3,0)</f>
        <v>823.21876512784434</v>
      </c>
      <c r="F28" s="918">
        <v>276</v>
      </c>
      <c r="G28" s="911">
        <f>G26</f>
        <v>100</v>
      </c>
      <c r="H28" s="911">
        <v>0</v>
      </c>
      <c r="I28" s="911">
        <v>0</v>
      </c>
      <c r="J28" s="911">
        <f t="shared" si="0"/>
        <v>1199.2187651278443</v>
      </c>
      <c r="L28" s="957"/>
    </row>
    <row r="29" spans="1:12" s="900" customFormat="1" ht="18.600000000000001" customHeight="1">
      <c r="A29" s="907">
        <v>25</v>
      </c>
      <c r="B29" s="908" t="s">
        <v>1862</v>
      </c>
      <c r="C29" s="912" t="str">
        <f t="shared" si="3"/>
        <v>MBNR(Palkonda)</v>
      </c>
      <c r="D29" s="910">
        <f>'Input Data'!$E$11</f>
        <v>59</v>
      </c>
      <c r="E29" s="911">
        <f>VLOOKUP(D29,'SSR-rates'!$B$8:$D$239,3,0)</f>
        <v>823.21876512784434</v>
      </c>
      <c r="F29" s="911">
        <f>'SSR-rates'!K129</f>
        <v>1333.3333333333333</v>
      </c>
      <c r="G29" s="911">
        <v>0</v>
      </c>
      <c r="H29" s="911">
        <v>0</v>
      </c>
      <c r="I29" s="911">
        <v>0</v>
      </c>
      <c r="J29" s="911">
        <f t="shared" si="0"/>
        <v>2156.5520984611776</v>
      </c>
      <c r="L29" s="957"/>
    </row>
    <row r="30" spans="1:12" s="900" customFormat="1" ht="18.600000000000001" customHeight="1">
      <c r="A30" s="907">
        <v>26</v>
      </c>
      <c r="B30" s="915" t="s">
        <v>1863</v>
      </c>
      <c r="C30" s="920" t="str">
        <f>+'Input Data'!D13</f>
        <v>Warkur(Maganur)</v>
      </c>
      <c r="D30" s="910">
        <f>'Input Data'!E13</f>
        <v>85</v>
      </c>
      <c r="E30" s="911">
        <f>VLOOKUP(D30,'SSR-rates'!$B$8:$D$500,2,FALSE)</f>
        <v>1155.9213132068826</v>
      </c>
      <c r="F30" s="911">
        <f>'SSR-rates'!K32</f>
        <v>915</v>
      </c>
      <c r="G30" s="911">
        <v>0</v>
      </c>
      <c r="H30" s="911">
        <v>0</v>
      </c>
      <c r="I30" s="911">
        <v>0</v>
      </c>
      <c r="J30" s="911">
        <f t="shared" si="0"/>
        <v>2070.9213132068826</v>
      </c>
      <c r="L30" s="957"/>
    </row>
    <row r="31" spans="1:12" s="900" customFormat="1" ht="18.600000000000001" customHeight="1">
      <c r="A31" s="907">
        <v>27</v>
      </c>
      <c r="B31" s="915" t="s">
        <v>1864</v>
      </c>
      <c r="C31" s="920" t="str">
        <f>+C30</f>
        <v>Warkur(Maganur)</v>
      </c>
      <c r="D31" s="910">
        <f>D30</f>
        <v>85</v>
      </c>
      <c r="E31" s="911">
        <f>VLOOKUP(D31,'SSR-rates'!B8:D500,2,FALSE)</f>
        <v>1155.9213132068826</v>
      </c>
      <c r="F31" s="911">
        <f>'SSR-rates'!K33</f>
        <v>695</v>
      </c>
      <c r="G31" s="911">
        <v>0</v>
      </c>
      <c r="H31" s="911">
        <v>0</v>
      </c>
      <c r="I31" s="911">
        <v>0</v>
      </c>
      <c r="J31" s="959">
        <f t="shared" si="0"/>
        <v>1850.9213132068826</v>
      </c>
      <c r="L31" s="957"/>
    </row>
    <row r="32" spans="1:12" s="900" customFormat="1" ht="18.600000000000001" customHeight="1">
      <c r="A32" s="907">
        <v>28</v>
      </c>
      <c r="B32" s="915" t="s">
        <v>624</v>
      </c>
      <c r="C32" s="907" t="str">
        <f>+'Input Data'!D14</f>
        <v>Local</v>
      </c>
      <c r="D32" s="910">
        <f>+'Input Data'!E14</f>
        <v>5</v>
      </c>
      <c r="E32" s="911">
        <f>VLOOKUP(D32,'SSR-rates'!B8:D237,2,FALSE)</f>
        <v>64.07604629670378</v>
      </c>
      <c r="F32" s="911">
        <f>'SSR-rates'!K34</f>
        <v>695</v>
      </c>
      <c r="G32" s="911">
        <v>0</v>
      </c>
      <c r="H32" s="911">
        <v>0</v>
      </c>
      <c r="I32" s="911">
        <v>0</v>
      </c>
      <c r="J32" s="911">
        <f t="shared" ref="J32:J35" si="5">SUM(E32:I32)</f>
        <v>759.07604629670379</v>
      </c>
      <c r="L32" s="957"/>
    </row>
    <row r="33" spans="1:13" s="900" customFormat="1" ht="18.600000000000001" customHeight="1">
      <c r="A33" s="907">
        <v>29</v>
      </c>
      <c r="B33" s="921" t="s">
        <v>404</v>
      </c>
      <c r="C33" s="907" t="str">
        <f>'Input Data'!D12</f>
        <v>MBNR(Palkonda)</v>
      </c>
      <c r="D33" s="910">
        <f>'Input Data'!E12</f>
        <v>59</v>
      </c>
      <c r="E33" s="911">
        <f>VLOOKUP(D33,'SSR-rates'!$B$8:$D$239,3,0)</f>
        <v>823.21876512784434</v>
      </c>
      <c r="F33" s="911">
        <f>'SSR-rates'!$K$123</f>
        <v>650</v>
      </c>
      <c r="G33" s="911">
        <v>0</v>
      </c>
      <c r="H33" s="911">
        <v>0</v>
      </c>
      <c r="I33" s="911">
        <f t="shared" ref="I33" si="6">$I$4</f>
        <v>0</v>
      </c>
      <c r="J33" s="959">
        <f t="shared" si="5"/>
        <v>1473.2187651278443</v>
      </c>
      <c r="L33" s="957"/>
    </row>
    <row r="34" spans="1:13" s="900" customFormat="1" ht="18.600000000000001" customHeight="1">
      <c r="A34" s="907">
        <v>30</v>
      </c>
      <c r="B34" s="915" t="s">
        <v>409</v>
      </c>
      <c r="C34" s="907" t="str">
        <f>'Input Data'!D15</f>
        <v>Local</v>
      </c>
      <c r="D34" s="910">
        <f>'Input Data'!$E$15</f>
        <v>8</v>
      </c>
      <c r="E34" s="911">
        <f>VLOOKUP(D34,'SSR-rates'!B8:D239,2,FALSE)</f>
        <v>110.2847335299036</v>
      </c>
      <c r="F34" s="911">
        <f>'SSR-rates'!K25</f>
        <v>109</v>
      </c>
      <c r="G34" s="911">
        <v>0</v>
      </c>
      <c r="H34" s="911">
        <v>0</v>
      </c>
      <c r="I34" s="911">
        <v>0</v>
      </c>
      <c r="J34" s="911">
        <f t="shared" si="5"/>
        <v>219.2847335299036</v>
      </c>
      <c r="L34" s="957"/>
    </row>
    <row r="35" spans="1:13" s="901" customFormat="1" ht="18.600000000000001" customHeight="1">
      <c r="A35" s="907">
        <v>31</v>
      </c>
      <c r="B35" s="922" t="s">
        <v>611</v>
      </c>
      <c r="C35" s="923" t="str">
        <f>'Input Data'!D19</f>
        <v>Local</v>
      </c>
      <c r="D35" s="917">
        <f>'Input Data'!$E$19</f>
        <v>5</v>
      </c>
      <c r="E35" s="918">
        <f>VLOOKUP(D35,'SSR-rates'!B8:D240,2,FALSE)</f>
        <v>64.07604629670378</v>
      </c>
      <c r="F35" s="911">
        <f>'SSR-rates'!K122</f>
        <v>79</v>
      </c>
      <c r="G35" s="918">
        <v>0</v>
      </c>
      <c r="H35" s="918">
        <v>0</v>
      </c>
      <c r="I35" s="918">
        <v>0</v>
      </c>
      <c r="J35" s="918">
        <f t="shared" si="5"/>
        <v>143.07604629670379</v>
      </c>
      <c r="L35" s="957"/>
    </row>
    <row r="36" spans="1:13" s="900" customFormat="1" ht="18.600000000000001" customHeight="1">
      <c r="A36" s="907">
        <v>32</v>
      </c>
      <c r="B36" s="915" t="str">
        <f>'Input Data'!H24</f>
        <v>Cement, NOV' 2024</v>
      </c>
      <c r="C36" s="907"/>
      <c r="D36" s="915"/>
      <c r="E36" s="924"/>
      <c r="F36" s="911">
        <f>'Input Data'!I24</f>
        <v>5000</v>
      </c>
      <c r="G36" s="911"/>
      <c r="H36" s="911"/>
      <c r="I36" s="911"/>
      <c r="J36" s="911">
        <f>F36</f>
        <v>5000</v>
      </c>
      <c r="L36" s="957"/>
    </row>
    <row r="37" spans="1:13" ht="18.600000000000001" customHeight="1">
      <c r="A37" s="907">
        <v>33</v>
      </c>
      <c r="B37" s="925" t="str">
        <f>'Input Data'!H25</f>
        <v>Steel HYSD-Fe-500 Bars, NOV' 2024</v>
      </c>
      <c r="C37" s="925"/>
      <c r="D37" s="925"/>
      <c r="E37" s="926"/>
      <c r="F37" s="911">
        <f>'Input Data'!I25</f>
        <v>49000</v>
      </c>
      <c r="G37" s="926"/>
      <c r="H37" s="926"/>
      <c r="I37" s="926"/>
      <c r="J37" s="911">
        <f>F37</f>
        <v>49000</v>
      </c>
      <c r="L37" s="957"/>
    </row>
    <row r="38" spans="1:13" ht="18.600000000000001" customHeight="1">
      <c r="A38" s="907">
        <v>34</v>
      </c>
      <c r="B38" s="927" t="str">
        <f>'Input Data'!H26</f>
        <v>Mild Steel Bars, NOV' 2024</v>
      </c>
      <c r="C38" s="925"/>
      <c r="D38" s="925"/>
      <c r="E38" s="926"/>
      <c r="F38" s="911">
        <f>'Input Data'!I26</f>
        <v>60000</v>
      </c>
      <c r="G38" s="926"/>
      <c r="H38" s="926"/>
      <c r="I38" s="926"/>
      <c r="J38" s="911">
        <f>F38</f>
        <v>60000</v>
      </c>
      <c r="K38" s="960">
        <v>61</v>
      </c>
      <c r="L38" s="957"/>
    </row>
    <row r="39" spans="1:13" ht="18.600000000000001" customHeight="1">
      <c r="A39" s="907">
        <v>35</v>
      </c>
      <c r="B39" s="928" t="str">
        <f>'Input Data'!H27</f>
        <v>6mm M.S. Rods, NOV' 2024</v>
      </c>
      <c r="C39" s="929"/>
      <c r="D39" s="929"/>
      <c r="E39" s="930"/>
      <c r="F39" s="911">
        <f>'Input Data'!I27</f>
        <v>55000</v>
      </c>
      <c r="G39" s="930"/>
      <c r="H39" s="926"/>
      <c r="I39" s="926"/>
      <c r="J39" s="911">
        <f>F39</f>
        <v>55000</v>
      </c>
      <c r="K39" s="960">
        <v>60</v>
      </c>
      <c r="L39" s="957"/>
    </row>
    <row r="40" spans="1:13" s="900" customFormat="1" ht="35.4" customHeight="1">
      <c r="A40" s="907">
        <v>36</v>
      </c>
      <c r="B40" s="931" t="str">
        <f>"Bulk VG30 Grade (Bulk)60/70"&amp;"- as on "&amp;'Input Data'!H14</f>
        <v>Bulk VG30 Grade (Bulk)60/70- as on 45642</v>
      </c>
      <c r="C40" s="923" t="str">
        <f>'Input Data'!D20</f>
        <v>chennai</v>
      </c>
      <c r="D40" s="917">
        <f>'Input Data'!E20</f>
        <v>650</v>
      </c>
      <c r="E40" s="918">
        <f>ROUND(2*D40*'SSR-rates'!$P$21,2)/1.13615</f>
        <v>3432.6453373234167</v>
      </c>
      <c r="F40" s="911">
        <f>'Input Data'!J14</f>
        <v>45682</v>
      </c>
      <c r="G40" s="932"/>
      <c r="H40" s="924"/>
      <c r="I40" s="924"/>
      <c r="J40" s="911">
        <f>E40+F40</f>
        <v>49114.645337323418</v>
      </c>
      <c r="K40" s="961"/>
      <c r="L40" s="957"/>
      <c r="M40" s="962"/>
    </row>
    <row r="41" spans="1:13" s="900" customFormat="1" ht="15.6">
      <c r="A41" s="907">
        <v>37</v>
      </c>
      <c r="B41" s="933" t="s">
        <v>1865</v>
      </c>
      <c r="C41" s="923" t="str">
        <f t="shared" ref="C41:E42" si="7">C40</f>
        <v>chennai</v>
      </c>
      <c r="D41" s="917">
        <f t="shared" si="7"/>
        <v>650</v>
      </c>
      <c r="E41" s="918">
        <f t="shared" si="7"/>
        <v>3432.6453373234167</v>
      </c>
      <c r="F41" s="911">
        <f>'Input Data'!J15</f>
        <v>75983</v>
      </c>
      <c r="G41" s="932"/>
      <c r="H41" s="924"/>
      <c r="I41" s="924"/>
      <c r="J41" s="911">
        <f t="shared" ref="J41:J42" si="8">E41+F41</f>
        <v>79415.645337323411</v>
      </c>
      <c r="L41" s="957"/>
    </row>
    <row r="42" spans="1:13" s="900" customFormat="1" ht="15.6">
      <c r="A42" s="907">
        <v>38</v>
      </c>
      <c r="B42" s="933" t="s">
        <v>1866</v>
      </c>
      <c r="C42" s="923" t="str">
        <f t="shared" si="7"/>
        <v>chennai</v>
      </c>
      <c r="D42" s="917">
        <f t="shared" si="7"/>
        <v>650</v>
      </c>
      <c r="E42" s="918">
        <f t="shared" si="7"/>
        <v>3432.6453373234167</v>
      </c>
      <c r="F42" s="911">
        <f>'Input Data'!J16</f>
        <v>43017</v>
      </c>
      <c r="G42" s="932"/>
      <c r="H42" s="924"/>
      <c r="I42" s="924"/>
      <c r="J42" s="911">
        <f t="shared" si="8"/>
        <v>46449.645337323418</v>
      </c>
      <c r="L42" s="957"/>
    </row>
    <row r="43" spans="1:13" ht="15.6">
      <c r="A43" s="907">
        <v>39</v>
      </c>
      <c r="B43" s="934" t="s">
        <v>1867</v>
      </c>
      <c r="C43" s="935" t="str">
        <f>+'Input Data'!$D$16</f>
        <v>Kothakota</v>
      </c>
      <c r="D43" s="936">
        <f>'Input Data'!$E$16</f>
        <v>92</v>
      </c>
      <c r="E43" s="937">
        <f>((D43-5)*14.66+338.95)/1.13615</f>
        <v>1420.9127315935398</v>
      </c>
      <c r="F43" s="938">
        <f>+'NP4 pipes'!L17</f>
        <v>13785.26</v>
      </c>
      <c r="G43" s="939"/>
      <c r="H43" s="939"/>
      <c r="I43" s="939"/>
      <c r="J43" s="911">
        <f>SUM(E43:I43)</f>
        <v>15206.17273159354</v>
      </c>
      <c r="L43" s="957"/>
    </row>
    <row r="44" spans="1:13" ht="15.6">
      <c r="A44" s="907">
        <v>40</v>
      </c>
      <c r="B44" s="925" t="s">
        <v>1868</v>
      </c>
      <c r="C44" s="936" t="str">
        <f>+$C$43</f>
        <v>Kothakota</v>
      </c>
      <c r="D44" s="936">
        <f>'Input Data'!$E$16</f>
        <v>92</v>
      </c>
      <c r="E44" s="940">
        <f>((D44-5)*13.47+279.47)/1.13615</f>
        <v>1277.4369581481319</v>
      </c>
      <c r="F44" s="938">
        <f>+'NP4 pipes'!L19</f>
        <v>10147.49</v>
      </c>
      <c r="G44" s="941"/>
      <c r="H44" s="936"/>
      <c r="I44" s="936"/>
      <c r="J44" s="911">
        <f>SUM(E44:I44)</f>
        <v>11424.926958148131</v>
      </c>
      <c r="L44" s="957"/>
    </row>
    <row r="45" spans="1:13" ht="15.6">
      <c r="A45" s="907">
        <v>41</v>
      </c>
      <c r="B45" s="925" t="s">
        <v>1869</v>
      </c>
      <c r="C45" s="936" t="str">
        <f>+$C$44</f>
        <v>Kothakota</v>
      </c>
      <c r="D45" s="936">
        <f>'Input Data'!$E$16</f>
        <v>92</v>
      </c>
      <c r="E45" s="940">
        <f>((D45-5)*13.47+231.99)/1.13615</f>
        <v>1235.6467015798971</v>
      </c>
      <c r="F45" s="938">
        <f>+'NP4 pipes'!L21</f>
        <v>7438.07</v>
      </c>
      <c r="G45" s="941"/>
      <c r="H45" s="936"/>
      <c r="I45" s="936"/>
      <c r="J45" s="911">
        <f t="shared" ref="J45:J52" si="9">SUM(E45:I45)</f>
        <v>8673.7167015798968</v>
      </c>
      <c r="L45" s="957"/>
    </row>
    <row r="46" spans="1:13" ht="15.6">
      <c r="A46" s="907">
        <v>42</v>
      </c>
      <c r="B46" s="925" t="s">
        <v>1870</v>
      </c>
      <c r="C46" s="936" t="str">
        <f>+$C$45</f>
        <v>Kothakota</v>
      </c>
      <c r="D46" s="936">
        <f>'Input Data'!$E$16</f>
        <v>92</v>
      </c>
      <c r="E46" s="940">
        <f>((D46-5)*7.15+176.89)/1.13615</f>
        <v>703.19940148747969</v>
      </c>
      <c r="F46" s="938">
        <f>+'NP4 pipes'!L23</f>
        <v>5978.15</v>
      </c>
      <c r="G46" s="941"/>
      <c r="H46" s="936"/>
      <c r="I46" s="936"/>
      <c r="J46" s="911">
        <f t="shared" si="9"/>
        <v>6681.3494014874796</v>
      </c>
      <c r="L46" s="957"/>
    </row>
    <row r="47" spans="1:13" ht="15.6">
      <c r="A47" s="907">
        <v>43</v>
      </c>
      <c r="B47" s="925" t="s">
        <v>1871</v>
      </c>
      <c r="C47" s="936" t="str">
        <f>+$C$46</f>
        <v>Kothakota</v>
      </c>
      <c r="D47" s="936">
        <f>'Input Data'!$E$16</f>
        <v>92</v>
      </c>
      <c r="E47" s="940">
        <f>((D47-5)*7.15+147.15)/1.13615</f>
        <v>677.02328037671089</v>
      </c>
      <c r="F47" s="938">
        <f>+'NP4 pipes'!L25</f>
        <v>4558.3599999999997</v>
      </c>
      <c r="G47" s="941"/>
      <c r="H47" s="936"/>
      <c r="I47" s="936"/>
      <c r="J47" s="911">
        <f t="shared" si="9"/>
        <v>5235.3832803767109</v>
      </c>
      <c r="L47" s="957"/>
    </row>
    <row r="48" spans="1:13" ht="15.6">
      <c r="A48" s="907">
        <v>44</v>
      </c>
      <c r="B48" s="925" t="s">
        <v>1872</v>
      </c>
      <c r="C48" s="936" t="str">
        <f>+$C$47</f>
        <v>Kothakota</v>
      </c>
      <c r="D48" s="936">
        <f>'Input Data'!$E$16</f>
        <v>92</v>
      </c>
      <c r="E48" s="940">
        <f>((D48-5)*6.14+132.33)/1.13615</f>
        <v>586.63908814857189</v>
      </c>
      <c r="F48" s="938">
        <f>+'NP4 pipes'!L27</f>
        <v>3393.24</v>
      </c>
      <c r="G48" s="941"/>
      <c r="H48" s="936"/>
      <c r="I48" s="936"/>
      <c r="J48" s="911">
        <f t="shared" si="9"/>
        <v>3979.8790881485716</v>
      </c>
      <c r="L48" s="957"/>
    </row>
    <row r="49" spans="1:12" ht="15.6">
      <c r="A49" s="907">
        <v>45</v>
      </c>
      <c r="B49" s="942" t="s">
        <v>1873</v>
      </c>
      <c r="C49" s="936" t="str">
        <f>+$C$48</f>
        <v>Kothakota</v>
      </c>
      <c r="D49" s="936">
        <f>'Input Data'!$E$16</f>
        <v>92</v>
      </c>
      <c r="E49" s="940">
        <f>((D49-5)*2.76+80.32)/1.13615</f>
        <v>282.04022356202961</v>
      </c>
      <c r="F49" s="938">
        <f>+'NP4 pipes'!L29</f>
        <v>1754.64</v>
      </c>
      <c r="G49" s="941"/>
      <c r="H49" s="936"/>
      <c r="I49" s="936"/>
      <c r="J49" s="911">
        <f t="shared" si="9"/>
        <v>2036.6802235620298</v>
      </c>
      <c r="L49" s="957"/>
    </row>
    <row r="50" spans="1:12" ht="15.6">
      <c r="A50" s="907">
        <v>46</v>
      </c>
      <c r="B50" s="925" t="s">
        <v>1874</v>
      </c>
      <c r="C50" s="936" t="str">
        <f>+$C$49</f>
        <v>Kothakota</v>
      </c>
      <c r="D50" s="936">
        <f>'Input Data'!$E$16</f>
        <v>92</v>
      </c>
      <c r="E50" s="940">
        <f>((D50-5)*1.6+57.93)/1.13615</f>
        <v>173.50701931963212</v>
      </c>
      <c r="F50" s="938">
        <f>+'NP4 pipes'!L31</f>
        <v>1128.3900000000001</v>
      </c>
      <c r="G50" s="941"/>
      <c r="H50" s="936"/>
      <c r="I50" s="936"/>
      <c r="J50" s="911">
        <f t="shared" si="9"/>
        <v>1301.8970193196321</v>
      </c>
      <c r="L50" s="957"/>
    </row>
    <row r="51" spans="1:12" ht="15.6">
      <c r="A51" s="907">
        <v>47</v>
      </c>
      <c r="B51" s="925" t="s">
        <v>1875</v>
      </c>
      <c r="C51" s="935" t="str">
        <f>+'Input Data'!$D$16</f>
        <v>Kothakota</v>
      </c>
      <c r="D51" s="936">
        <f>'Input Data'!$E$16</f>
        <v>92</v>
      </c>
      <c r="E51" s="943"/>
      <c r="F51" s="938">
        <f>+'NP4 pipes'!L18</f>
        <v>1982.51</v>
      </c>
      <c r="G51" s="944"/>
      <c r="H51" s="944"/>
      <c r="I51" s="944"/>
      <c r="J51" s="911">
        <f t="shared" si="9"/>
        <v>1982.51</v>
      </c>
      <c r="L51" s="957"/>
    </row>
    <row r="52" spans="1:12" ht="15.6">
      <c r="A52" s="907">
        <v>48</v>
      </c>
      <c r="B52" s="925" t="s">
        <v>1876</v>
      </c>
      <c r="C52" s="936" t="str">
        <f>+$C$43</f>
        <v>Kothakota</v>
      </c>
      <c r="D52" s="936">
        <f>'Input Data'!$E$16</f>
        <v>92</v>
      </c>
      <c r="E52" s="943"/>
      <c r="F52" s="938">
        <f>+'NP4 pipes'!L20</f>
        <v>1252.68</v>
      </c>
      <c r="G52" s="941"/>
      <c r="H52" s="936"/>
      <c r="I52" s="936"/>
      <c r="J52" s="911">
        <f t="shared" si="9"/>
        <v>1252.68</v>
      </c>
      <c r="L52" s="957"/>
    </row>
    <row r="53" spans="1:12" ht="15.6">
      <c r="A53" s="907">
        <v>49</v>
      </c>
      <c r="B53" s="925" t="s">
        <v>1877</v>
      </c>
      <c r="C53" s="936" t="str">
        <f>+$C$44</f>
        <v>Kothakota</v>
      </c>
      <c r="D53" s="936">
        <f>'Input Data'!$E$16</f>
        <v>92</v>
      </c>
      <c r="E53" s="943"/>
      <c r="F53" s="938">
        <f>+'NP4 pipes'!L22</f>
        <v>996.44</v>
      </c>
      <c r="G53" s="941"/>
      <c r="H53" s="936"/>
      <c r="I53" s="936"/>
      <c r="J53" s="911">
        <f t="shared" ref="J53:J58" si="10">SUM(E53:I53)</f>
        <v>996.44</v>
      </c>
      <c r="L53" s="957"/>
    </row>
    <row r="54" spans="1:12" ht="15.6">
      <c r="A54" s="907">
        <v>50</v>
      </c>
      <c r="B54" s="925" t="s">
        <v>1878</v>
      </c>
      <c r="C54" s="936" t="str">
        <f>+$C$45</f>
        <v>Kothakota</v>
      </c>
      <c r="D54" s="936">
        <f>'Input Data'!$E$16</f>
        <v>92</v>
      </c>
      <c r="E54" s="943"/>
      <c r="F54" s="938">
        <f>+'NP4 pipes'!L24</f>
        <v>857.12</v>
      </c>
      <c r="G54" s="941"/>
      <c r="H54" s="936"/>
      <c r="I54" s="936"/>
      <c r="J54" s="911">
        <f t="shared" si="10"/>
        <v>857.12</v>
      </c>
      <c r="L54" s="957"/>
    </row>
    <row r="55" spans="1:12" ht="15.6">
      <c r="A55" s="907">
        <v>51</v>
      </c>
      <c r="B55" s="925" t="s">
        <v>1879</v>
      </c>
      <c r="C55" s="936" t="str">
        <f>+$C$46</f>
        <v>Kothakota</v>
      </c>
      <c r="D55" s="936">
        <f>'Input Data'!$E$16</f>
        <v>92</v>
      </c>
      <c r="E55" s="943"/>
      <c r="F55" s="938">
        <f>+'NP4 pipes'!L26</f>
        <v>679.73</v>
      </c>
      <c r="G55" s="941"/>
      <c r="H55" s="936"/>
      <c r="I55" s="936"/>
      <c r="J55" s="911">
        <f t="shared" si="10"/>
        <v>679.73</v>
      </c>
      <c r="L55" s="957"/>
    </row>
    <row r="56" spans="1:12" ht="15.6">
      <c r="A56" s="907">
        <v>52</v>
      </c>
      <c r="B56" s="925" t="s">
        <v>1880</v>
      </c>
      <c r="C56" s="936" t="str">
        <f>+$C$47</f>
        <v>Kothakota</v>
      </c>
      <c r="D56" s="936">
        <f>'Input Data'!$E$16</f>
        <v>92</v>
      </c>
      <c r="E56" s="943"/>
      <c r="F56" s="938">
        <f>+'NP4 pipes'!L28</f>
        <v>500.26</v>
      </c>
      <c r="G56" s="941"/>
      <c r="H56" s="936"/>
      <c r="I56" s="936"/>
      <c r="J56" s="911">
        <f t="shared" si="10"/>
        <v>500.26</v>
      </c>
      <c r="L56" s="957"/>
    </row>
    <row r="57" spans="1:12" ht="15.6">
      <c r="A57" s="907">
        <v>53</v>
      </c>
      <c r="B57" s="942" t="s">
        <v>1881</v>
      </c>
      <c r="C57" s="936" t="str">
        <f>+$C$48</f>
        <v>Kothakota</v>
      </c>
      <c r="D57" s="936">
        <f>'Input Data'!$E$16</f>
        <v>92</v>
      </c>
      <c r="E57" s="943"/>
      <c r="F57" s="938">
        <f>+'NP4 pipes'!L30</f>
        <v>318.85000000000002</v>
      </c>
      <c r="G57" s="941"/>
      <c r="H57" s="936"/>
      <c r="I57" s="936"/>
      <c r="J57" s="911">
        <f t="shared" si="10"/>
        <v>318.85000000000002</v>
      </c>
      <c r="L57" s="957"/>
    </row>
    <row r="58" spans="1:12" ht="15.6">
      <c r="A58" s="907">
        <v>54</v>
      </c>
      <c r="B58" s="925" t="s">
        <v>1882</v>
      </c>
      <c r="C58" s="936" t="str">
        <f>+$C$49</f>
        <v>Kothakota</v>
      </c>
      <c r="D58" s="936">
        <f>'Input Data'!$E$16</f>
        <v>92</v>
      </c>
      <c r="E58" s="943"/>
      <c r="F58" s="938">
        <f>+'NP4 pipes'!L32</f>
        <v>173.5</v>
      </c>
      <c r="G58" s="941"/>
      <c r="H58" s="936"/>
      <c r="I58" s="936"/>
      <c r="J58" s="911">
        <f t="shared" si="10"/>
        <v>173.5</v>
      </c>
      <c r="L58" s="957"/>
    </row>
    <row r="59" spans="1:12" s="902" customFormat="1" ht="15.6">
      <c r="A59" s="945"/>
      <c r="B59" s="946" t="s">
        <v>1883</v>
      </c>
      <c r="C59" s="947"/>
      <c r="D59" s="947"/>
      <c r="E59" s="947"/>
      <c r="F59" s="948"/>
      <c r="G59" s="949"/>
      <c r="H59" s="950"/>
      <c r="I59" s="950"/>
      <c r="J59" s="963"/>
    </row>
    <row r="60" spans="1:12" s="903" customFormat="1" ht="15.6">
      <c r="A60" s="903">
        <v>1</v>
      </c>
      <c r="B60" s="903" t="s">
        <v>1884</v>
      </c>
      <c r="D60" s="951"/>
      <c r="E60" s="951"/>
    </row>
    <row r="61" spans="1:12" s="903" customFormat="1" ht="15.6">
      <c r="A61" s="903">
        <v>2</v>
      </c>
      <c r="B61" s="903" t="s">
        <v>1885</v>
      </c>
      <c r="D61" s="951"/>
      <c r="E61" s="951"/>
    </row>
    <row r="62" spans="1:12" s="902" customFormat="1" ht="21.6" customHeight="1">
      <c r="A62" s="902">
        <v>3</v>
      </c>
      <c r="B62" s="903" t="s">
        <v>1886</v>
      </c>
      <c r="C62" s="952"/>
      <c r="D62" s="947"/>
      <c r="E62" s="947"/>
    </row>
    <row r="63" spans="1:12" ht="19.2" customHeight="1">
      <c r="A63" s="902">
        <v>4</v>
      </c>
      <c r="B63" s="953" t="s">
        <v>1887</v>
      </c>
      <c r="C63" s="954" t="str">
        <f>'Input Data'!D26</f>
        <v>N</v>
      </c>
      <c r="D63" s="905"/>
      <c r="E63" s="955"/>
    </row>
    <row r="64" spans="1:12" ht="20.100000000000001" customHeight="1">
      <c r="A64" s="902">
        <v>5</v>
      </c>
      <c r="B64" s="953" t="s">
        <v>1888</v>
      </c>
      <c r="C64" s="905" t="s">
        <v>1889</v>
      </c>
      <c r="D64" s="954">
        <f>'Input Data'!D23</f>
        <v>0</v>
      </c>
      <c r="E64" s="955"/>
    </row>
    <row r="65" spans="1:11" ht="20.100000000000001" customHeight="1">
      <c r="A65" s="902"/>
      <c r="B65" s="903"/>
      <c r="C65" s="964"/>
      <c r="D65" s="965"/>
      <c r="E65" s="955"/>
    </row>
    <row r="66" spans="1:11" ht="39" customHeight="1">
      <c r="A66" s="966"/>
      <c r="B66" s="967" t="s">
        <v>1890</v>
      </c>
      <c r="D66" s="968" t="str">
        <f>+GA!$C$34</f>
        <v>Dy. Exe. Engineer</v>
      </c>
      <c r="E66" s="968"/>
      <c r="G66" s="969" t="str">
        <f>+GA!$B$37</f>
        <v>District Panchayat Raj Engineer,</v>
      </c>
      <c r="I66" s="3719" t="s">
        <v>455</v>
      </c>
      <c r="J66" s="3719"/>
      <c r="K66" s="3719"/>
    </row>
    <row r="67" spans="1:11" ht="15.6">
      <c r="A67" s="970"/>
      <c r="B67" s="971" t="str">
        <f>+GA!$B$35</f>
        <v>PRSD Maddur</v>
      </c>
      <c r="C67" s="955"/>
      <c r="D67" s="3720" t="str">
        <f>+GA!$C$35</f>
        <v>PRSD, Maddur</v>
      </c>
      <c r="E67" s="3720"/>
      <c r="G67" s="972" t="str">
        <f>+GA!$B$38</f>
        <v>PR Division, Narayanpet</v>
      </c>
      <c r="I67" s="3721" t="str">
        <f>"PR, Circle, "&amp;'Input Data'!D3&amp;""</f>
        <v>PR, Circle, Vikarabad</v>
      </c>
      <c r="J67" s="3721"/>
      <c r="K67" s="3721"/>
    </row>
    <row r="68" spans="1:11" ht="20.100000000000001" customHeight="1">
      <c r="B68" s="955"/>
      <c r="C68" s="955"/>
      <c r="D68" s="955"/>
      <c r="E68" s="955"/>
    </row>
  </sheetData>
  <sheetProtection password="83A3" sheet="1" objects="1" scenarios="1" selectLockedCells="1" selectUnlockedCells="1"/>
  <mergeCells count="6">
    <mergeCell ref="A1:J1"/>
    <mergeCell ref="A2:B2"/>
    <mergeCell ref="C2:J2"/>
    <mergeCell ref="I66:K66"/>
    <mergeCell ref="D67:E67"/>
    <mergeCell ref="I67:K67"/>
  </mergeCells>
  <printOptions horizontalCentered="1"/>
  <pageMargins left="0.75" right="0.25" top="0.5" bottom="0.25" header="0.5" footer="0"/>
  <pageSetup paperSize="9" scale="83" orientation="landscape" r:id="rId1"/>
  <headerFooter alignWithMargins="0"/>
  <rowBreaks count="2" manualBreakCount="2">
    <brk id="25" max="9" man="1"/>
    <brk id="58" max="9"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WN31"/>
  <sheetViews>
    <sheetView view="pageBreakPreview" topLeftCell="A4" workbookViewId="0">
      <selection activeCell="V18" sqref="V18"/>
    </sheetView>
  </sheetViews>
  <sheetFormatPr defaultColWidth="9" defaultRowHeight="12.6"/>
  <cols>
    <col min="1" max="1" width="2.6640625" style="859" customWidth="1"/>
    <col min="2" max="2" width="3.33203125" style="859" customWidth="1"/>
    <col min="3" max="3" width="3.88671875" style="859" customWidth="1"/>
    <col min="4" max="7" width="4.44140625" style="859" customWidth="1"/>
    <col min="8" max="8" width="8.109375" style="859" customWidth="1"/>
    <col min="9" max="12" width="4.44140625" style="859" customWidth="1"/>
    <col min="13" max="13" width="9.44140625" style="859" customWidth="1"/>
    <col min="14" max="14" width="4" style="859" customWidth="1"/>
    <col min="15" max="15" width="1.109375" style="859" hidden="1" customWidth="1"/>
    <col min="16" max="16" width="0.44140625" style="859" hidden="1" customWidth="1"/>
    <col min="17" max="17" width="4.44140625" style="859" hidden="1" customWidth="1"/>
    <col min="18" max="18" width="4.44140625" style="859" customWidth="1"/>
    <col min="19" max="19" width="1.44140625" style="859" customWidth="1"/>
    <col min="20" max="20" width="4" style="859" customWidth="1"/>
    <col min="21" max="25" width="4.44140625" style="859" customWidth="1"/>
    <col min="26" max="26" width="3.44140625" style="859" customWidth="1"/>
    <col min="27" max="27" width="5.33203125" style="859" customWidth="1"/>
    <col min="28" max="28" width="21" style="859" customWidth="1"/>
    <col min="29" max="29" width="4.6640625" style="859" customWidth="1"/>
    <col min="30" max="30" width="3.88671875" style="859" customWidth="1"/>
    <col min="31" max="32" width="9.109375" style="859" hidden="1" customWidth="1"/>
    <col min="33" max="256" width="8.88671875" style="859"/>
    <col min="257" max="257" width="2.6640625" style="859" customWidth="1"/>
    <col min="258" max="258" width="3.33203125" style="859" customWidth="1"/>
    <col min="259" max="259" width="3.88671875" style="859" customWidth="1"/>
    <col min="260" max="268" width="4.44140625" style="859" customWidth="1"/>
    <col min="269" max="269" width="9.44140625" style="859" customWidth="1"/>
    <col min="270" max="270" width="4" style="859" customWidth="1"/>
    <col min="271" max="273" width="9" style="859" hidden="1" customWidth="1"/>
    <col min="274" max="274" width="4.44140625" style="859" customWidth="1"/>
    <col min="275" max="275" width="1.44140625" style="859" customWidth="1"/>
    <col min="276" max="276" width="4" style="859" customWidth="1"/>
    <col min="277" max="281" width="4.44140625" style="859" customWidth="1"/>
    <col min="282" max="282" width="3.44140625" style="859" customWidth="1"/>
    <col min="283" max="283" width="5.5546875" style="859" customWidth="1"/>
    <col min="284" max="284" width="21" style="859" customWidth="1"/>
    <col min="285" max="285" width="4.6640625" style="859" customWidth="1"/>
    <col min="286" max="286" width="3.88671875" style="859" customWidth="1"/>
    <col min="287" max="288" width="9" style="859" hidden="1" customWidth="1"/>
    <col min="289" max="512" width="8.88671875" style="859"/>
    <col min="513" max="513" width="2.6640625" style="859" customWidth="1"/>
    <col min="514" max="514" width="3.33203125" style="859" customWidth="1"/>
    <col min="515" max="515" width="3.88671875" style="859" customWidth="1"/>
    <col min="516" max="524" width="4.44140625" style="859" customWidth="1"/>
    <col min="525" max="525" width="9.44140625" style="859" customWidth="1"/>
    <col min="526" max="526" width="4" style="859" customWidth="1"/>
    <col min="527" max="529" width="9" style="859" hidden="1" customWidth="1"/>
    <col min="530" max="530" width="4.44140625" style="859" customWidth="1"/>
    <col min="531" max="531" width="1.44140625" style="859" customWidth="1"/>
    <col min="532" max="532" width="4" style="859" customWidth="1"/>
    <col min="533" max="537" width="4.44140625" style="859" customWidth="1"/>
    <col min="538" max="538" width="3.44140625" style="859" customWidth="1"/>
    <col min="539" max="539" width="5.5546875" style="859" customWidth="1"/>
    <col min="540" max="540" width="21" style="859" customWidth="1"/>
    <col min="541" max="541" width="4.6640625" style="859" customWidth="1"/>
    <col min="542" max="542" width="3.88671875" style="859" customWidth="1"/>
    <col min="543" max="544" width="9" style="859" hidden="1" customWidth="1"/>
    <col min="545" max="768" width="8.88671875" style="859"/>
    <col min="769" max="769" width="2.6640625" style="859" customWidth="1"/>
    <col min="770" max="770" width="3.33203125" style="859" customWidth="1"/>
    <col min="771" max="771" width="3.88671875" style="859" customWidth="1"/>
    <col min="772" max="780" width="4.44140625" style="859" customWidth="1"/>
    <col min="781" max="781" width="9.44140625" style="859" customWidth="1"/>
    <col min="782" max="782" width="4" style="859" customWidth="1"/>
    <col min="783" max="785" width="9" style="859" hidden="1" customWidth="1"/>
    <col min="786" max="786" width="4.44140625" style="859" customWidth="1"/>
    <col min="787" max="787" width="1.44140625" style="859" customWidth="1"/>
    <col min="788" max="788" width="4" style="859" customWidth="1"/>
    <col min="789" max="793" width="4.44140625" style="859" customWidth="1"/>
    <col min="794" max="794" width="3.44140625" style="859" customWidth="1"/>
    <col min="795" max="795" width="5.5546875" style="859" customWidth="1"/>
    <col min="796" max="796" width="21" style="859" customWidth="1"/>
    <col min="797" max="797" width="4.6640625" style="859" customWidth="1"/>
    <col min="798" max="798" width="3.88671875" style="859" customWidth="1"/>
    <col min="799" max="800" width="9" style="859" hidden="1" customWidth="1"/>
    <col min="801" max="1024" width="8.88671875" style="859"/>
    <col min="1025" max="1025" width="2.6640625" style="859" customWidth="1"/>
    <col min="1026" max="1026" width="3.33203125" style="859" customWidth="1"/>
    <col min="1027" max="1027" width="3.88671875" style="859" customWidth="1"/>
    <col min="1028" max="1036" width="4.44140625" style="859" customWidth="1"/>
    <col min="1037" max="1037" width="9.44140625" style="859" customWidth="1"/>
    <col min="1038" max="1038" width="4" style="859" customWidth="1"/>
    <col min="1039" max="1041" width="9" style="859" hidden="1" customWidth="1"/>
    <col min="1042" max="1042" width="4.44140625" style="859" customWidth="1"/>
    <col min="1043" max="1043" width="1.44140625" style="859" customWidth="1"/>
    <col min="1044" max="1044" width="4" style="859" customWidth="1"/>
    <col min="1045" max="1049" width="4.44140625" style="859" customWidth="1"/>
    <col min="1050" max="1050" width="3.44140625" style="859" customWidth="1"/>
    <col min="1051" max="1051" width="5.5546875" style="859" customWidth="1"/>
    <col min="1052" max="1052" width="21" style="859" customWidth="1"/>
    <col min="1053" max="1053" width="4.6640625" style="859" customWidth="1"/>
    <col min="1054" max="1054" width="3.88671875" style="859" customWidth="1"/>
    <col min="1055" max="1056" width="9" style="859" hidden="1" customWidth="1"/>
    <col min="1057" max="1280" width="8.88671875" style="859"/>
    <col min="1281" max="1281" width="2.6640625" style="859" customWidth="1"/>
    <col min="1282" max="1282" width="3.33203125" style="859" customWidth="1"/>
    <col min="1283" max="1283" width="3.88671875" style="859" customWidth="1"/>
    <col min="1284" max="1292" width="4.44140625" style="859" customWidth="1"/>
    <col min="1293" max="1293" width="9.44140625" style="859" customWidth="1"/>
    <col min="1294" max="1294" width="4" style="859" customWidth="1"/>
    <col min="1295" max="1297" width="9" style="859" hidden="1" customWidth="1"/>
    <col min="1298" max="1298" width="4.44140625" style="859" customWidth="1"/>
    <col min="1299" max="1299" width="1.44140625" style="859" customWidth="1"/>
    <col min="1300" max="1300" width="4" style="859" customWidth="1"/>
    <col min="1301" max="1305" width="4.44140625" style="859" customWidth="1"/>
    <col min="1306" max="1306" width="3.44140625" style="859" customWidth="1"/>
    <col min="1307" max="1307" width="5.5546875" style="859" customWidth="1"/>
    <col min="1308" max="1308" width="21" style="859" customWidth="1"/>
    <col min="1309" max="1309" width="4.6640625" style="859" customWidth="1"/>
    <col min="1310" max="1310" width="3.88671875" style="859" customWidth="1"/>
    <col min="1311" max="1312" width="9" style="859" hidden="1" customWidth="1"/>
    <col min="1313" max="1536" width="8.88671875" style="859"/>
    <col min="1537" max="1537" width="2.6640625" style="859" customWidth="1"/>
    <col min="1538" max="1538" width="3.33203125" style="859" customWidth="1"/>
    <col min="1539" max="1539" width="3.88671875" style="859" customWidth="1"/>
    <col min="1540" max="1548" width="4.44140625" style="859" customWidth="1"/>
    <col min="1549" max="1549" width="9.44140625" style="859" customWidth="1"/>
    <col min="1550" max="1550" width="4" style="859" customWidth="1"/>
    <col min="1551" max="1553" width="9" style="859" hidden="1" customWidth="1"/>
    <col min="1554" max="1554" width="4.44140625" style="859" customWidth="1"/>
    <col min="1555" max="1555" width="1.44140625" style="859" customWidth="1"/>
    <col min="1556" max="1556" width="4" style="859" customWidth="1"/>
    <col min="1557" max="1561" width="4.44140625" style="859" customWidth="1"/>
    <col min="1562" max="1562" width="3.44140625" style="859" customWidth="1"/>
    <col min="1563" max="1563" width="5.5546875" style="859" customWidth="1"/>
    <col min="1564" max="1564" width="21" style="859" customWidth="1"/>
    <col min="1565" max="1565" width="4.6640625" style="859" customWidth="1"/>
    <col min="1566" max="1566" width="3.88671875" style="859" customWidth="1"/>
    <col min="1567" max="1568" width="9" style="859" hidden="1" customWidth="1"/>
    <col min="1569" max="1792" width="8.88671875" style="859"/>
    <col min="1793" max="1793" width="2.6640625" style="859" customWidth="1"/>
    <col min="1794" max="1794" width="3.33203125" style="859" customWidth="1"/>
    <col min="1795" max="1795" width="3.88671875" style="859" customWidth="1"/>
    <col min="1796" max="1804" width="4.44140625" style="859" customWidth="1"/>
    <col min="1805" max="1805" width="9.44140625" style="859" customWidth="1"/>
    <col min="1806" max="1806" width="4" style="859" customWidth="1"/>
    <col min="1807" max="1809" width="9" style="859" hidden="1" customWidth="1"/>
    <col min="1810" max="1810" width="4.44140625" style="859" customWidth="1"/>
    <col min="1811" max="1811" width="1.44140625" style="859" customWidth="1"/>
    <col min="1812" max="1812" width="4" style="859" customWidth="1"/>
    <col min="1813" max="1817" width="4.44140625" style="859" customWidth="1"/>
    <col min="1818" max="1818" width="3.44140625" style="859" customWidth="1"/>
    <col min="1819" max="1819" width="5.5546875" style="859" customWidth="1"/>
    <col min="1820" max="1820" width="21" style="859" customWidth="1"/>
    <col min="1821" max="1821" width="4.6640625" style="859" customWidth="1"/>
    <col min="1822" max="1822" width="3.88671875" style="859" customWidth="1"/>
    <col min="1823" max="1824" width="9" style="859" hidden="1" customWidth="1"/>
    <col min="1825" max="2048" width="8.88671875" style="859"/>
    <col min="2049" max="2049" width="2.6640625" style="859" customWidth="1"/>
    <col min="2050" max="2050" width="3.33203125" style="859" customWidth="1"/>
    <col min="2051" max="2051" width="3.88671875" style="859" customWidth="1"/>
    <col min="2052" max="2060" width="4.44140625" style="859" customWidth="1"/>
    <col min="2061" max="2061" width="9.44140625" style="859" customWidth="1"/>
    <col min="2062" max="2062" width="4" style="859" customWidth="1"/>
    <col min="2063" max="2065" width="9" style="859" hidden="1" customWidth="1"/>
    <col min="2066" max="2066" width="4.44140625" style="859" customWidth="1"/>
    <col min="2067" max="2067" width="1.44140625" style="859" customWidth="1"/>
    <col min="2068" max="2068" width="4" style="859" customWidth="1"/>
    <col min="2069" max="2073" width="4.44140625" style="859" customWidth="1"/>
    <col min="2074" max="2074" width="3.44140625" style="859" customWidth="1"/>
    <col min="2075" max="2075" width="5.5546875" style="859" customWidth="1"/>
    <col min="2076" max="2076" width="21" style="859" customWidth="1"/>
    <col min="2077" max="2077" width="4.6640625" style="859" customWidth="1"/>
    <col min="2078" max="2078" width="3.88671875" style="859" customWidth="1"/>
    <col min="2079" max="2080" width="9" style="859" hidden="1" customWidth="1"/>
    <col min="2081" max="2304" width="8.88671875" style="859"/>
    <col min="2305" max="2305" width="2.6640625" style="859" customWidth="1"/>
    <col min="2306" max="2306" width="3.33203125" style="859" customWidth="1"/>
    <col min="2307" max="2307" width="3.88671875" style="859" customWidth="1"/>
    <col min="2308" max="2316" width="4.44140625" style="859" customWidth="1"/>
    <col min="2317" max="2317" width="9.44140625" style="859" customWidth="1"/>
    <col min="2318" max="2318" width="4" style="859" customWidth="1"/>
    <col min="2319" max="2321" width="9" style="859" hidden="1" customWidth="1"/>
    <col min="2322" max="2322" width="4.44140625" style="859" customWidth="1"/>
    <col min="2323" max="2323" width="1.44140625" style="859" customWidth="1"/>
    <col min="2324" max="2324" width="4" style="859" customWidth="1"/>
    <col min="2325" max="2329" width="4.44140625" style="859" customWidth="1"/>
    <col min="2330" max="2330" width="3.44140625" style="859" customWidth="1"/>
    <col min="2331" max="2331" width="5.5546875" style="859" customWidth="1"/>
    <col min="2332" max="2332" width="21" style="859" customWidth="1"/>
    <col min="2333" max="2333" width="4.6640625" style="859" customWidth="1"/>
    <col min="2334" max="2334" width="3.88671875" style="859" customWidth="1"/>
    <col min="2335" max="2336" width="9" style="859" hidden="1" customWidth="1"/>
    <col min="2337" max="2560" width="8.88671875" style="859"/>
    <col min="2561" max="2561" width="2.6640625" style="859" customWidth="1"/>
    <col min="2562" max="2562" width="3.33203125" style="859" customWidth="1"/>
    <col min="2563" max="2563" width="3.88671875" style="859" customWidth="1"/>
    <col min="2564" max="2572" width="4.44140625" style="859" customWidth="1"/>
    <col min="2573" max="2573" width="9.44140625" style="859" customWidth="1"/>
    <col min="2574" max="2574" width="4" style="859" customWidth="1"/>
    <col min="2575" max="2577" width="9" style="859" hidden="1" customWidth="1"/>
    <col min="2578" max="2578" width="4.44140625" style="859" customWidth="1"/>
    <col min="2579" max="2579" width="1.44140625" style="859" customWidth="1"/>
    <col min="2580" max="2580" width="4" style="859" customWidth="1"/>
    <col min="2581" max="2585" width="4.44140625" style="859" customWidth="1"/>
    <col min="2586" max="2586" width="3.44140625" style="859" customWidth="1"/>
    <col min="2587" max="2587" width="5.5546875" style="859" customWidth="1"/>
    <col min="2588" max="2588" width="21" style="859" customWidth="1"/>
    <col min="2589" max="2589" width="4.6640625" style="859" customWidth="1"/>
    <col min="2590" max="2590" width="3.88671875" style="859" customWidth="1"/>
    <col min="2591" max="2592" width="9" style="859" hidden="1" customWidth="1"/>
    <col min="2593" max="2816" width="8.88671875" style="859"/>
    <col min="2817" max="2817" width="2.6640625" style="859" customWidth="1"/>
    <col min="2818" max="2818" width="3.33203125" style="859" customWidth="1"/>
    <col min="2819" max="2819" width="3.88671875" style="859" customWidth="1"/>
    <col min="2820" max="2828" width="4.44140625" style="859" customWidth="1"/>
    <col min="2829" max="2829" width="9.44140625" style="859" customWidth="1"/>
    <col min="2830" max="2830" width="4" style="859" customWidth="1"/>
    <col min="2831" max="2833" width="9" style="859" hidden="1" customWidth="1"/>
    <col min="2834" max="2834" width="4.44140625" style="859" customWidth="1"/>
    <col min="2835" max="2835" width="1.44140625" style="859" customWidth="1"/>
    <col min="2836" max="2836" width="4" style="859" customWidth="1"/>
    <col min="2837" max="2841" width="4.44140625" style="859" customWidth="1"/>
    <col min="2842" max="2842" width="3.44140625" style="859" customWidth="1"/>
    <col min="2843" max="2843" width="5.5546875" style="859" customWidth="1"/>
    <col min="2844" max="2844" width="21" style="859" customWidth="1"/>
    <col min="2845" max="2845" width="4.6640625" style="859" customWidth="1"/>
    <col min="2846" max="2846" width="3.88671875" style="859" customWidth="1"/>
    <col min="2847" max="2848" width="9" style="859" hidden="1" customWidth="1"/>
    <col min="2849" max="3072" width="8.88671875" style="859"/>
    <col min="3073" max="3073" width="2.6640625" style="859" customWidth="1"/>
    <col min="3074" max="3074" width="3.33203125" style="859" customWidth="1"/>
    <col min="3075" max="3075" width="3.88671875" style="859" customWidth="1"/>
    <col min="3076" max="3084" width="4.44140625" style="859" customWidth="1"/>
    <col min="3085" max="3085" width="9.44140625" style="859" customWidth="1"/>
    <col min="3086" max="3086" width="4" style="859" customWidth="1"/>
    <col min="3087" max="3089" width="9" style="859" hidden="1" customWidth="1"/>
    <col min="3090" max="3090" width="4.44140625" style="859" customWidth="1"/>
    <col min="3091" max="3091" width="1.44140625" style="859" customWidth="1"/>
    <col min="3092" max="3092" width="4" style="859" customWidth="1"/>
    <col min="3093" max="3097" width="4.44140625" style="859" customWidth="1"/>
    <col min="3098" max="3098" width="3.44140625" style="859" customWidth="1"/>
    <col min="3099" max="3099" width="5.5546875" style="859" customWidth="1"/>
    <col min="3100" max="3100" width="21" style="859" customWidth="1"/>
    <col min="3101" max="3101" width="4.6640625" style="859" customWidth="1"/>
    <col min="3102" max="3102" width="3.88671875" style="859" customWidth="1"/>
    <col min="3103" max="3104" width="9" style="859" hidden="1" customWidth="1"/>
    <col min="3105" max="3328" width="8.88671875" style="859"/>
    <col min="3329" max="3329" width="2.6640625" style="859" customWidth="1"/>
    <col min="3330" max="3330" width="3.33203125" style="859" customWidth="1"/>
    <col min="3331" max="3331" width="3.88671875" style="859" customWidth="1"/>
    <col min="3332" max="3340" width="4.44140625" style="859" customWidth="1"/>
    <col min="3341" max="3341" width="9.44140625" style="859" customWidth="1"/>
    <col min="3342" max="3342" width="4" style="859" customWidth="1"/>
    <col min="3343" max="3345" width="9" style="859" hidden="1" customWidth="1"/>
    <col min="3346" max="3346" width="4.44140625" style="859" customWidth="1"/>
    <col min="3347" max="3347" width="1.44140625" style="859" customWidth="1"/>
    <col min="3348" max="3348" width="4" style="859" customWidth="1"/>
    <col min="3349" max="3353" width="4.44140625" style="859" customWidth="1"/>
    <col min="3354" max="3354" width="3.44140625" style="859" customWidth="1"/>
    <col min="3355" max="3355" width="5.5546875" style="859" customWidth="1"/>
    <col min="3356" max="3356" width="21" style="859" customWidth="1"/>
    <col min="3357" max="3357" width="4.6640625" style="859" customWidth="1"/>
    <col min="3358" max="3358" width="3.88671875" style="859" customWidth="1"/>
    <col min="3359" max="3360" width="9" style="859" hidden="1" customWidth="1"/>
    <col min="3361" max="3584" width="8.88671875" style="859"/>
    <col min="3585" max="3585" width="2.6640625" style="859" customWidth="1"/>
    <col min="3586" max="3586" width="3.33203125" style="859" customWidth="1"/>
    <col min="3587" max="3587" width="3.88671875" style="859" customWidth="1"/>
    <col min="3588" max="3596" width="4.44140625" style="859" customWidth="1"/>
    <col min="3597" max="3597" width="9.44140625" style="859" customWidth="1"/>
    <col min="3598" max="3598" width="4" style="859" customWidth="1"/>
    <col min="3599" max="3601" width="9" style="859" hidden="1" customWidth="1"/>
    <col min="3602" max="3602" width="4.44140625" style="859" customWidth="1"/>
    <col min="3603" max="3603" width="1.44140625" style="859" customWidth="1"/>
    <col min="3604" max="3604" width="4" style="859" customWidth="1"/>
    <col min="3605" max="3609" width="4.44140625" style="859" customWidth="1"/>
    <col min="3610" max="3610" width="3.44140625" style="859" customWidth="1"/>
    <col min="3611" max="3611" width="5.5546875" style="859" customWidth="1"/>
    <col min="3612" max="3612" width="21" style="859" customWidth="1"/>
    <col min="3613" max="3613" width="4.6640625" style="859" customWidth="1"/>
    <col min="3614" max="3614" width="3.88671875" style="859" customWidth="1"/>
    <col min="3615" max="3616" width="9" style="859" hidden="1" customWidth="1"/>
    <col min="3617" max="3840" width="8.88671875" style="859"/>
    <col min="3841" max="3841" width="2.6640625" style="859" customWidth="1"/>
    <col min="3842" max="3842" width="3.33203125" style="859" customWidth="1"/>
    <col min="3843" max="3843" width="3.88671875" style="859" customWidth="1"/>
    <col min="3844" max="3852" width="4.44140625" style="859" customWidth="1"/>
    <col min="3853" max="3853" width="9.44140625" style="859" customWidth="1"/>
    <col min="3854" max="3854" width="4" style="859" customWidth="1"/>
    <col min="3855" max="3857" width="9" style="859" hidden="1" customWidth="1"/>
    <col min="3858" max="3858" width="4.44140625" style="859" customWidth="1"/>
    <col min="3859" max="3859" width="1.44140625" style="859" customWidth="1"/>
    <col min="3860" max="3860" width="4" style="859" customWidth="1"/>
    <col min="3861" max="3865" width="4.44140625" style="859" customWidth="1"/>
    <col min="3866" max="3866" width="3.44140625" style="859" customWidth="1"/>
    <col min="3867" max="3867" width="5.5546875" style="859" customWidth="1"/>
    <col min="3868" max="3868" width="21" style="859" customWidth="1"/>
    <col min="3869" max="3869" width="4.6640625" style="859" customWidth="1"/>
    <col min="3870" max="3870" width="3.88671875" style="859" customWidth="1"/>
    <col min="3871" max="3872" width="9" style="859" hidden="1" customWidth="1"/>
    <col min="3873" max="4096" width="8.88671875" style="859"/>
    <col min="4097" max="4097" width="2.6640625" style="859" customWidth="1"/>
    <col min="4098" max="4098" width="3.33203125" style="859" customWidth="1"/>
    <col min="4099" max="4099" width="3.88671875" style="859" customWidth="1"/>
    <col min="4100" max="4108" width="4.44140625" style="859" customWidth="1"/>
    <col min="4109" max="4109" width="9.44140625" style="859" customWidth="1"/>
    <col min="4110" max="4110" width="4" style="859" customWidth="1"/>
    <col min="4111" max="4113" width="9" style="859" hidden="1" customWidth="1"/>
    <col min="4114" max="4114" width="4.44140625" style="859" customWidth="1"/>
    <col min="4115" max="4115" width="1.44140625" style="859" customWidth="1"/>
    <col min="4116" max="4116" width="4" style="859" customWidth="1"/>
    <col min="4117" max="4121" width="4.44140625" style="859" customWidth="1"/>
    <col min="4122" max="4122" width="3.44140625" style="859" customWidth="1"/>
    <col min="4123" max="4123" width="5.5546875" style="859" customWidth="1"/>
    <col min="4124" max="4124" width="21" style="859" customWidth="1"/>
    <col min="4125" max="4125" width="4.6640625" style="859" customWidth="1"/>
    <col min="4126" max="4126" width="3.88671875" style="859" customWidth="1"/>
    <col min="4127" max="4128" width="9" style="859" hidden="1" customWidth="1"/>
    <col min="4129" max="4352" width="8.88671875" style="859"/>
    <col min="4353" max="4353" width="2.6640625" style="859" customWidth="1"/>
    <col min="4354" max="4354" width="3.33203125" style="859" customWidth="1"/>
    <col min="4355" max="4355" width="3.88671875" style="859" customWidth="1"/>
    <col min="4356" max="4364" width="4.44140625" style="859" customWidth="1"/>
    <col min="4365" max="4365" width="9.44140625" style="859" customWidth="1"/>
    <col min="4366" max="4366" width="4" style="859" customWidth="1"/>
    <col min="4367" max="4369" width="9" style="859" hidden="1" customWidth="1"/>
    <col min="4370" max="4370" width="4.44140625" style="859" customWidth="1"/>
    <col min="4371" max="4371" width="1.44140625" style="859" customWidth="1"/>
    <col min="4372" max="4372" width="4" style="859" customWidth="1"/>
    <col min="4373" max="4377" width="4.44140625" style="859" customWidth="1"/>
    <col min="4378" max="4378" width="3.44140625" style="859" customWidth="1"/>
    <col min="4379" max="4379" width="5.5546875" style="859" customWidth="1"/>
    <col min="4380" max="4380" width="21" style="859" customWidth="1"/>
    <col min="4381" max="4381" width="4.6640625" style="859" customWidth="1"/>
    <col min="4382" max="4382" width="3.88671875" style="859" customWidth="1"/>
    <col min="4383" max="4384" width="9" style="859" hidden="1" customWidth="1"/>
    <col min="4385" max="4608" width="8.88671875" style="859"/>
    <col min="4609" max="4609" width="2.6640625" style="859" customWidth="1"/>
    <col min="4610" max="4610" width="3.33203125" style="859" customWidth="1"/>
    <col min="4611" max="4611" width="3.88671875" style="859" customWidth="1"/>
    <col min="4612" max="4620" width="4.44140625" style="859" customWidth="1"/>
    <col min="4621" max="4621" width="9.44140625" style="859" customWidth="1"/>
    <col min="4622" max="4622" width="4" style="859" customWidth="1"/>
    <col min="4623" max="4625" width="9" style="859" hidden="1" customWidth="1"/>
    <col min="4626" max="4626" width="4.44140625" style="859" customWidth="1"/>
    <col min="4627" max="4627" width="1.44140625" style="859" customWidth="1"/>
    <col min="4628" max="4628" width="4" style="859" customWidth="1"/>
    <col min="4629" max="4633" width="4.44140625" style="859" customWidth="1"/>
    <col min="4634" max="4634" width="3.44140625" style="859" customWidth="1"/>
    <col min="4635" max="4635" width="5.5546875" style="859" customWidth="1"/>
    <col min="4636" max="4636" width="21" style="859" customWidth="1"/>
    <col min="4637" max="4637" width="4.6640625" style="859" customWidth="1"/>
    <col min="4638" max="4638" width="3.88671875" style="859" customWidth="1"/>
    <col min="4639" max="4640" width="9" style="859" hidden="1" customWidth="1"/>
    <col min="4641" max="4864" width="8.88671875" style="859"/>
    <col min="4865" max="4865" width="2.6640625" style="859" customWidth="1"/>
    <col min="4866" max="4866" width="3.33203125" style="859" customWidth="1"/>
    <col min="4867" max="4867" width="3.88671875" style="859" customWidth="1"/>
    <col min="4868" max="4876" width="4.44140625" style="859" customWidth="1"/>
    <col min="4877" max="4877" width="9.44140625" style="859" customWidth="1"/>
    <col min="4878" max="4878" width="4" style="859" customWidth="1"/>
    <col min="4879" max="4881" width="9" style="859" hidden="1" customWidth="1"/>
    <col min="4882" max="4882" width="4.44140625" style="859" customWidth="1"/>
    <col min="4883" max="4883" width="1.44140625" style="859" customWidth="1"/>
    <col min="4884" max="4884" width="4" style="859" customWidth="1"/>
    <col min="4885" max="4889" width="4.44140625" style="859" customWidth="1"/>
    <col min="4890" max="4890" width="3.44140625" style="859" customWidth="1"/>
    <col min="4891" max="4891" width="5.5546875" style="859" customWidth="1"/>
    <col min="4892" max="4892" width="21" style="859" customWidth="1"/>
    <col min="4893" max="4893" width="4.6640625" style="859" customWidth="1"/>
    <col min="4894" max="4894" width="3.88671875" style="859" customWidth="1"/>
    <col min="4895" max="4896" width="9" style="859" hidden="1" customWidth="1"/>
    <col min="4897" max="5120" width="8.88671875" style="859"/>
    <col min="5121" max="5121" width="2.6640625" style="859" customWidth="1"/>
    <col min="5122" max="5122" width="3.33203125" style="859" customWidth="1"/>
    <col min="5123" max="5123" width="3.88671875" style="859" customWidth="1"/>
    <col min="5124" max="5132" width="4.44140625" style="859" customWidth="1"/>
    <col min="5133" max="5133" width="9.44140625" style="859" customWidth="1"/>
    <col min="5134" max="5134" width="4" style="859" customWidth="1"/>
    <col min="5135" max="5137" width="9" style="859" hidden="1" customWidth="1"/>
    <col min="5138" max="5138" width="4.44140625" style="859" customWidth="1"/>
    <col min="5139" max="5139" width="1.44140625" style="859" customWidth="1"/>
    <col min="5140" max="5140" width="4" style="859" customWidth="1"/>
    <col min="5141" max="5145" width="4.44140625" style="859" customWidth="1"/>
    <col min="5146" max="5146" width="3.44140625" style="859" customWidth="1"/>
    <col min="5147" max="5147" width="5.5546875" style="859" customWidth="1"/>
    <col min="5148" max="5148" width="21" style="859" customWidth="1"/>
    <col min="5149" max="5149" width="4.6640625" style="859" customWidth="1"/>
    <col min="5150" max="5150" width="3.88671875" style="859" customWidth="1"/>
    <col min="5151" max="5152" width="9" style="859" hidden="1" customWidth="1"/>
    <col min="5153" max="5376" width="8.88671875" style="859"/>
    <col min="5377" max="5377" width="2.6640625" style="859" customWidth="1"/>
    <col min="5378" max="5378" width="3.33203125" style="859" customWidth="1"/>
    <col min="5379" max="5379" width="3.88671875" style="859" customWidth="1"/>
    <col min="5380" max="5388" width="4.44140625" style="859" customWidth="1"/>
    <col min="5389" max="5389" width="9.44140625" style="859" customWidth="1"/>
    <col min="5390" max="5390" width="4" style="859" customWidth="1"/>
    <col min="5391" max="5393" width="9" style="859" hidden="1" customWidth="1"/>
    <col min="5394" max="5394" width="4.44140625" style="859" customWidth="1"/>
    <col min="5395" max="5395" width="1.44140625" style="859" customWidth="1"/>
    <col min="5396" max="5396" width="4" style="859" customWidth="1"/>
    <col min="5397" max="5401" width="4.44140625" style="859" customWidth="1"/>
    <col min="5402" max="5402" width="3.44140625" style="859" customWidth="1"/>
    <col min="5403" max="5403" width="5.5546875" style="859" customWidth="1"/>
    <col min="5404" max="5404" width="21" style="859" customWidth="1"/>
    <col min="5405" max="5405" width="4.6640625" style="859" customWidth="1"/>
    <col min="5406" max="5406" width="3.88671875" style="859" customWidth="1"/>
    <col min="5407" max="5408" width="9" style="859" hidden="1" customWidth="1"/>
    <col min="5409" max="5632" width="8.88671875" style="859"/>
    <col min="5633" max="5633" width="2.6640625" style="859" customWidth="1"/>
    <col min="5634" max="5634" width="3.33203125" style="859" customWidth="1"/>
    <col min="5635" max="5635" width="3.88671875" style="859" customWidth="1"/>
    <col min="5636" max="5644" width="4.44140625" style="859" customWidth="1"/>
    <col min="5645" max="5645" width="9.44140625" style="859" customWidth="1"/>
    <col min="5646" max="5646" width="4" style="859" customWidth="1"/>
    <col min="5647" max="5649" width="9" style="859" hidden="1" customWidth="1"/>
    <col min="5650" max="5650" width="4.44140625" style="859" customWidth="1"/>
    <col min="5651" max="5651" width="1.44140625" style="859" customWidth="1"/>
    <col min="5652" max="5652" width="4" style="859" customWidth="1"/>
    <col min="5653" max="5657" width="4.44140625" style="859" customWidth="1"/>
    <col min="5658" max="5658" width="3.44140625" style="859" customWidth="1"/>
    <col min="5659" max="5659" width="5.5546875" style="859" customWidth="1"/>
    <col min="5660" max="5660" width="21" style="859" customWidth="1"/>
    <col min="5661" max="5661" width="4.6640625" style="859" customWidth="1"/>
    <col min="5662" max="5662" width="3.88671875" style="859" customWidth="1"/>
    <col min="5663" max="5664" width="9" style="859" hidden="1" customWidth="1"/>
    <col min="5665" max="5888" width="8.88671875" style="859"/>
    <col min="5889" max="5889" width="2.6640625" style="859" customWidth="1"/>
    <col min="5890" max="5890" width="3.33203125" style="859" customWidth="1"/>
    <col min="5891" max="5891" width="3.88671875" style="859" customWidth="1"/>
    <col min="5892" max="5900" width="4.44140625" style="859" customWidth="1"/>
    <col min="5901" max="5901" width="9.44140625" style="859" customWidth="1"/>
    <col min="5902" max="5902" width="4" style="859" customWidth="1"/>
    <col min="5903" max="5905" width="9" style="859" hidden="1" customWidth="1"/>
    <col min="5906" max="5906" width="4.44140625" style="859" customWidth="1"/>
    <col min="5907" max="5907" width="1.44140625" style="859" customWidth="1"/>
    <col min="5908" max="5908" width="4" style="859" customWidth="1"/>
    <col min="5909" max="5913" width="4.44140625" style="859" customWidth="1"/>
    <col min="5914" max="5914" width="3.44140625" style="859" customWidth="1"/>
    <col min="5915" max="5915" width="5.5546875" style="859" customWidth="1"/>
    <col min="5916" max="5916" width="21" style="859" customWidth="1"/>
    <col min="5917" max="5917" width="4.6640625" style="859" customWidth="1"/>
    <col min="5918" max="5918" width="3.88671875" style="859" customWidth="1"/>
    <col min="5919" max="5920" width="9" style="859" hidden="1" customWidth="1"/>
    <col min="5921" max="6144" width="8.88671875" style="859"/>
    <col min="6145" max="6145" width="2.6640625" style="859" customWidth="1"/>
    <col min="6146" max="6146" width="3.33203125" style="859" customWidth="1"/>
    <col min="6147" max="6147" width="3.88671875" style="859" customWidth="1"/>
    <col min="6148" max="6156" width="4.44140625" style="859" customWidth="1"/>
    <col min="6157" max="6157" width="9.44140625" style="859" customWidth="1"/>
    <col min="6158" max="6158" width="4" style="859" customWidth="1"/>
    <col min="6159" max="6161" width="9" style="859" hidden="1" customWidth="1"/>
    <col min="6162" max="6162" width="4.44140625" style="859" customWidth="1"/>
    <col min="6163" max="6163" width="1.44140625" style="859" customWidth="1"/>
    <col min="6164" max="6164" width="4" style="859" customWidth="1"/>
    <col min="6165" max="6169" width="4.44140625" style="859" customWidth="1"/>
    <col min="6170" max="6170" width="3.44140625" style="859" customWidth="1"/>
    <col min="6171" max="6171" width="5.5546875" style="859" customWidth="1"/>
    <col min="6172" max="6172" width="21" style="859" customWidth="1"/>
    <col min="6173" max="6173" width="4.6640625" style="859" customWidth="1"/>
    <col min="6174" max="6174" width="3.88671875" style="859" customWidth="1"/>
    <col min="6175" max="6176" width="9" style="859" hidden="1" customWidth="1"/>
    <col min="6177" max="6400" width="8.88671875" style="859"/>
    <col min="6401" max="6401" width="2.6640625" style="859" customWidth="1"/>
    <col min="6402" max="6402" width="3.33203125" style="859" customWidth="1"/>
    <col min="6403" max="6403" width="3.88671875" style="859" customWidth="1"/>
    <col min="6404" max="6412" width="4.44140625" style="859" customWidth="1"/>
    <col min="6413" max="6413" width="9.44140625" style="859" customWidth="1"/>
    <col min="6414" max="6414" width="4" style="859" customWidth="1"/>
    <col min="6415" max="6417" width="9" style="859" hidden="1" customWidth="1"/>
    <col min="6418" max="6418" width="4.44140625" style="859" customWidth="1"/>
    <col min="6419" max="6419" width="1.44140625" style="859" customWidth="1"/>
    <col min="6420" max="6420" width="4" style="859" customWidth="1"/>
    <col min="6421" max="6425" width="4.44140625" style="859" customWidth="1"/>
    <col min="6426" max="6426" width="3.44140625" style="859" customWidth="1"/>
    <col min="6427" max="6427" width="5.5546875" style="859" customWidth="1"/>
    <col min="6428" max="6428" width="21" style="859" customWidth="1"/>
    <col min="6429" max="6429" width="4.6640625" style="859" customWidth="1"/>
    <col min="6430" max="6430" width="3.88671875" style="859" customWidth="1"/>
    <col min="6431" max="6432" width="9" style="859" hidden="1" customWidth="1"/>
    <col min="6433" max="6656" width="8.88671875" style="859"/>
    <col min="6657" max="6657" width="2.6640625" style="859" customWidth="1"/>
    <col min="6658" max="6658" width="3.33203125" style="859" customWidth="1"/>
    <col min="6659" max="6659" width="3.88671875" style="859" customWidth="1"/>
    <col min="6660" max="6668" width="4.44140625" style="859" customWidth="1"/>
    <col min="6669" max="6669" width="9.44140625" style="859" customWidth="1"/>
    <col min="6670" max="6670" width="4" style="859" customWidth="1"/>
    <col min="6671" max="6673" width="9" style="859" hidden="1" customWidth="1"/>
    <col min="6674" max="6674" width="4.44140625" style="859" customWidth="1"/>
    <col min="6675" max="6675" width="1.44140625" style="859" customWidth="1"/>
    <col min="6676" max="6676" width="4" style="859" customWidth="1"/>
    <col min="6677" max="6681" width="4.44140625" style="859" customWidth="1"/>
    <col min="6682" max="6682" width="3.44140625" style="859" customWidth="1"/>
    <col min="6683" max="6683" width="5.5546875" style="859" customWidth="1"/>
    <col min="6684" max="6684" width="21" style="859" customWidth="1"/>
    <col min="6685" max="6685" width="4.6640625" style="859" customWidth="1"/>
    <col min="6686" max="6686" width="3.88671875" style="859" customWidth="1"/>
    <col min="6687" max="6688" width="9" style="859" hidden="1" customWidth="1"/>
    <col min="6689" max="6912" width="8.88671875" style="859"/>
    <col min="6913" max="6913" width="2.6640625" style="859" customWidth="1"/>
    <col min="6914" max="6914" width="3.33203125" style="859" customWidth="1"/>
    <col min="6915" max="6915" width="3.88671875" style="859" customWidth="1"/>
    <col min="6916" max="6924" width="4.44140625" style="859" customWidth="1"/>
    <col min="6925" max="6925" width="9.44140625" style="859" customWidth="1"/>
    <col min="6926" max="6926" width="4" style="859" customWidth="1"/>
    <col min="6927" max="6929" width="9" style="859" hidden="1" customWidth="1"/>
    <col min="6930" max="6930" width="4.44140625" style="859" customWidth="1"/>
    <col min="6931" max="6931" width="1.44140625" style="859" customWidth="1"/>
    <col min="6932" max="6932" width="4" style="859" customWidth="1"/>
    <col min="6933" max="6937" width="4.44140625" style="859" customWidth="1"/>
    <col min="6938" max="6938" width="3.44140625" style="859" customWidth="1"/>
    <col min="6939" max="6939" width="5.5546875" style="859" customWidth="1"/>
    <col min="6940" max="6940" width="21" style="859" customWidth="1"/>
    <col min="6941" max="6941" width="4.6640625" style="859" customWidth="1"/>
    <col min="6942" max="6942" width="3.88671875" style="859" customWidth="1"/>
    <col min="6943" max="6944" width="9" style="859" hidden="1" customWidth="1"/>
    <col min="6945" max="7168" width="8.88671875" style="859"/>
    <col min="7169" max="7169" width="2.6640625" style="859" customWidth="1"/>
    <col min="7170" max="7170" width="3.33203125" style="859" customWidth="1"/>
    <col min="7171" max="7171" width="3.88671875" style="859" customWidth="1"/>
    <col min="7172" max="7180" width="4.44140625" style="859" customWidth="1"/>
    <col min="7181" max="7181" width="9.44140625" style="859" customWidth="1"/>
    <col min="7182" max="7182" width="4" style="859" customWidth="1"/>
    <col min="7183" max="7185" width="9" style="859" hidden="1" customWidth="1"/>
    <col min="7186" max="7186" width="4.44140625" style="859" customWidth="1"/>
    <col min="7187" max="7187" width="1.44140625" style="859" customWidth="1"/>
    <col min="7188" max="7188" width="4" style="859" customWidth="1"/>
    <col min="7189" max="7193" width="4.44140625" style="859" customWidth="1"/>
    <col min="7194" max="7194" width="3.44140625" style="859" customWidth="1"/>
    <col min="7195" max="7195" width="5.5546875" style="859" customWidth="1"/>
    <col min="7196" max="7196" width="21" style="859" customWidth="1"/>
    <col min="7197" max="7197" width="4.6640625" style="859" customWidth="1"/>
    <col min="7198" max="7198" width="3.88671875" style="859" customWidth="1"/>
    <col min="7199" max="7200" width="9" style="859" hidden="1" customWidth="1"/>
    <col min="7201" max="7424" width="8.88671875" style="859"/>
    <col min="7425" max="7425" width="2.6640625" style="859" customWidth="1"/>
    <col min="7426" max="7426" width="3.33203125" style="859" customWidth="1"/>
    <col min="7427" max="7427" width="3.88671875" style="859" customWidth="1"/>
    <col min="7428" max="7436" width="4.44140625" style="859" customWidth="1"/>
    <col min="7437" max="7437" width="9.44140625" style="859" customWidth="1"/>
    <col min="7438" max="7438" width="4" style="859" customWidth="1"/>
    <col min="7439" max="7441" width="9" style="859" hidden="1" customWidth="1"/>
    <col min="7442" max="7442" width="4.44140625" style="859" customWidth="1"/>
    <col min="7443" max="7443" width="1.44140625" style="859" customWidth="1"/>
    <col min="7444" max="7444" width="4" style="859" customWidth="1"/>
    <col min="7445" max="7449" width="4.44140625" style="859" customWidth="1"/>
    <col min="7450" max="7450" width="3.44140625" style="859" customWidth="1"/>
    <col min="7451" max="7451" width="5.5546875" style="859" customWidth="1"/>
    <col min="7452" max="7452" width="21" style="859" customWidth="1"/>
    <col min="7453" max="7453" width="4.6640625" style="859" customWidth="1"/>
    <col min="7454" max="7454" width="3.88671875" style="859" customWidth="1"/>
    <col min="7455" max="7456" width="9" style="859" hidden="1" customWidth="1"/>
    <col min="7457" max="7680" width="8.88671875" style="859"/>
    <col min="7681" max="7681" width="2.6640625" style="859" customWidth="1"/>
    <col min="7682" max="7682" width="3.33203125" style="859" customWidth="1"/>
    <col min="7683" max="7683" width="3.88671875" style="859" customWidth="1"/>
    <col min="7684" max="7692" width="4.44140625" style="859" customWidth="1"/>
    <col min="7693" max="7693" width="9.44140625" style="859" customWidth="1"/>
    <col min="7694" max="7694" width="4" style="859" customWidth="1"/>
    <col min="7695" max="7697" width="9" style="859" hidden="1" customWidth="1"/>
    <col min="7698" max="7698" width="4.44140625" style="859" customWidth="1"/>
    <col min="7699" max="7699" width="1.44140625" style="859" customWidth="1"/>
    <col min="7700" max="7700" width="4" style="859" customWidth="1"/>
    <col min="7701" max="7705" width="4.44140625" style="859" customWidth="1"/>
    <col min="7706" max="7706" width="3.44140625" style="859" customWidth="1"/>
    <col min="7707" max="7707" width="5.5546875" style="859" customWidth="1"/>
    <col min="7708" max="7708" width="21" style="859" customWidth="1"/>
    <col min="7709" max="7709" width="4.6640625" style="859" customWidth="1"/>
    <col min="7710" max="7710" width="3.88671875" style="859" customWidth="1"/>
    <col min="7711" max="7712" width="9" style="859" hidden="1" customWidth="1"/>
    <col min="7713" max="7936" width="8.88671875" style="859"/>
    <col min="7937" max="7937" width="2.6640625" style="859" customWidth="1"/>
    <col min="7938" max="7938" width="3.33203125" style="859" customWidth="1"/>
    <col min="7939" max="7939" width="3.88671875" style="859" customWidth="1"/>
    <col min="7940" max="7948" width="4.44140625" style="859" customWidth="1"/>
    <col min="7949" max="7949" width="9.44140625" style="859" customWidth="1"/>
    <col min="7950" max="7950" width="4" style="859" customWidth="1"/>
    <col min="7951" max="7953" width="9" style="859" hidden="1" customWidth="1"/>
    <col min="7954" max="7954" width="4.44140625" style="859" customWidth="1"/>
    <col min="7955" max="7955" width="1.44140625" style="859" customWidth="1"/>
    <col min="7956" max="7956" width="4" style="859" customWidth="1"/>
    <col min="7957" max="7961" width="4.44140625" style="859" customWidth="1"/>
    <col min="7962" max="7962" width="3.44140625" style="859" customWidth="1"/>
    <col min="7963" max="7963" width="5.5546875" style="859" customWidth="1"/>
    <col min="7964" max="7964" width="21" style="859" customWidth="1"/>
    <col min="7965" max="7965" width="4.6640625" style="859" customWidth="1"/>
    <col min="7966" max="7966" width="3.88671875" style="859" customWidth="1"/>
    <col min="7967" max="7968" width="9" style="859" hidden="1" customWidth="1"/>
    <col min="7969" max="8192" width="8.88671875" style="859"/>
    <col min="8193" max="8193" width="2.6640625" style="859" customWidth="1"/>
    <col min="8194" max="8194" width="3.33203125" style="859" customWidth="1"/>
    <col min="8195" max="8195" width="3.88671875" style="859" customWidth="1"/>
    <col min="8196" max="8204" width="4.44140625" style="859" customWidth="1"/>
    <col min="8205" max="8205" width="9.44140625" style="859" customWidth="1"/>
    <col min="8206" max="8206" width="4" style="859" customWidth="1"/>
    <col min="8207" max="8209" width="9" style="859" hidden="1" customWidth="1"/>
    <col min="8210" max="8210" width="4.44140625" style="859" customWidth="1"/>
    <col min="8211" max="8211" width="1.44140625" style="859" customWidth="1"/>
    <col min="8212" max="8212" width="4" style="859" customWidth="1"/>
    <col min="8213" max="8217" width="4.44140625" style="859" customWidth="1"/>
    <col min="8218" max="8218" width="3.44140625" style="859" customWidth="1"/>
    <col min="8219" max="8219" width="5.5546875" style="859" customWidth="1"/>
    <col min="8220" max="8220" width="21" style="859" customWidth="1"/>
    <col min="8221" max="8221" width="4.6640625" style="859" customWidth="1"/>
    <col min="8222" max="8222" width="3.88671875" style="859" customWidth="1"/>
    <col min="8223" max="8224" width="9" style="859" hidden="1" customWidth="1"/>
    <col min="8225" max="8448" width="8.88671875" style="859"/>
    <col min="8449" max="8449" width="2.6640625" style="859" customWidth="1"/>
    <col min="8450" max="8450" width="3.33203125" style="859" customWidth="1"/>
    <col min="8451" max="8451" width="3.88671875" style="859" customWidth="1"/>
    <col min="8452" max="8460" width="4.44140625" style="859" customWidth="1"/>
    <col min="8461" max="8461" width="9.44140625" style="859" customWidth="1"/>
    <col min="8462" max="8462" width="4" style="859" customWidth="1"/>
    <col min="8463" max="8465" width="9" style="859" hidden="1" customWidth="1"/>
    <col min="8466" max="8466" width="4.44140625" style="859" customWidth="1"/>
    <col min="8467" max="8467" width="1.44140625" style="859" customWidth="1"/>
    <col min="8468" max="8468" width="4" style="859" customWidth="1"/>
    <col min="8469" max="8473" width="4.44140625" style="859" customWidth="1"/>
    <col min="8474" max="8474" width="3.44140625" style="859" customWidth="1"/>
    <col min="8475" max="8475" width="5.5546875" style="859" customWidth="1"/>
    <col min="8476" max="8476" width="21" style="859" customWidth="1"/>
    <col min="8477" max="8477" width="4.6640625" style="859" customWidth="1"/>
    <col min="8478" max="8478" width="3.88671875" style="859" customWidth="1"/>
    <col min="8479" max="8480" width="9" style="859" hidden="1" customWidth="1"/>
    <col min="8481" max="8704" width="8.88671875" style="859"/>
    <col min="8705" max="8705" width="2.6640625" style="859" customWidth="1"/>
    <col min="8706" max="8706" width="3.33203125" style="859" customWidth="1"/>
    <col min="8707" max="8707" width="3.88671875" style="859" customWidth="1"/>
    <col min="8708" max="8716" width="4.44140625" style="859" customWidth="1"/>
    <col min="8717" max="8717" width="9.44140625" style="859" customWidth="1"/>
    <col min="8718" max="8718" width="4" style="859" customWidth="1"/>
    <col min="8719" max="8721" width="9" style="859" hidden="1" customWidth="1"/>
    <col min="8722" max="8722" width="4.44140625" style="859" customWidth="1"/>
    <col min="8723" max="8723" width="1.44140625" style="859" customWidth="1"/>
    <col min="8724" max="8724" width="4" style="859" customWidth="1"/>
    <col min="8725" max="8729" width="4.44140625" style="859" customWidth="1"/>
    <col min="8730" max="8730" width="3.44140625" style="859" customWidth="1"/>
    <col min="8731" max="8731" width="5.5546875" style="859" customWidth="1"/>
    <col min="8732" max="8732" width="21" style="859" customWidth="1"/>
    <col min="8733" max="8733" width="4.6640625" style="859" customWidth="1"/>
    <col min="8734" max="8734" width="3.88671875" style="859" customWidth="1"/>
    <col min="8735" max="8736" width="9" style="859" hidden="1" customWidth="1"/>
    <col min="8737" max="8960" width="8.88671875" style="859"/>
    <col min="8961" max="8961" width="2.6640625" style="859" customWidth="1"/>
    <col min="8962" max="8962" width="3.33203125" style="859" customWidth="1"/>
    <col min="8963" max="8963" width="3.88671875" style="859" customWidth="1"/>
    <col min="8964" max="8972" width="4.44140625" style="859" customWidth="1"/>
    <col min="8973" max="8973" width="9.44140625" style="859" customWidth="1"/>
    <col min="8974" max="8974" width="4" style="859" customWidth="1"/>
    <col min="8975" max="8977" width="9" style="859" hidden="1" customWidth="1"/>
    <col min="8978" max="8978" width="4.44140625" style="859" customWidth="1"/>
    <col min="8979" max="8979" width="1.44140625" style="859" customWidth="1"/>
    <col min="8980" max="8980" width="4" style="859" customWidth="1"/>
    <col min="8981" max="8985" width="4.44140625" style="859" customWidth="1"/>
    <col min="8986" max="8986" width="3.44140625" style="859" customWidth="1"/>
    <col min="8987" max="8987" width="5.5546875" style="859" customWidth="1"/>
    <col min="8988" max="8988" width="21" style="859" customWidth="1"/>
    <col min="8989" max="8989" width="4.6640625" style="859" customWidth="1"/>
    <col min="8990" max="8990" width="3.88671875" style="859" customWidth="1"/>
    <col min="8991" max="8992" width="9" style="859" hidden="1" customWidth="1"/>
    <col min="8993" max="9216" width="8.88671875" style="859"/>
    <col min="9217" max="9217" width="2.6640625" style="859" customWidth="1"/>
    <col min="9218" max="9218" width="3.33203125" style="859" customWidth="1"/>
    <col min="9219" max="9219" width="3.88671875" style="859" customWidth="1"/>
    <col min="9220" max="9228" width="4.44140625" style="859" customWidth="1"/>
    <col min="9229" max="9229" width="9.44140625" style="859" customWidth="1"/>
    <col min="9230" max="9230" width="4" style="859" customWidth="1"/>
    <col min="9231" max="9233" width="9" style="859" hidden="1" customWidth="1"/>
    <col min="9234" max="9234" width="4.44140625" style="859" customWidth="1"/>
    <col min="9235" max="9235" width="1.44140625" style="859" customWidth="1"/>
    <col min="9236" max="9236" width="4" style="859" customWidth="1"/>
    <col min="9237" max="9241" width="4.44140625" style="859" customWidth="1"/>
    <col min="9242" max="9242" width="3.44140625" style="859" customWidth="1"/>
    <col min="9243" max="9243" width="5.5546875" style="859" customWidth="1"/>
    <col min="9244" max="9244" width="21" style="859" customWidth="1"/>
    <col min="9245" max="9245" width="4.6640625" style="859" customWidth="1"/>
    <col min="9246" max="9246" width="3.88671875" style="859" customWidth="1"/>
    <col min="9247" max="9248" width="9" style="859" hidden="1" customWidth="1"/>
    <col min="9249" max="9472" width="8.88671875" style="859"/>
    <col min="9473" max="9473" width="2.6640625" style="859" customWidth="1"/>
    <col min="9474" max="9474" width="3.33203125" style="859" customWidth="1"/>
    <col min="9475" max="9475" width="3.88671875" style="859" customWidth="1"/>
    <col min="9476" max="9484" width="4.44140625" style="859" customWidth="1"/>
    <col min="9485" max="9485" width="9.44140625" style="859" customWidth="1"/>
    <col min="9486" max="9486" width="4" style="859" customWidth="1"/>
    <col min="9487" max="9489" width="9" style="859" hidden="1" customWidth="1"/>
    <col min="9490" max="9490" width="4.44140625" style="859" customWidth="1"/>
    <col min="9491" max="9491" width="1.44140625" style="859" customWidth="1"/>
    <col min="9492" max="9492" width="4" style="859" customWidth="1"/>
    <col min="9493" max="9497" width="4.44140625" style="859" customWidth="1"/>
    <col min="9498" max="9498" width="3.44140625" style="859" customWidth="1"/>
    <col min="9499" max="9499" width="5.5546875" style="859" customWidth="1"/>
    <col min="9500" max="9500" width="21" style="859" customWidth="1"/>
    <col min="9501" max="9501" width="4.6640625" style="859" customWidth="1"/>
    <col min="9502" max="9502" width="3.88671875" style="859" customWidth="1"/>
    <col min="9503" max="9504" width="9" style="859" hidden="1" customWidth="1"/>
    <col min="9505" max="9728" width="8.88671875" style="859"/>
    <col min="9729" max="9729" width="2.6640625" style="859" customWidth="1"/>
    <col min="9730" max="9730" width="3.33203125" style="859" customWidth="1"/>
    <col min="9731" max="9731" width="3.88671875" style="859" customWidth="1"/>
    <col min="9732" max="9740" width="4.44140625" style="859" customWidth="1"/>
    <col min="9741" max="9741" width="9.44140625" style="859" customWidth="1"/>
    <col min="9742" max="9742" width="4" style="859" customWidth="1"/>
    <col min="9743" max="9745" width="9" style="859" hidden="1" customWidth="1"/>
    <col min="9746" max="9746" width="4.44140625" style="859" customWidth="1"/>
    <col min="9747" max="9747" width="1.44140625" style="859" customWidth="1"/>
    <col min="9748" max="9748" width="4" style="859" customWidth="1"/>
    <col min="9749" max="9753" width="4.44140625" style="859" customWidth="1"/>
    <col min="9754" max="9754" width="3.44140625" style="859" customWidth="1"/>
    <col min="9755" max="9755" width="5.5546875" style="859" customWidth="1"/>
    <col min="9756" max="9756" width="21" style="859" customWidth="1"/>
    <col min="9757" max="9757" width="4.6640625" style="859" customWidth="1"/>
    <col min="9758" max="9758" width="3.88671875" style="859" customWidth="1"/>
    <col min="9759" max="9760" width="9" style="859" hidden="1" customWidth="1"/>
    <col min="9761" max="9984" width="8.88671875" style="859"/>
    <col min="9985" max="9985" width="2.6640625" style="859" customWidth="1"/>
    <col min="9986" max="9986" width="3.33203125" style="859" customWidth="1"/>
    <col min="9987" max="9987" width="3.88671875" style="859" customWidth="1"/>
    <col min="9988" max="9996" width="4.44140625" style="859" customWidth="1"/>
    <col min="9997" max="9997" width="9.44140625" style="859" customWidth="1"/>
    <col min="9998" max="9998" width="4" style="859" customWidth="1"/>
    <col min="9999" max="10001" width="9" style="859" hidden="1" customWidth="1"/>
    <col min="10002" max="10002" width="4.44140625" style="859" customWidth="1"/>
    <col min="10003" max="10003" width="1.44140625" style="859" customWidth="1"/>
    <col min="10004" max="10004" width="4" style="859" customWidth="1"/>
    <col min="10005" max="10009" width="4.44140625" style="859" customWidth="1"/>
    <col min="10010" max="10010" width="3.44140625" style="859" customWidth="1"/>
    <col min="10011" max="10011" width="5.5546875" style="859" customWidth="1"/>
    <col min="10012" max="10012" width="21" style="859" customWidth="1"/>
    <col min="10013" max="10013" width="4.6640625" style="859" customWidth="1"/>
    <col min="10014" max="10014" width="3.88671875" style="859" customWidth="1"/>
    <col min="10015" max="10016" width="9" style="859" hidden="1" customWidth="1"/>
    <col min="10017" max="10240" width="8.88671875" style="859"/>
    <col min="10241" max="10241" width="2.6640625" style="859" customWidth="1"/>
    <col min="10242" max="10242" width="3.33203125" style="859" customWidth="1"/>
    <col min="10243" max="10243" width="3.88671875" style="859" customWidth="1"/>
    <col min="10244" max="10252" width="4.44140625" style="859" customWidth="1"/>
    <col min="10253" max="10253" width="9.44140625" style="859" customWidth="1"/>
    <col min="10254" max="10254" width="4" style="859" customWidth="1"/>
    <col min="10255" max="10257" width="9" style="859" hidden="1" customWidth="1"/>
    <col min="10258" max="10258" width="4.44140625" style="859" customWidth="1"/>
    <col min="10259" max="10259" width="1.44140625" style="859" customWidth="1"/>
    <col min="10260" max="10260" width="4" style="859" customWidth="1"/>
    <col min="10261" max="10265" width="4.44140625" style="859" customWidth="1"/>
    <col min="10266" max="10266" width="3.44140625" style="859" customWidth="1"/>
    <col min="10267" max="10267" width="5.5546875" style="859" customWidth="1"/>
    <col min="10268" max="10268" width="21" style="859" customWidth="1"/>
    <col min="10269" max="10269" width="4.6640625" style="859" customWidth="1"/>
    <col min="10270" max="10270" width="3.88671875" style="859" customWidth="1"/>
    <col min="10271" max="10272" width="9" style="859" hidden="1" customWidth="1"/>
    <col min="10273" max="10496" width="8.88671875" style="859"/>
    <col min="10497" max="10497" width="2.6640625" style="859" customWidth="1"/>
    <col min="10498" max="10498" width="3.33203125" style="859" customWidth="1"/>
    <col min="10499" max="10499" width="3.88671875" style="859" customWidth="1"/>
    <col min="10500" max="10508" width="4.44140625" style="859" customWidth="1"/>
    <col min="10509" max="10509" width="9.44140625" style="859" customWidth="1"/>
    <col min="10510" max="10510" width="4" style="859" customWidth="1"/>
    <col min="10511" max="10513" width="9" style="859" hidden="1" customWidth="1"/>
    <col min="10514" max="10514" width="4.44140625" style="859" customWidth="1"/>
    <col min="10515" max="10515" width="1.44140625" style="859" customWidth="1"/>
    <col min="10516" max="10516" width="4" style="859" customWidth="1"/>
    <col min="10517" max="10521" width="4.44140625" style="859" customWidth="1"/>
    <col min="10522" max="10522" width="3.44140625" style="859" customWidth="1"/>
    <col min="10523" max="10523" width="5.5546875" style="859" customWidth="1"/>
    <col min="10524" max="10524" width="21" style="859" customWidth="1"/>
    <col min="10525" max="10525" width="4.6640625" style="859" customWidth="1"/>
    <col min="10526" max="10526" width="3.88671875" style="859" customWidth="1"/>
    <col min="10527" max="10528" width="9" style="859" hidden="1" customWidth="1"/>
    <col min="10529" max="10752" width="8.88671875" style="859"/>
    <col min="10753" max="10753" width="2.6640625" style="859" customWidth="1"/>
    <col min="10754" max="10754" width="3.33203125" style="859" customWidth="1"/>
    <col min="10755" max="10755" width="3.88671875" style="859" customWidth="1"/>
    <col min="10756" max="10764" width="4.44140625" style="859" customWidth="1"/>
    <col min="10765" max="10765" width="9.44140625" style="859" customWidth="1"/>
    <col min="10766" max="10766" width="4" style="859" customWidth="1"/>
    <col min="10767" max="10769" width="9" style="859" hidden="1" customWidth="1"/>
    <col min="10770" max="10770" width="4.44140625" style="859" customWidth="1"/>
    <col min="10771" max="10771" width="1.44140625" style="859" customWidth="1"/>
    <col min="10772" max="10772" width="4" style="859" customWidth="1"/>
    <col min="10773" max="10777" width="4.44140625" style="859" customWidth="1"/>
    <col min="10778" max="10778" width="3.44140625" style="859" customWidth="1"/>
    <col min="10779" max="10779" width="5.5546875" style="859" customWidth="1"/>
    <col min="10780" max="10780" width="21" style="859" customWidth="1"/>
    <col min="10781" max="10781" width="4.6640625" style="859" customWidth="1"/>
    <col min="10782" max="10782" width="3.88671875" style="859" customWidth="1"/>
    <col min="10783" max="10784" width="9" style="859" hidden="1" customWidth="1"/>
    <col min="10785" max="11008" width="8.88671875" style="859"/>
    <col min="11009" max="11009" width="2.6640625" style="859" customWidth="1"/>
    <col min="11010" max="11010" width="3.33203125" style="859" customWidth="1"/>
    <col min="11011" max="11011" width="3.88671875" style="859" customWidth="1"/>
    <col min="11012" max="11020" width="4.44140625" style="859" customWidth="1"/>
    <col min="11021" max="11021" width="9.44140625" style="859" customWidth="1"/>
    <col min="11022" max="11022" width="4" style="859" customWidth="1"/>
    <col min="11023" max="11025" width="9" style="859" hidden="1" customWidth="1"/>
    <col min="11026" max="11026" width="4.44140625" style="859" customWidth="1"/>
    <col min="11027" max="11027" width="1.44140625" style="859" customWidth="1"/>
    <col min="11028" max="11028" width="4" style="859" customWidth="1"/>
    <col min="11029" max="11033" width="4.44140625" style="859" customWidth="1"/>
    <col min="11034" max="11034" width="3.44140625" style="859" customWidth="1"/>
    <col min="11035" max="11035" width="5.5546875" style="859" customWidth="1"/>
    <col min="11036" max="11036" width="21" style="859" customWidth="1"/>
    <col min="11037" max="11037" width="4.6640625" style="859" customWidth="1"/>
    <col min="11038" max="11038" width="3.88671875" style="859" customWidth="1"/>
    <col min="11039" max="11040" width="9" style="859" hidden="1" customWidth="1"/>
    <col min="11041" max="11264" width="8.88671875" style="859"/>
    <col min="11265" max="11265" width="2.6640625" style="859" customWidth="1"/>
    <col min="11266" max="11266" width="3.33203125" style="859" customWidth="1"/>
    <col min="11267" max="11267" width="3.88671875" style="859" customWidth="1"/>
    <col min="11268" max="11276" width="4.44140625" style="859" customWidth="1"/>
    <col min="11277" max="11277" width="9.44140625" style="859" customWidth="1"/>
    <col min="11278" max="11278" width="4" style="859" customWidth="1"/>
    <col min="11279" max="11281" width="9" style="859" hidden="1" customWidth="1"/>
    <col min="11282" max="11282" width="4.44140625" style="859" customWidth="1"/>
    <col min="11283" max="11283" width="1.44140625" style="859" customWidth="1"/>
    <col min="11284" max="11284" width="4" style="859" customWidth="1"/>
    <col min="11285" max="11289" width="4.44140625" style="859" customWidth="1"/>
    <col min="11290" max="11290" width="3.44140625" style="859" customWidth="1"/>
    <col min="11291" max="11291" width="5.5546875" style="859" customWidth="1"/>
    <col min="11292" max="11292" width="21" style="859" customWidth="1"/>
    <col min="11293" max="11293" width="4.6640625" style="859" customWidth="1"/>
    <col min="11294" max="11294" width="3.88671875" style="859" customWidth="1"/>
    <col min="11295" max="11296" width="9" style="859" hidden="1" customWidth="1"/>
    <col min="11297" max="11520" width="8.88671875" style="859"/>
    <col min="11521" max="11521" width="2.6640625" style="859" customWidth="1"/>
    <col min="11522" max="11522" width="3.33203125" style="859" customWidth="1"/>
    <col min="11523" max="11523" width="3.88671875" style="859" customWidth="1"/>
    <col min="11524" max="11532" width="4.44140625" style="859" customWidth="1"/>
    <col min="11533" max="11533" width="9.44140625" style="859" customWidth="1"/>
    <col min="11534" max="11534" width="4" style="859" customWidth="1"/>
    <col min="11535" max="11537" width="9" style="859" hidden="1" customWidth="1"/>
    <col min="11538" max="11538" width="4.44140625" style="859" customWidth="1"/>
    <col min="11539" max="11539" width="1.44140625" style="859" customWidth="1"/>
    <col min="11540" max="11540" width="4" style="859" customWidth="1"/>
    <col min="11541" max="11545" width="4.44140625" style="859" customWidth="1"/>
    <col min="11546" max="11546" width="3.44140625" style="859" customWidth="1"/>
    <col min="11547" max="11547" width="5.5546875" style="859" customWidth="1"/>
    <col min="11548" max="11548" width="21" style="859" customWidth="1"/>
    <col min="11549" max="11549" width="4.6640625" style="859" customWidth="1"/>
    <col min="11550" max="11550" width="3.88671875" style="859" customWidth="1"/>
    <col min="11551" max="11552" width="9" style="859" hidden="1" customWidth="1"/>
    <col min="11553" max="11776" width="8.88671875" style="859"/>
    <col min="11777" max="11777" width="2.6640625" style="859" customWidth="1"/>
    <col min="11778" max="11778" width="3.33203125" style="859" customWidth="1"/>
    <col min="11779" max="11779" width="3.88671875" style="859" customWidth="1"/>
    <col min="11780" max="11788" width="4.44140625" style="859" customWidth="1"/>
    <col min="11789" max="11789" width="9.44140625" style="859" customWidth="1"/>
    <col min="11790" max="11790" width="4" style="859" customWidth="1"/>
    <col min="11791" max="11793" width="9" style="859" hidden="1" customWidth="1"/>
    <col min="11794" max="11794" width="4.44140625" style="859" customWidth="1"/>
    <col min="11795" max="11795" width="1.44140625" style="859" customWidth="1"/>
    <col min="11796" max="11796" width="4" style="859" customWidth="1"/>
    <col min="11797" max="11801" width="4.44140625" style="859" customWidth="1"/>
    <col min="11802" max="11802" width="3.44140625" style="859" customWidth="1"/>
    <col min="11803" max="11803" width="5.5546875" style="859" customWidth="1"/>
    <col min="11804" max="11804" width="21" style="859" customWidth="1"/>
    <col min="11805" max="11805" width="4.6640625" style="859" customWidth="1"/>
    <col min="11806" max="11806" width="3.88671875" style="859" customWidth="1"/>
    <col min="11807" max="11808" width="9" style="859" hidden="1" customWidth="1"/>
    <col min="11809" max="12032" width="8.88671875" style="859"/>
    <col min="12033" max="12033" width="2.6640625" style="859" customWidth="1"/>
    <col min="12034" max="12034" width="3.33203125" style="859" customWidth="1"/>
    <col min="12035" max="12035" width="3.88671875" style="859" customWidth="1"/>
    <col min="12036" max="12044" width="4.44140625" style="859" customWidth="1"/>
    <col min="12045" max="12045" width="9.44140625" style="859" customWidth="1"/>
    <col min="12046" max="12046" width="4" style="859" customWidth="1"/>
    <col min="12047" max="12049" width="9" style="859" hidden="1" customWidth="1"/>
    <col min="12050" max="12050" width="4.44140625" style="859" customWidth="1"/>
    <col min="12051" max="12051" width="1.44140625" style="859" customWidth="1"/>
    <col min="12052" max="12052" width="4" style="859" customWidth="1"/>
    <col min="12053" max="12057" width="4.44140625" style="859" customWidth="1"/>
    <col min="12058" max="12058" width="3.44140625" style="859" customWidth="1"/>
    <col min="12059" max="12059" width="5.5546875" style="859" customWidth="1"/>
    <col min="12060" max="12060" width="21" style="859" customWidth="1"/>
    <col min="12061" max="12061" width="4.6640625" style="859" customWidth="1"/>
    <col min="12062" max="12062" width="3.88671875" style="859" customWidth="1"/>
    <col min="12063" max="12064" width="9" style="859" hidden="1" customWidth="1"/>
    <col min="12065" max="12288" width="8.88671875" style="859"/>
    <col min="12289" max="12289" width="2.6640625" style="859" customWidth="1"/>
    <col min="12290" max="12290" width="3.33203125" style="859" customWidth="1"/>
    <col min="12291" max="12291" width="3.88671875" style="859" customWidth="1"/>
    <col min="12292" max="12300" width="4.44140625" style="859" customWidth="1"/>
    <col min="12301" max="12301" width="9.44140625" style="859" customWidth="1"/>
    <col min="12302" max="12302" width="4" style="859" customWidth="1"/>
    <col min="12303" max="12305" width="9" style="859" hidden="1" customWidth="1"/>
    <col min="12306" max="12306" width="4.44140625" style="859" customWidth="1"/>
    <col min="12307" max="12307" width="1.44140625" style="859" customWidth="1"/>
    <col min="12308" max="12308" width="4" style="859" customWidth="1"/>
    <col min="12309" max="12313" width="4.44140625" style="859" customWidth="1"/>
    <col min="12314" max="12314" width="3.44140625" style="859" customWidth="1"/>
    <col min="12315" max="12315" width="5.5546875" style="859" customWidth="1"/>
    <col min="12316" max="12316" width="21" style="859" customWidth="1"/>
    <col min="12317" max="12317" width="4.6640625" style="859" customWidth="1"/>
    <col min="12318" max="12318" width="3.88671875" style="859" customWidth="1"/>
    <col min="12319" max="12320" width="9" style="859" hidden="1" customWidth="1"/>
    <col min="12321" max="12544" width="8.88671875" style="859"/>
    <col min="12545" max="12545" width="2.6640625" style="859" customWidth="1"/>
    <col min="12546" max="12546" width="3.33203125" style="859" customWidth="1"/>
    <col min="12547" max="12547" width="3.88671875" style="859" customWidth="1"/>
    <col min="12548" max="12556" width="4.44140625" style="859" customWidth="1"/>
    <col min="12557" max="12557" width="9.44140625" style="859" customWidth="1"/>
    <col min="12558" max="12558" width="4" style="859" customWidth="1"/>
    <col min="12559" max="12561" width="9" style="859" hidden="1" customWidth="1"/>
    <col min="12562" max="12562" width="4.44140625" style="859" customWidth="1"/>
    <col min="12563" max="12563" width="1.44140625" style="859" customWidth="1"/>
    <col min="12564" max="12564" width="4" style="859" customWidth="1"/>
    <col min="12565" max="12569" width="4.44140625" style="859" customWidth="1"/>
    <col min="12570" max="12570" width="3.44140625" style="859" customWidth="1"/>
    <col min="12571" max="12571" width="5.5546875" style="859" customWidth="1"/>
    <col min="12572" max="12572" width="21" style="859" customWidth="1"/>
    <col min="12573" max="12573" width="4.6640625" style="859" customWidth="1"/>
    <col min="12574" max="12574" width="3.88671875" style="859" customWidth="1"/>
    <col min="12575" max="12576" width="9" style="859" hidden="1" customWidth="1"/>
    <col min="12577" max="12800" width="8.88671875" style="859"/>
    <col min="12801" max="12801" width="2.6640625" style="859" customWidth="1"/>
    <col min="12802" max="12802" width="3.33203125" style="859" customWidth="1"/>
    <col min="12803" max="12803" width="3.88671875" style="859" customWidth="1"/>
    <col min="12804" max="12812" width="4.44140625" style="859" customWidth="1"/>
    <col min="12813" max="12813" width="9.44140625" style="859" customWidth="1"/>
    <col min="12814" max="12814" width="4" style="859" customWidth="1"/>
    <col min="12815" max="12817" width="9" style="859" hidden="1" customWidth="1"/>
    <col min="12818" max="12818" width="4.44140625" style="859" customWidth="1"/>
    <col min="12819" max="12819" width="1.44140625" style="859" customWidth="1"/>
    <col min="12820" max="12820" width="4" style="859" customWidth="1"/>
    <col min="12821" max="12825" width="4.44140625" style="859" customWidth="1"/>
    <col min="12826" max="12826" width="3.44140625" style="859" customWidth="1"/>
    <col min="12827" max="12827" width="5.5546875" style="859" customWidth="1"/>
    <col min="12828" max="12828" width="21" style="859" customWidth="1"/>
    <col min="12829" max="12829" width="4.6640625" style="859" customWidth="1"/>
    <col min="12830" max="12830" width="3.88671875" style="859" customWidth="1"/>
    <col min="12831" max="12832" width="9" style="859" hidden="1" customWidth="1"/>
    <col min="12833" max="13056" width="8.88671875" style="859"/>
    <col min="13057" max="13057" width="2.6640625" style="859" customWidth="1"/>
    <col min="13058" max="13058" width="3.33203125" style="859" customWidth="1"/>
    <col min="13059" max="13059" width="3.88671875" style="859" customWidth="1"/>
    <col min="13060" max="13068" width="4.44140625" style="859" customWidth="1"/>
    <col min="13069" max="13069" width="9.44140625" style="859" customWidth="1"/>
    <col min="13070" max="13070" width="4" style="859" customWidth="1"/>
    <col min="13071" max="13073" width="9" style="859" hidden="1" customWidth="1"/>
    <col min="13074" max="13074" width="4.44140625" style="859" customWidth="1"/>
    <col min="13075" max="13075" width="1.44140625" style="859" customWidth="1"/>
    <col min="13076" max="13076" width="4" style="859" customWidth="1"/>
    <col min="13077" max="13081" width="4.44140625" style="859" customWidth="1"/>
    <col min="13082" max="13082" width="3.44140625" style="859" customWidth="1"/>
    <col min="13083" max="13083" width="5.5546875" style="859" customWidth="1"/>
    <col min="13084" max="13084" width="21" style="859" customWidth="1"/>
    <col min="13085" max="13085" width="4.6640625" style="859" customWidth="1"/>
    <col min="13086" max="13086" width="3.88671875" style="859" customWidth="1"/>
    <col min="13087" max="13088" width="9" style="859" hidden="1" customWidth="1"/>
    <col min="13089" max="13312" width="8.88671875" style="859"/>
    <col min="13313" max="13313" width="2.6640625" style="859" customWidth="1"/>
    <col min="13314" max="13314" width="3.33203125" style="859" customWidth="1"/>
    <col min="13315" max="13315" width="3.88671875" style="859" customWidth="1"/>
    <col min="13316" max="13324" width="4.44140625" style="859" customWidth="1"/>
    <col min="13325" max="13325" width="9.44140625" style="859" customWidth="1"/>
    <col min="13326" max="13326" width="4" style="859" customWidth="1"/>
    <col min="13327" max="13329" width="9" style="859" hidden="1" customWidth="1"/>
    <col min="13330" max="13330" width="4.44140625" style="859" customWidth="1"/>
    <col min="13331" max="13331" width="1.44140625" style="859" customWidth="1"/>
    <col min="13332" max="13332" width="4" style="859" customWidth="1"/>
    <col min="13333" max="13337" width="4.44140625" style="859" customWidth="1"/>
    <col min="13338" max="13338" width="3.44140625" style="859" customWidth="1"/>
    <col min="13339" max="13339" width="5.5546875" style="859" customWidth="1"/>
    <col min="13340" max="13340" width="21" style="859" customWidth="1"/>
    <col min="13341" max="13341" width="4.6640625" style="859" customWidth="1"/>
    <col min="13342" max="13342" width="3.88671875" style="859" customWidth="1"/>
    <col min="13343" max="13344" width="9" style="859" hidden="1" customWidth="1"/>
    <col min="13345" max="13568" width="8.88671875" style="859"/>
    <col min="13569" max="13569" width="2.6640625" style="859" customWidth="1"/>
    <col min="13570" max="13570" width="3.33203125" style="859" customWidth="1"/>
    <col min="13571" max="13571" width="3.88671875" style="859" customWidth="1"/>
    <col min="13572" max="13580" width="4.44140625" style="859" customWidth="1"/>
    <col min="13581" max="13581" width="9.44140625" style="859" customWidth="1"/>
    <col min="13582" max="13582" width="4" style="859" customWidth="1"/>
    <col min="13583" max="13585" width="9" style="859" hidden="1" customWidth="1"/>
    <col min="13586" max="13586" width="4.44140625" style="859" customWidth="1"/>
    <col min="13587" max="13587" width="1.44140625" style="859" customWidth="1"/>
    <col min="13588" max="13588" width="4" style="859" customWidth="1"/>
    <col min="13589" max="13593" width="4.44140625" style="859" customWidth="1"/>
    <col min="13594" max="13594" width="3.44140625" style="859" customWidth="1"/>
    <col min="13595" max="13595" width="5.5546875" style="859" customWidth="1"/>
    <col min="13596" max="13596" width="21" style="859" customWidth="1"/>
    <col min="13597" max="13597" width="4.6640625" style="859" customWidth="1"/>
    <col min="13598" max="13598" width="3.88671875" style="859" customWidth="1"/>
    <col min="13599" max="13600" width="9" style="859" hidden="1" customWidth="1"/>
    <col min="13601" max="13824" width="8.88671875" style="859"/>
    <col min="13825" max="13825" width="2.6640625" style="859" customWidth="1"/>
    <col min="13826" max="13826" width="3.33203125" style="859" customWidth="1"/>
    <col min="13827" max="13827" width="3.88671875" style="859" customWidth="1"/>
    <col min="13828" max="13836" width="4.44140625" style="859" customWidth="1"/>
    <col min="13837" max="13837" width="9.44140625" style="859" customWidth="1"/>
    <col min="13838" max="13838" width="4" style="859" customWidth="1"/>
    <col min="13839" max="13841" width="9" style="859" hidden="1" customWidth="1"/>
    <col min="13842" max="13842" width="4.44140625" style="859" customWidth="1"/>
    <col min="13843" max="13843" width="1.44140625" style="859" customWidth="1"/>
    <col min="13844" max="13844" width="4" style="859" customWidth="1"/>
    <col min="13845" max="13849" width="4.44140625" style="859" customWidth="1"/>
    <col min="13850" max="13850" width="3.44140625" style="859" customWidth="1"/>
    <col min="13851" max="13851" width="5.5546875" style="859" customWidth="1"/>
    <col min="13852" max="13852" width="21" style="859" customWidth="1"/>
    <col min="13853" max="13853" width="4.6640625" style="859" customWidth="1"/>
    <col min="13854" max="13854" width="3.88671875" style="859" customWidth="1"/>
    <col min="13855" max="13856" width="9" style="859" hidden="1" customWidth="1"/>
    <col min="13857" max="14080" width="8.88671875" style="859"/>
    <col min="14081" max="14081" width="2.6640625" style="859" customWidth="1"/>
    <col min="14082" max="14082" width="3.33203125" style="859" customWidth="1"/>
    <col min="14083" max="14083" width="3.88671875" style="859" customWidth="1"/>
    <col min="14084" max="14092" width="4.44140625" style="859" customWidth="1"/>
    <col min="14093" max="14093" width="9.44140625" style="859" customWidth="1"/>
    <col min="14094" max="14094" width="4" style="859" customWidth="1"/>
    <col min="14095" max="14097" width="9" style="859" hidden="1" customWidth="1"/>
    <col min="14098" max="14098" width="4.44140625" style="859" customWidth="1"/>
    <col min="14099" max="14099" width="1.44140625" style="859" customWidth="1"/>
    <col min="14100" max="14100" width="4" style="859" customWidth="1"/>
    <col min="14101" max="14105" width="4.44140625" style="859" customWidth="1"/>
    <col min="14106" max="14106" width="3.44140625" style="859" customWidth="1"/>
    <col min="14107" max="14107" width="5.5546875" style="859" customWidth="1"/>
    <col min="14108" max="14108" width="21" style="859" customWidth="1"/>
    <col min="14109" max="14109" width="4.6640625" style="859" customWidth="1"/>
    <col min="14110" max="14110" width="3.88671875" style="859" customWidth="1"/>
    <col min="14111" max="14112" width="9" style="859" hidden="1" customWidth="1"/>
    <col min="14113" max="14336" width="8.88671875" style="859"/>
    <col min="14337" max="14337" width="2.6640625" style="859" customWidth="1"/>
    <col min="14338" max="14338" width="3.33203125" style="859" customWidth="1"/>
    <col min="14339" max="14339" width="3.88671875" style="859" customWidth="1"/>
    <col min="14340" max="14348" width="4.44140625" style="859" customWidth="1"/>
    <col min="14349" max="14349" width="9.44140625" style="859" customWidth="1"/>
    <col min="14350" max="14350" width="4" style="859" customWidth="1"/>
    <col min="14351" max="14353" width="9" style="859" hidden="1" customWidth="1"/>
    <col min="14354" max="14354" width="4.44140625" style="859" customWidth="1"/>
    <col min="14355" max="14355" width="1.44140625" style="859" customWidth="1"/>
    <col min="14356" max="14356" width="4" style="859" customWidth="1"/>
    <col min="14357" max="14361" width="4.44140625" style="859" customWidth="1"/>
    <col min="14362" max="14362" width="3.44140625" style="859" customWidth="1"/>
    <col min="14363" max="14363" width="5.5546875" style="859" customWidth="1"/>
    <col min="14364" max="14364" width="21" style="859" customWidth="1"/>
    <col min="14365" max="14365" width="4.6640625" style="859" customWidth="1"/>
    <col min="14366" max="14366" width="3.88671875" style="859" customWidth="1"/>
    <col min="14367" max="14368" width="9" style="859" hidden="1" customWidth="1"/>
    <col min="14369" max="14592" width="8.88671875" style="859"/>
    <col min="14593" max="14593" width="2.6640625" style="859" customWidth="1"/>
    <col min="14594" max="14594" width="3.33203125" style="859" customWidth="1"/>
    <col min="14595" max="14595" width="3.88671875" style="859" customWidth="1"/>
    <col min="14596" max="14604" width="4.44140625" style="859" customWidth="1"/>
    <col min="14605" max="14605" width="9.44140625" style="859" customWidth="1"/>
    <col min="14606" max="14606" width="4" style="859" customWidth="1"/>
    <col min="14607" max="14609" width="9" style="859" hidden="1" customWidth="1"/>
    <col min="14610" max="14610" width="4.44140625" style="859" customWidth="1"/>
    <col min="14611" max="14611" width="1.44140625" style="859" customWidth="1"/>
    <col min="14612" max="14612" width="4" style="859" customWidth="1"/>
    <col min="14613" max="14617" width="4.44140625" style="859" customWidth="1"/>
    <col min="14618" max="14618" width="3.44140625" style="859" customWidth="1"/>
    <col min="14619" max="14619" width="5.5546875" style="859" customWidth="1"/>
    <col min="14620" max="14620" width="21" style="859" customWidth="1"/>
    <col min="14621" max="14621" width="4.6640625" style="859" customWidth="1"/>
    <col min="14622" max="14622" width="3.88671875" style="859" customWidth="1"/>
    <col min="14623" max="14624" width="9" style="859" hidden="1" customWidth="1"/>
    <col min="14625" max="14848" width="8.88671875" style="859"/>
    <col min="14849" max="14849" width="2.6640625" style="859" customWidth="1"/>
    <col min="14850" max="14850" width="3.33203125" style="859" customWidth="1"/>
    <col min="14851" max="14851" width="3.88671875" style="859" customWidth="1"/>
    <col min="14852" max="14860" width="4.44140625" style="859" customWidth="1"/>
    <col min="14861" max="14861" width="9.44140625" style="859" customWidth="1"/>
    <col min="14862" max="14862" width="4" style="859" customWidth="1"/>
    <col min="14863" max="14865" width="9" style="859" hidden="1" customWidth="1"/>
    <col min="14866" max="14866" width="4.44140625" style="859" customWidth="1"/>
    <col min="14867" max="14867" width="1.44140625" style="859" customWidth="1"/>
    <col min="14868" max="14868" width="4" style="859" customWidth="1"/>
    <col min="14869" max="14873" width="4.44140625" style="859" customWidth="1"/>
    <col min="14874" max="14874" width="3.44140625" style="859" customWidth="1"/>
    <col min="14875" max="14875" width="5.5546875" style="859" customWidth="1"/>
    <col min="14876" max="14876" width="21" style="859" customWidth="1"/>
    <col min="14877" max="14877" width="4.6640625" style="859" customWidth="1"/>
    <col min="14878" max="14878" width="3.88671875" style="859" customWidth="1"/>
    <col min="14879" max="14880" width="9" style="859" hidden="1" customWidth="1"/>
    <col min="14881" max="15104" width="8.88671875" style="859"/>
    <col min="15105" max="15105" width="2.6640625" style="859" customWidth="1"/>
    <col min="15106" max="15106" width="3.33203125" style="859" customWidth="1"/>
    <col min="15107" max="15107" width="3.88671875" style="859" customWidth="1"/>
    <col min="15108" max="15116" width="4.44140625" style="859" customWidth="1"/>
    <col min="15117" max="15117" width="9.44140625" style="859" customWidth="1"/>
    <col min="15118" max="15118" width="4" style="859" customWidth="1"/>
    <col min="15119" max="15121" width="9" style="859" hidden="1" customWidth="1"/>
    <col min="15122" max="15122" width="4.44140625" style="859" customWidth="1"/>
    <col min="15123" max="15123" width="1.44140625" style="859" customWidth="1"/>
    <col min="15124" max="15124" width="4" style="859" customWidth="1"/>
    <col min="15125" max="15129" width="4.44140625" style="859" customWidth="1"/>
    <col min="15130" max="15130" width="3.44140625" style="859" customWidth="1"/>
    <col min="15131" max="15131" width="5.5546875" style="859" customWidth="1"/>
    <col min="15132" max="15132" width="21" style="859" customWidth="1"/>
    <col min="15133" max="15133" width="4.6640625" style="859" customWidth="1"/>
    <col min="15134" max="15134" width="3.88671875" style="859" customWidth="1"/>
    <col min="15135" max="15136" width="9" style="859" hidden="1" customWidth="1"/>
    <col min="15137" max="15360" width="8.88671875" style="859"/>
    <col min="15361" max="15361" width="2.6640625" style="859" customWidth="1"/>
    <col min="15362" max="15362" width="3.33203125" style="859" customWidth="1"/>
    <col min="15363" max="15363" width="3.88671875" style="859" customWidth="1"/>
    <col min="15364" max="15372" width="4.44140625" style="859" customWidth="1"/>
    <col min="15373" max="15373" width="9.44140625" style="859" customWidth="1"/>
    <col min="15374" max="15374" width="4" style="859" customWidth="1"/>
    <col min="15375" max="15377" width="9" style="859" hidden="1" customWidth="1"/>
    <col min="15378" max="15378" width="4.44140625" style="859" customWidth="1"/>
    <col min="15379" max="15379" width="1.44140625" style="859" customWidth="1"/>
    <col min="15380" max="15380" width="4" style="859" customWidth="1"/>
    <col min="15381" max="15385" width="4.44140625" style="859" customWidth="1"/>
    <col min="15386" max="15386" width="3.44140625" style="859" customWidth="1"/>
    <col min="15387" max="15387" width="5.5546875" style="859" customWidth="1"/>
    <col min="15388" max="15388" width="21" style="859" customWidth="1"/>
    <col min="15389" max="15389" width="4.6640625" style="859" customWidth="1"/>
    <col min="15390" max="15390" width="3.88671875" style="859" customWidth="1"/>
    <col min="15391" max="15392" width="9" style="859" hidden="1" customWidth="1"/>
    <col min="15393" max="15616" width="8.88671875" style="859"/>
    <col min="15617" max="15617" width="2.6640625" style="859" customWidth="1"/>
    <col min="15618" max="15618" width="3.33203125" style="859" customWidth="1"/>
    <col min="15619" max="15619" width="3.88671875" style="859" customWidth="1"/>
    <col min="15620" max="15628" width="4.44140625" style="859" customWidth="1"/>
    <col min="15629" max="15629" width="9.44140625" style="859" customWidth="1"/>
    <col min="15630" max="15630" width="4" style="859" customWidth="1"/>
    <col min="15631" max="15633" width="9" style="859" hidden="1" customWidth="1"/>
    <col min="15634" max="15634" width="4.44140625" style="859" customWidth="1"/>
    <col min="15635" max="15635" width="1.44140625" style="859" customWidth="1"/>
    <col min="15636" max="15636" width="4" style="859" customWidth="1"/>
    <col min="15637" max="15641" width="4.44140625" style="859" customWidth="1"/>
    <col min="15642" max="15642" width="3.44140625" style="859" customWidth="1"/>
    <col min="15643" max="15643" width="5.5546875" style="859" customWidth="1"/>
    <col min="15644" max="15644" width="21" style="859" customWidth="1"/>
    <col min="15645" max="15645" width="4.6640625" style="859" customWidth="1"/>
    <col min="15646" max="15646" width="3.88671875" style="859" customWidth="1"/>
    <col min="15647" max="15648" width="9" style="859" hidden="1" customWidth="1"/>
    <col min="15649" max="15872" width="8.88671875" style="859"/>
    <col min="15873" max="15873" width="2.6640625" style="859" customWidth="1"/>
    <col min="15874" max="15874" width="3.33203125" style="859" customWidth="1"/>
    <col min="15875" max="15875" width="3.88671875" style="859" customWidth="1"/>
    <col min="15876" max="15884" width="4.44140625" style="859" customWidth="1"/>
    <col min="15885" max="15885" width="9.44140625" style="859" customWidth="1"/>
    <col min="15886" max="15886" width="4" style="859" customWidth="1"/>
    <col min="15887" max="15889" width="9" style="859" hidden="1" customWidth="1"/>
    <col min="15890" max="15890" width="4.44140625" style="859" customWidth="1"/>
    <col min="15891" max="15891" width="1.44140625" style="859" customWidth="1"/>
    <col min="15892" max="15892" width="4" style="859" customWidth="1"/>
    <col min="15893" max="15897" width="4.44140625" style="859" customWidth="1"/>
    <col min="15898" max="15898" width="3.44140625" style="859" customWidth="1"/>
    <col min="15899" max="15899" width="5.5546875" style="859" customWidth="1"/>
    <col min="15900" max="15900" width="21" style="859" customWidth="1"/>
    <col min="15901" max="15901" width="4.6640625" style="859" customWidth="1"/>
    <col min="15902" max="15902" width="3.88671875" style="859" customWidth="1"/>
    <col min="15903" max="15904" width="9" style="859" hidden="1" customWidth="1"/>
    <col min="15905" max="16128" width="8.88671875" style="859"/>
    <col min="16129" max="16129" width="2.6640625" style="859" customWidth="1"/>
    <col min="16130" max="16130" width="3.33203125" style="859" customWidth="1"/>
    <col min="16131" max="16131" width="3.88671875" style="859" customWidth="1"/>
    <col min="16132" max="16140" width="4.44140625" style="859" customWidth="1"/>
    <col min="16141" max="16141" width="9.44140625" style="859" customWidth="1"/>
    <col min="16142" max="16142" width="4" style="859" customWidth="1"/>
    <col min="16143" max="16145" width="9" style="859" hidden="1" customWidth="1"/>
    <col min="16146" max="16146" width="4.44140625" style="859" customWidth="1"/>
    <col min="16147" max="16147" width="1.44140625" style="859" customWidth="1"/>
    <col min="16148" max="16148" width="4" style="859" customWidth="1"/>
    <col min="16149" max="16153" width="4.44140625" style="859" customWidth="1"/>
    <col min="16154" max="16154" width="3.44140625" style="859" customWidth="1"/>
    <col min="16155" max="16155" width="5.5546875" style="859" customWidth="1"/>
    <col min="16156" max="16156" width="21" style="859" customWidth="1"/>
    <col min="16157" max="16157" width="4.6640625" style="859" customWidth="1"/>
    <col min="16158" max="16158" width="3.88671875" style="859" customWidth="1"/>
    <col min="16159" max="16160" width="9" style="859" hidden="1" customWidth="1"/>
    <col min="16161" max="16384" width="8.88671875" style="859"/>
  </cols>
  <sheetData>
    <row r="1" spans="1:30">
      <c r="A1" s="860"/>
      <c r="B1" s="861"/>
      <c r="C1" s="861"/>
      <c r="D1" s="861"/>
      <c r="E1" s="861"/>
      <c r="F1" s="861"/>
      <c r="G1" s="861"/>
      <c r="H1" s="861"/>
      <c r="I1" s="861"/>
      <c r="J1" s="861"/>
      <c r="K1" s="861"/>
      <c r="L1" s="861"/>
      <c r="M1" s="861"/>
      <c r="N1" s="861"/>
      <c r="O1" s="861"/>
      <c r="P1" s="861"/>
      <c r="Q1" s="861"/>
      <c r="R1" s="861"/>
      <c r="S1" s="861"/>
      <c r="T1" s="861"/>
      <c r="U1" s="861"/>
      <c r="V1" s="861"/>
      <c r="W1" s="861"/>
      <c r="X1" s="861"/>
      <c r="Y1" s="861"/>
      <c r="Z1" s="861"/>
      <c r="AA1" s="861"/>
      <c r="AB1" s="861"/>
      <c r="AC1" s="861"/>
      <c r="AD1" s="893"/>
    </row>
    <row r="2" spans="1:30" ht="13.2">
      <c r="A2" s="3722" t="str">
        <f>'Input Data'!E1</f>
        <v xml:space="preserve">BT Renewal from Balabadraipally to Danamma Thanda of Gundumal Mandal in Narayanpet District </v>
      </c>
      <c r="B2" s="3723"/>
      <c r="C2" s="3723"/>
      <c r="D2" s="3723"/>
      <c r="E2" s="3723"/>
      <c r="F2" s="3723"/>
      <c r="G2" s="3723"/>
      <c r="H2" s="3723"/>
      <c r="I2" s="3723"/>
      <c r="J2" s="3723"/>
      <c r="K2" s="3723"/>
      <c r="L2" s="3723"/>
      <c r="M2" s="3723"/>
      <c r="N2" s="3723"/>
      <c r="O2" s="3723"/>
      <c r="P2" s="3723"/>
      <c r="Q2" s="3723"/>
      <c r="R2" s="3723"/>
      <c r="S2" s="3723"/>
      <c r="T2" s="3723"/>
      <c r="U2" s="3723"/>
      <c r="V2" s="3723"/>
      <c r="W2" s="3723"/>
      <c r="X2" s="3723"/>
      <c r="Y2" s="3723"/>
      <c r="Z2" s="3723"/>
      <c r="AA2" s="3723"/>
      <c r="AB2" s="3723"/>
      <c r="AD2" s="894"/>
    </row>
    <row r="3" spans="1:30" ht="13.2">
      <c r="A3" s="862"/>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D3" s="894"/>
    </row>
    <row r="4" spans="1:30" ht="15" customHeight="1">
      <c r="A4" s="864"/>
      <c r="B4" s="3724" t="s">
        <v>1891</v>
      </c>
      <c r="C4" s="3724"/>
      <c r="D4" s="3724"/>
      <c r="E4" s="3724"/>
      <c r="F4" s="3724"/>
      <c r="G4" s="3724"/>
      <c r="H4" s="3724"/>
      <c r="I4" s="3724"/>
      <c r="J4" s="3724"/>
      <c r="K4" s="3724"/>
      <c r="L4" s="3724"/>
      <c r="M4" s="3724"/>
      <c r="N4" s="3724"/>
      <c r="O4" s="3724"/>
      <c r="P4" s="3724"/>
      <c r="Q4" s="3724"/>
      <c r="R4" s="3724"/>
      <c r="S4" s="3724"/>
      <c r="T4" s="3724"/>
      <c r="U4" s="3724"/>
      <c r="V4" s="3724"/>
      <c r="W4" s="3724"/>
      <c r="X4" s="3724"/>
      <c r="Y4" s="3724"/>
      <c r="Z4" s="3724"/>
      <c r="AA4" s="3724"/>
      <c r="AB4" s="3724"/>
      <c r="AD4" s="894"/>
    </row>
    <row r="5" spans="1:30" ht="16.2">
      <c r="A5" s="864"/>
      <c r="C5" s="865"/>
      <c r="D5" s="865"/>
      <c r="E5" s="865"/>
      <c r="F5" s="865"/>
      <c r="G5" s="865"/>
      <c r="H5" s="865"/>
      <c r="I5" s="865"/>
      <c r="J5" s="865"/>
      <c r="K5" s="865"/>
      <c r="L5" s="865"/>
      <c r="M5" s="865"/>
      <c r="AD5" s="894"/>
    </row>
    <row r="6" spans="1:30">
      <c r="A6" s="864"/>
      <c r="B6" s="866"/>
      <c r="L6" s="867"/>
      <c r="AD6" s="894"/>
    </row>
    <row r="7" spans="1:30">
      <c r="A7" s="864"/>
      <c r="D7" s="867"/>
      <c r="I7" s="867"/>
      <c r="K7" s="867"/>
      <c r="M7" s="867"/>
      <c r="U7" s="868"/>
      <c r="AD7" s="894"/>
    </row>
    <row r="8" spans="1:30" ht="12.75" customHeight="1">
      <c r="A8" s="864"/>
      <c r="AD8" s="894"/>
    </row>
    <row r="9" spans="1:30" ht="38.4" customHeight="1">
      <c r="A9" s="864"/>
      <c r="B9" s="868" t="s">
        <v>1892</v>
      </c>
      <c r="D9" s="868"/>
      <c r="F9" s="868"/>
      <c r="G9" s="869" t="s">
        <v>1893</v>
      </c>
      <c r="H9" s="868"/>
      <c r="I9" s="868"/>
      <c r="J9" s="889" t="s">
        <v>1894</v>
      </c>
      <c r="K9" s="868"/>
      <c r="L9" s="868"/>
      <c r="M9" s="868"/>
      <c r="N9" s="868"/>
      <c r="R9" s="892"/>
      <c r="U9" s="868"/>
      <c r="Y9" s="868" t="s">
        <v>1895</v>
      </c>
      <c r="Z9" s="895"/>
      <c r="AA9" s="890"/>
      <c r="AD9" s="894"/>
    </row>
    <row r="10" spans="1:30" ht="9" customHeight="1">
      <c r="A10" s="864"/>
      <c r="B10" s="870"/>
      <c r="C10" s="870"/>
      <c r="D10" s="870"/>
      <c r="E10" s="870"/>
      <c r="F10" s="870"/>
      <c r="G10" s="870"/>
      <c r="H10" s="871"/>
      <c r="I10" s="871"/>
      <c r="M10" s="890" t="s">
        <v>1896</v>
      </c>
      <c r="N10" s="881"/>
      <c r="Q10" s="870"/>
      <c r="AA10" s="890"/>
      <c r="AB10" s="881"/>
      <c r="AC10" s="881"/>
      <c r="AD10" s="896"/>
    </row>
    <row r="11" spans="1:30" ht="13.2">
      <c r="A11" s="864"/>
      <c r="B11" s="872"/>
      <c r="C11" s="872"/>
      <c r="D11" s="872"/>
      <c r="E11" s="872"/>
      <c r="F11" s="872"/>
      <c r="G11" s="872"/>
      <c r="H11" s="873" t="s">
        <v>1897</v>
      </c>
      <c r="I11" s="871"/>
      <c r="Q11" s="872"/>
      <c r="AA11" s="897"/>
      <c r="AB11" s="881"/>
      <c r="AC11" s="881"/>
      <c r="AD11" s="896"/>
    </row>
    <row r="12" spans="1:30" ht="12" customHeight="1">
      <c r="A12" s="864"/>
      <c r="B12" s="872"/>
      <c r="C12" s="874" t="s">
        <v>1898</v>
      </c>
      <c r="D12" s="872"/>
      <c r="E12" s="872"/>
      <c r="F12" s="872"/>
      <c r="G12" s="872"/>
      <c r="H12" s="874" t="s">
        <v>1899</v>
      </c>
      <c r="I12" s="872"/>
      <c r="Q12" s="872"/>
    </row>
    <row r="13" spans="1:30" ht="17.25" hidden="1" customHeight="1">
      <c r="A13" s="864"/>
      <c r="B13" s="875"/>
      <c r="C13" s="876"/>
    </row>
    <row r="14" spans="1:30" ht="14.4" customHeight="1">
      <c r="A14" s="864"/>
      <c r="B14" s="877"/>
      <c r="C14" s="877" t="s">
        <v>1900</v>
      </c>
      <c r="D14" s="878"/>
      <c r="E14" s="878"/>
      <c r="F14" s="879"/>
      <c r="G14" s="879"/>
      <c r="H14" s="3725" t="s">
        <v>1901</v>
      </c>
      <c r="I14" s="3725"/>
      <c r="P14" s="3725"/>
      <c r="Q14" s="3725"/>
    </row>
    <row r="15" spans="1:30" ht="10.199999999999999" customHeight="1">
      <c r="A15" s="864"/>
      <c r="B15" s="879"/>
      <c r="C15" s="879"/>
      <c r="D15" s="879"/>
      <c r="E15" s="879"/>
      <c r="F15" s="879"/>
      <c r="G15" s="879"/>
      <c r="H15" s="879"/>
      <c r="I15" s="879"/>
      <c r="Q15" s="879"/>
    </row>
    <row r="16" spans="1:30" ht="13.2">
      <c r="A16" s="864"/>
      <c r="B16" s="880"/>
      <c r="C16" s="880"/>
      <c r="D16" s="880"/>
      <c r="E16" s="880"/>
      <c r="F16" s="880"/>
      <c r="G16" s="880"/>
      <c r="H16" s="880"/>
      <c r="I16" s="880"/>
      <c r="Q16" s="880"/>
      <c r="AD16" s="894"/>
    </row>
    <row r="17" spans="1:30">
      <c r="A17" s="864"/>
      <c r="B17" s="859" t="s">
        <v>1902</v>
      </c>
      <c r="G17" s="881"/>
      <c r="H17" s="881"/>
      <c r="I17" s="881"/>
      <c r="AD17" s="894"/>
    </row>
    <row r="18" spans="1:30">
      <c r="A18" s="864"/>
      <c r="G18" s="881"/>
      <c r="H18" s="881"/>
      <c r="I18" s="881"/>
      <c r="AD18" s="894"/>
    </row>
    <row r="19" spans="1:30">
      <c r="A19" s="864"/>
      <c r="G19" s="881"/>
      <c r="H19" s="881"/>
      <c r="I19" s="881"/>
      <c r="AD19" s="894"/>
    </row>
    <row r="20" spans="1:30" ht="13.2">
      <c r="A20" s="864"/>
      <c r="B20" s="3726"/>
      <c r="C20" s="3727"/>
      <c r="E20" s="882" t="s">
        <v>1903</v>
      </c>
      <c r="I20" s="881" t="s">
        <v>1904</v>
      </c>
      <c r="J20" s="881"/>
      <c r="K20" s="871"/>
      <c r="L20" s="871"/>
      <c r="M20" s="859" t="s">
        <v>1905</v>
      </c>
      <c r="N20" s="881"/>
      <c r="AD20" s="894"/>
    </row>
    <row r="21" spans="1:30">
      <c r="A21" s="864"/>
      <c r="E21" s="882"/>
      <c r="I21" s="881"/>
      <c r="J21" s="881"/>
      <c r="K21" s="881"/>
      <c r="N21" s="881"/>
      <c r="AD21" s="894"/>
    </row>
    <row r="22" spans="1:30" ht="13.2">
      <c r="A22" s="864"/>
      <c r="B22" s="872"/>
      <c r="C22" s="872"/>
      <c r="E22" s="882" t="s">
        <v>520</v>
      </c>
      <c r="I22" s="881" t="s">
        <v>1906</v>
      </c>
      <c r="J22" s="881"/>
      <c r="K22" s="881"/>
      <c r="N22" s="881"/>
      <c r="AD22" s="894"/>
    </row>
    <row r="23" spans="1:30">
      <c r="A23" s="864"/>
      <c r="E23" s="882"/>
      <c r="I23" s="881"/>
      <c r="J23" s="881"/>
      <c r="K23" s="881"/>
      <c r="N23" s="881"/>
      <c r="AD23" s="894"/>
    </row>
    <row r="24" spans="1:30" ht="13.2">
      <c r="A24" s="864"/>
      <c r="B24" s="883"/>
      <c r="C24" s="884"/>
      <c r="E24" s="882" t="s">
        <v>1907</v>
      </c>
      <c r="I24" s="881" t="s">
        <v>1908</v>
      </c>
      <c r="J24" s="881"/>
      <c r="K24" s="881"/>
      <c r="L24" s="880"/>
      <c r="M24" s="859" t="s">
        <v>1909</v>
      </c>
      <c r="N24" s="881"/>
      <c r="AD24" s="894"/>
    </row>
    <row r="25" spans="1:30">
      <c r="A25" s="885"/>
      <c r="B25" s="886"/>
      <c r="C25" s="886"/>
      <c r="D25" s="886"/>
      <c r="E25" s="886"/>
      <c r="F25" s="886"/>
      <c r="G25" s="886"/>
      <c r="H25" s="886"/>
      <c r="I25" s="886"/>
      <c r="J25" s="886"/>
      <c r="K25" s="886"/>
      <c r="L25" s="886"/>
      <c r="M25" s="886"/>
      <c r="N25" s="886"/>
      <c r="O25" s="886"/>
      <c r="P25" s="886"/>
      <c r="Q25" s="886"/>
      <c r="R25" s="886"/>
      <c r="S25" s="886"/>
      <c r="T25" s="886"/>
      <c r="U25" s="886"/>
      <c r="V25" s="886"/>
      <c r="W25" s="886"/>
      <c r="X25" s="886"/>
      <c r="Y25" s="886"/>
      <c r="Z25" s="886"/>
      <c r="AA25" s="886"/>
      <c r="AB25" s="886"/>
      <c r="AC25" s="886"/>
      <c r="AD25" s="898"/>
    </row>
    <row r="30" spans="1:30" ht="13.2">
      <c r="F30" s="887" t="s">
        <v>1910</v>
      </c>
      <c r="H30" s="888"/>
      <c r="I30" s="888"/>
      <c r="J30" s="888"/>
      <c r="K30" s="888"/>
      <c r="L30" s="887" t="s">
        <v>909</v>
      </c>
      <c r="M30" s="891"/>
      <c r="V30" s="887" t="s">
        <v>831</v>
      </c>
      <c r="AB30" s="887" t="s">
        <v>455</v>
      </c>
    </row>
    <row r="31" spans="1:30" ht="13.2">
      <c r="F31" s="887" t="s">
        <v>1911</v>
      </c>
      <c r="H31" s="888"/>
      <c r="I31" s="888"/>
      <c r="J31" s="888"/>
      <c r="K31" s="888"/>
      <c r="L31" s="887" t="s">
        <v>1911</v>
      </c>
      <c r="M31" s="891"/>
      <c r="V31" s="887" t="s">
        <v>1912</v>
      </c>
      <c r="AB31" s="887" t="s">
        <v>1913</v>
      </c>
    </row>
  </sheetData>
  <mergeCells count="5">
    <mergeCell ref="A2:AB2"/>
    <mergeCell ref="B4:AB4"/>
    <mergeCell ref="H14:I14"/>
    <mergeCell ref="P14:Q14"/>
    <mergeCell ref="B20:C20"/>
  </mergeCells>
  <printOptions verticalCentered="1"/>
  <pageMargins left="0.64513888888888904" right="0.25138888888888899" top="0.70416666666666705" bottom="0.180555555555556" header="0.46041666666666697" footer="0.227777777777778"/>
  <pageSetup paperSize="9" orientation="landscape"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T45"/>
  <sheetViews>
    <sheetView view="pageBreakPreview" topLeftCell="A10" zoomScale="112" workbookViewId="0">
      <selection activeCell="B32" sqref="B32:K32"/>
    </sheetView>
  </sheetViews>
  <sheetFormatPr defaultColWidth="9.109375" defaultRowHeight="14.4"/>
  <cols>
    <col min="1" max="1" width="5" style="489" customWidth="1"/>
    <col min="2" max="2" width="20.109375" style="490" customWidth="1"/>
    <col min="3" max="3" width="3.5546875" style="491" customWidth="1"/>
    <col min="4" max="4" width="3.5546875" style="487" customWidth="1"/>
    <col min="5" max="5" width="3.5546875" style="492" customWidth="1"/>
    <col min="6" max="6" width="7.109375" style="487" customWidth="1"/>
    <col min="7" max="7" width="8.109375" style="487" customWidth="1"/>
    <col min="8" max="9" width="7.44140625" style="487" customWidth="1"/>
    <col min="10" max="10" width="9.44140625" style="487" customWidth="1"/>
    <col min="11" max="11" width="5.44140625" style="487" customWidth="1"/>
    <col min="12" max="12" width="11.88671875" style="486" customWidth="1"/>
    <col min="13" max="13" width="9.109375" style="490"/>
    <col min="14" max="14" width="9.6640625" style="490" customWidth="1"/>
    <col min="15" max="15" width="9.109375" style="490"/>
    <col min="16" max="16" width="6.44140625" style="490" customWidth="1"/>
    <col min="17" max="20" width="9.109375" style="490" hidden="1" customWidth="1"/>
    <col min="21" max="16384" width="9.109375" style="490"/>
  </cols>
  <sheetData>
    <row r="1" spans="1:14" ht="18" customHeight="1">
      <c r="A1" s="3630" t="s">
        <v>1914</v>
      </c>
      <c r="B1" s="3631"/>
      <c r="C1" s="3631"/>
      <c r="D1" s="3631"/>
      <c r="E1" s="3631"/>
      <c r="F1" s="3631"/>
      <c r="G1" s="3631"/>
      <c r="H1" s="3631"/>
      <c r="I1" s="3631"/>
      <c r="J1" s="3631"/>
      <c r="K1" s="3631"/>
      <c r="L1" s="3631"/>
    </row>
    <row r="2" spans="1:14" ht="36.75" customHeight="1">
      <c r="A2" s="3632" t="s">
        <v>445</v>
      </c>
      <c r="B2" s="3632"/>
      <c r="C2" s="494"/>
      <c r="D2" s="493"/>
      <c r="E2" s="495"/>
      <c r="F2" s="3633" t="str">
        <f>'Input Data'!E1</f>
        <v xml:space="preserve">BT Renewal from Balabadraipally to Danamma Thanda of Gundumal Mandal in Narayanpet District </v>
      </c>
      <c r="G2" s="3633"/>
      <c r="H2" s="3633"/>
      <c r="I2" s="3633"/>
      <c r="J2" s="3633"/>
      <c r="K2" s="3633"/>
      <c r="L2" s="3633"/>
    </row>
    <row r="3" spans="1:14" s="486" customFormat="1" ht="22.5" customHeight="1">
      <c r="A3" s="3630" t="s">
        <v>1915</v>
      </c>
      <c r="B3" s="3630"/>
      <c r="C3" s="3630"/>
      <c r="D3" s="3630"/>
      <c r="E3" s="3630"/>
      <c r="F3" s="3630"/>
      <c r="G3" s="3630"/>
      <c r="H3" s="3630"/>
      <c r="I3" s="3630"/>
      <c r="J3" s="3630"/>
      <c r="K3" s="3630"/>
      <c r="L3" s="3630"/>
    </row>
    <row r="4" spans="1:14" s="487" customFormat="1" ht="36.75" customHeight="1">
      <c r="A4" s="496" t="s">
        <v>1141</v>
      </c>
      <c r="B4" s="496" t="s">
        <v>917</v>
      </c>
      <c r="C4" s="3728" t="s">
        <v>918</v>
      </c>
      <c r="D4" s="3728"/>
      <c r="E4" s="3728"/>
      <c r="F4" s="496" t="s">
        <v>180</v>
      </c>
      <c r="G4" s="496" t="s">
        <v>919</v>
      </c>
      <c r="H4" s="496" t="s">
        <v>920</v>
      </c>
      <c r="I4" s="514" t="s">
        <v>3</v>
      </c>
      <c r="J4" s="498" t="s">
        <v>5</v>
      </c>
      <c r="K4" s="498" t="s">
        <v>607</v>
      </c>
      <c r="L4" s="496" t="s">
        <v>7</v>
      </c>
    </row>
    <row r="5" spans="1:14" s="487" customFormat="1">
      <c r="A5" s="497">
        <v>1</v>
      </c>
      <c r="B5" s="498">
        <v>2</v>
      </c>
      <c r="C5" s="3638">
        <v>3</v>
      </c>
      <c r="D5" s="3638"/>
      <c r="E5" s="3638"/>
      <c r="F5" s="498">
        <v>4</v>
      </c>
      <c r="G5" s="498">
        <v>5</v>
      </c>
      <c r="H5" s="498">
        <v>6</v>
      </c>
      <c r="I5" s="498">
        <v>7</v>
      </c>
      <c r="J5" s="498">
        <v>8</v>
      </c>
      <c r="K5" s="498">
        <v>9</v>
      </c>
      <c r="L5" s="498">
        <v>10</v>
      </c>
    </row>
    <row r="6" spans="1:14" ht="96.9" customHeight="1">
      <c r="A6" s="497">
        <v>1</v>
      </c>
      <c r="B6" s="3639"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39"/>
      <c r="D6" s="3639"/>
      <c r="E6" s="3639"/>
      <c r="F6" s="3639"/>
      <c r="G6" s="3639"/>
      <c r="H6" s="3639"/>
      <c r="I6" s="3639"/>
      <c r="J6" s="3639"/>
      <c r="K6" s="3639"/>
      <c r="L6" s="533"/>
    </row>
    <row r="7" spans="1:14" s="488" customFormat="1">
      <c r="A7" s="500"/>
      <c r="B7" s="501" t="s">
        <v>1180</v>
      </c>
      <c r="C7" s="502">
        <v>1</v>
      </c>
      <c r="D7" s="502" t="s">
        <v>921</v>
      </c>
      <c r="E7" s="500">
        <v>2</v>
      </c>
      <c r="F7" s="503">
        <v>5.5</v>
      </c>
      <c r="G7" s="503">
        <v>1.4</v>
      </c>
      <c r="H7" s="504">
        <v>1.5</v>
      </c>
      <c r="I7" s="534">
        <f t="shared" ref="I7:I13" si="0">ROUND(C7*E7*F7*G7*H7,2)</f>
        <v>23.1</v>
      </c>
      <c r="J7" s="502"/>
      <c r="K7" s="535"/>
      <c r="L7" s="536"/>
    </row>
    <row r="8" spans="1:14" s="488" customFormat="1">
      <c r="A8" s="500"/>
      <c r="B8" s="501" t="s">
        <v>1181</v>
      </c>
      <c r="C8" s="502">
        <v>1</v>
      </c>
      <c r="D8" s="502" t="s">
        <v>921</v>
      </c>
      <c r="E8" s="500">
        <v>1</v>
      </c>
      <c r="F8" s="503">
        <v>4.7</v>
      </c>
      <c r="G8" s="503">
        <v>3</v>
      </c>
      <c r="H8" s="504">
        <v>0.3</v>
      </c>
      <c r="I8" s="534">
        <f t="shared" si="0"/>
        <v>4.2300000000000004</v>
      </c>
      <c r="J8" s="502"/>
      <c r="K8" s="535"/>
      <c r="L8" s="536"/>
    </row>
    <row r="9" spans="1:14" s="488" customFormat="1">
      <c r="A9" s="500"/>
      <c r="B9" s="502"/>
      <c r="C9" s="505"/>
      <c r="D9" s="502"/>
      <c r="E9" s="501"/>
      <c r="F9" s="500"/>
      <c r="G9" s="500"/>
      <c r="H9" s="500"/>
      <c r="I9" s="537">
        <f>SUM(I7:I8)</f>
        <v>27.330000000000002</v>
      </c>
      <c r="J9" s="504">
        <f>'Pipe data'!G20</f>
        <v>123.69927804166667</v>
      </c>
      <c r="K9" s="502">
        <v>1</v>
      </c>
      <c r="L9" s="538">
        <f>ROUND(I9*J9,0)</f>
        <v>3381</v>
      </c>
    </row>
    <row r="10" spans="1:14">
      <c r="A10" s="497"/>
      <c r="B10" s="506"/>
      <c r="C10" s="507"/>
      <c r="D10" s="498"/>
      <c r="E10" s="508"/>
      <c r="F10" s="498"/>
      <c r="G10" s="498"/>
      <c r="H10" s="498"/>
      <c r="I10" s="539" t="s">
        <v>73</v>
      </c>
      <c r="J10" s="523"/>
      <c r="K10" s="496" t="s">
        <v>73</v>
      </c>
      <c r="L10" s="540"/>
    </row>
    <row r="11" spans="1:14" ht="51" customHeight="1">
      <c r="A11" s="497">
        <v>2</v>
      </c>
      <c r="B11" s="3640" t="str">
        <f>'Pipe data'!B55:G55</f>
        <v>Sand  Filling  in foundation trenches as per drawing and technical specification Clause 304 of MORTH including overhead charges &amp; Contractors profit etc complete.</v>
      </c>
      <c r="C11" s="3639"/>
      <c r="D11" s="3639"/>
      <c r="E11" s="3639"/>
      <c r="F11" s="3639"/>
      <c r="G11" s="3639"/>
      <c r="H11" s="3639"/>
      <c r="I11" s="3639"/>
      <c r="J11" s="3639"/>
      <c r="K11" s="3639"/>
      <c r="L11" s="541"/>
      <c r="N11" s="542"/>
    </row>
    <row r="12" spans="1:14" s="488" customFormat="1">
      <c r="A12" s="500"/>
      <c r="B12" s="501" t="s">
        <v>1180</v>
      </c>
      <c r="C12" s="502">
        <v>1</v>
      </c>
      <c r="D12" s="502" t="s">
        <v>921</v>
      </c>
      <c r="E12" s="500">
        <v>2</v>
      </c>
      <c r="F12" s="503">
        <f>F7</f>
        <v>5.5</v>
      </c>
      <c r="G12" s="503">
        <v>1.4</v>
      </c>
      <c r="H12" s="504">
        <v>0.1</v>
      </c>
      <c r="I12" s="534">
        <f t="shared" si="0"/>
        <v>1.54</v>
      </c>
      <c r="J12" s="502"/>
      <c r="K12" s="535"/>
      <c r="L12" s="536"/>
    </row>
    <row r="13" spans="1:14" s="488" customFormat="1">
      <c r="A13" s="500"/>
      <c r="B13" s="501" t="s">
        <v>1181</v>
      </c>
      <c r="C13" s="502">
        <v>1</v>
      </c>
      <c r="D13" s="502" t="s">
        <v>921</v>
      </c>
      <c r="E13" s="500">
        <v>1</v>
      </c>
      <c r="F13" s="503">
        <v>4.7</v>
      </c>
      <c r="G13" s="503">
        <v>3</v>
      </c>
      <c r="H13" s="504">
        <v>0.3</v>
      </c>
      <c r="I13" s="534">
        <f t="shared" si="0"/>
        <v>4.2300000000000004</v>
      </c>
      <c r="J13" s="502"/>
      <c r="K13" s="535"/>
      <c r="L13" s="536"/>
    </row>
    <row r="14" spans="1:14" s="488" customFormat="1">
      <c r="A14" s="500"/>
      <c r="B14" s="510"/>
      <c r="C14" s="511"/>
      <c r="D14" s="500"/>
      <c r="E14" s="512"/>
      <c r="F14" s="513"/>
      <c r="G14" s="500"/>
      <c r="H14" s="500"/>
      <c r="I14" s="537">
        <f>SUM(I12:I13)</f>
        <v>5.7700000000000005</v>
      </c>
      <c r="J14" s="543">
        <f>'Pipe data'!G72</f>
        <v>1237.43</v>
      </c>
      <c r="K14" s="502">
        <v>1</v>
      </c>
      <c r="L14" s="538">
        <f>ROUND(I14*J14,0)</f>
        <v>7140</v>
      </c>
    </row>
    <row r="15" spans="1:14">
      <c r="A15" s="497"/>
      <c r="B15" s="506"/>
      <c r="C15" s="507"/>
      <c r="D15" s="498"/>
      <c r="E15" s="508"/>
      <c r="F15" s="498"/>
      <c r="G15" s="498"/>
      <c r="H15" s="498"/>
      <c r="I15" s="539" t="s">
        <v>73</v>
      </c>
      <c r="J15" s="523"/>
      <c r="K15" s="496" t="s">
        <v>73</v>
      </c>
      <c r="L15" s="540"/>
    </row>
    <row r="16" spans="1:14" ht="94.2" customHeight="1">
      <c r="A16" s="497">
        <v>3</v>
      </c>
      <c r="B16" s="3639"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639"/>
      <c r="D16" s="3639"/>
      <c r="E16" s="3639"/>
      <c r="F16" s="3639"/>
      <c r="G16" s="3639"/>
      <c r="H16" s="3639"/>
      <c r="I16" s="3639"/>
      <c r="J16" s="3639"/>
      <c r="K16" s="496"/>
      <c r="L16" s="540"/>
    </row>
    <row r="17" spans="1:12" ht="19.2" customHeight="1">
      <c r="A17" s="497"/>
      <c r="B17" s="506" t="s">
        <v>1184</v>
      </c>
      <c r="C17" s="507">
        <v>1</v>
      </c>
      <c r="D17" s="498" t="s">
        <v>921</v>
      </c>
      <c r="E17" s="508">
        <v>2</v>
      </c>
      <c r="F17" s="514">
        <f>F12</f>
        <v>5.5</v>
      </c>
      <c r="G17" s="498">
        <v>1.4</v>
      </c>
      <c r="H17" s="498">
        <v>0.15</v>
      </c>
      <c r="I17" s="534">
        <f>ROUND(C17*E17*F17*G17*H17,2)</f>
        <v>2.31</v>
      </c>
      <c r="J17" s="523"/>
      <c r="K17" s="496"/>
      <c r="L17" s="540"/>
    </row>
    <row r="18" spans="1:12" ht="19.2" customHeight="1">
      <c r="A18" s="497"/>
      <c r="B18" s="501" t="s">
        <v>1181</v>
      </c>
      <c r="C18" s="505">
        <v>1</v>
      </c>
      <c r="D18" s="502" t="s">
        <v>921</v>
      </c>
      <c r="E18" s="512">
        <v>1</v>
      </c>
      <c r="F18" s="503">
        <v>5.4</v>
      </c>
      <c r="G18" s="503">
        <v>1.5</v>
      </c>
      <c r="H18" s="504">
        <v>0.2</v>
      </c>
      <c r="I18" s="534">
        <f>ROUND(C18*E18*F18*G18*H18,2)</f>
        <v>1.62</v>
      </c>
      <c r="J18" s="523"/>
      <c r="K18" s="496"/>
      <c r="L18" s="540"/>
    </row>
    <row r="19" spans="1:12" ht="19.2" customHeight="1">
      <c r="A19" s="497"/>
      <c r="B19" s="506"/>
      <c r="C19" s="507"/>
      <c r="D19" s="498"/>
      <c r="E19" s="508"/>
      <c r="F19" s="498"/>
      <c r="G19" s="498"/>
      <c r="H19" s="498"/>
      <c r="I19" s="539">
        <f>SUM(I17:I18)</f>
        <v>3.93</v>
      </c>
      <c r="J19" s="523">
        <f>'Slab-Culverts Data'!J31</f>
        <v>5748.72</v>
      </c>
      <c r="K19" s="502">
        <v>1</v>
      </c>
      <c r="L19" s="538">
        <f>ROUND(I19*J19,0)</f>
        <v>22592</v>
      </c>
    </row>
    <row r="20" spans="1:12" ht="19.2" customHeight="1">
      <c r="A20" s="497"/>
      <c r="B20" s="506"/>
      <c r="C20" s="507"/>
      <c r="D20" s="498"/>
      <c r="E20" s="508"/>
      <c r="F20" s="498"/>
      <c r="G20" s="498"/>
      <c r="H20" s="498"/>
      <c r="I20" s="539" t="s">
        <v>73</v>
      </c>
      <c r="J20" s="523"/>
      <c r="K20" s="496" t="s">
        <v>73</v>
      </c>
      <c r="L20" s="540"/>
    </row>
    <row r="21" spans="1:12" ht="111.9" customHeight="1">
      <c r="A21" s="497">
        <v>3</v>
      </c>
      <c r="B21" s="3639" t="str">
        <f>'Pipe data'!$B$74:$G$74</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1" s="3639"/>
      <c r="D21" s="3639"/>
      <c r="E21" s="3639"/>
      <c r="F21" s="3639"/>
      <c r="G21" s="3639"/>
      <c r="H21" s="3639"/>
      <c r="I21" s="3639"/>
      <c r="J21" s="3639"/>
      <c r="K21" s="3639"/>
      <c r="L21" s="540"/>
    </row>
    <row r="22" spans="1:12" s="488" customFormat="1" ht="27.6" customHeight="1">
      <c r="A22" s="500"/>
      <c r="B22" s="515" t="s">
        <v>1186</v>
      </c>
      <c r="C22" s="516" t="s">
        <v>1187</v>
      </c>
      <c r="D22" s="516"/>
      <c r="E22" s="497">
        <v>2</v>
      </c>
      <c r="F22" s="517">
        <f>F12</f>
        <v>5.5</v>
      </c>
      <c r="G22" s="518">
        <v>1.4</v>
      </c>
      <c r="H22" s="518">
        <v>0.15</v>
      </c>
      <c r="I22" s="544">
        <f>ROUND(PRODUCT(C22:H22),2)</f>
        <v>2.31</v>
      </c>
      <c r="J22" s="535"/>
      <c r="K22" s="535"/>
      <c r="L22" s="536"/>
    </row>
    <row r="23" spans="1:12" s="488" customFormat="1" ht="27.6" customHeight="1">
      <c r="A23" s="500"/>
      <c r="B23" s="515" t="s">
        <v>1186</v>
      </c>
      <c r="C23" s="516" t="s">
        <v>1187</v>
      </c>
      <c r="D23" s="516"/>
      <c r="E23" s="519">
        <v>2</v>
      </c>
      <c r="F23" s="517">
        <f>F22</f>
        <v>5.5</v>
      </c>
      <c r="G23" s="520" t="s">
        <v>1188</v>
      </c>
      <c r="H23" s="518">
        <v>1.25</v>
      </c>
      <c r="I23" s="544">
        <f>ROUND(PRODUCT(C23:H23)*(1.25+1)/2,2)</f>
        <v>15.47</v>
      </c>
      <c r="J23" s="535"/>
      <c r="K23" s="535"/>
      <c r="L23" s="536"/>
    </row>
    <row r="24" spans="1:12">
      <c r="A24" s="497"/>
      <c r="B24" s="499"/>
      <c r="C24" s="521"/>
      <c r="D24" s="499"/>
      <c r="E24" s="499"/>
      <c r="F24" s="499"/>
      <c r="G24" s="499"/>
      <c r="H24" s="499"/>
      <c r="I24" s="545">
        <f>SUM(I22:I23)</f>
        <v>17.78</v>
      </c>
      <c r="J24" s="546">
        <f>'Pipe data'!$G$103</f>
        <v>6425.92</v>
      </c>
      <c r="K24" s="502">
        <v>1</v>
      </c>
      <c r="L24" s="538">
        <f>ROUND(I24*J24,0)</f>
        <v>114253</v>
      </c>
    </row>
    <row r="25" spans="1:12">
      <c r="A25" s="497"/>
      <c r="B25" s="499"/>
      <c r="C25" s="521"/>
      <c r="D25" s="499"/>
      <c r="E25" s="499"/>
      <c r="F25" s="499"/>
      <c r="G25" s="499"/>
      <c r="H25" s="499"/>
      <c r="I25" s="547" t="s">
        <v>73</v>
      </c>
      <c r="J25" s="499"/>
      <c r="K25" s="496" t="s">
        <v>73</v>
      </c>
      <c r="L25" s="540"/>
    </row>
    <row r="26" spans="1:12" ht="111" customHeight="1">
      <c r="A26" s="497">
        <v>4</v>
      </c>
      <c r="B26" s="3639"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6" s="3639"/>
      <c r="D26" s="3639"/>
      <c r="E26" s="3639"/>
      <c r="F26" s="3639"/>
      <c r="G26" s="3639"/>
      <c r="H26" s="3639"/>
      <c r="I26" s="3639"/>
      <c r="J26" s="3639"/>
      <c r="K26" s="3639"/>
      <c r="L26" s="540"/>
    </row>
    <row r="27" spans="1:12" ht="32.4" customHeight="1">
      <c r="A27" s="497"/>
      <c r="B27" s="515" t="s">
        <v>1190</v>
      </c>
      <c r="C27" s="516" t="s">
        <v>1187</v>
      </c>
      <c r="D27" s="516"/>
      <c r="E27" s="497">
        <v>2</v>
      </c>
      <c r="F27" s="517">
        <f>F22</f>
        <v>5.5</v>
      </c>
      <c r="G27" s="520" t="s">
        <v>1191</v>
      </c>
      <c r="H27" s="518">
        <v>1.8</v>
      </c>
      <c r="I27" s="544">
        <f>ROUND(PRODUCT(C27:H27)*(0.4+1)/2,2)</f>
        <v>13.86</v>
      </c>
      <c r="J27" s="543"/>
      <c r="K27" s="502"/>
      <c r="L27" s="538"/>
    </row>
    <row r="28" spans="1:12" s="488" customFormat="1">
      <c r="A28" s="500"/>
      <c r="B28" s="515" t="s">
        <v>1192</v>
      </c>
      <c r="C28" s="516" t="s">
        <v>1187</v>
      </c>
      <c r="D28" s="516"/>
      <c r="E28" s="497">
        <v>2</v>
      </c>
      <c r="F28" s="517">
        <f>F23</f>
        <v>5.5</v>
      </c>
      <c r="G28" s="497">
        <v>0.45</v>
      </c>
      <c r="H28" s="518">
        <v>0.4</v>
      </c>
      <c r="I28" s="544">
        <f>ROUND(PRODUCT(C28:H28),2)</f>
        <v>1.98</v>
      </c>
      <c r="J28" s="535"/>
      <c r="K28" s="535"/>
      <c r="L28" s="536"/>
    </row>
    <row r="29" spans="1:12" s="488" customFormat="1" ht="28.8">
      <c r="A29" s="500"/>
      <c r="B29" s="522" t="s">
        <v>1193</v>
      </c>
      <c r="C29" s="516" t="s">
        <v>1194</v>
      </c>
      <c r="D29" s="516"/>
      <c r="E29" s="497">
        <v>-2</v>
      </c>
      <c r="F29" s="517">
        <v>1.1000000000000001</v>
      </c>
      <c r="G29" s="517">
        <v>1.1000000000000001</v>
      </c>
      <c r="H29" s="520" t="s">
        <v>1195</v>
      </c>
      <c r="I29" s="544">
        <f>ROUND(PRODUCT(C29:H29)*(3.14/4)*(1+0.6)/2,2)</f>
        <v>-1.52</v>
      </c>
      <c r="J29" s="535"/>
      <c r="K29" s="535"/>
      <c r="L29" s="536"/>
    </row>
    <row r="30" spans="1:12" ht="15" customHeight="1">
      <c r="A30" s="497"/>
      <c r="B30" s="3641"/>
      <c r="C30" s="3642"/>
      <c r="D30" s="3642"/>
      <c r="E30" s="3642"/>
      <c r="F30" s="3642"/>
      <c r="G30" s="498"/>
      <c r="H30" s="498"/>
      <c r="I30" s="537">
        <f>SUM(I27:I29)</f>
        <v>14.32</v>
      </c>
      <c r="J30" s="546">
        <f>'Pipe data'!G230</f>
        <v>6796.65</v>
      </c>
      <c r="K30" s="496">
        <v>1</v>
      </c>
      <c r="L30" s="540">
        <f>ROUND(I30*J30,0)</f>
        <v>97328</v>
      </c>
    </row>
    <row r="31" spans="1:12" ht="15" customHeight="1">
      <c r="A31" s="497"/>
      <c r="B31" s="506"/>
      <c r="C31" s="507"/>
      <c r="D31" s="498"/>
      <c r="E31" s="508"/>
      <c r="F31" s="498"/>
      <c r="G31" s="498"/>
      <c r="H31" s="498"/>
      <c r="I31" s="539" t="s">
        <v>73</v>
      </c>
      <c r="J31" s="523"/>
      <c r="K31" s="496" t="s">
        <v>31</v>
      </c>
      <c r="L31" s="540"/>
    </row>
    <row r="32" spans="1:12" ht="98.1" customHeight="1">
      <c r="A32" s="497">
        <v>5</v>
      </c>
      <c r="B32" s="3639" t="str">
        <f>'Pipe data'!B105:G105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2" s="3639"/>
      <c r="D32" s="3639"/>
      <c r="E32" s="3639"/>
      <c r="F32" s="3639"/>
      <c r="G32" s="3639"/>
      <c r="H32" s="3639"/>
      <c r="I32" s="3639"/>
      <c r="J32" s="3639"/>
      <c r="K32" s="3639"/>
      <c r="L32" s="540"/>
    </row>
    <row r="33" spans="1:12" ht="15" customHeight="1">
      <c r="A33" s="497"/>
      <c r="B33" s="496" t="s">
        <v>1197</v>
      </c>
      <c r="C33" s="496" t="s">
        <v>1187</v>
      </c>
      <c r="D33" s="496"/>
      <c r="E33" s="498">
        <v>3</v>
      </c>
      <c r="F33" s="514">
        <v>2.5</v>
      </c>
      <c r="G33" s="498"/>
      <c r="H33" s="523"/>
      <c r="I33" s="539">
        <f>ROUND(PRODUCT(C33:H33),2)</f>
        <v>7.5</v>
      </c>
      <c r="J33" s="523">
        <f>'Pipe data'!G128</f>
        <v>13715.57</v>
      </c>
      <c r="K33" s="496">
        <v>1</v>
      </c>
      <c r="L33" s="540">
        <f>ROUND(I33*J33,0)</f>
        <v>102867</v>
      </c>
    </row>
    <row r="34" spans="1:12" ht="15" customHeight="1">
      <c r="A34" s="497"/>
      <c r="B34" s="506"/>
      <c r="C34" s="507"/>
      <c r="D34" s="498"/>
      <c r="E34" s="508"/>
      <c r="F34" s="498"/>
      <c r="G34" s="498"/>
      <c r="H34" s="498"/>
      <c r="I34" s="539" t="s">
        <v>107</v>
      </c>
      <c r="J34" s="523"/>
      <c r="K34" s="496" t="s">
        <v>107</v>
      </c>
      <c r="L34" s="540"/>
    </row>
    <row r="35" spans="1:12" ht="26.1" customHeight="1">
      <c r="A35" s="524"/>
      <c r="B35" s="525"/>
      <c r="C35" s="526"/>
      <c r="D35" s="527"/>
      <c r="E35" s="528"/>
      <c r="F35" s="527"/>
      <c r="G35" s="527"/>
      <c r="H35" s="527"/>
      <c r="I35" s="527"/>
      <c r="J35" s="548" t="s">
        <v>1175</v>
      </c>
      <c r="K35" s="527"/>
      <c r="L35" s="549">
        <f>SUM(L6:L34)</f>
        <v>347561</v>
      </c>
    </row>
    <row r="36" spans="1:12">
      <c r="J36" s="486"/>
      <c r="L36" s="550"/>
    </row>
    <row r="37" spans="1:12">
      <c r="J37" s="486"/>
      <c r="L37" s="550"/>
    </row>
    <row r="38" spans="1:12">
      <c r="J38" s="486"/>
      <c r="L38" s="550"/>
    </row>
    <row r="39" spans="1:12" ht="15" customHeight="1">
      <c r="B39" s="3644" t="s">
        <v>1199</v>
      </c>
      <c r="C39" s="3644"/>
      <c r="D39" s="3644"/>
      <c r="E39" s="3644"/>
      <c r="F39" s="3644"/>
      <c r="H39" s="3644" t="s">
        <v>723</v>
      </c>
      <c r="I39" s="3644"/>
      <c r="J39" s="3644"/>
    </row>
    <row r="40" spans="1:12">
      <c r="B40" s="3644" t="str">
        <f>'Road data'!D986</f>
        <v>PRSD Maddur</v>
      </c>
      <c r="C40" s="3644"/>
      <c r="D40" s="3644"/>
      <c r="E40" s="3644"/>
      <c r="F40" s="3644"/>
      <c r="H40" s="3645" t="str">
        <f>GA!C35</f>
        <v>PRSD, Maddur</v>
      </c>
      <c r="I40" s="3644"/>
      <c r="J40" s="3644"/>
    </row>
    <row r="41" spans="1:12">
      <c r="B41" s="530"/>
      <c r="C41" s="531"/>
      <c r="D41" s="530"/>
      <c r="E41" s="529"/>
      <c r="F41" s="530"/>
      <c r="H41" s="530"/>
      <c r="I41" s="530"/>
    </row>
    <row r="42" spans="1:12">
      <c r="B42" s="530"/>
      <c r="C42" s="531"/>
      <c r="D42" s="530"/>
      <c r="E42" s="529"/>
      <c r="F42" s="530"/>
      <c r="H42" s="530"/>
      <c r="I42" s="530"/>
    </row>
    <row r="43" spans="1:12">
      <c r="B43" s="532"/>
      <c r="C43" s="531"/>
      <c r="D43" s="532"/>
      <c r="E43" s="529"/>
      <c r="F43" s="532"/>
      <c r="H43" s="532"/>
      <c r="I43" s="530"/>
    </row>
    <row r="44" spans="1:12" ht="18" customHeight="1">
      <c r="B44" s="3644" t="s">
        <v>725</v>
      </c>
      <c r="C44" s="3644"/>
      <c r="D44" s="3644"/>
      <c r="E44" s="3644"/>
      <c r="F44" s="3644"/>
      <c r="H44" s="3644" t="s">
        <v>455</v>
      </c>
      <c r="I44" s="3644"/>
      <c r="J44" s="3644"/>
    </row>
    <row r="45" spans="1:12" ht="15" customHeight="1">
      <c r="B45" s="3644" t="str">
        <f>'Road data'!D990</f>
        <v>PR Division, Narayanpet</v>
      </c>
      <c r="C45" s="3644"/>
      <c r="D45" s="3644"/>
      <c r="E45" s="3644"/>
      <c r="F45" s="3644"/>
      <c r="H45" s="3644" t="str">
        <f>GA!C38</f>
        <v>PR, Circle, Vikarabad</v>
      </c>
      <c r="I45" s="3644"/>
      <c r="J45" s="3644"/>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5" tint="-0.249977111117893"/>
  </sheetPr>
  <dimension ref="A1:L73"/>
  <sheetViews>
    <sheetView view="pageBreakPreview" topLeftCell="A54" workbookViewId="0">
      <selection activeCell="J62" sqref="J62"/>
    </sheetView>
  </sheetViews>
  <sheetFormatPr defaultColWidth="9.109375" defaultRowHeight="13.8"/>
  <cols>
    <col min="1" max="1" width="5" style="421" customWidth="1"/>
    <col min="2" max="2" width="21.33203125" style="422" customWidth="1"/>
    <col min="3" max="5" width="4.109375" style="419" customWidth="1"/>
    <col min="6" max="6" width="7.5546875" style="419" customWidth="1"/>
    <col min="7" max="7" width="10" style="419" customWidth="1"/>
    <col min="8" max="8" width="8.88671875" style="419" customWidth="1"/>
    <col min="9" max="9" width="9.5546875" style="419" customWidth="1"/>
    <col min="10" max="10" width="10.5546875" style="419" customWidth="1"/>
    <col min="11" max="11" width="6.109375" style="419" customWidth="1"/>
    <col min="12" max="12" width="16.33203125" style="418" customWidth="1"/>
    <col min="13" max="16384" width="9.109375" style="422"/>
  </cols>
  <sheetData>
    <row r="1" spans="1:12" ht="18" customHeight="1">
      <c r="A1" s="3646" t="s">
        <v>1916</v>
      </c>
      <c r="B1" s="3647"/>
      <c r="C1" s="3647"/>
      <c r="D1" s="3647"/>
      <c r="E1" s="3647"/>
      <c r="F1" s="3647"/>
      <c r="G1" s="3647"/>
      <c r="H1" s="3647"/>
      <c r="I1" s="3647"/>
      <c r="J1" s="3647"/>
      <c r="K1" s="3647"/>
      <c r="L1" s="3647"/>
    </row>
    <row r="2" spans="1:12" ht="42" customHeight="1">
      <c r="A2" s="3648" t="s">
        <v>445</v>
      </c>
      <c r="B2" s="3648"/>
      <c r="C2" s="3729" t="str">
        <f>'Input Data'!E1</f>
        <v xml:space="preserve">BT Renewal from Balabadraipally to Danamma Thanda of Gundumal Mandal in Narayanpet District </v>
      </c>
      <c r="D2" s="3729"/>
      <c r="E2" s="3729"/>
      <c r="F2" s="3729"/>
      <c r="G2" s="3729"/>
      <c r="H2" s="3729"/>
      <c r="I2" s="3729"/>
      <c r="J2" s="3729"/>
      <c r="K2" s="3729"/>
      <c r="L2" s="3729"/>
    </row>
    <row r="3" spans="1:12" s="418" customFormat="1" ht="30" customHeight="1">
      <c r="A3" s="3650" t="s">
        <v>1917</v>
      </c>
      <c r="B3" s="3650"/>
      <c r="C3" s="3650"/>
      <c r="D3" s="3650"/>
      <c r="E3" s="3650"/>
      <c r="F3" s="3650"/>
      <c r="G3" s="3650"/>
      <c r="H3" s="3650"/>
      <c r="I3" s="3650"/>
      <c r="J3" s="3650"/>
      <c r="K3" s="3650"/>
      <c r="L3" s="3650"/>
    </row>
    <row r="4" spans="1:12" s="419" customFormat="1" ht="33" customHeight="1">
      <c r="A4" s="423" t="s">
        <v>1141</v>
      </c>
      <c r="B4" s="424" t="s">
        <v>917</v>
      </c>
      <c r="C4" s="3730" t="s">
        <v>918</v>
      </c>
      <c r="D4" s="3730"/>
      <c r="E4" s="3730"/>
      <c r="F4" s="424" t="s">
        <v>180</v>
      </c>
      <c r="G4" s="424" t="s">
        <v>919</v>
      </c>
      <c r="H4" s="424" t="s">
        <v>920</v>
      </c>
      <c r="I4" s="458" t="s">
        <v>3</v>
      </c>
      <c r="J4" s="426" t="s">
        <v>5</v>
      </c>
      <c r="K4" s="426" t="s">
        <v>607</v>
      </c>
      <c r="L4" s="424" t="s">
        <v>7</v>
      </c>
    </row>
    <row r="5" spans="1:12" s="418" customFormat="1">
      <c r="A5" s="425">
        <v>1</v>
      </c>
      <c r="B5" s="426">
        <v>2</v>
      </c>
      <c r="C5" s="3731">
        <v>3</v>
      </c>
      <c r="D5" s="3731"/>
      <c r="E5" s="3731"/>
      <c r="F5" s="426">
        <v>4</v>
      </c>
      <c r="G5" s="426">
        <v>5</v>
      </c>
      <c r="H5" s="426">
        <v>6</v>
      </c>
      <c r="I5" s="459">
        <v>7</v>
      </c>
      <c r="J5" s="426">
        <v>8</v>
      </c>
      <c r="K5" s="426">
        <v>9</v>
      </c>
      <c r="L5" s="426">
        <v>10</v>
      </c>
    </row>
    <row r="6" spans="1:12" ht="90.75" customHeight="1">
      <c r="A6" s="427">
        <v>1</v>
      </c>
      <c r="B6" s="3657"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57"/>
      <c r="D6" s="3657"/>
      <c r="E6" s="3657"/>
      <c r="F6" s="3657"/>
      <c r="G6" s="3657"/>
      <c r="H6" s="3657"/>
      <c r="I6" s="3657"/>
      <c r="J6" s="3657"/>
      <c r="K6" s="3657"/>
      <c r="L6" s="460"/>
    </row>
    <row r="7" spans="1:12" ht="20.100000000000001" customHeight="1">
      <c r="A7" s="431"/>
      <c r="B7" s="434" t="s">
        <v>1918</v>
      </c>
      <c r="C7" s="435">
        <v>1</v>
      </c>
      <c r="D7" s="435" t="s">
        <v>921</v>
      </c>
      <c r="E7" s="435">
        <v>2</v>
      </c>
      <c r="F7" s="473">
        <v>30.6</v>
      </c>
      <c r="G7" s="436">
        <v>1.2</v>
      </c>
      <c r="H7" s="436">
        <v>1.2</v>
      </c>
      <c r="I7" s="436">
        <f>ROUND(C7*E7*F7*G7*H7,2)</f>
        <v>88.13</v>
      </c>
      <c r="J7" s="435"/>
      <c r="K7" s="433"/>
      <c r="L7" s="463"/>
    </row>
    <row r="8" spans="1:12" ht="20.100000000000001" customHeight="1">
      <c r="A8" s="431"/>
      <c r="B8" s="434" t="s">
        <v>1919</v>
      </c>
      <c r="C8" s="435">
        <v>1</v>
      </c>
      <c r="D8" s="435" t="s">
        <v>921</v>
      </c>
      <c r="E8" s="435">
        <v>4</v>
      </c>
      <c r="F8" s="473">
        <v>7.6</v>
      </c>
      <c r="G8" s="436">
        <v>1.2</v>
      </c>
      <c r="H8" s="436">
        <v>1.2</v>
      </c>
      <c r="I8" s="436">
        <f t="shared" ref="I8:I9" si="0">ROUND(C8*E8*F8*G8*H8,2)</f>
        <v>43.78</v>
      </c>
      <c r="J8" s="435"/>
      <c r="K8" s="433"/>
      <c r="L8" s="463"/>
    </row>
    <row r="9" spans="1:12" ht="20.100000000000001" customHeight="1">
      <c r="A9" s="431"/>
      <c r="B9" s="434" t="s">
        <v>1920</v>
      </c>
      <c r="C9" s="435">
        <v>1</v>
      </c>
      <c r="D9" s="435" t="s">
        <v>921</v>
      </c>
      <c r="E9" s="435">
        <v>1</v>
      </c>
      <c r="F9" s="473">
        <v>6.9</v>
      </c>
      <c r="G9" s="436">
        <v>5.7</v>
      </c>
      <c r="H9" s="436">
        <v>0.6</v>
      </c>
      <c r="I9" s="436">
        <f t="shared" si="0"/>
        <v>23.6</v>
      </c>
      <c r="J9" s="435"/>
      <c r="K9" s="433"/>
      <c r="L9" s="463"/>
    </row>
    <row r="10" spans="1:12" ht="20.100000000000001" customHeight="1">
      <c r="A10" s="431"/>
      <c r="B10" s="434"/>
      <c r="C10" s="434"/>
      <c r="D10" s="434"/>
      <c r="E10" s="434"/>
      <c r="F10" s="433"/>
      <c r="G10" s="431"/>
      <c r="H10" s="431"/>
      <c r="I10" s="464">
        <f>SUM(I7:I9)</f>
        <v>155.51</v>
      </c>
      <c r="J10" s="436">
        <f>'Pipe data'!G20</f>
        <v>123.69927804166667</v>
      </c>
      <c r="K10" s="435">
        <v>1</v>
      </c>
      <c r="L10" s="465">
        <f>ROUND(I10*J10,0)</f>
        <v>19236</v>
      </c>
    </row>
    <row r="11" spans="1:12" ht="20.100000000000001" customHeight="1">
      <c r="A11" s="431"/>
      <c r="B11" s="434"/>
      <c r="C11" s="434"/>
      <c r="D11" s="434"/>
      <c r="E11" s="434"/>
      <c r="F11" s="433"/>
      <c r="G11" s="431"/>
      <c r="H11" s="431"/>
      <c r="I11" s="466" t="s">
        <v>31</v>
      </c>
      <c r="J11" s="436"/>
      <c r="K11" s="435" t="s">
        <v>31</v>
      </c>
      <c r="L11" s="465"/>
    </row>
    <row r="12" spans="1:12" ht="12.75" customHeight="1">
      <c r="A12" s="431"/>
      <c r="B12" s="434"/>
      <c r="C12" s="434"/>
      <c r="D12" s="434"/>
      <c r="E12" s="434"/>
      <c r="F12" s="433"/>
      <c r="G12" s="431"/>
      <c r="H12" s="431"/>
      <c r="I12" s="466"/>
      <c r="J12" s="436"/>
      <c r="K12" s="435"/>
      <c r="L12" s="465"/>
    </row>
    <row r="13" spans="1:12" ht="47.25" customHeight="1">
      <c r="A13" s="437">
        <v>2</v>
      </c>
      <c r="B13" s="3658" t="str">
        <f>'Pipe data'!B55:G55</f>
        <v>Sand  Filling  in foundation trenches as per drawing and technical specification Clause 304 of MORTH including overhead charges &amp; Contractors profit etc complete.</v>
      </c>
      <c r="C13" s="3659"/>
      <c r="D13" s="3659"/>
      <c r="E13" s="3659"/>
      <c r="F13" s="3659"/>
      <c r="G13" s="3659"/>
      <c r="H13" s="3659"/>
      <c r="I13" s="3659"/>
      <c r="J13" s="3659"/>
      <c r="K13" s="3659"/>
      <c r="L13" s="467"/>
    </row>
    <row r="14" spans="1:12" ht="20.100000000000001" customHeight="1">
      <c r="A14" s="431"/>
      <c r="B14" s="434" t="s">
        <v>1918</v>
      </c>
      <c r="C14" s="435">
        <v>1</v>
      </c>
      <c r="D14" s="435" t="s">
        <v>921</v>
      </c>
      <c r="E14" s="435">
        <v>2</v>
      </c>
      <c r="F14" s="436"/>
      <c r="G14" s="436">
        <v>1.2</v>
      </c>
      <c r="H14" s="436">
        <v>0.1</v>
      </c>
      <c r="I14" s="436">
        <f t="shared" ref="I14:I16" si="1">ROUND(C14*E14*F14*G14*H14,2)</f>
        <v>0</v>
      </c>
      <c r="J14" s="435"/>
      <c r="K14" s="433"/>
      <c r="L14" s="463"/>
    </row>
    <row r="15" spans="1:12" ht="20.100000000000001" customHeight="1">
      <c r="A15" s="431"/>
      <c r="B15" s="434" t="s">
        <v>1919</v>
      </c>
      <c r="C15" s="435">
        <v>1</v>
      </c>
      <c r="D15" s="435" t="s">
        <v>921</v>
      </c>
      <c r="E15" s="435">
        <v>4</v>
      </c>
      <c r="F15" s="436"/>
      <c r="G15" s="436">
        <v>1.2</v>
      </c>
      <c r="H15" s="436">
        <v>0.1</v>
      </c>
      <c r="I15" s="436">
        <f t="shared" si="1"/>
        <v>0</v>
      </c>
      <c r="J15" s="435"/>
      <c r="K15" s="433"/>
      <c r="L15" s="463"/>
    </row>
    <row r="16" spans="1:12" ht="20.100000000000001" customHeight="1">
      <c r="A16" s="431"/>
      <c r="B16" s="434" t="s">
        <v>1920</v>
      </c>
      <c r="C16" s="435">
        <v>1</v>
      </c>
      <c r="D16" s="435" t="s">
        <v>921</v>
      </c>
      <c r="E16" s="435">
        <v>1</v>
      </c>
      <c r="F16" s="436"/>
      <c r="G16" s="436">
        <v>5.7</v>
      </c>
      <c r="H16" s="436">
        <v>0.1</v>
      </c>
      <c r="I16" s="436">
        <f t="shared" si="1"/>
        <v>0</v>
      </c>
      <c r="J16" s="435"/>
      <c r="K16" s="433"/>
      <c r="L16" s="463"/>
    </row>
    <row r="17" spans="1:12" ht="20.100000000000001" customHeight="1">
      <c r="A17" s="431"/>
      <c r="B17" s="434"/>
      <c r="C17" s="434"/>
      <c r="D17" s="434"/>
      <c r="E17" s="434"/>
      <c r="F17" s="433"/>
      <c r="G17" s="431"/>
      <c r="H17" s="431"/>
      <c r="I17" s="464">
        <f>SUM(I14:I16)</f>
        <v>0</v>
      </c>
      <c r="J17" s="436">
        <f>'Pipe data'!G72</f>
        <v>1237.43</v>
      </c>
      <c r="K17" s="435">
        <v>1</v>
      </c>
      <c r="L17" s="465">
        <f>ROUND(I17*J17,0)</f>
        <v>0</v>
      </c>
    </row>
    <row r="18" spans="1:12" ht="20.100000000000001" customHeight="1">
      <c r="A18" s="431"/>
      <c r="B18" s="434"/>
      <c r="C18" s="434"/>
      <c r="D18" s="434"/>
      <c r="E18" s="434"/>
      <c r="F18" s="433"/>
      <c r="G18" s="431"/>
      <c r="H18" s="431"/>
      <c r="I18" s="466" t="s">
        <v>31</v>
      </c>
      <c r="J18" s="436"/>
      <c r="K18" s="435" t="s">
        <v>31</v>
      </c>
      <c r="L18" s="465"/>
    </row>
    <row r="19" spans="1:12" ht="20.100000000000001" customHeight="1">
      <c r="A19" s="431"/>
      <c r="B19" s="434"/>
      <c r="C19" s="434"/>
      <c r="D19" s="434"/>
      <c r="E19" s="434"/>
      <c r="F19" s="433"/>
      <c r="G19" s="431"/>
      <c r="H19" s="431"/>
      <c r="I19" s="466"/>
      <c r="J19" s="436"/>
      <c r="K19" s="435"/>
      <c r="L19" s="465"/>
    </row>
    <row r="20" spans="1:12" ht="108" customHeight="1">
      <c r="A20" s="437">
        <v>3</v>
      </c>
      <c r="B20" s="3659"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659"/>
      <c r="D20" s="3659"/>
      <c r="E20" s="3659"/>
      <c r="F20" s="3659"/>
      <c r="G20" s="3659"/>
      <c r="H20" s="3659"/>
      <c r="I20" s="3659"/>
      <c r="J20" s="3659"/>
      <c r="K20" s="3659"/>
      <c r="L20" s="467"/>
    </row>
    <row r="21" spans="1:12" ht="20.100000000000001" customHeight="1">
      <c r="A21" s="431"/>
      <c r="B21" s="434" t="s">
        <v>1918</v>
      </c>
      <c r="C21" s="435">
        <v>1</v>
      </c>
      <c r="D21" s="435" t="s">
        <v>921</v>
      </c>
      <c r="E21" s="435">
        <v>2</v>
      </c>
      <c r="F21" s="473">
        <v>30.6</v>
      </c>
      <c r="G21" s="436">
        <v>1.2</v>
      </c>
      <c r="H21" s="436">
        <v>0.3</v>
      </c>
      <c r="I21" s="436">
        <f t="shared" ref="I21:I23" si="2">ROUND(C21*E21*F21*G21*H21,2)</f>
        <v>22.03</v>
      </c>
      <c r="J21" s="435"/>
      <c r="K21" s="433"/>
      <c r="L21" s="463"/>
    </row>
    <row r="22" spans="1:12" ht="20.100000000000001" customHeight="1">
      <c r="A22" s="431"/>
      <c r="B22" s="434" t="s">
        <v>1919</v>
      </c>
      <c r="C22" s="435">
        <v>1</v>
      </c>
      <c r="D22" s="435" t="s">
        <v>921</v>
      </c>
      <c r="E22" s="435">
        <v>4</v>
      </c>
      <c r="F22" s="473">
        <v>7.6</v>
      </c>
      <c r="G22" s="436">
        <v>1.2</v>
      </c>
      <c r="H22" s="436">
        <v>0.3</v>
      </c>
      <c r="I22" s="436">
        <f t="shared" si="2"/>
        <v>10.94</v>
      </c>
      <c r="J22" s="435"/>
      <c r="K22" s="433"/>
      <c r="L22" s="463"/>
    </row>
    <row r="23" spans="1:12" ht="20.100000000000001" customHeight="1">
      <c r="A23" s="431"/>
      <c r="B23" s="434" t="s">
        <v>1920</v>
      </c>
      <c r="C23" s="435">
        <v>1</v>
      </c>
      <c r="D23" s="435" t="s">
        <v>921</v>
      </c>
      <c r="E23" s="435">
        <v>1</v>
      </c>
      <c r="F23" s="473">
        <v>6.9</v>
      </c>
      <c r="G23" s="436">
        <v>5.7</v>
      </c>
      <c r="H23" s="436">
        <v>0.3</v>
      </c>
      <c r="I23" s="436">
        <f t="shared" si="2"/>
        <v>11.8</v>
      </c>
      <c r="J23" s="435"/>
      <c r="K23" s="433"/>
      <c r="L23" s="463"/>
    </row>
    <row r="24" spans="1:12" ht="20.100000000000001" customHeight="1">
      <c r="A24" s="431"/>
      <c r="B24" s="434" t="s">
        <v>1921</v>
      </c>
      <c r="C24" s="435"/>
      <c r="D24" s="435"/>
      <c r="E24" s="435"/>
      <c r="F24" s="473"/>
      <c r="G24" s="436"/>
      <c r="H24" s="436"/>
      <c r="I24" s="436"/>
      <c r="J24" s="435"/>
      <c r="K24" s="433"/>
      <c r="L24" s="463"/>
    </row>
    <row r="25" spans="1:12" ht="20.100000000000001" customHeight="1">
      <c r="A25" s="431"/>
      <c r="B25" s="434" t="s">
        <v>1922</v>
      </c>
      <c r="C25" s="435">
        <v>1</v>
      </c>
      <c r="D25" s="435" t="s">
        <v>921</v>
      </c>
      <c r="E25" s="435">
        <v>1</v>
      </c>
      <c r="F25" s="473"/>
      <c r="G25" s="436">
        <v>6.3</v>
      </c>
      <c r="H25" s="833">
        <v>0.15</v>
      </c>
      <c r="I25" s="436">
        <f>ROUND(C25*E25*F25*G25*H25,2)</f>
        <v>0</v>
      </c>
      <c r="J25" s="435"/>
      <c r="K25" s="433"/>
      <c r="L25" s="463"/>
    </row>
    <row r="26" spans="1:12" ht="20.100000000000001" customHeight="1">
      <c r="A26" s="431"/>
      <c r="B26" s="434" t="s">
        <v>1923</v>
      </c>
      <c r="C26" s="435">
        <v>1</v>
      </c>
      <c r="D26" s="435" t="s">
        <v>921</v>
      </c>
      <c r="E26" s="435">
        <v>1</v>
      </c>
      <c r="F26" s="473">
        <v>6.9</v>
      </c>
      <c r="G26" s="436">
        <v>6.3</v>
      </c>
      <c r="H26" s="436">
        <v>1.5</v>
      </c>
      <c r="I26" s="436">
        <f>ROUND(C26*E26*F26*G26*H26,2)</f>
        <v>65.209999999999994</v>
      </c>
      <c r="J26" s="435"/>
      <c r="K26" s="433"/>
      <c r="L26" s="463"/>
    </row>
    <row r="27" spans="1:12" ht="20.100000000000001" customHeight="1">
      <c r="A27" s="431"/>
      <c r="B27" s="434" t="s">
        <v>1924</v>
      </c>
      <c r="C27" s="834" t="s">
        <v>1925</v>
      </c>
      <c r="D27" s="435" t="s">
        <v>921</v>
      </c>
      <c r="E27" s="435">
        <v>-4</v>
      </c>
      <c r="F27" s="473">
        <v>5.7</v>
      </c>
      <c r="G27" s="436">
        <v>1.2</v>
      </c>
      <c r="H27" s="436">
        <v>1.2</v>
      </c>
      <c r="I27" s="436">
        <f>ROUND(+PI()/4*E27*F27*G27*H27,2)</f>
        <v>-25.79</v>
      </c>
      <c r="J27" s="435"/>
      <c r="K27" s="433"/>
      <c r="L27" s="463"/>
    </row>
    <row r="28" spans="1:12" ht="20.100000000000001" customHeight="1">
      <c r="A28" s="431"/>
      <c r="B28" s="434" t="s">
        <v>1926</v>
      </c>
      <c r="C28" s="435">
        <v>1</v>
      </c>
      <c r="D28" s="435" t="s">
        <v>921</v>
      </c>
      <c r="E28" s="435">
        <v>2</v>
      </c>
      <c r="F28" s="436"/>
      <c r="G28" s="436">
        <v>6.3</v>
      </c>
      <c r="H28" s="436">
        <v>0.15</v>
      </c>
      <c r="I28" s="436">
        <f>ROUND(C28*E28*F28*G28*H28,2)</f>
        <v>0</v>
      </c>
      <c r="J28" s="435"/>
      <c r="K28" s="433"/>
      <c r="L28" s="463"/>
    </row>
    <row r="29" spans="1:12" ht="20.100000000000001" customHeight="1">
      <c r="A29" s="431"/>
      <c r="B29" s="434"/>
      <c r="C29" s="434"/>
      <c r="D29" s="434"/>
      <c r="E29" s="434"/>
      <c r="F29" s="431"/>
      <c r="G29" s="431"/>
      <c r="H29" s="431"/>
      <c r="I29" s="464">
        <f>SUM(I21:I28)</f>
        <v>84.19</v>
      </c>
      <c r="J29" s="436">
        <f>'Slab-Culverts Data'!J31</f>
        <v>5748.72</v>
      </c>
      <c r="K29" s="435">
        <v>1</v>
      </c>
      <c r="L29" s="465">
        <f>ROUND(I29*J29,0)</f>
        <v>483985</v>
      </c>
    </row>
    <row r="30" spans="1:12" ht="20.100000000000001" customHeight="1">
      <c r="A30" s="431"/>
      <c r="B30" s="434"/>
      <c r="C30" s="434"/>
      <c r="D30" s="434"/>
      <c r="E30" s="434"/>
      <c r="F30" s="431"/>
      <c r="G30" s="431"/>
      <c r="H30" s="431"/>
      <c r="I30" s="466" t="s">
        <v>31</v>
      </c>
      <c r="J30" s="436"/>
      <c r="K30" s="435" t="s">
        <v>31</v>
      </c>
      <c r="L30" s="465"/>
    </row>
    <row r="31" spans="1:12" ht="15" customHeight="1">
      <c r="A31" s="431"/>
      <c r="B31" s="434"/>
      <c r="C31" s="434"/>
      <c r="D31" s="434"/>
      <c r="E31" s="434"/>
      <c r="F31" s="431"/>
      <c r="G31" s="431"/>
      <c r="H31" s="431"/>
      <c r="I31" s="466"/>
      <c r="J31" s="436"/>
      <c r="K31" s="435"/>
      <c r="L31" s="465"/>
    </row>
    <row r="32" spans="1:12" ht="105" customHeight="1">
      <c r="A32" s="437">
        <v>4</v>
      </c>
      <c r="B32" s="3658"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32" s="3659"/>
      <c r="D32" s="3659"/>
      <c r="E32" s="3659"/>
      <c r="F32" s="3659"/>
      <c r="G32" s="3659"/>
      <c r="H32" s="3659"/>
      <c r="I32" s="3659"/>
      <c r="J32" s="3659"/>
      <c r="K32" s="3659"/>
      <c r="L32" s="467"/>
    </row>
    <row r="33" spans="1:12" ht="20.100000000000001" customHeight="1">
      <c r="A33" s="431"/>
      <c r="B33" s="835" t="s">
        <v>1927</v>
      </c>
      <c r="C33" s="435"/>
      <c r="D33" s="435"/>
      <c r="E33" s="435"/>
      <c r="F33" s="436"/>
      <c r="G33" s="436"/>
      <c r="H33" s="436"/>
      <c r="I33" s="436"/>
      <c r="J33" s="435"/>
      <c r="K33" s="433"/>
      <c r="L33" s="463"/>
    </row>
    <row r="34" spans="1:12" ht="20.100000000000001" customHeight="1">
      <c r="A34" s="431"/>
      <c r="B34" s="434" t="s">
        <v>1918</v>
      </c>
      <c r="C34" s="435">
        <v>1</v>
      </c>
      <c r="D34" s="435" t="s">
        <v>921</v>
      </c>
      <c r="E34" s="435">
        <v>2</v>
      </c>
      <c r="F34" s="473">
        <v>30</v>
      </c>
      <c r="G34" s="436">
        <v>0.9</v>
      </c>
      <c r="H34" s="436">
        <v>0.9</v>
      </c>
      <c r="I34" s="436">
        <f t="shared" ref="I34:I35" si="3">ROUND(C34*E34*F34*G34*H34,2)</f>
        <v>48.6</v>
      </c>
      <c r="J34" s="435"/>
      <c r="K34" s="433"/>
      <c r="L34" s="463"/>
    </row>
    <row r="35" spans="1:12" ht="20.100000000000001" customHeight="1">
      <c r="A35" s="431"/>
      <c r="B35" s="434" t="s">
        <v>1919</v>
      </c>
      <c r="C35" s="435">
        <v>1</v>
      </c>
      <c r="D35" s="435" t="s">
        <v>921</v>
      </c>
      <c r="E35" s="435">
        <v>4</v>
      </c>
      <c r="F35" s="473">
        <v>5.7</v>
      </c>
      <c r="G35" s="436">
        <v>0.9</v>
      </c>
      <c r="H35" s="436">
        <v>0.9</v>
      </c>
      <c r="I35" s="436">
        <f t="shared" si="3"/>
        <v>18.47</v>
      </c>
      <c r="J35" s="435"/>
      <c r="K35" s="433"/>
      <c r="L35" s="463"/>
    </row>
    <row r="36" spans="1:12" ht="20.100000000000001" customHeight="1">
      <c r="A36" s="431"/>
      <c r="B36" s="835" t="s">
        <v>1928</v>
      </c>
      <c r="C36" s="435"/>
      <c r="D36" s="435"/>
      <c r="E36" s="435"/>
      <c r="F36" s="473"/>
      <c r="G36" s="436"/>
      <c r="H36" s="436"/>
      <c r="I36" s="436"/>
      <c r="J36" s="435"/>
      <c r="K36" s="433"/>
      <c r="L36" s="463"/>
    </row>
    <row r="37" spans="1:12" ht="35.1" customHeight="1">
      <c r="A37" s="431"/>
      <c r="B37" s="434" t="s">
        <v>1918</v>
      </c>
      <c r="C37" s="435">
        <v>1</v>
      </c>
      <c r="D37" s="435" t="s">
        <v>921</v>
      </c>
      <c r="E37" s="435">
        <v>2</v>
      </c>
      <c r="F37" s="473">
        <v>15</v>
      </c>
      <c r="G37" s="436" t="s">
        <v>1929</v>
      </c>
      <c r="H37" s="436">
        <v>1.5</v>
      </c>
      <c r="I37" s="436">
        <f>ROUND(C37*E37*F37*((0.9+0.6)/2)*H37,2)</f>
        <v>33.75</v>
      </c>
      <c r="J37" s="435"/>
      <c r="K37" s="433"/>
      <c r="L37" s="463"/>
    </row>
    <row r="38" spans="1:12" ht="35.1" customHeight="1">
      <c r="A38" s="431"/>
      <c r="B38" s="434" t="s">
        <v>1930</v>
      </c>
      <c r="C38" s="435">
        <v>2</v>
      </c>
      <c r="D38" s="435" t="s">
        <v>921</v>
      </c>
      <c r="E38" s="435">
        <v>2</v>
      </c>
      <c r="F38" s="473">
        <v>7.5</v>
      </c>
      <c r="G38" s="436" t="s">
        <v>1929</v>
      </c>
      <c r="H38" s="436" t="s">
        <v>1931</v>
      </c>
      <c r="I38" s="436">
        <f>ROUND(C38*E38*F38*((0.9+0.6)/2)*((1.5+0)/2),2)</f>
        <v>16.88</v>
      </c>
      <c r="J38" s="435"/>
      <c r="K38" s="433"/>
      <c r="L38" s="463"/>
    </row>
    <row r="39" spans="1:12" ht="35.1" customHeight="1">
      <c r="A39" s="431"/>
      <c r="B39" s="434" t="s">
        <v>1919</v>
      </c>
      <c r="C39" s="435">
        <v>1</v>
      </c>
      <c r="D39" s="435" t="s">
        <v>921</v>
      </c>
      <c r="E39" s="435">
        <v>2</v>
      </c>
      <c r="F39" s="473">
        <v>5.7</v>
      </c>
      <c r="G39" s="436" t="s">
        <v>1929</v>
      </c>
      <c r="H39" s="436">
        <v>1.5</v>
      </c>
      <c r="I39" s="436">
        <f>ROUND(C39*E39*F39*((0.9+0.6)/2)*H39,2)</f>
        <v>12.83</v>
      </c>
      <c r="J39" s="435"/>
      <c r="K39" s="433"/>
      <c r="L39" s="463"/>
    </row>
    <row r="40" spans="1:12" ht="35.1" customHeight="1">
      <c r="A40" s="431"/>
      <c r="B40" s="434" t="s">
        <v>1924</v>
      </c>
      <c r="C40" s="435">
        <v>8</v>
      </c>
      <c r="D40" s="435" t="s">
        <v>921</v>
      </c>
      <c r="E40" s="834" t="s">
        <v>1925</v>
      </c>
      <c r="F40" s="473">
        <v>1.2</v>
      </c>
      <c r="G40" s="436">
        <v>1.2</v>
      </c>
      <c r="H40" s="436" t="s">
        <v>1929</v>
      </c>
      <c r="I40" s="436">
        <f>-ROUND(C40*(22/28)*F40*G40*((0.9+0.6)/2),2)</f>
        <v>-6.79</v>
      </c>
      <c r="J40" s="435"/>
      <c r="K40" s="433"/>
      <c r="L40" s="463"/>
    </row>
    <row r="41" spans="1:12" s="832" customFormat="1" ht="20.100000000000001" customHeight="1">
      <c r="A41" s="431"/>
      <c r="B41" s="434"/>
      <c r="C41" s="434"/>
      <c r="D41" s="434"/>
      <c r="E41" s="434"/>
      <c r="F41" s="450"/>
      <c r="G41" s="436"/>
      <c r="H41" s="836"/>
      <c r="I41" s="464">
        <f>SUM(I34:I40)</f>
        <v>123.74</v>
      </c>
      <c r="J41" s="436">
        <f>'Slab-Culverts Data'!J62</f>
        <v>6425.92</v>
      </c>
      <c r="K41" s="435">
        <v>1</v>
      </c>
      <c r="L41" s="465">
        <f>ROUND(I41*J41,0)</f>
        <v>795143</v>
      </c>
    </row>
    <row r="42" spans="1:12" s="832" customFormat="1" ht="20.100000000000001" customHeight="1">
      <c r="A42" s="431"/>
      <c r="B42" s="434"/>
      <c r="C42" s="434"/>
      <c r="D42" s="434"/>
      <c r="E42" s="434"/>
      <c r="F42" s="431"/>
      <c r="G42" s="431"/>
      <c r="H42" s="431"/>
      <c r="I42" s="466" t="s">
        <v>31</v>
      </c>
      <c r="J42" s="436"/>
      <c r="K42" s="435" t="s">
        <v>31</v>
      </c>
      <c r="L42" s="465"/>
    </row>
    <row r="43" spans="1:12" ht="93" customHeight="1">
      <c r="A43" s="437">
        <v>5</v>
      </c>
      <c r="B43" s="3659" t="str">
        <f>'Pipe data'!B105:G105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43" s="3659"/>
      <c r="D43" s="3659"/>
      <c r="E43" s="3659"/>
      <c r="F43" s="3659"/>
      <c r="G43" s="3659"/>
      <c r="H43" s="3659"/>
      <c r="I43" s="3659"/>
      <c r="J43" s="3659"/>
      <c r="K43" s="3659"/>
      <c r="L43" s="465"/>
    </row>
    <row r="44" spans="1:12" ht="20.100000000000001" customHeight="1">
      <c r="A44" s="431"/>
      <c r="B44" s="434" t="s">
        <v>1932</v>
      </c>
      <c r="C44" s="435">
        <v>1</v>
      </c>
      <c r="D44" s="435" t="s">
        <v>921</v>
      </c>
      <c r="E44" s="435">
        <v>4</v>
      </c>
      <c r="F44" s="473">
        <v>7.5</v>
      </c>
      <c r="G44" s="436"/>
      <c r="H44" s="436"/>
      <c r="I44" s="436">
        <f>+E44*F44</f>
        <v>30</v>
      </c>
      <c r="J44" s="435"/>
      <c r="K44" s="433"/>
      <c r="L44" s="463"/>
    </row>
    <row r="45" spans="1:12" ht="20.100000000000001" customHeight="1">
      <c r="A45" s="431"/>
      <c r="B45" s="434"/>
      <c r="C45" s="434"/>
      <c r="D45" s="434"/>
      <c r="E45" s="434"/>
      <c r="F45" s="431"/>
      <c r="G45" s="436"/>
      <c r="H45" s="836"/>
      <c r="I45" s="464">
        <f>SUM(I44)</f>
        <v>30</v>
      </c>
      <c r="J45" s="436">
        <f>'Pipe data'!G128</f>
        <v>13715.57</v>
      </c>
      <c r="K45" s="435">
        <v>1</v>
      </c>
      <c r="L45" s="465">
        <f>ROUND(I45*J45,0)</f>
        <v>411467</v>
      </c>
    </row>
    <row r="46" spans="1:12" ht="20.100000000000001" customHeight="1">
      <c r="A46" s="431"/>
      <c r="B46" s="434"/>
      <c r="C46" s="434"/>
      <c r="D46" s="434"/>
      <c r="E46" s="434"/>
      <c r="F46" s="431"/>
      <c r="G46" s="431"/>
      <c r="H46" s="431"/>
      <c r="I46" s="466" t="s">
        <v>107</v>
      </c>
      <c r="J46" s="436"/>
      <c r="K46" s="435" t="s">
        <v>107</v>
      </c>
      <c r="L46" s="465"/>
    </row>
    <row r="47" spans="1:12" ht="63.75" customHeight="1">
      <c r="A47" s="437">
        <v>6</v>
      </c>
      <c r="B47" s="3659" t="str">
        <f>'Pipe data'!B156:G156</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C47" s="3659"/>
      <c r="D47" s="3659"/>
      <c r="E47" s="3659"/>
      <c r="F47" s="3659"/>
      <c r="G47" s="3659"/>
      <c r="H47" s="3659"/>
      <c r="I47" s="3659"/>
      <c r="J47" s="3659"/>
      <c r="K47" s="3659"/>
      <c r="L47" s="467"/>
    </row>
    <row r="48" spans="1:12" ht="20.100000000000001" customHeight="1">
      <c r="A48" s="431"/>
      <c r="B48" s="434" t="s">
        <v>1922</v>
      </c>
      <c r="C48" s="435">
        <v>1</v>
      </c>
      <c r="D48" s="435" t="s">
        <v>921</v>
      </c>
      <c r="E48" s="435">
        <v>1</v>
      </c>
      <c r="F48" s="473">
        <v>0</v>
      </c>
      <c r="G48" s="436">
        <v>6.3</v>
      </c>
      <c r="H48" s="436">
        <v>1.2749999999999999</v>
      </c>
      <c r="I48" s="436">
        <f t="shared" ref="I48" si="4">ROUND(C48*E48*F48*G48*H48,2)</f>
        <v>0</v>
      </c>
      <c r="J48" s="435"/>
      <c r="K48" s="433"/>
      <c r="L48" s="463"/>
    </row>
    <row r="49" spans="1:12" ht="35.1" customHeight="1">
      <c r="A49" s="431"/>
      <c r="B49" s="434" t="s">
        <v>1926</v>
      </c>
      <c r="C49" s="435">
        <v>1</v>
      </c>
      <c r="D49" s="435" t="s">
        <v>921</v>
      </c>
      <c r="E49" s="435">
        <v>2</v>
      </c>
      <c r="F49" s="473">
        <v>7.5</v>
      </c>
      <c r="G49" s="436">
        <v>6.3</v>
      </c>
      <c r="H49" s="436" t="s">
        <v>1933</v>
      </c>
      <c r="I49" s="436">
        <f>ROUND(C49*E49*F49*G49*((1.275+0)/2),2)</f>
        <v>60.24</v>
      </c>
      <c r="J49" s="435"/>
      <c r="K49" s="433"/>
      <c r="L49" s="463"/>
    </row>
    <row r="50" spans="1:12" ht="20.100000000000001" customHeight="1">
      <c r="A50" s="431"/>
      <c r="B50" s="434" t="s">
        <v>1924</v>
      </c>
      <c r="C50" s="834" t="s">
        <v>1925</v>
      </c>
      <c r="D50" s="435" t="s">
        <v>921</v>
      </c>
      <c r="E50" s="435">
        <v>-1</v>
      </c>
      <c r="F50" s="473">
        <v>0</v>
      </c>
      <c r="G50" s="436">
        <v>6.3</v>
      </c>
      <c r="H50" s="833">
        <v>1.2749999999999999</v>
      </c>
      <c r="I50" s="436">
        <f>+PI()/4*E50*F50*G50*H50</f>
        <v>0</v>
      </c>
      <c r="J50" s="435"/>
      <c r="K50" s="433"/>
      <c r="L50" s="463"/>
    </row>
    <row r="51" spans="1:12" ht="20.100000000000001" customHeight="1">
      <c r="A51" s="431"/>
      <c r="B51" s="434"/>
      <c r="C51" s="434"/>
      <c r="D51" s="434"/>
      <c r="E51" s="434"/>
      <c r="F51" s="431"/>
      <c r="G51" s="431"/>
      <c r="H51" s="431"/>
      <c r="I51" s="464">
        <f>SUM(I48:I50)</f>
        <v>60.24</v>
      </c>
      <c r="J51" s="436">
        <f>'Pipe data'!G177</f>
        <v>691.79</v>
      </c>
      <c r="K51" s="435">
        <v>1</v>
      </c>
      <c r="L51" s="465">
        <f>ROUND(I51*J51,0)</f>
        <v>41673</v>
      </c>
    </row>
    <row r="52" spans="1:12" ht="20.100000000000001" customHeight="1">
      <c r="A52" s="431"/>
      <c r="B52" s="434"/>
      <c r="C52" s="434"/>
      <c r="D52" s="434"/>
      <c r="E52" s="434"/>
      <c r="F52" s="431"/>
      <c r="G52" s="431"/>
      <c r="H52" s="431"/>
      <c r="I52" s="466" t="s">
        <v>31</v>
      </c>
      <c r="J52" s="436"/>
      <c r="K52" s="435" t="s">
        <v>31</v>
      </c>
      <c r="L52" s="465"/>
    </row>
    <row r="53" spans="1:12" ht="65.25" customHeight="1">
      <c r="A53" s="437">
        <v>7</v>
      </c>
      <c r="B53" s="3659"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53" s="3659"/>
      <c r="D53" s="3659"/>
      <c r="E53" s="3659"/>
      <c r="F53" s="3659"/>
      <c r="G53" s="3659"/>
      <c r="H53" s="3659"/>
      <c r="I53" s="3659"/>
      <c r="J53" s="3659"/>
      <c r="K53" s="3659"/>
      <c r="L53" s="467"/>
    </row>
    <row r="54" spans="1:12" s="420" customFormat="1" ht="20.100000000000001" customHeight="1">
      <c r="A54" s="837"/>
      <c r="B54" s="838" t="s">
        <v>1922</v>
      </c>
      <c r="C54" s="839">
        <v>1</v>
      </c>
      <c r="D54" s="839" t="s">
        <v>921</v>
      </c>
      <c r="E54" s="839">
        <v>1</v>
      </c>
      <c r="F54" s="840">
        <v>15</v>
      </c>
      <c r="G54" s="841">
        <v>6.3</v>
      </c>
      <c r="H54" s="841">
        <v>0.22500000000000001</v>
      </c>
      <c r="I54" s="841">
        <f>ROUND(C54*E54*F54*G54*H54,2)</f>
        <v>21.26</v>
      </c>
      <c r="J54" s="839"/>
      <c r="K54" s="850"/>
      <c r="L54" s="851"/>
    </row>
    <row r="55" spans="1:12" s="420" customFormat="1" ht="20.100000000000001" customHeight="1">
      <c r="A55" s="837"/>
      <c r="B55" s="838" t="s">
        <v>1926</v>
      </c>
      <c r="C55" s="839">
        <v>1</v>
      </c>
      <c r="D55" s="839" t="s">
        <v>921</v>
      </c>
      <c r="E55" s="839">
        <v>2</v>
      </c>
      <c r="F55" s="840">
        <v>7.5</v>
      </c>
      <c r="G55" s="841">
        <v>6.3</v>
      </c>
      <c r="H55" s="841">
        <v>0.22500000000000001</v>
      </c>
      <c r="I55" s="841">
        <f>ROUND(C55*E55*F55*G55*H55,2)</f>
        <v>21.26</v>
      </c>
      <c r="J55" s="839"/>
      <c r="K55" s="850"/>
      <c r="L55" s="851"/>
    </row>
    <row r="56" spans="1:12" s="420" customFormat="1" ht="20.100000000000001" customHeight="1">
      <c r="A56" s="837"/>
      <c r="B56" s="838" t="s">
        <v>1924</v>
      </c>
      <c r="C56" s="842" t="s">
        <v>1925</v>
      </c>
      <c r="D56" s="839" t="s">
        <v>921</v>
      </c>
      <c r="E56" s="839">
        <v>-1</v>
      </c>
      <c r="F56" s="840">
        <v>6.9</v>
      </c>
      <c r="G56" s="841">
        <v>6.3</v>
      </c>
      <c r="H56" s="841">
        <v>0.22500000000000001</v>
      </c>
      <c r="I56" s="841">
        <f>ROUND(+PI()/4*E56*F56*G56*H56,2)</f>
        <v>-7.68</v>
      </c>
      <c r="J56" s="839"/>
      <c r="K56" s="850"/>
      <c r="L56" s="851"/>
    </row>
    <row r="57" spans="1:12" ht="20.100000000000001" customHeight="1">
      <c r="A57" s="437"/>
      <c r="B57" s="438"/>
      <c r="C57" s="438"/>
      <c r="D57" s="438"/>
      <c r="E57" s="438"/>
      <c r="F57" s="431"/>
      <c r="G57" s="431"/>
      <c r="H57" s="431"/>
      <c r="I57" s="464">
        <f>SUM(I54:I56)</f>
        <v>34.840000000000003</v>
      </c>
      <c r="J57" s="436">
        <f>'Slab-Culverts Data'!J559</f>
        <v>2067.88</v>
      </c>
      <c r="K57" s="435">
        <v>1</v>
      </c>
      <c r="L57" s="465">
        <f>ROUND(I57*J57,0)</f>
        <v>72045</v>
      </c>
    </row>
    <row r="58" spans="1:12" ht="20.100000000000001" customHeight="1">
      <c r="A58" s="437"/>
      <c r="B58" s="438"/>
      <c r="C58" s="438"/>
      <c r="D58" s="438"/>
      <c r="E58" s="438"/>
      <c r="F58" s="431"/>
      <c r="G58" s="431"/>
      <c r="H58" s="431"/>
      <c r="I58" s="466" t="s">
        <v>73</v>
      </c>
      <c r="J58" s="436"/>
      <c r="K58" s="466" t="s">
        <v>73</v>
      </c>
      <c r="L58" s="465"/>
    </row>
    <row r="59" spans="1:12" ht="130.5" customHeight="1">
      <c r="A59" s="437">
        <v>8</v>
      </c>
      <c r="B59" s="3659"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59" s="3659"/>
      <c r="D59" s="3659"/>
      <c r="E59" s="3659"/>
      <c r="F59" s="3659"/>
      <c r="G59" s="3659"/>
      <c r="H59" s="3659"/>
      <c r="I59" s="3659"/>
      <c r="J59" s="3659"/>
      <c r="K59" s="3659"/>
      <c r="L59" s="465"/>
    </row>
    <row r="60" spans="1:12" ht="20.100000000000001" customHeight="1">
      <c r="A60" s="437"/>
      <c r="B60" s="438" t="s">
        <v>1922</v>
      </c>
      <c r="C60" s="843">
        <v>1</v>
      </c>
      <c r="D60" s="843" t="s">
        <v>921</v>
      </c>
      <c r="E60" s="843">
        <v>1</v>
      </c>
      <c r="F60" s="455">
        <v>15</v>
      </c>
      <c r="G60" s="844">
        <v>7.5</v>
      </c>
      <c r="H60" s="844">
        <v>0.1</v>
      </c>
      <c r="I60" s="852">
        <f>+E60*F60*G60*H60</f>
        <v>11.25</v>
      </c>
      <c r="J60" s="843"/>
      <c r="K60" s="439"/>
      <c r="L60" s="853"/>
    </row>
    <row r="61" spans="1:12" ht="20.100000000000001" customHeight="1">
      <c r="A61" s="437"/>
      <c r="B61" s="438" t="s">
        <v>1926</v>
      </c>
      <c r="C61" s="843">
        <v>1</v>
      </c>
      <c r="D61" s="843" t="s">
        <v>921</v>
      </c>
      <c r="E61" s="843">
        <v>2</v>
      </c>
      <c r="F61" s="455">
        <v>7.5</v>
      </c>
      <c r="G61" s="844">
        <v>7.5</v>
      </c>
      <c r="H61" s="844">
        <v>0.1</v>
      </c>
      <c r="I61" s="852">
        <f>+E61*F61*G61*H61</f>
        <v>11.25</v>
      </c>
      <c r="J61" s="843"/>
      <c r="K61" s="439"/>
      <c r="L61" s="853"/>
    </row>
    <row r="62" spans="1:12" ht="20.100000000000001" customHeight="1">
      <c r="A62" s="437"/>
      <c r="B62" s="438"/>
      <c r="C62" s="438"/>
      <c r="D62" s="438"/>
      <c r="E62" s="438"/>
      <c r="F62" s="431"/>
      <c r="G62" s="436"/>
      <c r="H62" s="836"/>
      <c r="I62" s="854">
        <f>SUM(I60:I61)</f>
        <v>22.5</v>
      </c>
      <c r="J62" s="436">
        <f>'Slab-Culverts Data'!J428</f>
        <v>7079.99</v>
      </c>
      <c r="K62" s="435">
        <v>1</v>
      </c>
      <c r="L62" s="465">
        <f>ROUND(I62*J62,0)</f>
        <v>159300</v>
      </c>
    </row>
    <row r="63" spans="1:12" ht="20.100000000000001" customHeight="1">
      <c r="A63" s="845"/>
      <c r="B63" s="846"/>
      <c r="C63" s="846"/>
      <c r="D63" s="846"/>
      <c r="E63" s="846"/>
      <c r="F63" s="444"/>
      <c r="G63" s="444"/>
      <c r="H63" s="444"/>
      <c r="I63" s="468" t="s">
        <v>31</v>
      </c>
      <c r="J63" s="469"/>
      <c r="K63" s="470" t="s">
        <v>31</v>
      </c>
      <c r="L63" s="471"/>
    </row>
    <row r="64" spans="1:12" ht="23.25" customHeight="1">
      <c r="A64" s="847"/>
      <c r="B64" s="848"/>
      <c r="C64" s="848"/>
      <c r="D64" s="848"/>
      <c r="E64" s="848"/>
      <c r="F64" s="849"/>
      <c r="G64" s="849"/>
      <c r="H64" s="849"/>
      <c r="I64" s="855"/>
      <c r="J64" s="856" t="s">
        <v>1175</v>
      </c>
      <c r="K64" s="857"/>
      <c r="L64" s="858">
        <f>SUM(L6:L63)</f>
        <v>1982849</v>
      </c>
    </row>
    <row r="65" spans="2:12" ht="12.75" customHeight="1">
      <c r="L65" s="484"/>
    </row>
    <row r="67" spans="2:12" ht="14.25" customHeight="1">
      <c r="B67" s="456"/>
      <c r="F67" s="456" t="str">
        <f>GA!B34</f>
        <v>Asst Exe Engineer,</v>
      </c>
      <c r="I67" s="3660" t="str">
        <f>GA!C34</f>
        <v>Dy. Exe. Engineer</v>
      </c>
      <c r="J67" s="3660"/>
      <c r="K67" s="3660"/>
    </row>
    <row r="68" spans="2:12" ht="14.25" customHeight="1">
      <c r="B68" s="456"/>
      <c r="F68" s="456" t="str">
        <f>GA!B35</f>
        <v>PRSD Maddur</v>
      </c>
      <c r="I68" s="3660" t="str">
        <f>GA!C35</f>
        <v>PRSD, Maddur</v>
      </c>
      <c r="J68" s="3660"/>
      <c r="K68" s="3660"/>
    </row>
    <row r="69" spans="2:12" ht="14.25" customHeight="1">
      <c r="B69" s="456"/>
      <c r="F69" s="456"/>
      <c r="I69" s="485"/>
      <c r="J69" s="485"/>
      <c r="K69" s="485"/>
    </row>
    <row r="70" spans="2:12" ht="14.25" customHeight="1">
      <c r="B70" s="456"/>
      <c r="F70" s="456"/>
      <c r="I70" s="485"/>
      <c r="J70" s="485"/>
      <c r="K70" s="485"/>
    </row>
    <row r="71" spans="2:12">
      <c r="B71" s="457"/>
      <c r="F71" s="457"/>
      <c r="J71" s="457"/>
      <c r="K71" s="485"/>
    </row>
    <row r="72" spans="2:12" ht="14.25" customHeight="1">
      <c r="B72" s="456"/>
      <c r="F72" s="456" t="s">
        <v>725</v>
      </c>
      <c r="I72" s="3660" t="s">
        <v>455</v>
      </c>
      <c r="J72" s="3660"/>
      <c r="K72" s="3660"/>
    </row>
    <row r="73" spans="2:12">
      <c r="B73" s="456"/>
      <c r="F73" s="456" t="str">
        <f>GA!B38</f>
        <v>PR Division, Narayanpet</v>
      </c>
      <c r="I73" s="3661" t="str">
        <f>GA!C38</f>
        <v>PR, Circle, Vikarabad</v>
      </c>
      <c r="J73" s="3661"/>
      <c r="K73" s="3661"/>
    </row>
  </sheetData>
  <protectedRanges>
    <protectedRange sqref="B67:B73 F67:F73" name="Range4"/>
    <protectedRange sqref="I72 J71 K67:K73 I67:I70" name="Range4_1"/>
  </protectedRanges>
  <mergeCells count="18">
    <mergeCell ref="I68:K68"/>
    <mergeCell ref="I72:K72"/>
    <mergeCell ref="I73:K73"/>
    <mergeCell ref="B43:K43"/>
    <mergeCell ref="B47:K47"/>
    <mergeCell ref="B53:K53"/>
    <mergeCell ref="B59:K59"/>
    <mergeCell ref="I67:K67"/>
    <mergeCell ref="C5:E5"/>
    <mergeCell ref="B6:K6"/>
    <mergeCell ref="B13:K13"/>
    <mergeCell ref="B20:K20"/>
    <mergeCell ref="B32:K32"/>
    <mergeCell ref="A1:L1"/>
    <mergeCell ref="A2:B2"/>
    <mergeCell ref="C2:L2"/>
    <mergeCell ref="A3:L3"/>
    <mergeCell ref="C4:E4"/>
  </mergeCells>
  <printOptions horizontalCentered="1" headings="1"/>
  <pageMargins left="0.59055118110236204" right="0.196850393700787" top="0.59055118110236204" bottom="0.39370078740157499" header="0.31496062992126" footer="0.31496062992126"/>
  <pageSetup paperSize="9" scale="85"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5" tint="-0.249977111117893"/>
  </sheetPr>
  <dimension ref="A1:AC110"/>
  <sheetViews>
    <sheetView showGridLines="0" view="pageBreakPreview" topLeftCell="A95" workbookViewId="0">
      <selection activeCell="L9" sqref="L9:L99"/>
    </sheetView>
  </sheetViews>
  <sheetFormatPr defaultColWidth="9.109375" defaultRowHeight="14.4"/>
  <cols>
    <col min="1" max="1" width="4.44140625" style="489" customWidth="1"/>
    <col min="2" max="2" width="18.44140625" style="490" customWidth="1"/>
    <col min="3" max="5" width="3.33203125" style="487" customWidth="1"/>
    <col min="6" max="6" width="7.5546875" style="487" customWidth="1"/>
    <col min="7" max="7" width="11.5546875" style="487" customWidth="1"/>
    <col min="8" max="8" width="11.44140625" style="487" customWidth="1"/>
    <col min="9" max="9" width="11.109375" style="487" customWidth="1"/>
    <col min="10" max="10" width="12.109375" style="487" customWidth="1"/>
    <col min="11" max="11" width="7.5546875" style="487" customWidth="1"/>
    <col min="12" max="12" width="13.44140625" style="486" customWidth="1"/>
    <col min="13" max="13" width="9.109375" style="490" hidden="1" customWidth="1"/>
    <col min="14" max="14" width="13.88671875" style="490" hidden="1" customWidth="1"/>
    <col min="15" max="15" width="11.109375" style="490" hidden="1" customWidth="1"/>
    <col min="16" max="16" width="6.44140625" style="490" hidden="1" customWidth="1"/>
    <col min="17" max="29" width="9.109375" style="490" hidden="1" customWidth="1"/>
    <col min="30" max="16384" width="9.109375" style="490"/>
  </cols>
  <sheetData>
    <row r="1" spans="1:15" ht="18" customHeight="1">
      <c r="A1" s="3630" t="s">
        <v>1934</v>
      </c>
      <c r="B1" s="3631"/>
      <c r="C1" s="3631"/>
      <c r="D1" s="3631"/>
      <c r="E1" s="3631"/>
      <c r="F1" s="3631"/>
      <c r="G1" s="3631"/>
      <c r="H1" s="3631"/>
      <c r="I1" s="3631"/>
      <c r="J1" s="3631"/>
      <c r="K1" s="3631"/>
      <c r="L1" s="3631"/>
    </row>
    <row r="2" spans="1:15" ht="30" customHeight="1">
      <c r="A2" s="3632" t="s">
        <v>445</v>
      </c>
      <c r="B2" s="3632"/>
      <c r="C2" s="493"/>
      <c r="D2" s="493"/>
      <c r="E2" s="493"/>
      <c r="F2" s="3633" t="str">
        <f>'Input Data'!E1</f>
        <v xml:space="preserve">BT Renewal from Balabadraipally to Danamma Thanda of Gundumal Mandal in Narayanpet District </v>
      </c>
      <c r="G2" s="3633"/>
      <c r="H2" s="3633"/>
      <c r="I2" s="3633"/>
      <c r="J2" s="3633"/>
      <c r="K2" s="3633"/>
      <c r="L2" s="3633"/>
    </row>
    <row r="3" spans="1:15" s="486" customFormat="1" ht="21.75" customHeight="1">
      <c r="A3" s="3732" t="s">
        <v>1935</v>
      </c>
      <c r="B3" s="3732"/>
      <c r="C3" s="3732"/>
      <c r="D3" s="3732"/>
      <c r="E3" s="3732"/>
      <c r="F3" s="3732"/>
      <c r="G3" s="3732"/>
      <c r="H3" s="3732"/>
      <c r="I3" s="3732"/>
      <c r="J3" s="3732"/>
      <c r="K3" s="3732"/>
      <c r="L3" s="3732"/>
    </row>
    <row r="4" spans="1:15" s="487" customFormat="1" ht="33" customHeight="1">
      <c r="A4" s="786" t="s">
        <v>1141</v>
      </c>
      <c r="B4" s="593" t="s">
        <v>917</v>
      </c>
      <c r="C4" s="3733" t="s">
        <v>918</v>
      </c>
      <c r="D4" s="3733"/>
      <c r="E4" s="3733"/>
      <c r="F4" s="593" t="s">
        <v>180</v>
      </c>
      <c r="G4" s="593" t="s">
        <v>919</v>
      </c>
      <c r="H4" s="593" t="s">
        <v>920</v>
      </c>
      <c r="I4" s="814" t="s">
        <v>3</v>
      </c>
      <c r="J4" s="788" t="s">
        <v>5</v>
      </c>
      <c r="K4" s="788" t="s">
        <v>607</v>
      </c>
      <c r="L4" s="593" t="s">
        <v>7</v>
      </c>
    </row>
    <row r="5" spans="1:15" s="486" customFormat="1">
      <c r="A5" s="787">
        <v>1</v>
      </c>
      <c r="B5" s="788">
        <v>2</v>
      </c>
      <c r="C5" s="3734">
        <v>3</v>
      </c>
      <c r="D5" s="3734"/>
      <c r="E5" s="3734"/>
      <c r="F5" s="788">
        <v>4</v>
      </c>
      <c r="G5" s="788">
        <v>5</v>
      </c>
      <c r="H5" s="788">
        <v>6</v>
      </c>
      <c r="I5" s="815">
        <v>7</v>
      </c>
      <c r="J5" s="788">
        <v>8</v>
      </c>
      <c r="K5" s="788">
        <v>9</v>
      </c>
      <c r="L5" s="788">
        <v>10</v>
      </c>
    </row>
    <row r="6" spans="1:15" ht="89.25" customHeight="1">
      <c r="A6" s="497">
        <v>1</v>
      </c>
      <c r="B6" s="3639"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39"/>
      <c r="D6" s="3639"/>
      <c r="E6" s="3639"/>
      <c r="F6" s="3639"/>
      <c r="G6" s="3639"/>
      <c r="H6" s="3639"/>
      <c r="I6" s="3639"/>
      <c r="J6" s="3639"/>
      <c r="K6" s="3639"/>
      <c r="L6" s="816"/>
      <c r="O6" s="542"/>
    </row>
    <row r="7" spans="1:15" ht="20.100000000000001" customHeight="1">
      <c r="A7" s="498"/>
      <c r="B7" s="789" t="s">
        <v>1142</v>
      </c>
      <c r="C7" s="790">
        <v>1</v>
      </c>
      <c r="D7" s="790" t="s">
        <v>921</v>
      </c>
      <c r="E7" s="790">
        <v>2</v>
      </c>
      <c r="F7" s="791">
        <v>8.4499999999999993</v>
      </c>
      <c r="G7" s="791">
        <v>3.5</v>
      </c>
      <c r="H7" s="791">
        <v>2.15</v>
      </c>
      <c r="I7" s="791">
        <f>ROUND(PRODUCT(C7:H7),2)</f>
        <v>127.17</v>
      </c>
      <c r="J7" s="496"/>
      <c r="K7" s="496"/>
      <c r="L7" s="817"/>
      <c r="O7" s="542"/>
    </row>
    <row r="8" spans="1:15" ht="35.1" customHeight="1">
      <c r="A8" s="498"/>
      <c r="B8" s="789" t="s">
        <v>1144</v>
      </c>
      <c r="C8" s="790">
        <v>2</v>
      </c>
      <c r="D8" s="790" t="s">
        <v>921</v>
      </c>
      <c r="E8" s="790">
        <v>2</v>
      </c>
      <c r="F8" s="791">
        <v>3.5</v>
      </c>
      <c r="G8" s="792" t="s">
        <v>1936</v>
      </c>
      <c r="H8" s="791">
        <v>2.15</v>
      </c>
      <c r="I8" s="791">
        <f>ROUND(PRODUCT(C8:H8)*(2.37+1.85)/2,2)</f>
        <v>63.51</v>
      </c>
      <c r="J8" s="496"/>
      <c r="K8" s="496"/>
      <c r="L8" s="817"/>
      <c r="O8" s="542"/>
    </row>
    <row r="9" spans="1:15" ht="15" customHeight="1">
      <c r="A9" s="498"/>
      <c r="B9" s="793"/>
      <c r="C9" s="496"/>
      <c r="D9" s="496"/>
      <c r="E9" s="496"/>
      <c r="F9" s="496"/>
      <c r="G9" s="498"/>
      <c r="H9" s="498"/>
      <c r="I9" s="818">
        <f>SUM(I7:I8)</f>
        <v>190.68</v>
      </c>
      <c r="J9" s="523">
        <f>'Pipe data'!G20</f>
        <v>123.69927804166667</v>
      </c>
      <c r="K9" s="496">
        <v>1</v>
      </c>
      <c r="L9" s="819">
        <f>ROUND(I9*J9,0)</f>
        <v>23587</v>
      </c>
      <c r="O9" s="542"/>
    </row>
    <row r="10" spans="1:15" ht="12.75" customHeight="1">
      <c r="A10" s="498"/>
      <c r="B10" s="793"/>
      <c r="C10" s="496"/>
      <c r="D10" s="496"/>
      <c r="E10" s="496"/>
      <c r="F10" s="496"/>
      <c r="G10" s="498"/>
      <c r="H10" s="498"/>
      <c r="I10" s="547" t="s">
        <v>31</v>
      </c>
      <c r="J10" s="523"/>
      <c r="K10" s="496" t="s">
        <v>31</v>
      </c>
      <c r="L10" s="819"/>
    </row>
    <row r="11" spans="1:15" ht="45.6" hidden="1" customHeight="1">
      <c r="A11" s="497">
        <v>2</v>
      </c>
      <c r="B11" s="3640" t="str">
        <f>'Pipe data'!B55:G55</f>
        <v>Sand  Filling  in foundation trenches as per drawing and technical specification Clause 304 of MORTH including overhead charges &amp; Contractors profit etc complete.</v>
      </c>
      <c r="C11" s="3639"/>
      <c r="D11" s="3639"/>
      <c r="E11" s="3639"/>
      <c r="F11" s="3639"/>
      <c r="G11" s="3639"/>
      <c r="H11" s="3639"/>
      <c r="I11" s="3639"/>
      <c r="J11" s="3639"/>
      <c r="K11" s="3639"/>
      <c r="L11" s="816"/>
      <c r="N11" s="542"/>
    </row>
    <row r="12" spans="1:15" s="488" customFormat="1" ht="20.399999999999999" hidden="1" customHeight="1">
      <c r="A12" s="500"/>
      <c r="B12" s="501" t="s">
        <v>1145</v>
      </c>
      <c r="C12" s="794">
        <v>1</v>
      </c>
      <c r="D12" s="794" t="s">
        <v>921</v>
      </c>
      <c r="E12" s="794">
        <v>1</v>
      </c>
      <c r="F12" s="795">
        <v>0</v>
      </c>
      <c r="G12" s="795">
        <v>3</v>
      </c>
      <c r="H12" s="795">
        <v>0.15</v>
      </c>
      <c r="I12" s="795">
        <f>ROUND(C12*E12*F12*G12*H12,2)</f>
        <v>0</v>
      </c>
      <c r="J12" s="502"/>
      <c r="K12" s="502"/>
      <c r="L12" s="820"/>
      <c r="O12" s="604"/>
    </row>
    <row r="13" spans="1:15" ht="15" hidden="1" customHeight="1">
      <c r="A13" s="497"/>
      <c r="B13" s="515"/>
      <c r="C13" s="516"/>
      <c r="D13" s="516"/>
      <c r="E13" s="516"/>
      <c r="F13" s="516"/>
      <c r="G13" s="498"/>
      <c r="H13" s="498"/>
      <c r="I13" s="547">
        <f>SUM(I12:I12)</f>
        <v>0</v>
      </c>
      <c r="J13" s="523">
        <f>'Pipe data'!G72</f>
        <v>1237.43</v>
      </c>
      <c r="K13" s="496">
        <v>1</v>
      </c>
      <c r="L13" s="819">
        <f>ROUND(I13*J13,0)</f>
        <v>0</v>
      </c>
    </row>
    <row r="14" spans="1:15" ht="15" hidden="1" customHeight="1">
      <c r="A14" s="497"/>
      <c r="B14" s="515"/>
      <c r="C14" s="516"/>
      <c r="D14" s="516"/>
      <c r="E14" s="516"/>
      <c r="F14" s="516"/>
      <c r="G14" s="498"/>
      <c r="H14" s="498"/>
      <c r="I14" s="547" t="s">
        <v>31</v>
      </c>
      <c r="J14" s="523"/>
      <c r="K14" s="496" t="s">
        <v>31</v>
      </c>
      <c r="L14" s="819"/>
    </row>
    <row r="15" spans="1:15" ht="106.5" customHeight="1">
      <c r="A15" s="497">
        <v>2</v>
      </c>
      <c r="B15" s="3639"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639"/>
      <c r="D15" s="3639"/>
      <c r="E15" s="3639"/>
      <c r="F15" s="3639"/>
      <c r="G15" s="3639"/>
      <c r="H15" s="3639"/>
      <c r="I15" s="3639"/>
      <c r="J15" s="3639"/>
      <c r="K15" s="3639"/>
      <c r="L15" s="816"/>
    </row>
    <row r="16" spans="1:15" ht="20.100000000000001" customHeight="1">
      <c r="A16" s="498"/>
      <c r="B16" s="789" t="s">
        <v>1142</v>
      </c>
      <c r="C16" s="790">
        <v>1</v>
      </c>
      <c r="D16" s="790" t="s">
        <v>921</v>
      </c>
      <c r="E16" s="790">
        <v>2</v>
      </c>
      <c r="F16" s="791">
        <v>8.4499999999999993</v>
      </c>
      <c r="G16" s="791">
        <v>3.5</v>
      </c>
      <c r="H16" s="791">
        <v>0.15</v>
      </c>
      <c r="I16" s="791">
        <f>ROUND(PRODUCT(C16:H16),2)</f>
        <v>8.8699999999999992</v>
      </c>
      <c r="J16" s="496"/>
      <c r="K16" s="496"/>
      <c r="L16" s="817"/>
    </row>
    <row r="17" spans="1:12" ht="35.1" customHeight="1">
      <c r="A17" s="498"/>
      <c r="B17" s="789" t="s">
        <v>1144</v>
      </c>
      <c r="C17" s="790">
        <v>2</v>
      </c>
      <c r="D17" s="790" t="s">
        <v>921</v>
      </c>
      <c r="E17" s="790">
        <v>2</v>
      </c>
      <c r="F17" s="791">
        <v>3.5</v>
      </c>
      <c r="G17" s="792" t="s">
        <v>1936</v>
      </c>
      <c r="H17" s="791">
        <v>0.15</v>
      </c>
      <c r="I17" s="791">
        <f>ROUND(PRODUCT(C17:H17)*(2.37+1.85)/2,2)</f>
        <v>4.43</v>
      </c>
      <c r="J17" s="496"/>
      <c r="K17" s="496"/>
      <c r="L17" s="817"/>
    </row>
    <row r="18" spans="1:12" ht="20.100000000000001" customHeight="1">
      <c r="A18" s="498"/>
      <c r="B18" s="796"/>
      <c r="C18" s="797"/>
      <c r="D18" s="797"/>
      <c r="E18" s="797"/>
      <c r="F18" s="798"/>
      <c r="G18" s="798"/>
      <c r="H18" s="798"/>
      <c r="I18" s="818">
        <f>SUM(I16:I17)</f>
        <v>13.299999999999999</v>
      </c>
      <c r="J18" s="523">
        <f>'Slab-Culverts Data'!J31</f>
        <v>5748.72</v>
      </c>
      <c r="K18" s="496">
        <v>1</v>
      </c>
      <c r="L18" s="819">
        <f>ROUND(I18*J18,0)</f>
        <v>76458</v>
      </c>
    </row>
    <row r="19" spans="1:12" ht="20.100000000000001" customHeight="1">
      <c r="A19" s="498"/>
      <c r="B19" s="793"/>
      <c r="C19" s="496"/>
      <c r="D19" s="496"/>
      <c r="E19" s="496"/>
      <c r="F19" s="498"/>
      <c r="G19" s="498"/>
      <c r="H19" s="498"/>
      <c r="I19" s="547" t="s">
        <v>31</v>
      </c>
      <c r="J19" s="523"/>
      <c r="K19" s="496" t="s">
        <v>31</v>
      </c>
      <c r="L19" s="819"/>
    </row>
    <row r="20" spans="1:12" ht="102.75" customHeight="1">
      <c r="A20" s="497">
        <v>3</v>
      </c>
      <c r="B20" s="3640"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639"/>
      <c r="D20" s="3639"/>
      <c r="E20" s="3639"/>
      <c r="F20" s="3639"/>
      <c r="G20" s="3639"/>
      <c r="H20" s="3639"/>
      <c r="I20" s="3639"/>
      <c r="J20" s="3639"/>
      <c r="K20" s="3639"/>
      <c r="L20" s="816"/>
    </row>
    <row r="21" spans="1:12" ht="20.100000000000001" customHeight="1">
      <c r="A21" s="498"/>
      <c r="B21" s="506" t="s">
        <v>1146</v>
      </c>
      <c r="C21" s="498"/>
      <c r="D21" s="498"/>
      <c r="E21" s="498"/>
      <c r="F21" s="496"/>
      <c r="G21" s="496"/>
      <c r="H21" s="496"/>
      <c r="I21" s="496"/>
      <c r="J21" s="496"/>
      <c r="K21" s="496"/>
      <c r="L21" s="817"/>
    </row>
    <row r="22" spans="1:12" s="784" customFormat="1" ht="20.100000000000001" customHeight="1">
      <c r="A22" s="789"/>
      <c r="B22" s="789" t="s">
        <v>1147</v>
      </c>
      <c r="C22" s="790">
        <v>1</v>
      </c>
      <c r="D22" s="790" t="s">
        <v>921</v>
      </c>
      <c r="E22" s="790">
        <v>2</v>
      </c>
      <c r="F22" s="791">
        <v>8.25</v>
      </c>
      <c r="G22" s="791">
        <v>3.3</v>
      </c>
      <c r="H22" s="791">
        <v>0.2</v>
      </c>
      <c r="I22" s="791">
        <f>ROUNDDOWN(PRODUCT(C22:H22),2)</f>
        <v>10.89</v>
      </c>
      <c r="J22" s="790"/>
      <c r="K22" s="790"/>
      <c r="L22" s="821"/>
    </row>
    <row r="23" spans="1:12" s="784" customFormat="1" ht="20.100000000000001" customHeight="1">
      <c r="A23" s="789"/>
      <c r="B23" s="789" t="s">
        <v>1148</v>
      </c>
      <c r="C23" s="790">
        <v>1</v>
      </c>
      <c r="D23" s="790" t="s">
        <v>921</v>
      </c>
      <c r="E23" s="790">
        <v>2</v>
      </c>
      <c r="F23" s="791">
        <f>F22</f>
        <v>8.25</v>
      </c>
      <c r="G23" s="791">
        <v>2.9</v>
      </c>
      <c r="H23" s="791">
        <v>0.2</v>
      </c>
      <c r="I23" s="791">
        <f>ROUNDDOWN(PRODUCT(C23:H23),2)</f>
        <v>9.57</v>
      </c>
      <c r="J23" s="790"/>
      <c r="K23" s="790"/>
      <c r="L23" s="821"/>
    </row>
    <row r="24" spans="1:12" s="784" customFormat="1" ht="20.100000000000001" customHeight="1">
      <c r="A24" s="789"/>
      <c r="B24" s="789" t="s">
        <v>1149</v>
      </c>
      <c r="C24" s="790">
        <v>1</v>
      </c>
      <c r="D24" s="790" t="s">
        <v>921</v>
      </c>
      <c r="E24" s="790">
        <v>2</v>
      </c>
      <c r="F24" s="791">
        <f>F23</f>
        <v>8.25</v>
      </c>
      <c r="G24" s="791">
        <v>2.5</v>
      </c>
      <c r="H24" s="791">
        <v>0.4</v>
      </c>
      <c r="I24" s="791">
        <f>ROUNDDOWN(PRODUCT(C24:H24),2)</f>
        <v>16.5</v>
      </c>
      <c r="J24" s="790"/>
      <c r="K24" s="790"/>
      <c r="L24" s="821"/>
    </row>
    <row r="25" spans="1:12" s="784" customFormat="1" ht="35.1" customHeight="1">
      <c r="A25" s="789"/>
      <c r="B25" s="789" t="s">
        <v>1150</v>
      </c>
      <c r="C25" s="790">
        <v>1</v>
      </c>
      <c r="D25" s="790" t="s">
        <v>921</v>
      </c>
      <c r="E25" s="790">
        <v>2</v>
      </c>
      <c r="F25" s="791">
        <f>F24</f>
        <v>8.25</v>
      </c>
      <c r="G25" s="792" t="s">
        <v>1937</v>
      </c>
      <c r="H25" s="791">
        <v>0.4</v>
      </c>
      <c r="I25" s="791">
        <f>ROUNDDOWN(PRODUCT(C25:H25)*(2.5+2.1)/2,2)</f>
        <v>15.18</v>
      </c>
      <c r="J25" s="790"/>
      <c r="K25" s="790"/>
      <c r="L25" s="821"/>
    </row>
    <row r="26" spans="1:12" s="784" customFormat="1" ht="35.1" customHeight="1">
      <c r="A26" s="789"/>
      <c r="B26" s="789" t="s">
        <v>1144</v>
      </c>
      <c r="C26" s="790">
        <v>2</v>
      </c>
      <c r="D26" s="790" t="s">
        <v>921</v>
      </c>
      <c r="E26" s="790">
        <v>2</v>
      </c>
      <c r="F26" s="791">
        <v>3.5</v>
      </c>
      <c r="G26" s="792" t="s">
        <v>1938</v>
      </c>
      <c r="H26" s="791">
        <v>0.4</v>
      </c>
      <c r="I26" s="791">
        <f>ROUNDDOWN(PRODUCT(C26:H26)*(2.17+1.65)/2,2)</f>
        <v>10.69</v>
      </c>
      <c r="J26" s="790"/>
      <c r="K26" s="790"/>
      <c r="L26" s="821"/>
    </row>
    <row r="27" spans="1:12" s="784" customFormat="1" ht="35.1" customHeight="1">
      <c r="A27" s="789"/>
      <c r="B27" s="789" t="s">
        <v>1152</v>
      </c>
      <c r="C27" s="790">
        <v>2</v>
      </c>
      <c r="D27" s="790" t="s">
        <v>921</v>
      </c>
      <c r="E27" s="790">
        <v>2</v>
      </c>
      <c r="F27" s="791">
        <v>3.5</v>
      </c>
      <c r="G27" s="792" t="s">
        <v>1939</v>
      </c>
      <c r="H27" s="791">
        <v>0.4</v>
      </c>
      <c r="I27" s="791">
        <f>ROUNDDOWN(PRODUCT(C27:H27)*(1.77+1.25)/2,2)</f>
        <v>8.4499999999999993</v>
      </c>
      <c r="J27" s="790"/>
      <c r="K27" s="790"/>
      <c r="L27" s="821"/>
    </row>
    <row r="28" spans="1:12" s="784" customFormat="1" ht="35.1" customHeight="1">
      <c r="A28" s="789"/>
      <c r="B28" s="789" t="s">
        <v>1153</v>
      </c>
      <c r="C28" s="790">
        <v>2</v>
      </c>
      <c r="D28" s="790" t="s">
        <v>921</v>
      </c>
      <c r="E28" s="790">
        <v>2</v>
      </c>
      <c r="F28" s="791">
        <v>3.5</v>
      </c>
      <c r="G28" s="792" t="s">
        <v>1940</v>
      </c>
      <c r="H28" s="791">
        <v>0.4</v>
      </c>
      <c r="I28" s="791">
        <f>ROUNDDOWN(PRODUCT(C28:H28)*(1.57+1.05)/2,2)</f>
        <v>7.33</v>
      </c>
      <c r="J28" s="790"/>
      <c r="K28" s="790"/>
      <c r="L28" s="821"/>
    </row>
    <row r="29" spans="1:12" ht="20.100000000000001" customHeight="1">
      <c r="A29" s="498"/>
      <c r="B29" s="793"/>
      <c r="C29" s="496"/>
      <c r="D29" s="496"/>
      <c r="E29" s="496"/>
      <c r="F29" s="498"/>
      <c r="G29" s="498"/>
      <c r="H29" s="498"/>
      <c r="I29" s="818">
        <f>SUM(I22:I28)</f>
        <v>78.61</v>
      </c>
      <c r="J29" s="523">
        <f>'Slab-Culverts Data'!J62</f>
        <v>6425.92</v>
      </c>
      <c r="K29" s="496">
        <v>1</v>
      </c>
      <c r="L29" s="819">
        <f>ROUND(I29*J29,0)</f>
        <v>505142</v>
      </c>
    </row>
    <row r="30" spans="1:12" ht="20.100000000000001" customHeight="1">
      <c r="A30" s="498"/>
      <c r="B30" s="793"/>
      <c r="C30" s="496"/>
      <c r="D30" s="496"/>
      <c r="E30" s="496"/>
      <c r="F30" s="498"/>
      <c r="G30" s="498"/>
      <c r="H30" s="498"/>
      <c r="I30" s="547" t="s">
        <v>31</v>
      </c>
      <c r="J30" s="523"/>
      <c r="K30" s="496" t="s">
        <v>31</v>
      </c>
      <c r="L30" s="819"/>
    </row>
    <row r="31" spans="1:12" ht="101.25" customHeight="1">
      <c r="A31" s="497">
        <v>4</v>
      </c>
      <c r="B31" s="3640"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1" s="3639"/>
      <c r="D31" s="3639"/>
      <c r="E31" s="3639"/>
      <c r="F31" s="3639"/>
      <c r="G31" s="3639"/>
      <c r="H31" s="3639"/>
      <c r="I31" s="3639"/>
      <c r="J31" s="3639"/>
      <c r="K31" s="3639"/>
      <c r="L31" s="819"/>
    </row>
    <row r="32" spans="1:12" ht="35.1" customHeight="1">
      <c r="A32" s="498"/>
      <c r="B32" s="789" t="s">
        <v>1154</v>
      </c>
      <c r="C32" s="790">
        <v>1</v>
      </c>
      <c r="D32" s="790" t="s">
        <v>921</v>
      </c>
      <c r="E32" s="790">
        <f>E24</f>
        <v>2</v>
      </c>
      <c r="F32" s="791">
        <v>8.25</v>
      </c>
      <c r="G32" s="792" t="s">
        <v>1941</v>
      </c>
      <c r="H32" s="791">
        <v>1.5</v>
      </c>
      <c r="I32" s="791">
        <f>ROUNDDOWN(PRODUCT(C32:H32)*(2.1+1.3)/2,2)</f>
        <v>42.07</v>
      </c>
      <c r="J32" s="523"/>
      <c r="K32" s="496"/>
      <c r="L32" s="819"/>
    </row>
    <row r="33" spans="1:14" ht="20.100000000000001" customHeight="1">
      <c r="A33" s="498"/>
      <c r="B33" s="789" t="s">
        <v>1159</v>
      </c>
      <c r="C33" s="790">
        <v>1</v>
      </c>
      <c r="D33" s="790" t="s">
        <v>921</v>
      </c>
      <c r="E33" s="790">
        <v>2</v>
      </c>
      <c r="F33" s="791">
        <v>8.25</v>
      </c>
      <c r="G33" s="791">
        <v>0.3</v>
      </c>
      <c r="H33" s="791">
        <v>0.95</v>
      </c>
      <c r="I33" s="791">
        <f>ROUNDDOWN(PRODUCT(C33:H33),2)</f>
        <v>4.7</v>
      </c>
      <c r="J33" s="523"/>
      <c r="K33" s="496"/>
      <c r="L33" s="819"/>
    </row>
    <row r="34" spans="1:14" ht="35.1" customHeight="1">
      <c r="A34" s="498"/>
      <c r="B34" s="799" t="s">
        <v>1160</v>
      </c>
      <c r="C34" s="800">
        <v>2</v>
      </c>
      <c r="D34" s="800" t="s">
        <v>921</v>
      </c>
      <c r="E34" s="800">
        <v>2</v>
      </c>
      <c r="F34" s="801">
        <v>3.5</v>
      </c>
      <c r="G34" s="792" t="s">
        <v>1942</v>
      </c>
      <c r="H34" s="791">
        <v>1.76</v>
      </c>
      <c r="I34" s="791">
        <f>ROUNDDOWN(PRODUCT(C34:H34)*(0.935+0.5)/2,2)</f>
        <v>17.670000000000002</v>
      </c>
      <c r="J34" s="523"/>
      <c r="K34" s="496"/>
      <c r="L34" s="819"/>
    </row>
    <row r="35" spans="1:14" ht="20.100000000000001" customHeight="1">
      <c r="A35" s="498"/>
      <c r="B35" s="802"/>
      <c r="C35" s="797"/>
      <c r="D35" s="797"/>
      <c r="E35" s="797"/>
      <c r="F35" s="798"/>
      <c r="G35" s="798"/>
      <c r="H35" s="798"/>
      <c r="I35" s="818">
        <f>SUM(I32:I34)</f>
        <v>64.44</v>
      </c>
      <c r="J35" s="523">
        <f>'Slab-Culverts Data'!J206</f>
        <v>6796.65</v>
      </c>
      <c r="K35" s="496">
        <v>1</v>
      </c>
      <c r="L35" s="819">
        <f>ROUND(I35*J35,0)</f>
        <v>437976</v>
      </c>
    </row>
    <row r="36" spans="1:14" ht="20.100000000000001" customHeight="1">
      <c r="A36" s="498"/>
      <c r="B36" s="793"/>
      <c r="C36" s="496"/>
      <c r="D36" s="496"/>
      <c r="E36" s="496"/>
      <c r="F36" s="498"/>
      <c r="G36" s="498"/>
      <c r="H36" s="498"/>
      <c r="I36" s="547" t="s">
        <v>31</v>
      </c>
      <c r="J36" s="523"/>
      <c r="K36" s="496" t="s">
        <v>31</v>
      </c>
      <c r="L36" s="819"/>
    </row>
    <row r="37" spans="1:14" ht="15" customHeight="1">
      <c r="A37" s="497"/>
      <c r="B37" s="515"/>
      <c r="C37" s="516"/>
      <c r="D37" s="516"/>
      <c r="E37" s="516"/>
      <c r="F37" s="498"/>
      <c r="G37" s="498"/>
      <c r="H37" s="498"/>
      <c r="I37" s="547"/>
      <c r="J37" s="523"/>
      <c r="K37" s="496"/>
      <c r="L37" s="819"/>
    </row>
    <row r="38" spans="1:14" ht="107.25" customHeight="1">
      <c r="A38" s="497">
        <v>5</v>
      </c>
      <c r="B38" s="3639" t="str">
        <f>'Slab-Culverts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38" s="3639"/>
      <c r="D38" s="3639"/>
      <c r="E38" s="3639"/>
      <c r="F38" s="3639"/>
      <c r="G38" s="3639"/>
      <c r="H38" s="3639"/>
      <c r="I38" s="3639"/>
      <c r="J38" s="3639"/>
      <c r="K38" s="3639"/>
      <c r="L38" s="819"/>
    </row>
    <row r="39" spans="1:14" ht="32.25" customHeight="1">
      <c r="A39" s="498"/>
      <c r="B39" s="799" t="s">
        <v>1161</v>
      </c>
      <c r="C39" s="790">
        <v>1</v>
      </c>
      <c r="D39" s="790" t="s">
        <v>921</v>
      </c>
      <c r="E39" s="790">
        <f>E32</f>
        <v>2</v>
      </c>
      <c r="F39" s="791">
        <f>F32</f>
        <v>8.25</v>
      </c>
      <c r="G39" s="801">
        <v>1.1000000000000001</v>
      </c>
      <c r="H39" s="791">
        <v>0.5</v>
      </c>
      <c r="I39" s="791">
        <f>ROUND(PRODUCT(C39:H39),2)</f>
        <v>9.08</v>
      </c>
      <c r="J39" s="496"/>
      <c r="K39" s="496"/>
      <c r="L39" s="819"/>
    </row>
    <row r="40" spans="1:14" s="785" customFormat="1" ht="20.100000000000001" customHeight="1">
      <c r="A40" s="799"/>
      <c r="B40" s="799"/>
      <c r="C40" s="800">
        <v>0</v>
      </c>
      <c r="D40" s="800" t="s">
        <v>921</v>
      </c>
      <c r="E40" s="800">
        <v>1</v>
      </c>
      <c r="F40" s="803">
        <v>8.25</v>
      </c>
      <c r="G40" s="803">
        <v>5.76</v>
      </c>
      <c r="H40" s="804">
        <v>0.45300000000000001</v>
      </c>
      <c r="I40" s="803">
        <f>ROUNDDOWN(PRODUCT(C40:H40),2)</f>
        <v>0</v>
      </c>
      <c r="J40" s="800"/>
      <c r="K40" s="800"/>
      <c r="L40" s="822"/>
    </row>
    <row r="41" spans="1:14" s="785" customFormat="1" ht="20.100000000000001" customHeight="1">
      <c r="A41" s="799"/>
      <c r="B41" s="799" t="s">
        <v>1163</v>
      </c>
      <c r="C41" s="800">
        <v>1</v>
      </c>
      <c r="D41" s="800" t="s">
        <v>921</v>
      </c>
      <c r="E41" s="800">
        <v>2</v>
      </c>
      <c r="F41" s="803">
        <v>8.25</v>
      </c>
      <c r="G41" s="803">
        <v>0.62</v>
      </c>
      <c r="H41" s="804">
        <v>0.45300000000000001</v>
      </c>
      <c r="I41" s="803">
        <f>ROUNDDOWN(PRODUCT(C41:H41),2)</f>
        <v>4.63</v>
      </c>
      <c r="J41" s="800"/>
      <c r="K41" s="800"/>
      <c r="L41" s="822"/>
    </row>
    <row r="42" spans="1:14" s="785" customFormat="1" ht="20.100000000000001" customHeight="1">
      <c r="A42" s="799"/>
      <c r="B42" s="799" t="s">
        <v>1164</v>
      </c>
      <c r="C42" s="800">
        <v>1</v>
      </c>
      <c r="D42" s="800" t="s">
        <v>921</v>
      </c>
      <c r="E42" s="800">
        <v>2</v>
      </c>
      <c r="F42" s="803">
        <v>12.76</v>
      </c>
      <c r="G42" s="804">
        <v>0.52500000000000002</v>
      </c>
      <c r="H42" s="804">
        <v>0.3</v>
      </c>
      <c r="I42" s="803">
        <f>ROUNDDOWN(PRODUCT(C42:H42),2)</f>
        <v>4.01</v>
      </c>
      <c r="J42" s="800"/>
      <c r="K42" s="800"/>
      <c r="L42" s="822"/>
    </row>
    <row r="43" spans="1:14" ht="20.100000000000001" customHeight="1">
      <c r="A43" s="498"/>
      <c r="B43" s="793"/>
      <c r="C43" s="496"/>
      <c r="D43" s="496"/>
      <c r="E43" s="496"/>
      <c r="F43" s="498"/>
      <c r="G43" s="498"/>
      <c r="H43" s="498"/>
      <c r="I43" s="547">
        <f>SUM(I39:I42)</f>
        <v>17.72</v>
      </c>
      <c r="J43" s="523">
        <f>'Slab-Culverts Data'!J267</f>
        <v>7713.58</v>
      </c>
      <c r="K43" s="496">
        <v>1</v>
      </c>
      <c r="L43" s="819">
        <f>ROUND(I43*J43,0)</f>
        <v>136685</v>
      </c>
    </row>
    <row r="44" spans="1:14" ht="20.100000000000001" customHeight="1">
      <c r="A44" s="498"/>
      <c r="B44" s="793"/>
      <c r="C44" s="496"/>
      <c r="D44" s="496"/>
      <c r="E44" s="496"/>
      <c r="F44" s="498"/>
      <c r="G44" s="498"/>
      <c r="H44" s="498"/>
      <c r="I44" s="547" t="s">
        <v>31</v>
      </c>
      <c r="J44" s="523"/>
      <c r="K44" s="496" t="s">
        <v>31</v>
      </c>
      <c r="L44" s="819"/>
    </row>
    <row r="45" spans="1:14" ht="15" customHeight="1">
      <c r="A45" s="498"/>
      <c r="B45" s="793"/>
      <c r="C45" s="496"/>
      <c r="D45" s="496"/>
      <c r="E45" s="496"/>
      <c r="F45" s="498"/>
      <c r="G45" s="498"/>
      <c r="H45" s="498"/>
      <c r="I45" s="547"/>
      <c r="J45" s="523"/>
      <c r="K45" s="496"/>
      <c r="L45" s="819"/>
    </row>
    <row r="46" spans="1:14" ht="114" customHeight="1">
      <c r="A46" s="497">
        <v>7</v>
      </c>
      <c r="B46" s="3639" t="str">
        <f>'Slab-Culverts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6" s="3639"/>
      <c r="D46" s="3639"/>
      <c r="E46" s="3639"/>
      <c r="F46" s="3639"/>
      <c r="G46" s="3639"/>
      <c r="H46" s="3639"/>
      <c r="I46" s="3639"/>
      <c r="J46" s="3639"/>
      <c r="K46" s="3639"/>
      <c r="L46" s="819"/>
    </row>
    <row r="47" spans="1:14" ht="15.6" customHeight="1">
      <c r="A47" s="497"/>
      <c r="B47" s="515" t="s">
        <v>1165</v>
      </c>
      <c r="C47" s="516"/>
      <c r="D47" s="516"/>
      <c r="E47" s="516"/>
      <c r="F47" s="516"/>
      <c r="G47" s="516"/>
      <c r="H47" s="516"/>
      <c r="I47" s="516"/>
      <c r="J47" s="516"/>
      <c r="K47" s="516"/>
      <c r="L47" s="816"/>
    </row>
    <row r="48" spans="1:14" s="553" customFormat="1" ht="18" customHeight="1">
      <c r="A48" s="794"/>
      <c r="B48" s="805" t="s">
        <v>1166</v>
      </c>
      <c r="C48" s="794">
        <v>1</v>
      </c>
      <c r="D48" s="794" t="s">
        <v>921</v>
      </c>
      <c r="E48" s="794">
        <v>1</v>
      </c>
      <c r="F48" s="795">
        <v>7.5</v>
      </c>
      <c r="G48" s="795">
        <v>7</v>
      </c>
      <c r="H48" s="806">
        <v>0.3</v>
      </c>
      <c r="I48" s="795">
        <f>ROUND(C48*E48*F48*G48*H48,2)</f>
        <v>15.75</v>
      </c>
      <c r="J48" s="795"/>
      <c r="K48" s="823"/>
      <c r="L48" s="824"/>
      <c r="M48" s="611"/>
      <c r="N48" s="612"/>
    </row>
    <row r="49" spans="1:14" ht="15" customHeight="1">
      <c r="A49" s="497"/>
      <c r="B49" s="515"/>
      <c r="C49" s="516"/>
      <c r="D49" s="516"/>
      <c r="E49" s="516"/>
      <c r="F49" s="498"/>
      <c r="G49" s="523"/>
      <c r="H49" s="498"/>
      <c r="I49" s="547">
        <f>I48</f>
        <v>15.75</v>
      </c>
      <c r="J49" s="523">
        <f>'Slab-Culverts Data'!J366</f>
        <v>8387.5499999999993</v>
      </c>
      <c r="K49" s="496">
        <v>1</v>
      </c>
      <c r="L49" s="819">
        <f>ROUND(I49*J49,0)</f>
        <v>132104</v>
      </c>
    </row>
    <row r="50" spans="1:14" ht="15" customHeight="1">
      <c r="A50" s="497"/>
      <c r="B50" s="515"/>
      <c r="C50" s="516"/>
      <c r="D50" s="516"/>
      <c r="E50" s="516"/>
      <c r="F50" s="498"/>
      <c r="G50" s="498"/>
      <c r="H50" s="498"/>
      <c r="I50" s="547" t="s">
        <v>31</v>
      </c>
      <c r="J50" s="523"/>
      <c r="K50" s="496" t="s">
        <v>31</v>
      </c>
      <c r="L50" s="819"/>
    </row>
    <row r="51" spans="1:14" ht="51" customHeight="1">
      <c r="A51" s="497">
        <v>6</v>
      </c>
      <c r="B51" s="3639" t="str">
        <f>'Slab-Culverts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1" s="3639"/>
      <c r="D51" s="3639"/>
      <c r="E51" s="3639"/>
      <c r="F51" s="3639"/>
      <c r="G51" s="3639"/>
      <c r="H51" s="3639"/>
      <c r="I51" s="3639"/>
      <c r="J51" s="3639"/>
      <c r="K51" s="3639"/>
      <c r="L51" s="819"/>
    </row>
    <row r="52" spans="1:14" ht="35.1" customHeight="1">
      <c r="A52" s="498"/>
      <c r="B52" s="789" t="s">
        <v>1167</v>
      </c>
      <c r="C52" s="790">
        <v>1</v>
      </c>
      <c r="D52" s="790" t="s">
        <v>921</v>
      </c>
      <c r="E52" s="790">
        <v>2</v>
      </c>
      <c r="F52" s="791">
        <v>3.5</v>
      </c>
      <c r="G52" s="791">
        <v>6.6</v>
      </c>
      <c r="H52" s="792" t="s">
        <v>1943</v>
      </c>
      <c r="I52" s="791">
        <f>ROUNDDOWN(PRODUCT(C52:H52)*(2+0.5)/2,2)</f>
        <v>57.75</v>
      </c>
      <c r="J52" s="809"/>
      <c r="K52" s="825"/>
      <c r="L52" s="826"/>
    </row>
    <row r="53" spans="1:14" ht="20.100000000000001" customHeight="1">
      <c r="A53" s="498"/>
      <c r="B53" s="793"/>
      <c r="C53" s="496"/>
      <c r="D53" s="496"/>
      <c r="E53" s="496"/>
      <c r="F53" s="498"/>
      <c r="G53" s="523"/>
      <c r="H53" s="498"/>
      <c r="I53" s="547">
        <f>I52</f>
        <v>57.75</v>
      </c>
      <c r="J53" s="523">
        <f>'Slab-Culverts Data'!J625</f>
        <v>691.79</v>
      </c>
      <c r="K53" s="496">
        <v>1</v>
      </c>
      <c r="L53" s="819">
        <f>ROUND(I53*J53,0)</f>
        <v>39951</v>
      </c>
    </row>
    <row r="54" spans="1:14" ht="20.100000000000001" customHeight="1">
      <c r="A54" s="498"/>
      <c r="B54" s="793"/>
      <c r="C54" s="496"/>
      <c r="D54" s="496"/>
      <c r="E54" s="496"/>
      <c r="F54" s="498"/>
      <c r="G54" s="498"/>
      <c r="H54" s="498"/>
      <c r="I54" s="547" t="s">
        <v>31</v>
      </c>
      <c r="J54" s="523"/>
      <c r="K54" s="496" t="s">
        <v>31</v>
      </c>
      <c r="L54" s="819"/>
    </row>
    <row r="55" spans="1:14" ht="116.25" customHeight="1">
      <c r="A55" s="497">
        <v>7</v>
      </c>
      <c r="B55" s="3639"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55" s="3639"/>
      <c r="D55" s="3639"/>
      <c r="E55" s="3639"/>
      <c r="F55" s="3639"/>
      <c r="G55" s="3639"/>
      <c r="H55" s="3639"/>
      <c r="I55" s="3639"/>
      <c r="J55" s="3639"/>
      <c r="K55" s="3639"/>
      <c r="L55" s="819"/>
    </row>
    <row r="56" spans="1:14" s="554" customFormat="1" ht="20.100000000000001" customHeight="1">
      <c r="A56" s="807"/>
      <c r="B56" s="808" t="s">
        <v>1168</v>
      </c>
      <c r="C56" s="807">
        <v>1</v>
      </c>
      <c r="D56" s="807" t="s">
        <v>921</v>
      </c>
      <c r="E56" s="807">
        <v>1</v>
      </c>
      <c r="F56" s="809">
        <v>7.5</v>
      </c>
      <c r="G56" s="809">
        <v>5.76</v>
      </c>
      <c r="H56" s="810">
        <v>7.4999999999999997E-2</v>
      </c>
      <c r="I56" s="803">
        <f>ROUNDDOWN(PRODUCT(C56:H56),2)</f>
        <v>3.24</v>
      </c>
      <c r="J56" s="809"/>
      <c r="K56" s="825"/>
      <c r="L56" s="826"/>
      <c r="M56" s="617"/>
      <c r="N56" s="618"/>
    </row>
    <row r="57" spans="1:14" ht="20.100000000000001" customHeight="1">
      <c r="A57" s="498"/>
      <c r="B57" s="793"/>
      <c r="C57" s="496"/>
      <c r="D57" s="496"/>
      <c r="E57" s="496"/>
      <c r="F57" s="498"/>
      <c r="G57" s="523"/>
      <c r="H57" s="498"/>
      <c r="I57" s="547">
        <f>SUM(I56)</f>
        <v>3.24</v>
      </c>
      <c r="J57" s="523">
        <f>'Slab-Culverts Data'!J428</f>
        <v>7079.99</v>
      </c>
      <c r="K57" s="496">
        <v>1</v>
      </c>
      <c r="L57" s="819">
        <f>ROUND(I57*J57,0)</f>
        <v>22939</v>
      </c>
    </row>
    <row r="58" spans="1:14" ht="20.100000000000001" customHeight="1">
      <c r="A58" s="498"/>
      <c r="B58" s="793"/>
      <c r="C58" s="496"/>
      <c r="D58" s="496"/>
      <c r="E58" s="496"/>
      <c r="F58" s="498"/>
      <c r="G58" s="498"/>
      <c r="H58" s="498"/>
      <c r="I58" s="547" t="s">
        <v>31</v>
      </c>
      <c r="J58" s="523"/>
      <c r="K58" s="496" t="s">
        <v>31</v>
      </c>
      <c r="L58" s="819"/>
    </row>
    <row r="59" spans="1:14" s="555" customFormat="1" ht="115.5" customHeight="1">
      <c r="A59" s="811">
        <v>8</v>
      </c>
      <c r="B59" s="3639"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59" s="3639"/>
      <c r="D59" s="3639"/>
      <c r="E59" s="3639"/>
      <c r="F59" s="3639"/>
      <c r="G59" s="3639"/>
      <c r="H59" s="3639"/>
      <c r="I59" s="3639"/>
      <c r="J59" s="3639"/>
      <c r="K59" s="3639"/>
      <c r="L59" s="827"/>
    </row>
    <row r="60" spans="1:14" ht="28.95" customHeight="1">
      <c r="A60" s="498"/>
      <c r="B60" s="789" t="s">
        <v>1169</v>
      </c>
      <c r="C60" s="790">
        <v>1</v>
      </c>
      <c r="D60" s="790" t="s">
        <v>921</v>
      </c>
      <c r="E60" s="790">
        <v>2</v>
      </c>
      <c r="F60" s="791">
        <v>5</v>
      </c>
      <c r="G60" s="792" t="s">
        <v>1944</v>
      </c>
      <c r="H60" s="792" t="s">
        <v>1945</v>
      </c>
      <c r="I60" s="791">
        <f>ROUND(PRODUCT(C60:H60)*(13.5+7.5)/2*(2+0.3)/2,2)</f>
        <v>120.75</v>
      </c>
      <c r="J60" s="790"/>
      <c r="K60" s="790"/>
      <c r="L60" s="821"/>
    </row>
    <row r="61" spans="1:14" ht="20.100000000000001" customHeight="1">
      <c r="A61" s="498"/>
      <c r="B61" s="812"/>
      <c r="C61" s="797"/>
      <c r="D61" s="797"/>
      <c r="E61" s="797"/>
      <c r="F61" s="813"/>
      <c r="G61" s="813"/>
      <c r="H61" s="813"/>
      <c r="I61" s="818">
        <f>SUM(I60:I60)</f>
        <v>120.75</v>
      </c>
      <c r="J61" s="813">
        <f>'Road data'!G188</f>
        <v>318.8</v>
      </c>
      <c r="K61" s="828" t="s">
        <v>1170</v>
      </c>
      <c r="L61" s="819">
        <f>ROUND(I61*J61,0)</f>
        <v>38495</v>
      </c>
    </row>
    <row r="62" spans="1:14" ht="13.5" customHeight="1">
      <c r="A62" s="498"/>
      <c r="B62" s="793"/>
      <c r="C62" s="496"/>
      <c r="D62" s="496"/>
      <c r="E62" s="496"/>
      <c r="F62" s="498"/>
      <c r="G62" s="498"/>
      <c r="H62" s="498"/>
      <c r="I62" s="547" t="s">
        <v>73</v>
      </c>
      <c r="J62" s="523"/>
      <c r="K62" s="496"/>
      <c r="L62" s="819"/>
    </row>
    <row r="63" spans="1:14" ht="106.5" customHeight="1">
      <c r="A63" s="497">
        <v>9</v>
      </c>
      <c r="B63" s="3639" t="str">
        <f>'Slab-Culverts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63" s="3639"/>
      <c r="D63" s="3639"/>
      <c r="E63" s="3639"/>
      <c r="F63" s="3639"/>
      <c r="G63" s="3639"/>
      <c r="H63" s="3639"/>
      <c r="I63" s="3639"/>
      <c r="J63" s="3639"/>
      <c r="K63" s="3639"/>
      <c r="L63" s="829"/>
    </row>
    <row r="64" spans="1:14" ht="20.100000000000001" customHeight="1">
      <c r="A64" s="498"/>
      <c r="B64" s="789" t="s">
        <v>1169</v>
      </c>
      <c r="C64" s="790">
        <v>1</v>
      </c>
      <c r="D64" s="790" t="s">
        <v>921</v>
      </c>
      <c r="E64" s="790">
        <v>2</v>
      </c>
      <c r="F64" s="791">
        <f>F52</f>
        <v>3.5</v>
      </c>
      <c r="G64" s="791">
        <v>7.5</v>
      </c>
      <c r="H64" s="791">
        <v>0.15</v>
      </c>
      <c r="I64" s="791">
        <f>ROUND(PRODUCT(C64:H64),2)</f>
        <v>7.88</v>
      </c>
      <c r="J64" s="790"/>
      <c r="K64" s="790"/>
      <c r="L64" s="821"/>
    </row>
    <row r="65" spans="1:12" ht="20.100000000000001" customHeight="1">
      <c r="A65" s="498"/>
      <c r="B65" s="812"/>
      <c r="C65" s="797"/>
      <c r="D65" s="797"/>
      <c r="E65" s="797"/>
      <c r="F65" s="813"/>
      <c r="G65" s="813"/>
      <c r="H65" s="813"/>
      <c r="I65" s="818">
        <f>SUM(I64:I64)</f>
        <v>7.88</v>
      </c>
      <c r="J65" s="813">
        <f>'Slab-Culverts Data'!J535</f>
        <v>6182.18</v>
      </c>
      <c r="K65" s="828" t="s">
        <v>1170</v>
      </c>
      <c r="L65" s="819">
        <f>ROUND(I65*J65,0)</f>
        <v>48716</v>
      </c>
    </row>
    <row r="66" spans="1:12" ht="18" customHeight="1">
      <c r="A66" s="498"/>
      <c r="B66" s="793"/>
      <c r="C66" s="496"/>
      <c r="D66" s="496"/>
      <c r="E66" s="496"/>
      <c r="F66" s="498"/>
      <c r="G66" s="498"/>
      <c r="H66" s="498"/>
      <c r="I66" s="547" t="s">
        <v>73</v>
      </c>
      <c r="J66" s="523"/>
      <c r="K66" s="496"/>
      <c r="L66" s="819"/>
    </row>
    <row r="67" spans="1:12" ht="132" customHeight="1">
      <c r="A67" s="497">
        <v>10</v>
      </c>
      <c r="B67" s="3639" t="str">
        <f>'Slab-Culverts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67" s="3639"/>
      <c r="D67" s="3639"/>
      <c r="E67" s="3639"/>
      <c r="F67" s="3639"/>
      <c r="G67" s="3639"/>
      <c r="H67" s="3639"/>
      <c r="I67" s="3639"/>
      <c r="J67" s="3639"/>
      <c r="K67" s="3639"/>
      <c r="L67" s="829"/>
    </row>
    <row r="68" spans="1:12" ht="20.100000000000001" customHeight="1">
      <c r="A68" s="498"/>
      <c r="B68" s="789" t="s">
        <v>1171</v>
      </c>
      <c r="C68" s="790">
        <v>1</v>
      </c>
      <c r="D68" s="790" t="s">
        <v>921</v>
      </c>
      <c r="E68" s="790">
        <v>2</v>
      </c>
      <c r="F68" s="791">
        <v>3.5</v>
      </c>
      <c r="G68" s="791">
        <v>7.5</v>
      </c>
      <c r="H68" s="791">
        <v>0.15</v>
      </c>
      <c r="I68" s="791">
        <f>ROUND(PRODUCT(C68:H68),2)</f>
        <v>7.88</v>
      </c>
      <c r="J68" s="790"/>
      <c r="K68" s="790"/>
      <c r="L68" s="821"/>
    </row>
    <row r="69" spans="1:12" ht="20.100000000000001" customHeight="1">
      <c r="A69" s="498"/>
      <c r="B69" s="812"/>
      <c r="C69" s="797"/>
      <c r="D69" s="797"/>
      <c r="E69" s="797"/>
      <c r="F69" s="813"/>
      <c r="G69" s="813"/>
      <c r="H69" s="813"/>
      <c r="I69" s="818">
        <f>SUM(I68:I68)</f>
        <v>7.88</v>
      </c>
      <c r="J69" s="813">
        <f>'Slab-Culverts Data'!J504</f>
        <v>7175.39</v>
      </c>
      <c r="K69" s="828" t="s">
        <v>1170</v>
      </c>
      <c r="L69" s="830">
        <f>ROUND(I69*J69,0)</f>
        <v>56542</v>
      </c>
    </row>
    <row r="70" spans="1:12" ht="18" customHeight="1">
      <c r="A70" s="498"/>
      <c r="B70" s="812"/>
      <c r="C70" s="797"/>
      <c r="D70" s="797"/>
      <c r="E70" s="797"/>
      <c r="F70" s="813"/>
      <c r="G70" s="813"/>
      <c r="H70" s="813"/>
      <c r="I70" s="547" t="s">
        <v>73</v>
      </c>
      <c r="J70" s="813"/>
      <c r="K70" s="828"/>
      <c r="L70" s="830"/>
    </row>
    <row r="71" spans="1:12" ht="75" customHeight="1">
      <c r="A71" s="497">
        <v>11</v>
      </c>
      <c r="B71" s="3639" t="str">
        <f>'Slab-Culverts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1" s="3639"/>
      <c r="D71" s="3639"/>
      <c r="E71" s="3639"/>
      <c r="F71" s="3639"/>
      <c r="G71" s="3639"/>
      <c r="H71" s="3639"/>
      <c r="I71" s="3639"/>
      <c r="J71" s="3639"/>
      <c r="K71" s="3639"/>
      <c r="L71" s="829"/>
    </row>
    <row r="72" spans="1:12" ht="20.100000000000001" customHeight="1">
      <c r="A72" s="498"/>
      <c r="B72" s="789"/>
      <c r="C72" s="790">
        <v>1</v>
      </c>
      <c r="D72" s="790" t="s">
        <v>921</v>
      </c>
      <c r="E72" s="790">
        <v>2</v>
      </c>
      <c r="F72" s="791">
        <v>12.76</v>
      </c>
      <c r="G72" s="791"/>
      <c r="H72" s="791"/>
      <c r="I72" s="791">
        <f>ROUND(PRODUCT(C72:H72),2)</f>
        <v>25.52</v>
      </c>
      <c r="J72" s="790"/>
      <c r="K72" s="790"/>
      <c r="L72" s="821"/>
    </row>
    <row r="73" spans="1:12" ht="20.100000000000001" customHeight="1">
      <c r="A73" s="498"/>
      <c r="B73" s="812"/>
      <c r="C73" s="797"/>
      <c r="D73" s="797"/>
      <c r="E73" s="797"/>
      <c r="F73" s="813"/>
      <c r="G73" s="813"/>
      <c r="H73" s="813"/>
      <c r="I73" s="818">
        <f>SUM(I72:I72)</f>
        <v>25.52</v>
      </c>
      <c r="J73" s="813">
        <f>'Slab-Culverts Data'!J673</f>
        <v>617.67139145468752</v>
      </c>
      <c r="K73" s="828" t="s">
        <v>1054</v>
      </c>
      <c r="L73" s="830">
        <f>ROUND(I73*J73,0)</f>
        <v>15763</v>
      </c>
    </row>
    <row r="74" spans="1:12" ht="18" customHeight="1">
      <c r="A74" s="498"/>
      <c r="B74" s="812"/>
      <c r="C74" s="797"/>
      <c r="D74" s="797"/>
      <c r="E74" s="797"/>
      <c r="F74" s="813"/>
      <c r="G74" s="813"/>
      <c r="H74" s="813"/>
      <c r="I74" s="547" t="s">
        <v>1054</v>
      </c>
      <c r="J74" s="813"/>
      <c r="K74" s="828"/>
      <c r="L74" s="830"/>
    </row>
    <row r="75" spans="1:12" ht="103.5" customHeight="1">
      <c r="A75" s="497">
        <v>12</v>
      </c>
      <c r="B75" s="3639" t="str">
        <f>'Slab-Culverts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75" s="3639"/>
      <c r="D75" s="3639"/>
      <c r="E75" s="3639"/>
      <c r="F75" s="3639"/>
      <c r="G75" s="3639"/>
      <c r="H75" s="3639"/>
      <c r="I75" s="3639"/>
      <c r="J75" s="3639"/>
      <c r="K75" s="3639"/>
      <c r="L75" s="829"/>
    </row>
    <row r="76" spans="1:12" ht="20.100000000000001" customHeight="1">
      <c r="A76" s="498"/>
      <c r="B76" s="789"/>
      <c r="C76" s="790">
        <v>2</v>
      </c>
      <c r="D76" s="790" t="s">
        <v>921</v>
      </c>
      <c r="E76" s="790">
        <v>2</v>
      </c>
      <c r="F76" s="791">
        <v>10</v>
      </c>
      <c r="G76" s="791"/>
      <c r="H76" s="791"/>
      <c r="I76" s="791">
        <f>ROUND(PRODUCT(C76:H76),2)</f>
        <v>40</v>
      </c>
      <c r="J76" s="790"/>
      <c r="K76" s="790"/>
      <c r="L76" s="821"/>
    </row>
    <row r="77" spans="1:12" ht="20.100000000000001" customHeight="1">
      <c r="A77" s="498"/>
      <c r="B77" s="812"/>
      <c r="C77" s="797"/>
      <c r="D77" s="797"/>
      <c r="E77" s="797"/>
      <c r="F77" s="813"/>
      <c r="G77" s="813"/>
      <c r="H77" s="813"/>
      <c r="I77" s="818">
        <f>SUM(I76:I76)</f>
        <v>40</v>
      </c>
      <c r="J77" s="813">
        <f>'Slab-Culverts Data'!J312</f>
        <v>614.33766666666668</v>
      </c>
      <c r="K77" s="828" t="s">
        <v>1054</v>
      </c>
      <c r="L77" s="830">
        <f>ROUND(I77*J77,0)</f>
        <v>24574</v>
      </c>
    </row>
    <row r="78" spans="1:12" ht="18" customHeight="1">
      <c r="A78" s="498"/>
      <c r="B78" s="812"/>
      <c r="C78" s="797"/>
      <c r="D78" s="797"/>
      <c r="E78" s="797"/>
      <c r="F78" s="813"/>
      <c r="G78" s="813"/>
      <c r="H78" s="813"/>
      <c r="I78" s="547" t="s">
        <v>1054</v>
      </c>
      <c r="J78" s="813"/>
      <c r="K78" s="828"/>
      <c r="L78" s="830"/>
    </row>
    <row r="79" spans="1:12" ht="120" customHeight="1">
      <c r="A79" s="497">
        <v>13</v>
      </c>
      <c r="B79" s="3639" t="str">
        <f>'Slab-Culverts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79" s="3639"/>
      <c r="D79" s="3639"/>
      <c r="E79" s="3639"/>
      <c r="F79" s="3639"/>
      <c r="G79" s="3639"/>
      <c r="H79" s="3639"/>
      <c r="I79" s="3639"/>
      <c r="J79" s="3639"/>
      <c r="K79" s="3639"/>
      <c r="L79" s="829"/>
    </row>
    <row r="80" spans="1:12" ht="20.100000000000001" customHeight="1">
      <c r="A80" s="498"/>
      <c r="B80" s="789"/>
      <c r="C80" s="790">
        <v>1</v>
      </c>
      <c r="D80" s="790" t="s">
        <v>921</v>
      </c>
      <c r="E80" s="790">
        <v>2</v>
      </c>
      <c r="F80" s="791">
        <v>14.5</v>
      </c>
      <c r="G80" s="791">
        <v>0.23</v>
      </c>
      <c r="H80" s="791">
        <v>2</v>
      </c>
      <c r="I80" s="791">
        <f>ROUND(PRODUCT(C80:H80),2)</f>
        <v>13.34</v>
      </c>
      <c r="J80" s="790"/>
      <c r="K80" s="790"/>
      <c r="L80" s="821"/>
    </row>
    <row r="81" spans="1:12" ht="20.100000000000001" customHeight="1">
      <c r="A81" s="498"/>
      <c r="B81" s="812"/>
      <c r="C81" s="797"/>
      <c r="D81" s="797"/>
      <c r="E81" s="797"/>
      <c r="F81" s="813"/>
      <c r="G81" s="813"/>
      <c r="H81" s="813"/>
      <c r="I81" s="818">
        <f>SUM(I80:I80)</f>
        <v>13.34</v>
      </c>
      <c r="J81" s="813">
        <f>'Slab-Culverts Data'!J335</f>
        <v>2427.13</v>
      </c>
      <c r="K81" s="828" t="s">
        <v>73</v>
      </c>
      <c r="L81" s="830">
        <f>ROUND(I81*J81,0)</f>
        <v>32378</v>
      </c>
    </row>
    <row r="82" spans="1:12" ht="20.100000000000001" customHeight="1">
      <c r="A82" s="498"/>
      <c r="B82" s="812"/>
      <c r="C82" s="797"/>
      <c r="D82" s="797"/>
      <c r="E82" s="797"/>
      <c r="F82" s="813"/>
      <c r="G82" s="813"/>
      <c r="H82" s="813"/>
      <c r="I82" s="547" t="s">
        <v>73</v>
      </c>
      <c r="J82" s="813"/>
      <c r="K82" s="828"/>
      <c r="L82" s="830"/>
    </row>
    <row r="83" spans="1:12" ht="59.25" customHeight="1">
      <c r="A83" s="497">
        <v>14</v>
      </c>
      <c r="B83" s="3639"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83" s="3639"/>
      <c r="D83" s="3639"/>
      <c r="E83" s="3639"/>
      <c r="F83" s="3639"/>
      <c r="G83" s="3639"/>
      <c r="H83" s="3639"/>
      <c r="I83" s="3639"/>
      <c r="J83" s="3639"/>
      <c r="K83" s="3639"/>
      <c r="L83" s="829"/>
    </row>
    <row r="84" spans="1:12" ht="20.100000000000001" customHeight="1">
      <c r="A84" s="498"/>
      <c r="B84" s="789" t="s">
        <v>1172</v>
      </c>
      <c r="C84" s="790">
        <v>1</v>
      </c>
      <c r="D84" s="790" t="s">
        <v>921</v>
      </c>
      <c r="E84" s="790">
        <v>1</v>
      </c>
      <c r="F84" s="791">
        <v>8.25</v>
      </c>
      <c r="G84" s="791">
        <v>5</v>
      </c>
      <c r="H84" s="791">
        <v>0.3</v>
      </c>
      <c r="I84" s="791">
        <f>ROUND(PRODUCT(C84:H84),2)</f>
        <v>12.38</v>
      </c>
      <c r="J84" s="790"/>
      <c r="K84" s="790"/>
      <c r="L84" s="821"/>
    </row>
    <row r="85" spans="1:12" ht="20.100000000000001" customHeight="1">
      <c r="A85" s="498"/>
      <c r="B85" s="789" t="s">
        <v>1173</v>
      </c>
      <c r="C85" s="790">
        <v>1</v>
      </c>
      <c r="D85" s="790" t="s">
        <v>921</v>
      </c>
      <c r="E85" s="790">
        <v>1</v>
      </c>
      <c r="F85" s="791">
        <v>13</v>
      </c>
      <c r="G85" s="791">
        <v>1.5</v>
      </c>
      <c r="H85" s="791">
        <v>0.3</v>
      </c>
      <c r="I85" s="791">
        <f>ROUND(PRODUCT(C85:H85),2)</f>
        <v>5.85</v>
      </c>
      <c r="J85" s="790"/>
      <c r="K85" s="790"/>
      <c r="L85" s="821"/>
    </row>
    <row r="86" spans="1:12" ht="20.100000000000001" customHeight="1">
      <c r="A86" s="498"/>
      <c r="B86" s="789" t="s">
        <v>1174</v>
      </c>
      <c r="C86" s="790">
        <v>1</v>
      </c>
      <c r="D86" s="790" t="s">
        <v>921</v>
      </c>
      <c r="E86" s="790">
        <v>1</v>
      </c>
      <c r="F86" s="791">
        <v>13</v>
      </c>
      <c r="G86" s="791">
        <v>3</v>
      </c>
      <c r="H86" s="791">
        <v>0.3</v>
      </c>
      <c r="I86" s="791">
        <f>ROUND(PRODUCT(C86:H86),2)</f>
        <v>11.7</v>
      </c>
      <c r="J86" s="790"/>
      <c r="K86" s="790"/>
      <c r="L86" s="821"/>
    </row>
    <row r="87" spans="1:12" ht="20.100000000000001" customHeight="1">
      <c r="A87" s="498"/>
      <c r="B87" s="812"/>
      <c r="C87" s="797"/>
      <c r="D87" s="797"/>
      <c r="E87" s="797"/>
      <c r="F87" s="813"/>
      <c r="G87" s="813"/>
      <c r="H87" s="813"/>
      <c r="I87" s="818">
        <f>SUM(I84:I86)</f>
        <v>29.93</v>
      </c>
      <c r="J87" s="813">
        <f>'Slab-Culverts Data'!J559</f>
        <v>2067.88</v>
      </c>
      <c r="K87" s="828" t="s">
        <v>73</v>
      </c>
      <c r="L87" s="830">
        <f>ROUND(I87*J87,0)</f>
        <v>61892</v>
      </c>
    </row>
    <row r="88" spans="1:12" ht="20.100000000000001" customHeight="1">
      <c r="A88" s="498"/>
      <c r="B88" s="793"/>
      <c r="C88" s="496"/>
      <c r="D88" s="496"/>
      <c r="E88" s="496"/>
      <c r="F88" s="498"/>
      <c r="G88" s="498"/>
      <c r="H88" s="498"/>
      <c r="I88" s="547" t="s">
        <v>73</v>
      </c>
      <c r="J88" s="523"/>
      <c r="K88" s="496"/>
      <c r="L88" s="819"/>
    </row>
    <row r="89" spans="1:12" ht="15" customHeight="1">
      <c r="A89" s="497"/>
      <c r="B89" s="515"/>
      <c r="C89" s="516"/>
      <c r="D89" s="516"/>
      <c r="E89" s="516"/>
      <c r="F89" s="498"/>
      <c r="G89" s="498"/>
      <c r="H89" s="498"/>
      <c r="I89" s="547"/>
      <c r="J89" s="523"/>
      <c r="K89" s="496"/>
      <c r="L89" s="819"/>
    </row>
    <row r="90" spans="1:12" ht="117.75" customHeight="1">
      <c r="A90" s="497">
        <v>15</v>
      </c>
      <c r="B90" s="3639" t="str">
        <f>'Slab-Culverts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0" s="3639"/>
      <c r="D90" s="3639"/>
      <c r="E90" s="3639"/>
      <c r="F90" s="3639"/>
      <c r="G90" s="3639"/>
      <c r="H90" s="3639"/>
      <c r="I90" s="3639"/>
      <c r="J90" s="3639"/>
      <c r="K90" s="3639"/>
      <c r="L90" s="819"/>
    </row>
    <row r="91" spans="1:12" ht="20.100000000000001" customHeight="1">
      <c r="A91" s="498"/>
      <c r="B91" s="793"/>
      <c r="C91" s="496"/>
      <c r="D91" s="496"/>
      <c r="E91" s="496"/>
      <c r="F91" s="498"/>
      <c r="G91" s="498"/>
      <c r="H91" s="498"/>
      <c r="I91" s="547">
        <v>0.61199999999999999</v>
      </c>
      <c r="J91" s="523">
        <f>'Slab-Culverts Data'!J175</f>
        <v>64656.02</v>
      </c>
      <c r="K91" s="496">
        <v>1</v>
      </c>
      <c r="L91" s="819">
        <f>ROUND(I91*J91,0)</f>
        <v>39569</v>
      </c>
    </row>
    <row r="92" spans="1:12" ht="20.100000000000001" customHeight="1">
      <c r="A92" s="498"/>
      <c r="B92" s="793"/>
      <c r="C92" s="496"/>
      <c r="D92" s="496"/>
      <c r="E92" s="496"/>
      <c r="F92" s="498"/>
      <c r="G92" s="498"/>
      <c r="H92" s="498"/>
      <c r="I92" s="547" t="s">
        <v>66</v>
      </c>
      <c r="J92" s="523"/>
      <c r="K92" s="496" t="s">
        <v>66</v>
      </c>
      <c r="L92" s="819"/>
    </row>
    <row r="93" spans="1:12" ht="15" customHeight="1">
      <c r="A93" s="497"/>
      <c r="B93" s="515"/>
      <c r="C93" s="516"/>
      <c r="D93" s="516"/>
      <c r="E93" s="516"/>
      <c r="F93" s="498"/>
      <c r="G93" s="498"/>
      <c r="H93" s="498"/>
      <c r="I93" s="547"/>
      <c r="J93" s="523"/>
      <c r="K93" s="496"/>
      <c r="L93" s="819"/>
    </row>
    <row r="94" spans="1:12" ht="138.75" customHeight="1">
      <c r="A94" s="497">
        <v>16</v>
      </c>
      <c r="B94" s="3639" t="str">
        <f>'Slab-Culverts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94" s="3639"/>
      <c r="D94" s="3639"/>
      <c r="E94" s="3639"/>
      <c r="F94" s="3639"/>
      <c r="G94" s="3639"/>
      <c r="H94" s="3639"/>
      <c r="I94" s="3639"/>
      <c r="J94" s="3639"/>
      <c r="K94" s="3639"/>
      <c r="L94" s="819"/>
    </row>
    <row r="95" spans="1:12" ht="20.100000000000001" customHeight="1">
      <c r="A95" s="498"/>
      <c r="B95" s="793"/>
      <c r="C95" s="496"/>
      <c r="D95" s="496"/>
      <c r="E95" s="496"/>
      <c r="F95" s="498"/>
      <c r="G95" s="498"/>
      <c r="H95" s="498"/>
      <c r="I95" s="547">
        <v>0.61199999999999999</v>
      </c>
      <c r="J95" s="523">
        <f>'Slab-Culverts Data'!J290</f>
        <v>64943.47</v>
      </c>
      <c r="K95" s="496">
        <v>1</v>
      </c>
      <c r="L95" s="819">
        <f>ROUND(I95*J95,0)</f>
        <v>39745</v>
      </c>
    </row>
    <row r="96" spans="1:12" ht="20.100000000000001" customHeight="1">
      <c r="A96" s="498"/>
      <c r="B96" s="793"/>
      <c r="C96" s="496"/>
      <c r="D96" s="496"/>
      <c r="E96" s="496"/>
      <c r="F96" s="498"/>
      <c r="G96" s="498"/>
      <c r="H96" s="498"/>
      <c r="I96" s="547" t="s">
        <v>66</v>
      </c>
      <c r="J96" s="523"/>
      <c r="K96" s="496" t="s">
        <v>66</v>
      </c>
      <c r="L96" s="819"/>
    </row>
    <row r="97" spans="1:20" ht="132.75" customHeight="1">
      <c r="A97" s="497">
        <v>17</v>
      </c>
      <c r="B97" s="3639"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97" s="3639"/>
      <c r="D97" s="3639"/>
      <c r="E97" s="3639"/>
      <c r="F97" s="3639"/>
      <c r="G97" s="3639"/>
      <c r="H97" s="3639"/>
      <c r="I97" s="3639"/>
      <c r="J97" s="3639"/>
      <c r="K97" s="3639"/>
      <c r="L97" s="816"/>
    </row>
    <row r="98" spans="1:20" ht="20.100000000000001" customHeight="1">
      <c r="A98" s="498"/>
      <c r="B98" s="793"/>
      <c r="C98" s="496"/>
      <c r="D98" s="496"/>
      <c r="E98" s="496"/>
      <c r="F98" s="498"/>
      <c r="G98" s="498"/>
      <c r="H98" s="498"/>
      <c r="I98" s="547">
        <v>3</v>
      </c>
      <c r="J98" s="523">
        <f>'Slab-Culverts Data'!J451</f>
        <v>66904.47</v>
      </c>
      <c r="K98" s="496">
        <v>1</v>
      </c>
      <c r="L98" s="819">
        <f>ROUND(I98*J98,0)</f>
        <v>200713</v>
      </c>
    </row>
    <row r="99" spans="1:20" ht="20.100000000000001" customHeight="1">
      <c r="A99" s="498"/>
      <c r="B99" s="793"/>
      <c r="C99" s="496"/>
      <c r="D99" s="496"/>
      <c r="E99" s="496"/>
      <c r="F99" s="498"/>
      <c r="G99" s="498"/>
      <c r="H99" s="498"/>
      <c r="I99" s="547" t="s">
        <v>66</v>
      </c>
      <c r="J99" s="523"/>
      <c r="K99" s="496" t="s">
        <v>66</v>
      </c>
      <c r="L99" s="819"/>
    </row>
    <row r="100" spans="1:20" ht="23.25" customHeight="1">
      <c r="A100" s="497"/>
      <c r="B100" s="515"/>
      <c r="C100" s="516"/>
      <c r="D100" s="516"/>
      <c r="E100" s="516"/>
      <c r="F100" s="498"/>
      <c r="G100" s="498"/>
      <c r="H100" s="498"/>
      <c r="I100" s="547"/>
      <c r="J100" s="788" t="s">
        <v>1175</v>
      </c>
      <c r="K100" s="498"/>
      <c r="L100" s="831">
        <f>SUM(L6:L99)</f>
        <v>1933229</v>
      </c>
    </row>
    <row r="101" spans="1:20" ht="12.75" customHeight="1">
      <c r="L101" s="550"/>
    </row>
    <row r="104" spans="1:20">
      <c r="B104" s="632"/>
      <c r="F104" s="632" t="s">
        <v>1946</v>
      </c>
      <c r="J104" s="3644" t="s">
        <v>723</v>
      </c>
      <c r="K104" s="3644"/>
    </row>
    <row r="105" spans="1:20">
      <c r="B105" s="632"/>
      <c r="F105" s="632" t="str">
        <f>GA!B35</f>
        <v>PRSD Maddur</v>
      </c>
      <c r="J105" s="3644" t="str">
        <f>GA!C35</f>
        <v>PRSD, Maddur</v>
      </c>
      <c r="K105" s="3644"/>
    </row>
    <row r="106" spans="1:20">
      <c r="B106" s="632"/>
      <c r="F106" s="632"/>
      <c r="J106" s="530"/>
      <c r="K106" s="530"/>
    </row>
    <row r="107" spans="1:20">
      <c r="B107" s="632"/>
      <c r="F107" s="632"/>
      <c r="J107" s="530"/>
      <c r="K107" s="530"/>
    </row>
    <row r="108" spans="1:20">
      <c r="B108" s="532"/>
      <c r="F108" s="530"/>
      <c r="J108" s="530"/>
      <c r="K108" s="530"/>
    </row>
    <row r="109" spans="1:20">
      <c r="B109" s="632"/>
      <c r="F109" s="632" t="s">
        <v>725</v>
      </c>
      <c r="J109" s="3644" t="s">
        <v>455</v>
      </c>
      <c r="K109" s="3644"/>
    </row>
    <row r="110" spans="1:20" s="486" customFormat="1">
      <c r="A110" s="489"/>
      <c r="B110" s="632"/>
      <c r="C110" s="487"/>
      <c r="D110" s="487"/>
      <c r="E110" s="487"/>
      <c r="F110" s="632" t="str">
        <f>GA!B38</f>
        <v>PR Division, Narayanpet</v>
      </c>
      <c r="G110" s="487"/>
      <c r="H110" s="487"/>
      <c r="I110" s="487"/>
      <c r="J110" s="3735" t="str">
        <f>GA!C38</f>
        <v>PR, Circle, Vikarabad</v>
      </c>
      <c r="K110" s="3735"/>
      <c r="M110" s="490"/>
      <c r="N110" s="490"/>
      <c r="O110" s="490"/>
      <c r="P110" s="490"/>
      <c r="Q110" s="490"/>
      <c r="R110" s="490"/>
      <c r="S110" s="490"/>
      <c r="T110" s="490"/>
    </row>
  </sheetData>
  <protectedRanges>
    <protectedRange sqref="B104:B110 F104:F110" name="Range4"/>
    <protectedRange sqref="K110 J104:K109" name="Range4_1"/>
  </protectedRanges>
  <mergeCells count="29">
    <mergeCell ref="J104:K104"/>
    <mergeCell ref="J105:K105"/>
    <mergeCell ref="J109:K109"/>
    <mergeCell ref="J110:K110"/>
    <mergeCell ref="B79:K79"/>
    <mergeCell ref="B83:K83"/>
    <mergeCell ref="B90:K90"/>
    <mergeCell ref="B94:K94"/>
    <mergeCell ref="B97:K97"/>
    <mergeCell ref="B59:K59"/>
    <mergeCell ref="B63:K63"/>
    <mergeCell ref="B67:K67"/>
    <mergeCell ref="B71:K71"/>
    <mergeCell ref="B75:K75"/>
    <mergeCell ref="B31:K31"/>
    <mergeCell ref="B38:K38"/>
    <mergeCell ref="B46:K46"/>
    <mergeCell ref="B51:K51"/>
    <mergeCell ref="B55:K55"/>
    <mergeCell ref="C5:E5"/>
    <mergeCell ref="B6:K6"/>
    <mergeCell ref="B11:K11"/>
    <mergeCell ref="B15:K15"/>
    <mergeCell ref="B20:K20"/>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0"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G1370"/>
  <sheetViews>
    <sheetView view="pageBreakPreview" topLeftCell="A22" workbookViewId="0">
      <selection activeCell="E10" sqref="E10"/>
    </sheetView>
  </sheetViews>
  <sheetFormatPr defaultColWidth="9.109375" defaultRowHeight="15"/>
  <cols>
    <col min="1" max="1" width="11.109375" style="769" customWidth="1"/>
    <col min="2" max="2" width="9.109375" style="769"/>
    <col min="3" max="3" width="29.88671875" style="769" customWidth="1"/>
    <col min="4" max="4" width="11.5546875" style="769" customWidth="1"/>
    <col min="5" max="5" width="11.44140625" style="769" customWidth="1"/>
    <col min="6" max="6" width="14.5546875" style="769" customWidth="1"/>
    <col min="7" max="7" width="15.33203125" style="769" customWidth="1"/>
    <col min="8" max="9" width="9.109375" style="769"/>
    <col min="10" max="10" width="66.6640625" style="769" customWidth="1"/>
    <col min="11" max="16384" width="9.109375" style="769"/>
  </cols>
  <sheetData>
    <row r="1" spans="1:7" ht="17.25" customHeight="1">
      <c r="A1" s="3736" t="s">
        <v>1947</v>
      </c>
      <c r="B1" s="3737"/>
      <c r="C1" s="3737"/>
      <c r="D1" s="3737"/>
      <c r="E1" s="3737"/>
      <c r="F1" s="3737"/>
    </row>
    <row r="2" spans="1:7" ht="51" customHeight="1">
      <c r="A2" s="3738" t="s">
        <v>1948</v>
      </c>
      <c r="B2" s="3738"/>
      <c r="C2" s="3739" t="s">
        <v>1949</v>
      </c>
      <c r="D2" s="3740"/>
      <c r="E2" s="3740"/>
      <c r="F2" s="3740"/>
      <c r="G2" s="3740"/>
    </row>
    <row r="3" spans="1:7" ht="12.75" customHeight="1"/>
    <row r="4" spans="1:7" ht="29.25" customHeight="1">
      <c r="A4" s="771" t="s">
        <v>2</v>
      </c>
      <c r="B4" s="3741" t="s">
        <v>1950</v>
      </c>
      <c r="C4" s="3741"/>
      <c r="D4" s="772" t="s">
        <v>3</v>
      </c>
      <c r="E4" s="771" t="s">
        <v>5</v>
      </c>
      <c r="F4" s="771" t="s">
        <v>607</v>
      </c>
      <c r="G4" s="773" t="s">
        <v>7</v>
      </c>
    </row>
    <row r="5" spans="1:7" ht="123.75" customHeight="1">
      <c r="A5" s="774">
        <v>1</v>
      </c>
      <c r="B5" s="3742" t="s">
        <v>1951</v>
      </c>
      <c r="C5" s="3742"/>
      <c r="D5" s="3742"/>
      <c r="E5" s="3742"/>
      <c r="F5" s="3742"/>
      <c r="G5" s="775"/>
    </row>
    <row r="6" spans="1:7">
      <c r="A6" s="770"/>
      <c r="B6" s="3743"/>
      <c r="C6" s="3743"/>
      <c r="D6" s="770">
        <v>952</v>
      </c>
      <c r="E6" s="777">
        <v>702</v>
      </c>
      <c r="F6" s="770">
        <v>1</v>
      </c>
      <c r="G6" s="777">
        <f>ROUND(D6*E6,0)</f>
        <v>668304</v>
      </c>
    </row>
    <row r="7" spans="1:7">
      <c r="A7" s="770"/>
      <c r="B7" s="3743"/>
      <c r="C7" s="3743"/>
      <c r="D7" s="770" t="s">
        <v>923</v>
      </c>
      <c r="E7" s="770"/>
      <c r="F7" s="770" t="s">
        <v>923</v>
      </c>
      <c r="G7" s="770"/>
    </row>
    <row r="8" spans="1:7">
      <c r="A8" s="770"/>
    </row>
    <row r="9" spans="1:7" ht="273.75" customHeight="1">
      <c r="A9" s="774">
        <v>2</v>
      </c>
      <c r="B9" s="3742" t="s">
        <v>1952</v>
      </c>
      <c r="C9" s="3742"/>
      <c r="D9" s="3742"/>
      <c r="E9" s="3742"/>
      <c r="F9" s="3742"/>
    </row>
    <row r="10" spans="1:7">
      <c r="A10" s="770"/>
      <c r="B10" s="770"/>
      <c r="C10" s="770"/>
      <c r="D10" s="770">
        <v>20</v>
      </c>
      <c r="E10" s="777"/>
      <c r="F10" s="770">
        <v>1</v>
      </c>
      <c r="G10" s="777">
        <f>ROUND(D10*E10,0)</f>
        <v>0</v>
      </c>
    </row>
    <row r="11" spans="1:7">
      <c r="A11" s="770"/>
      <c r="B11" s="770"/>
      <c r="C11" s="770"/>
      <c r="D11" s="770" t="s">
        <v>710</v>
      </c>
      <c r="E11" s="770"/>
      <c r="F11" s="770" t="s">
        <v>710</v>
      </c>
      <c r="G11" s="770"/>
    </row>
    <row r="12" spans="1:7">
      <c r="D12" s="770"/>
      <c r="E12" s="770"/>
      <c r="F12" s="770"/>
      <c r="G12" s="770"/>
    </row>
    <row r="13" spans="1:7" ht="248.25" customHeight="1">
      <c r="A13" s="778">
        <v>3</v>
      </c>
      <c r="B13" s="3742" t="s">
        <v>1953</v>
      </c>
      <c r="C13" s="3742"/>
      <c r="D13" s="3742"/>
      <c r="E13" s="3742"/>
      <c r="F13" s="3742"/>
    </row>
    <row r="14" spans="1:7">
      <c r="D14" s="770">
        <v>1118</v>
      </c>
      <c r="E14" s="777"/>
      <c r="F14" s="770">
        <v>1</v>
      </c>
      <c r="G14" s="777">
        <f>ROUND(D14*E14,0)</f>
        <v>0</v>
      </c>
    </row>
    <row r="15" spans="1:7">
      <c r="D15" s="770" t="s">
        <v>710</v>
      </c>
      <c r="E15" s="770"/>
      <c r="F15" s="770" t="s">
        <v>710</v>
      </c>
      <c r="G15" s="770"/>
    </row>
    <row r="16" spans="1:7" ht="122.25" customHeight="1">
      <c r="A16" s="778">
        <v>4</v>
      </c>
      <c r="B16" s="3742" t="s">
        <v>1954</v>
      </c>
      <c r="C16" s="3742"/>
      <c r="D16" s="3742"/>
      <c r="E16" s="3742"/>
      <c r="F16" s="3742"/>
    </row>
    <row r="17" spans="1:7">
      <c r="D17" s="770">
        <v>1000</v>
      </c>
      <c r="E17" s="777">
        <v>2615</v>
      </c>
      <c r="F17" s="770">
        <v>1</v>
      </c>
      <c r="G17" s="777">
        <f>ROUND(D17*E17,0)</f>
        <v>2615000</v>
      </c>
    </row>
    <row r="18" spans="1:7">
      <c r="D18" s="770" t="s">
        <v>1611</v>
      </c>
      <c r="E18" s="770"/>
      <c r="F18" s="770" t="str">
        <f>D18</f>
        <v>Each</v>
      </c>
      <c r="G18" s="770"/>
    </row>
    <row r="19" spans="1:7" ht="24.75" customHeight="1">
      <c r="A19" s="778">
        <v>5</v>
      </c>
      <c r="B19" s="3742" t="s">
        <v>1955</v>
      </c>
      <c r="C19" s="3742"/>
      <c r="D19" s="3742"/>
      <c r="E19" s="3742"/>
      <c r="F19" s="3742"/>
    </row>
    <row r="20" spans="1:7">
      <c r="D20" s="770">
        <v>2000</v>
      </c>
      <c r="E20" s="777">
        <v>102</v>
      </c>
      <c r="F20" s="770">
        <v>1</v>
      </c>
      <c r="G20" s="777">
        <f>ROUND(D20*E20,0)</f>
        <v>204000</v>
      </c>
    </row>
    <row r="21" spans="1:7">
      <c r="D21" s="770" t="s">
        <v>710</v>
      </c>
      <c r="E21" s="770"/>
      <c r="F21" s="770" t="s">
        <v>710</v>
      </c>
      <c r="G21" s="770"/>
    </row>
    <row r="22" spans="1:7">
      <c r="A22" s="770"/>
    </row>
    <row r="23" spans="1:7" s="768" customFormat="1" ht="14.25" customHeight="1">
      <c r="A23" s="779"/>
      <c r="B23" s="779"/>
      <c r="C23" s="779"/>
      <c r="D23" s="3744" t="s">
        <v>1175</v>
      </c>
      <c r="E23" s="3744"/>
      <c r="F23" s="779"/>
      <c r="G23" s="781">
        <f>SUM(G5:G22)</f>
        <v>3487304</v>
      </c>
    </row>
    <row r="24" spans="1:7" s="768" customFormat="1" ht="14.25" customHeight="1">
      <c r="A24" s="779"/>
      <c r="B24" s="779"/>
      <c r="C24" s="779"/>
      <c r="D24" s="780"/>
      <c r="E24" s="780"/>
      <c r="F24" s="779"/>
      <c r="G24" s="782"/>
    </row>
    <row r="25" spans="1:7" s="768" customFormat="1" ht="14.25" customHeight="1">
      <c r="A25" s="779"/>
      <c r="B25" s="779"/>
      <c r="C25" s="779"/>
      <c r="D25" s="780"/>
      <c r="E25" s="780"/>
      <c r="F25" s="779"/>
      <c r="G25" s="782"/>
    </row>
    <row r="26" spans="1:7" ht="16.5" customHeight="1">
      <c r="A26" s="3736"/>
      <c r="B26" s="3736"/>
      <c r="C26" s="770"/>
      <c r="D26" s="3736"/>
      <c r="E26" s="3736"/>
    </row>
    <row r="27" spans="1:7" ht="25.5" customHeight="1">
      <c r="A27" s="3745" t="s">
        <v>1956</v>
      </c>
      <c r="B27" s="3745"/>
      <c r="C27" s="3745"/>
      <c r="D27" s="3745"/>
      <c r="E27" s="3745"/>
      <c r="F27" s="3745"/>
      <c r="G27" s="3745"/>
    </row>
    <row r="28" spans="1:7">
      <c r="B28" s="770"/>
      <c r="C28" s="770"/>
      <c r="D28" s="3736"/>
      <c r="E28" s="3736"/>
      <c r="F28" s="770"/>
    </row>
    <row r="29" spans="1:7">
      <c r="A29" s="783"/>
    </row>
    <row r="30" spans="1:7">
      <c r="A30" s="783"/>
      <c r="D30" s="776"/>
    </row>
    <row r="31" spans="1:7">
      <c r="A31" s="783"/>
    </row>
    <row r="32" spans="1:7">
      <c r="A32" s="783"/>
    </row>
    <row r="33" spans="1:1">
      <c r="A33" s="770"/>
    </row>
    <row r="34" spans="1:1">
      <c r="A34" s="770"/>
    </row>
    <row r="35" spans="1:1">
      <c r="A35" s="770"/>
    </row>
    <row r="36" spans="1:1">
      <c r="A36" s="770"/>
    </row>
    <row r="37" spans="1:1">
      <c r="A37" s="770"/>
    </row>
    <row r="38" spans="1:1">
      <c r="A38" s="770"/>
    </row>
    <row r="39" spans="1:1">
      <c r="A39" s="770"/>
    </row>
    <row r="40" spans="1:1">
      <c r="A40" s="770"/>
    </row>
    <row r="41" spans="1:1">
      <c r="A41" s="770"/>
    </row>
    <row r="42" spans="1:1">
      <c r="A42" s="770"/>
    </row>
    <row r="43" spans="1:1">
      <c r="A43" s="770"/>
    </row>
    <row r="44" spans="1:1">
      <c r="A44" s="770"/>
    </row>
    <row r="45" spans="1:1">
      <c r="A45" s="770"/>
    </row>
    <row r="46" spans="1:1">
      <c r="A46" s="770"/>
    </row>
    <row r="47" spans="1:1">
      <c r="A47" s="770"/>
    </row>
    <row r="48" spans="1:1">
      <c r="A48" s="770"/>
    </row>
    <row r="49" spans="1:1">
      <c r="A49" s="770"/>
    </row>
    <row r="50" spans="1:1">
      <c r="A50" s="770"/>
    </row>
    <row r="51" spans="1:1">
      <c r="A51" s="770"/>
    </row>
    <row r="52" spans="1:1">
      <c r="A52" s="770"/>
    </row>
    <row r="53" spans="1:1">
      <c r="A53" s="770"/>
    </row>
    <row r="54" spans="1:1">
      <c r="A54" s="770"/>
    </row>
    <row r="55" spans="1:1">
      <c r="A55" s="770"/>
    </row>
    <row r="56" spans="1:1">
      <c r="A56" s="770"/>
    </row>
    <row r="57" spans="1:1">
      <c r="A57" s="770"/>
    </row>
    <row r="58" spans="1:1">
      <c r="A58" s="770"/>
    </row>
    <row r="59" spans="1:1">
      <c r="A59" s="770"/>
    </row>
    <row r="60" spans="1:1">
      <c r="A60" s="770"/>
    </row>
    <row r="61" spans="1:1">
      <c r="A61" s="770"/>
    </row>
    <row r="62" spans="1:1">
      <c r="A62" s="770"/>
    </row>
    <row r="63" spans="1:1">
      <c r="A63" s="770"/>
    </row>
    <row r="64" spans="1:1">
      <c r="A64" s="770"/>
    </row>
    <row r="65" spans="1:1">
      <c r="A65" s="770"/>
    </row>
    <row r="66" spans="1:1">
      <c r="A66" s="770"/>
    </row>
    <row r="67" spans="1:1">
      <c r="A67" s="770"/>
    </row>
    <row r="68" spans="1:1">
      <c r="A68" s="770"/>
    </row>
    <row r="69" spans="1:1">
      <c r="A69" s="770"/>
    </row>
    <row r="70" spans="1:1">
      <c r="A70" s="770"/>
    </row>
    <row r="71" spans="1:1">
      <c r="A71" s="770"/>
    </row>
    <row r="72" spans="1:1">
      <c r="A72" s="770"/>
    </row>
    <row r="73" spans="1:1">
      <c r="A73" s="770"/>
    </row>
    <row r="74" spans="1:1">
      <c r="A74" s="770"/>
    </row>
    <row r="75" spans="1:1">
      <c r="A75" s="770"/>
    </row>
    <row r="76" spans="1:1">
      <c r="A76" s="770"/>
    </row>
    <row r="77" spans="1:1">
      <c r="A77" s="770"/>
    </row>
    <row r="78" spans="1:1">
      <c r="A78" s="770"/>
    </row>
    <row r="79" spans="1:1">
      <c r="A79" s="770"/>
    </row>
    <row r="80" spans="1:1">
      <c r="A80" s="770"/>
    </row>
    <row r="81" spans="1:1">
      <c r="A81" s="770"/>
    </row>
    <row r="82" spans="1:1">
      <c r="A82" s="770"/>
    </row>
    <row r="83" spans="1:1">
      <c r="A83" s="770"/>
    </row>
    <row r="84" spans="1:1">
      <c r="A84" s="770"/>
    </row>
    <row r="85" spans="1:1">
      <c r="A85" s="770"/>
    </row>
    <row r="86" spans="1:1">
      <c r="A86" s="770"/>
    </row>
    <row r="87" spans="1:1">
      <c r="A87" s="770"/>
    </row>
    <row r="88" spans="1:1">
      <c r="A88" s="770"/>
    </row>
    <row r="89" spans="1:1">
      <c r="A89" s="770"/>
    </row>
    <row r="90" spans="1:1">
      <c r="A90" s="770"/>
    </row>
    <row r="91" spans="1:1">
      <c r="A91" s="770"/>
    </row>
    <row r="92" spans="1:1">
      <c r="A92" s="770"/>
    </row>
    <row r="93" spans="1:1">
      <c r="A93" s="770"/>
    </row>
    <row r="94" spans="1:1">
      <c r="A94" s="770"/>
    </row>
    <row r="95" spans="1:1">
      <c r="A95" s="770"/>
    </row>
    <row r="96" spans="1:1">
      <c r="A96" s="770"/>
    </row>
    <row r="97" spans="1:1">
      <c r="A97" s="770"/>
    </row>
    <row r="98" spans="1:1">
      <c r="A98" s="770"/>
    </row>
    <row r="99" spans="1:1">
      <c r="A99" s="770"/>
    </row>
    <row r="100" spans="1:1">
      <c r="A100" s="770"/>
    </row>
    <row r="101" spans="1:1">
      <c r="A101" s="770"/>
    </row>
    <row r="102" spans="1:1">
      <c r="A102" s="770"/>
    </row>
    <row r="103" spans="1:1">
      <c r="A103" s="770"/>
    </row>
    <row r="104" spans="1:1">
      <c r="A104" s="770"/>
    </row>
    <row r="105" spans="1:1">
      <c r="A105" s="770"/>
    </row>
    <row r="106" spans="1:1">
      <c r="A106" s="770"/>
    </row>
    <row r="107" spans="1:1">
      <c r="A107" s="770"/>
    </row>
    <row r="108" spans="1:1">
      <c r="A108" s="770"/>
    </row>
    <row r="109" spans="1:1">
      <c r="A109" s="770"/>
    </row>
    <row r="110" spans="1:1">
      <c r="A110" s="770"/>
    </row>
    <row r="111" spans="1:1">
      <c r="A111" s="770"/>
    </row>
    <row r="112" spans="1:1">
      <c r="A112" s="770"/>
    </row>
    <row r="113" spans="1:1">
      <c r="A113" s="770"/>
    </row>
    <row r="114" spans="1:1">
      <c r="A114" s="770"/>
    </row>
    <row r="115" spans="1:1">
      <c r="A115" s="770"/>
    </row>
    <row r="116" spans="1:1">
      <c r="A116" s="770"/>
    </row>
    <row r="117" spans="1:1">
      <c r="A117" s="770"/>
    </row>
    <row r="118" spans="1:1">
      <c r="A118" s="770"/>
    </row>
    <row r="119" spans="1:1">
      <c r="A119" s="770"/>
    </row>
    <row r="120" spans="1:1">
      <c r="A120" s="770"/>
    </row>
    <row r="121" spans="1:1">
      <c r="A121" s="770"/>
    </row>
    <row r="122" spans="1:1">
      <c r="A122" s="770"/>
    </row>
    <row r="123" spans="1:1">
      <c r="A123" s="770"/>
    </row>
    <row r="124" spans="1:1">
      <c r="A124" s="770"/>
    </row>
    <row r="125" spans="1:1">
      <c r="A125" s="770"/>
    </row>
    <row r="126" spans="1:1">
      <c r="A126" s="770"/>
    </row>
    <row r="127" spans="1:1">
      <c r="A127" s="770"/>
    </row>
    <row r="128" spans="1:1">
      <c r="A128" s="770"/>
    </row>
    <row r="129" spans="1:1">
      <c r="A129" s="770"/>
    </row>
    <row r="130" spans="1:1">
      <c r="A130" s="770"/>
    </row>
    <row r="131" spans="1:1">
      <c r="A131" s="770"/>
    </row>
    <row r="132" spans="1:1">
      <c r="A132" s="770"/>
    </row>
    <row r="133" spans="1:1">
      <c r="A133" s="770"/>
    </row>
    <row r="134" spans="1:1">
      <c r="A134" s="770"/>
    </row>
    <row r="135" spans="1:1">
      <c r="A135" s="770"/>
    </row>
    <row r="136" spans="1:1">
      <c r="A136" s="770"/>
    </row>
    <row r="137" spans="1:1">
      <c r="A137" s="770"/>
    </row>
    <row r="138" spans="1:1">
      <c r="A138" s="770"/>
    </row>
    <row r="139" spans="1:1">
      <c r="A139" s="770"/>
    </row>
    <row r="140" spans="1:1">
      <c r="A140" s="770"/>
    </row>
    <row r="141" spans="1:1">
      <c r="A141" s="770"/>
    </row>
    <row r="142" spans="1:1">
      <c r="A142" s="770"/>
    </row>
    <row r="143" spans="1:1">
      <c r="A143" s="770"/>
    </row>
    <row r="144" spans="1:1">
      <c r="A144" s="770"/>
    </row>
    <row r="145" spans="1:1">
      <c r="A145" s="770"/>
    </row>
    <row r="146" spans="1:1">
      <c r="A146" s="770"/>
    </row>
    <row r="147" spans="1:1">
      <c r="A147" s="770"/>
    </row>
    <row r="148" spans="1:1">
      <c r="A148" s="770"/>
    </row>
    <row r="149" spans="1:1">
      <c r="A149" s="770"/>
    </row>
    <row r="150" spans="1:1">
      <c r="A150" s="770"/>
    </row>
    <row r="151" spans="1:1">
      <c r="A151" s="770"/>
    </row>
    <row r="152" spans="1:1">
      <c r="A152" s="770"/>
    </row>
    <row r="153" spans="1:1">
      <c r="A153" s="770"/>
    </row>
    <row r="154" spans="1:1">
      <c r="A154" s="770"/>
    </row>
    <row r="155" spans="1:1">
      <c r="A155" s="770"/>
    </row>
    <row r="156" spans="1:1">
      <c r="A156" s="770"/>
    </row>
    <row r="157" spans="1:1">
      <c r="A157" s="770"/>
    </row>
    <row r="158" spans="1:1">
      <c r="A158" s="770"/>
    </row>
    <row r="159" spans="1:1">
      <c r="A159" s="770"/>
    </row>
    <row r="160" spans="1:1">
      <c r="A160" s="770"/>
    </row>
    <row r="161" spans="1:1">
      <c r="A161" s="770"/>
    </row>
    <row r="162" spans="1:1">
      <c r="A162" s="770"/>
    </row>
    <row r="163" spans="1:1">
      <c r="A163" s="770"/>
    </row>
    <row r="164" spans="1:1">
      <c r="A164" s="770"/>
    </row>
    <row r="165" spans="1:1">
      <c r="A165" s="770"/>
    </row>
    <row r="166" spans="1:1">
      <c r="A166" s="770"/>
    </row>
    <row r="167" spans="1:1">
      <c r="A167" s="770"/>
    </row>
    <row r="168" spans="1:1">
      <c r="A168" s="770"/>
    </row>
    <row r="169" spans="1:1">
      <c r="A169" s="770"/>
    </row>
    <row r="170" spans="1:1">
      <c r="A170" s="770"/>
    </row>
    <row r="171" spans="1:1">
      <c r="A171" s="770"/>
    </row>
    <row r="172" spans="1:1">
      <c r="A172" s="770"/>
    </row>
    <row r="173" spans="1:1">
      <c r="A173" s="770"/>
    </row>
    <row r="174" spans="1:1">
      <c r="A174" s="770"/>
    </row>
    <row r="175" spans="1:1">
      <c r="A175" s="770"/>
    </row>
    <row r="176" spans="1:1">
      <c r="A176" s="770"/>
    </row>
    <row r="177" spans="1:1">
      <c r="A177" s="770"/>
    </row>
    <row r="178" spans="1:1">
      <c r="A178" s="770"/>
    </row>
    <row r="179" spans="1:1">
      <c r="A179" s="770"/>
    </row>
    <row r="180" spans="1:1">
      <c r="A180" s="770"/>
    </row>
    <row r="181" spans="1:1">
      <c r="A181" s="770"/>
    </row>
    <row r="182" spans="1:1">
      <c r="A182" s="770"/>
    </row>
    <row r="183" spans="1:1">
      <c r="A183" s="770"/>
    </row>
    <row r="184" spans="1:1">
      <c r="A184" s="770"/>
    </row>
    <row r="185" spans="1:1">
      <c r="A185" s="770"/>
    </row>
    <row r="186" spans="1:1">
      <c r="A186" s="770"/>
    </row>
    <row r="187" spans="1:1">
      <c r="A187" s="770"/>
    </row>
    <row r="188" spans="1:1">
      <c r="A188" s="770"/>
    </row>
    <row r="189" spans="1:1">
      <c r="A189" s="770"/>
    </row>
    <row r="190" spans="1:1">
      <c r="A190" s="770"/>
    </row>
    <row r="191" spans="1:1">
      <c r="A191" s="770"/>
    </row>
    <row r="192" spans="1:1">
      <c r="A192" s="770"/>
    </row>
    <row r="193" spans="1:1">
      <c r="A193" s="770"/>
    </row>
    <row r="194" spans="1:1">
      <c r="A194" s="770"/>
    </row>
    <row r="195" spans="1:1">
      <c r="A195" s="770"/>
    </row>
    <row r="196" spans="1:1">
      <c r="A196" s="770"/>
    </row>
    <row r="197" spans="1:1">
      <c r="A197" s="770"/>
    </row>
    <row r="198" spans="1:1">
      <c r="A198" s="770"/>
    </row>
    <row r="199" spans="1:1">
      <c r="A199" s="770"/>
    </row>
    <row r="200" spans="1:1">
      <c r="A200" s="770"/>
    </row>
    <row r="201" spans="1:1">
      <c r="A201" s="770"/>
    </row>
    <row r="202" spans="1:1">
      <c r="A202" s="770"/>
    </row>
    <row r="203" spans="1:1">
      <c r="A203" s="770"/>
    </row>
    <row r="204" spans="1:1">
      <c r="A204" s="770"/>
    </row>
    <row r="205" spans="1:1">
      <c r="A205" s="770"/>
    </row>
    <row r="206" spans="1:1">
      <c r="A206" s="770"/>
    </row>
    <row r="207" spans="1:1">
      <c r="A207" s="770"/>
    </row>
    <row r="208" spans="1:1">
      <c r="A208" s="770"/>
    </row>
    <row r="209" spans="1:1">
      <c r="A209" s="770"/>
    </row>
    <row r="210" spans="1:1">
      <c r="A210" s="770"/>
    </row>
    <row r="211" spans="1:1">
      <c r="A211" s="770"/>
    </row>
    <row r="212" spans="1:1">
      <c r="A212" s="770"/>
    </row>
    <row r="213" spans="1:1">
      <c r="A213" s="770"/>
    </row>
    <row r="214" spans="1:1">
      <c r="A214" s="770"/>
    </row>
    <row r="215" spans="1:1">
      <c r="A215" s="770"/>
    </row>
    <row r="216" spans="1:1">
      <c r="A216" s="770"/>
    </row>
    <row r="217" spans="1:1">
      <c r="A217" s="770"/>
    </row>
    <row r="218" spans="1:1">
      <c r="A218" s="770"/>
    </row>
    <row r="219" spans="1:1">
      <c r="A219" s="770"/>
    </row>
    <row r="220" spans="1:1">
      <c r="A220" s="770"/>
    </row>
    <row r="221" spans="1:1">
      <c r="A221" s="770"/>
    </row>
    <row r="222" spans="1:1">
      <c r="A222" s="770"/>
    </row>
    <row r="223" spans="1:1">
      <c r="A223" s="770"/>
    </row>
    <row r="224" spans="1:1">
      <c r="A224" s="770"/>
    </row>
    <row r="225" spans="1:1">
      <c r="A225" s="770"/>
    </row>
    <row r="226" spans="1:1">
      <c r="A226" s="770"/>
    </row>
    <row r="227" spans="1:1">
      <c r="A227" s="770"/>
    </row>
    <row r="228" spans="1:1">
      <c r="A228" s="770"/>
    </row>
    <row r="229" spans="1:1">
      <c r="A229" s="770"/>
    </row>
    <row r="230" spans="1:1">
      <c r="A230" s="770"/>
    </row>
    <row r="231" spans="1:1">
      <c r="A231" s="770"/>
    </row>
    <row r="232" spans="1:1">
      <c r="A232" s="770"/>
    </row>
    <row r="233" spans="1:1">
      <c r="A233" s="770"/>
    </row>
    <row r="234" spans="1:1">
      <c r="A234" s="770"/>
    </row>
    <row r="235" spans="1:1">
      <c r="A235" s="770"/>
    </row>
    <row r="236" spans="1:1">
      <c r="A236" s="770"/>
    </row>
    <row r="237" spans="1:1">
      <c r="A237" s="770"/>
    </row>
    <row r="238" spans="1:1">
      <c r="A238" s="770"/>
    </row>
    <row r="239" spans="1:1">
      <c r="A239" s="770"/>
    </row>
    <row r="240" spans="1:1">
      <c r="A240" s="770"/>
    </row>
    <row r="241" spans="1:1">
      <c r="A241" s="770"/>
    </row>
    <row r="242" spans="1:1">
      <c r="A242" s="770"/>
    </row>
    <row r="243" spans="1:1">
      <c r="A243" s="770"/>
    </row>
    <row r="244" spans="1:1">
      <c r="A244" s="770"/>
    </row>
    <row r="245" spans="1:1">
      <c r="A245" s="770"/>
    </row>
    <row r="246" spans="1:1">
      <c r="A246" s="770"/>
    </row>
    <row r="247" spans="1:1">
      <c r="A247" s="770"/>
    </row>
    <row r="248" spans="1:1">
      <c r="A248" s="770"/>
    </row>
    <row r="249" spans="1:1">
      <c r="A249" s="770"/>
    </row>
    <row r="250" spans="1:1">
      <c r="A250" s="770"/>
    </row>
    <row r="251" spans="1:1">
      <c r="A251" s="770"/>
    </row>
    <row r="252" spans="1:1">
      <c r="A252" s="770"/>
    </row>
    <row r="253" spans="1:1">
      <c r="A253" s="770"/>
    </row>
    <row r="254" spans="1:1">
      <c r="A254" s="770"/>
    </row>
    <row r="255" spans="1:1">
      <c r="A255" s="770"/>
    </row>
    <row r="256" spans="1:1">
      <c r="A256" s="770"/>
    </row>
    <row r="257" spans="1:1">
      <c r="A257" s="770"/>
    </row>
    <row r="258" spans="1:1">
      <c r="A258" s="770"/>
    </row>
    <row r="259" spans="1:1">
      <c r="A259" s="770"/>
    </row>
    <row r="260" spans="1:1">
      <c r="A260" s="770"/>
    </row>
    <row r="261" spans="1:1">
      <c r="A261" s="770"/>
    </row>
    <row r="262" spans="1:1">
      <c r="A262" s="770"/>
    </row>
    <row r="263" spans="1:1">
      <c r="A263" s="770"/>
    </row>
    <row r="264" spans="1:1">
      <c r="A264" s="770"/>
    </row>
    <row r="265" spans="1:1">
      <c r="A265" s="770"/>
    </row>
    <row r="266" spans="1:1">
      <c r="A266" s="770"/>
    </row>
    <row r="267" spans="1:1">
      <c r="A267" s="770"/>
    </row>
    <row r="268" spans="1:1">
      <c r="A268" s="770"/>
    </row>
    <row r="269" spans="1:1">
      <c r="A269" s="770"/>
    </row>
    <row r="270" spans="1:1">
      <c r="A270" s="770"/>
    </row>
    <row r="271" spans="1:1">
      <c r="A271" s="770"/>
    </row>
    <row r="272" spans="1:1">
      <c r="A272" s="770"/>
    </row>
    <row r="273" spans="1:1">
      <c r="A273" s="770"/>
    </row>
    <row r="274" spans="1:1">
      <c r="A274" s="770"/>
    </row>
    <row r="275" spans="1:1">
      <c r="A275" s="770"/>
    </row>
    <row r="276" spans="1:1">
      <c r="A276" s="770"/>
    </row>
    <row r="277" spans="1:1">
      <c r="A277" s="770"/>
    </row>
    <row r="278" spans="1:1">
      <c r="A278" s="770"/>
    </row>
    <row r="279" spans="1:1">
      <c r="A279" s="770"/>
    </row>
    <row r="280" spans="1:1">
      <c r="A280" s="770"/>
    </row>
    <row r="281" spans="1:1">
      <c r="A281" s="770"/>
    </row>
    <row r="282" spans="1:1">
      <c r="A282" s="770"/>
    </row>
    <row r="283" spans="1:1">
      <c r="A283" s="770"/>
    </row>
    <row r="284" spans="1:1">
      <c r="A284" s="770"/>
    </row>
    <row r="285" spans="1:1">
      <c r="A285" s="770"/>
    </row>
    <row r="286" spans="1:1">
      <c r="A286" s="770"/>
    </row>
    <row r="287" spans="1:1">
      <c r="A287" s="770"/>
    </row>
    <row r="288" spans="1:1">
      <c r="A288" s="770"/>
    </row>
    <row r="289" spans="1:1">
      <c r="A289" s="770"/>
    </row>
    <row r="290" spans="1:1">
      <c r="A290" s="770"/>
    </row>
    <row r="291" spans="1:1">
      <c r="A291" s="770"/>
    </row>
    <row r="292" spans="1:1">
      <c r="A292" s="770"/>
    </row>
    <row r="293" spans="1:1">
      <c r="A293" s="770"/>
    </row>
    <row r="294" spans="1:1">
      <c r="A294" s="770"/>
    </row>
    <row r="295" spans="1:1">
      <c r="A295" s="770"/>
    </row>
    <row r="296" spans="1:1">
      <c r="A296" s="770"/>
    </row>
    <row r="297" spans="1:1">
      <c r="A297" s="770"/>
    </row>
    <row r="298" spans="1:1">
      <c r="A298" s="770"/>
    </row>
    <row r="299" spans="1:1">
      <c r="A299" s="770"/>
    </row>
    <row r="300" spans="1:1">
      <c r="A300" s="770"/>
    </row>
    <row r="301" spans="1:1">
      <c r="A301" s="770"/>
    </row>
    <row r="302" spans="1:1">
      <c r="A302" s="770"/>
    </row>
    <row r="303" spans="1:1">
      <c r="A303" s="770"/>
    </row>
    <row r="304" spans="1:1">
      <c r="A304" s="770"/>
    </row>
    <row r="305" spans="1:1">
      <c r="A305" s="770"/>
    </row>
    <row r="306" spans="1:1">
      <c r="A306" s="770"/>
    </row>
    <row r="307" spans="1:1">
      <c r="A307" s="770"/>
    </row>
    <row r="308" spans="1:1">
      <c r="A308" s="770"/>
    </row>
    <row r="309" spans="1:1">
      <c r="A309" s="770"/>
    </row>
    <row r="310" spans="1:1">
      <c r="A310" s="770"/>
    </row>
    <row r="311" spans="1:1">
      <c r="A311" s="770"/>
    </row>
    <row r="312" spans="1:1">
      <c r="A312" s="770"/>
    </row>
    <row r="313" spans="1:1">
      <c r="A313" s="770"/>
    </row>
    <row r="314" spans="1:1">
      <c r="A314" s="770"/>
    </row>
    <row r="315" spans="1:1">
      <c r="A315" s="770"/>
    </row>
    <row r="316" spans="1:1">
      <c r="A316" s="770"/>
    </row>
    <row r="317" spans="1:1">
      <c r="A317" s="770"/>
    </row>
    <row r="318" spans="1:1">
      <c r="A318" s="770"/>
    </row>
    <row r="319" spans="1:1">
      <c r="A319" s="770"/>
    </row>
    <row r="320" spans="1:1">
      <c r="A320" s="770"/>
    </row>
    <row r="321" spans="1:1">
      <c r="A321" s="770"/>
    </row>
    <row r="322" spans="1:1">
      <c r="A322" s="770"/>
    </row>
    <row r="323" spans="1:1">
      <c r="A323" s="770"/>
    </row>
    <row r="324" spans="1:1">
      <c r="A324" s="770"/>
    </row>
    <row r="325" spans="1:1">
      <c r="A325" s="770"/>
    </row>
    <row r="326" spans="1:1">
      <c r="A326" s="770"/>
    </row>
    <row r="327" spans="1:1">
      <c r="A327" s="770"/>
    </row>
    <row r="328" spans="1:1">
      <c r="A328" s="770"/>
    </row>
    <row r="329" spans="1:1">
      <c r="A329" s="770"/>
    </row>
    <row r="330" spans="1:1">
      <c r="A330" s="770"/>
    </row>
    <row r="331" spans="1:1">
      <c r="A331" s="770"/>
    </row>
    <row r="332" spans="1:1">
      <c r="A332" s="770"/>
    </row>
    <row r="333" spans="1:1">
      <c r="A333" s="770"/>
    </row>
    <row r="334" spans="1:1">
      <c r="A334" s="770"/>
    </row>
    <row r="335" spans="1:1">
      <c r="A335" s="770"/>
    </row>
    <row r="336" spans="1:1">
      <c r="A336" s="770"/>
    </row>
    <row r="337" spans="1:1">
      <c r="A337" s="770"/>
    </row>
    <row r="338" spans="1:1">
      <c r="A338" s="770"/>
    </row>
    <row r="339" spans="1:1">
      <c r="A339" s="770"/>
    </row>
    <row r="340" spans="1:1">
      <c r="A340" s="770"/>
    </row>
    <row r="341" spans="1:1">
      <c r="A341" s="770"/>
    </row>
    <row r="342" spans="1:1">
      <c r="A342" s="770"/>
    </row>
    <row r="343" spans="1:1">
      <c r="A343" s="770"/>
    </row>
    <row r="344" spans="1:1">
      <c r="A344" s="770"/>
    </row>
    <row r="345" spans="1:1">
      <c r="A345" s="770"/>
    </row>
    <row r="346" spans="1:1">
      <c r="A346" s="770"/>
    </row>
    <row r="347" spans="1:1">
      <c r="A347" s="770"/>
    </row>
    <row r="348" spans="1:1">
      <c r="A348" s="770"/>
    </row>
    <row r="349" spans="1:1">
      <c r="A349" s="770"/>
    </row>
    <row r="350" spans="1:1">
      <c r="A350" s="770"/>
    </row>
    <row r="351" spans="1:1">
      <c r="A351" s="770"/>
    </row>
    <row r="352" spans="1:1">
      <c r="A352" s="770"/>
    </row>
    <row r="353" spans="1:1">
      <c r="A353" s="770"/>
    </row>
    <row r="354" spans="1:1">
      <c r="A354" s="770"/>
    </row>
    <row r="355" spans="1:1">
      <c r="A355" s="770"/>
    </row>
    <row r="356" spans="1:1">
      <c r="A356" s="770"/>
    </row>
    <row r="357" spans="1:1">
      <c r="A357" s="770"/>
    </row>
    <row r="358" spans="1:1">
      <c r="A358" s="770"/>
    </row>
    <row r="359" spans="1:1">
      <c r="A359" s="770"/>
    </row>
    <row r="360" spans="1:1">
      <c r="A360" s="770"/>
    </row>
    <row r="361" spans="1:1">
      <c r="A361" s="770"/>
    </row>
    <row r="362" spans="1:1">
      <c r="A362" s="770"/>
    </row>
    <row r="363" spans="1:1">
      <c r="A363" s="770"/>
    </row>
    <row r="364" spans="1:1">
      <c r="A364" s="770"/>
    </row>
    <row r="365" spans="1:1">
      <c r="A365" s="770"/>
    </row>
    <row r="366" spans="1:1">
      <c r="A366" s="770"/>
    </row>
    <row r="367" spans="1:1">
      <c r="A367" s="770"/>
    </row>
    <row r="368" spans="1:1">
      <c r="A368" s="770"/>
    </row>
    <row r="369" spans="1:1">
      <c r="A369" s="770"/>
    </row>
    <row r="370" spans="1:1">
      <c r="A370" s="770"/>
    </row>
    <row r="371" spans="1:1">
      <c r="A371" s="770"/>
    </row>
    <row r="372" spans="1:1">
      <c r="A372" s="770"/>
    </row>
    <row r="373" spans="1:1">
      <c r="A373" s="770"/>
    </row>
    <row r="374" spans="1:1">
      <c r="A374" s="770"/>
    </row>
    <row r="375" spans="1:1">
      <c r="A375" s="770"/>
    </row>
    <row r="376" spans="1:1">
      <c r="A376" s="770"/>
    </row>
    <row r="377" spans="1:1">
      <c r="A377" s="770"/>
    </row>
    <row r="378" spans="1:1">
      <c r="A378" s="770"/>
    </row>
    <row r="379" spans="1:1">
      <c r="A379" s="770"/>
    </row>
    <row r="380" spans="1:1">
      <c r="A380" s="770"/>
    </row>
    <row r="381" spans="1:1">
      <c r="A381" s="770"/>
    </row>
    <row r="382" spans="1:1">
      <c r="A382" s="770"/>
    </row>
    <row r="383" spans="1:1">
      <c r="A383" s="770"/>
    </row>
    <row r="384" spans="1:1">
      <c r="A384" s="770"/>
    </row>
    <row r="385" spans="1:1">
      <c r="A385" s="770"/>
    </row>
    <row r="386" spans="1:1">
      <c r="A386" s="770"/>
    </row>
    <row r="387" spans="1:1">
      <c r="A387" s="770"/>
    </row>
    <row r="388" spans="1:1">
      <c r="A388" s="770"/>
    </row>
    <row r="389" spans="1:1">
      <c r="A389" s="770"/>
    </row>
    <row r="390" spans="1:1">
      <c r="A390" s="770"/>
    </row>
    <row r="391" spans="1:1">
      <c r="A391" s="770"/>
    </row>
    <row r="392" spans="1:1">
      <c r="A392" s="770"/>
    </row>
    <row r="393" spans="1:1">
      <c r="A393" s="770"/>
    </row>
    <row r="394" spans="1:1">
      <c r="A394" s="770"/>
    </row>
    <row r="395" spans="1:1">
      <c r="A395" s="770"/>
    </row>
    <row r="396" spans="1:1">
      <c r="A396" s="770"/>
    </row>
    <row r="397" spans="1:1">
      <c r="A397" s="770"/>
    </row>
    <row r="398" spans="1:1">
      <c r="A398" s="770"/>
    </row>
    <row r="399" spans="1:1">
      <c r="A399" s="770"/>
    </row>
    <row r="400" spans="1:1">
      <c r="A400" s="770"/>
    </row>
    <row r="401" spans="1:1">
      <c r="A401" s="770"/>
    </row>
    <row r="402" spans="1:1">
      <c r="A402" s="770"/>
    </row>
    <row r="403" spans="1:1">
      <c r="A403" s="770"/>
    </row>
    <row r="404" spans="1:1">
      <c r="A404" s="770"/>
    </row>
    <row r="405" spans="1:1">
      <c r="A405" s="770"/>
    </row>
    <row r="406" spans="1:1">
      <c r="A406" s="770"/>
    </row>
    <row r="407" spans="1:1">
      <c r="A407" s="770"/>
    </row>
    <row r="408" spans="1:1">
      <c r="A408" s="770"/>
    </row>
    <row r="409" spans="1:1">
      <c r="A409" s="770"/>
    </row>
    <row r="410" spans="1:1">
      <c r="A410" s="770"/>
    </row>
    <row r="411" spans="1:1">
      <c r="A411" s="770"/>
    </row>
    <row r="412" spans="1:1">
      <c r="A412" s="770"/>
    </row>
    <row r="413" spans="1:1">
      <c r="A413" s="770"/>
    </row>
    <row r="414" spans="1:1">
      <c r="A414" s="770"/>
    </row>
    <row r="415" spans="1:1">
      <c r="A415" s="770"/>
    </row>
    <row r="416" spans="1:1">
      <c r="A416" s="770"/>
    </row>
    <row r="417" spans="1:1">
      <c r="A417" s="770"/>
    </row>
    <row r="418" spans="1:1">
      <c r="A418" s="770"/>
    </row>
    <row r="419" spans="1:1">
      <c r="A419" s="770"/>
    </row>
    <row r="420" spans="1:1">
      <c r="A420" s="770"/>
    </row>
    <row r="421" spans="1:1">
      <c r="A421" s="770"/>
    </row>
    <row r="422" spans="1:1">
      <c r="A422" s="770"/>
    </row>
    <row r="423" spans="1:1">
      <c r="A423" s="770"/>
    </row>
    <row r="424" spans="1:1">
      <c r="A424" s="770"/>
    </row>
    <row r="425" spans="1:1">
      <c r="A425" s="770"/>
    </row>
    <row r="426" spans="1:1">
      <c r="A426" s="770"/>
    </row>
    <row r="427" spans="1:1">
      <c r="A427" s="770"/>
    </row>
    <row r="428" spans="1:1">
      <c r="A428" s="770"/>
    </row>
    <row r="429" spans="1:1">
      <c r="A429" s="770"/>
    </row>
    <row r="430" spans="1:1">
      <c r="A430" s="770"/>
    </row>
    <row r="431" spans="1:1">
      <c r="A431" s="770"/>
    </row>
    <row r="432" spans="1:1">
      <c r="A432" s="770"/>
    </row>
    <row r="433" spans="1:1">
      <c r="A433" s="770"/>
    </row>
    <row r="434" spans="1:1">
      <c r="A434" s="770"/>
    </row>
    <row r="435" spans="1:1">
      <c r="A435" s="770"/>
    </row>
    <row r="436" spans="1:1">
      <c r="A436" s="770"/>
    </row>
    <row r="437" spans="1:1">
      <c r="A437" s="770"/>
    </row>
    <row r="438" spans="1:1">
      <c r="A438" s="770"/>
    </row>
    <row r="439" spans="1:1">
      <c r="A439" s="770"/>
    </row>
    <row r="440" spans="1:1">
      <c r="A440" s="770"/>
    </row>
    <row r="441" spans="1:1">
      <c r="A441" s="770"/>
    </row>
    <row r="442" spans="1:1">
      <c r="A442" s="770"/>
    </row>
    <row r="443" spans="1:1">
      <c r="A443" s="770"/>
    </row>
    <row r="444" spans="1:1">
      <c r="A444" s="770"/>
    </row>
    <row r="445" spans="1:1">
      <c r="A445" s="770"/>
    </row>
    <row r="446" spans="1:1">
      <c r="A446" s="770"/>
    </row>
    <row r="447" spans="1:1">
      <c r="A447" s="770"/>
    </row>
    <row r="448" spans="1:1">
      <c r="A448" s="770"/>
    </row>
    <row r="449" spans="1:1">
      <c r="A449" s="770"/>
    </row>
    <row r="450" spans="1:1">
      <c r="A450" s="770"/>
    </row>
    <row r="451" spans="1:1">
      <c r="A451" s="770"/>
    </row>
    <row r="452" spans="1:1">
      <c r="A452" s="770"/>
    </row>
    <row r="453" spans="1:1">
      <c r="A453" s="770"/>
    </row>
    <row r="454" spans="1:1">
      <c r="A454" s="770"/>
    </row>
    <row r="455" spans="1:1">
      <c r="A455" s="770"/>
    </row>
    <row r="456" spans="1:1">
      <c r="A456" s="770"/>
    </row>
    <row r="457" spans="1:1">
      <c r="A457" s="770"/>
    </row>
    <row r="458" spans="1:1">
      <c r="A458" s="770"/>
    </row>
    <row r="459" spans="1:1">
      <c r="A459" s="770"/>
    </row>
    <row r="460" spans="1:1">
      <c r="A460" s="770"/>
    </row>
    <row r="461" spans="1:1">
      <c r="A461" s="770"/>
    </row>
    <row r="462" spans="1:1">
      <c r="A462" s="770"/>
    </row>
    <row r="463" spans="1:1">
      <c r="A463" s="770"/>
    </row>
    <row r="464" spans="1:1">
      <c r="A464" s="770"/>
    </row>
    <row r="465" spans="1:1">
      <c r="A465" s="770"/>
    </row>
    <row r="466" spans="1:1">
      <c r="A466" s="770"/>
    </row>
    <row r="467" spans="1:1">
      <c r="A467" s="770"/>
    </row>
    <row r="468" spans="1:1">
      <c r="A468" s="770"/>
    </row>
    <row r="469" spans="1:1">
      <c r="A469" s="770"/>
    </row>
    <row r="470" spans="1:1">
      <c r="A470" s="770"/>
    </row>
    <row r="471" spans="1:1">
      <c r="A471" s="770"/>
    </row>
    <row r="472" spans="1:1">
      <c r="A472" s="770"/>
    </row>
    <row r="473" spans="1:1">
      <c r="A473" s="770"/>
    </row>
    <row r="474" spans="1:1">
      <c r="A474" s="770"/>
    </row>
    <row r="475" spans="1:1">
      <c r="A475" s="770"/>
    </row>
    <row r="476" spans="1:1">
      <c r="A476" s="770"/>
    </row>
    <row r="477" spans="1:1">
      <c r="A477" s="770"/>
    </row>
    <row r="478" spans="1:1">
      <c r="A478" s="770"/>
    </row>
    <row r="479" spans="1:1">
      <c r="A479" s="770"/>
    </row>
    <row r="480" spans="1:1">
      <c r="A480" s="770"/>
    </row>
    <row r="481" spans="1:1">
      <c r="A481" s="770"/>
    </row>
    <row r="482" spans="1:1">
      <c r="A482" s="770"/>
    </row>
    <row r="483" spans="1:1">
      <c r="A483" s="770"/>
    </row>
    <row r="484" spans="1:1">
      <c r="A484" s="770"/>
    </row>
    <row r="485" spans="1:1">
      <c r="A485" s="770"/>
    </row>
    <row r="486" spans="1:1">
      <c r="A486" s="770"/>
    </row>
    <row r="487" spans="1:1">
      <c r="A487" s="770"/>
    </row>
    <row r="488" spans="1:1">
      <c r="A488" s="770"/>
    </row>
    <row r="489" spans="1:1">
      <c r="A489" s="770"/>
    </row>
    <row r="490" spans="1:1">
      <c r="A490" s="770"/>
    </row>
    <row r="491" spans="1:1">
      <c r="A491" s="770"/>
    </row>
    <row r="492" spans="1:1">
      <c r="A492" s="770"/>
    </row>
    <row r="493" spans="1:1">
      <c r="A493" s="770"/>
    </row>
    <row r="494" spans="1:1">
      <c r="A494" s="770"/>
    </row>
    <row r="495" spans="1:1">
      <c r="A495" s="770"/>
    </row>
    <row r="496" spans="1:1">
      <c r="A496" s="770"/>
    </row>
    <row r="497" spans="1:1">
      <c r="A497" s="770"/>
    </row>
    <row r="498" spans="1:1">
      <c r="A498" s="770"/>
    </row>
    <row r="499" spans="1:1">
      <c r="A499" s="770"/>
    </row>
    <row r="500" spans="1:1">
      <c r="A500" s="770"/>
    </row>
    <row r="501" spans="1:1">
      <c r="A501" s="770"/>
    </row>
    <row r="502" spans="1:1">
      <c r="A502" s="770"/>
    </row>
    <row r="503" spans="1:1">
      <c r="A503" s="770"/>
    </row>
    <row r="504" spans="1:1">
      <c r="A504" s="770"/>
    </row>
    <row r="505" spans="1:1">
      <c r="A505" s="770"/>
    </row>
    <row r="506" spans="1:1">
      <c r="A506" s="770"/>
    </row>
    <row r="507" spans="1:1">
      <c r="A507" s="770"/>
    </row>
    <row r="508" spans="1:1">
      <c r="A508" s="770"/>
    </row>
    <row r="509" spans="1:1">
      <c r="A509" s="770"/>
    </row>
    <row r="510" spans="1:1">
      <c r="A510" s="770"/>
    </row>
    <row r="511" spans="1:1">
      <c r="A511" s="770"/>
    </row>
    <row r="512" spans="1:1">
      <c r="A512" s="770"/>
    </row>
    <row r="513" spans="1:1">
      <c r="A513" s="770"/>
    </row>
    <row r="514" spans="1:1">
      <c r="A514" s="770"/>
    </row>
    <row r="515" spans="1:1">
      <c r="A515" s="770"/>
    </row>
    <row r="516" spans="1:1">
      <c r="A516" s="770"/>
    </row>
    <row r="517" spans="1:1">
      <c r="A517" s="770"/>
    </row>
    <row r="518" spans="1:1">
      <c r="A518" s="770"/>
    </row>
    <row r="519" spans="1:1">
      <c r="A519" s="770"/>
    </row>
    <row r="520" spans="1:1">
      <c r="A520" s="770"/>
    </row>
    <row r="521" spans="1:1">
      <c r="A521" s="770"/>
    </row>
    <row r="522" spans="1:1">
      <c r="A522" s="770"/>
    </row>
    <row r="523" spans="1:1">
      <c r="A523" s="770"/>
    </row>
    <row r="524" spans="1:1">
      <c r="A524" s="770"/>
    </row>
    <row r="525" spans="1:1">
      <c r="A525" s="770"/>
    </row>
    <row r="526" spans="1:1">
      <c r="A526" s="770"/>
    </row>
    <row r="527" spans="1:1">
      <c r="A527" s="770"/>
    </row>
    <row r="528" spans="1:1">
      <c r="A528" s="770"/>
    </row>
    <row r="529" spans="1:1">
      <c r="A529" s="770"/>
    </row>
    <row r="530" spans="1:1">
      <c r="A530" s="770"/>
    </row>
    <row r="531" spans="1:1">
      <c r="A531" s="770"/>
    </row>
    <row r="532" spans="1:1">
      <c r="A532" s="770"/>
    </row>
    <row r="533" spans="1:1">
      <c r="A533" s="770"/>
    </row>
    <row r="534" spans="1:1">
      <c r="A534" s="770"/>
    </row>
    <row r="535" spans="1:1">
      <c r="A535" s="770"/>
    </row>
    <row r="536" spans="1:1">
      <c r="A536" s="770"/>
    </row>
    <row r="537" spans="1:1">
      <c r="A537" s="770"/>
    </row>
    <row r="538" spans="1:1">
      <c r="A538" s="770"/>
    </row>
    <row r="539" spans="1:1">
      <c r="A539" s="770"/>
    </row>
    <row r="540" spans="1:1">
      <c r="A540" s="770"/>
    </row>
    <row r="541" spans="1:1">
      <c r="A541" s="770"/>
    </row>
    <row r="542" spans="1:1">
      <c r="A542" s="770"/>
    </row>
    <row r="543" spans="1:1">
      <c r="A543" s="770"/>
    </row>
    <row r="544" spans="1:1">
      <c r="A544" s="770"/>
    </row>
    <row r="545" spans="1:1">
      <c r="A545" s="770"/>
    </row>
    <row r="546" spans="1:1">
      <c r="A546" s="770"/>
    </row>
    <row r="547" spans="1:1">
      <c r="A547" s="770"/>
    </row>
    <row r="548" spans="1:1">
      <c r="A548" s="770"/>
    </row>
    <row r="549" spans="1:1">
      <c r="A549" s="770"/>
    </row>
    <row r="550" spans="1:1">
      <c r="A550" s="770"/>
    </row>
    <row r="551" spans="1:1">
      <c r="A551" s="770"/>
    </row>
    <row r="552" spans="1:1">
      <c r="A552" s="770"/>
    </row>
    <row r="553" spans="1:1">
      <c r="A553" s="770"/>
    </row>
    <row r="554" spans="1:1">
      <c r="A554" s="770"/>
    </row>
    <row r="555" spans="1:1">
      <c r="A555" s="770"/>
    </row>
    <row r="556" spans="1:1">
      <c r="A556" s="770"/>
    </row>
    <row r="557" spans="1:1">
      <c r="A557" s="770"/>
    </row>
    <row r="558" spans="1:1">
      <c r="A558" s="770"/>
    </row>
    <row r="559" spans="1:1">
      <c r="A559" s="770"/>
    </row>
    <row r="560" spans="1:1">
      <c r="A560" s="770"/>
    </row>
    <row r="561" spans="1:1">
      <c r="A561" s="770"/>
    </row>
    <row r="562" spans="1:1">
      <c r="A562" s="770"/>
    </row>
    <row r="563" spans="1:1">
      <c r="A563" s="770"/>
    </row>
    <row r="564" spans="1:1">
      <c r="A564" s="770"/>
    </row>
    <row r="565" spans="1:1">
      <c r="A565" s="770"/>
    </row>
    <row r="566" spans="1:1">
      <c r="A566" s="770"/>
    </row>
    <row r="567" spans="1:1">
      <c r="A567" s="770"/>
    </row>
    <row r="568" spans="1:1">
      <c r="A568" s="770"/>
    </row>
    <row r="569" spans="1:1">
      <c r="A569" s="770"/>
    </row>
    <row r="570" spans="1:1">
      <c r="A570" s="770"/>
    </row>
    <row r="571" spans="1:1">
      <c r="A571" s="770"/>
    </row>
    <row r="572" spans="1:1">
      <c r="A572" s="770"/>
    </row>
    <row r="573" spans="1:1">
      <c r="A573" s="770"/>
    </row>
    <row r="574" spans="1:1">
      <c r="A574" s="770"/>
    </row>
    <row r="575" spans="1:1">
      <c r="A575" s="770"/>
    </row>
    <row r="576" spans="1:1">
      <c r="A576" s="770"/>
    </row>
    <row r="577" spans="1:1">
      <c r="A577" s="770"/>
    </row>
    <row r="578" spans="1:1">
      <c r="A578" s="770"/>
    </row>
    <row r="579" spans="1:1">
      <c r="A579" s="770"/>
    </row>
    <row r="580" spans="1:1">
      <c r="A580" s="770"/>
    </row>
    <row r="581" spans="1:1">
      <c r="A581" s="770"/>
    </row>
    <row r="582" spans="1:1">
      <c r="A582" s="770"/>
    </row>
    <row r="583" spans="1:1">
      <c r="A583" s="770"/>
    </row>
    <row r="584" spans="1:1">
      <c r="A584" s="770"/>
    </row>
    <row r="585" spans="1:1">
      <c r="A585" s="770"/>
    </row>
    <row r="586" spans="1:1">
      <c r="A586" s="770"/>
    </row>
    <row r="587" spans="1:1">
      <c r="A587" s="770"/>
    </row>
    <row r="588" spans="1:1">
      <c r="A588" s="770"/>
    </row>
    <row r="589" spans="1:1">
      <c r="A589" s="770"/>
    </row>
    <row r="590" spans="1:1">
      <c r="A590" s="770"/>
    </row>
    <row r="591" spans="1:1">
      <c r="A591" s="770"/>
    </row>
    <row r="592" spans="1:1">
      <c r="A592" s="770"/>
    </row>
    <row r="593" spans="1:1">
      <c r="A593" s="770"/>
    </row>
    <row r="594" spans="1:1">
      <c r="A594" s="770"/>
    </row>
    <row r="595" spans="1:1">
      <c r="A595" s="770"/>
    </row>
    <row r="596" spans="1:1">
      <c r="A596" s="770"/>
    </row>
    <row r="597" spans="1:1">
      <c r="A597" s="770"/>
    </row>
    <row r="598" spans="1:1">
      <c r="A598" s="770"/>
    </row>
    <row r="599" spans="1:1">
      <c r="A599" s="770"/>
    </row>
    <row r="600" spans="1:1">
      <c r="A600" s="770"/>
    </row>
    <row r="601" spans="1:1">
      <c r="A601" s="770"/>
    </row>
    <row r="602" spans="1:1">
      <c r="A602" s="770"/>
    </row>
    <row r="603" spans="1:1">
      <c r="A603" s="770"/>
    </row>
    <row r="604" spans="1:1">
      <c r="A604" s="770"/>
    </row>
    <row r="605" spans="1:1">
      <c r="A605" s="770"/>
    </row>
    <row r="606" spans="1:1">
      <c r="A606" s="770"/>
    </row>
    <row r="607" spans="1:1">
      <c r="A607" s="770"/>
    </row>
    <row r="608" spans="1:1">
      <c r="A608" s="770"/>
    </row>
    <row r="609" spans="1:1">
      <c r="A609" s="770"/>
    </row>
    <row r="610" spans="1:1">
      <c r="A610" s="770"/>
    </row>
    <row r="611" spans="1:1">
      <c r="A611" s="770"/>
    </row>
    <row r="612" spans="1:1">
      <c r="A612" s="770"/>
    </row>
    <row r="613" spans="1:1">
      <c r="A613" s="770"/>
    </row>
    <row r="614" spans="1:1">
      <c r="A614" s="770"/>
    </row>
    <row r="615" spans="1:1">
      <c r="A615" s="770"/>
    </row>
    <row r="616" spans="1:1">
      <c r="A616" s="770"/>
    </row>
    <row r="617" spans="1:1">
      <c r="A617" s="770"/>
    </row>
    <row r="618" spans="1:1">
      <c r="A618" s="770"/>
    </row>
    <row r="619" spans="1:1">
      <c r="A619" s="770"/>
    </row>
    <row r="620" spans="1:1">
      <c r="A620" s="770"/>
    </row>
    <row r="621" spans="1:1">
      <c r="A621" s="770"/>
    </row>
    <row r="622" spans="1:1">
      <c r="A622" s="770"/>
    </row>
    <row r="623" spans="1:1">
      <c r="A623" s="770"/>
    </row>
    <row r="624" spans="1:1">
      <c r="A624" s="770"/>
    </row>
    <row r="625" spans="1:1">
      <c r="A625" s="770"/>
    </row>
    <row r="626" spans="1:1">
      <c r="A626" s="770"/>
    </row>
    <row r="627" spans="1:1">
      <c r="A627" s="770"/>
    </row>
    <row r="628" spans="1:1">
      <c r="A628" s="770"/>
    </row>
    <row r="629" spans="1:1">
      <c r="A629" s="770"/>
    </row>
    <row r="630" spans="1:1">
      <c r="A630" s="770"/>
    </row>
    <row r="631" spans="1:1">
      <c r="A631" s="770"/>
    </row>
    <row r="632" spans="1:1">
      <c r="A632" s="770"/>
    </row>
    <row r="633" spans="1:1">
      <c r="A633" s="770"/>
    </row>
    <row r="634" spans="1:1">
      <c r="A634" s="770"/>
    </row>
    <row r="635" spans="1:1">
      <c r="A635" s="770"/>
    </row>
    <row r="636" spans="1:1">
      <c r="A636" s="770"/>
    </row>
    <row r="637" spans="1:1">
      <c r="A637" s="770"/>
    </row>
    <row r="638" spans="1:1">
      <c r="A638" s="770"/>
    </row>
    <row r="639" spans="1:1">
      <c r="A639" s="770"/>
    </row>
    <row r="640" spans="1:1">
      <c r="A640" s="770"/>
    </row>
    <row r="641" spans="1:1">
      <c r="A641" s="770"/>
    </row>
    <row r="642" spans="1:1">
      <c r="A642" s="770"/>
    </row>
    <row r="643" spans="1:1">
      <c r="A643" s="770"/>
    </row>
    <row r="644" spans="1:1">
      <c r="A644" s="770"/>
    </row>
    <row r="645" spans="1:1">
      <c r="A645" s="770"/>
    </row>
    <row r="646" spans="1:1">
      <c r="A646" s="770"/>
    </row>
    <row r="647" spans="1:1">
      <c r="A647" s="770"/>
    </row>
    <row r="648" spans="1:1">
      <c r="A648" s="770"/>
    </row>
    <row r="649" spans="1:1">
      <c r="A649" s="770"/>
    </row>
    <row r="650" spans="1:1">
      <c r="A650" s="770"/>
    </row>
    <row r="651" spans="1:1">
      <c r="A651" s="770"/>
    </row>
    <row r="652" spans="1:1">
      <c r="A652" s="770"/>
    </row>
    <row r="653" spans="1:1">
      <c r="A653" s="770"/>
    </row>
    <row r="654" spans="1:1">
      <c r="A654" s="770"/>
    </row>
    <row r="655" spans="1:1">
      <c r="A655" s="770"/>
    </row>
    <row r="656" spans="1:1">
      <c r="A656" s="770"/>
    </row>
    <row r="657" spans="1:1">
      <c r="A657" s="770"/>
    </row>
    <row r="658" spans="1:1">
      <c r="A658" s="770"/>
    </row>
    <row r="659" spans="1:1">
      <c r="A659" s="770"/>
    </row>
    <row r="660" spans="1:1">
      <c r="A660" s="770"/>
    </row>
    <row r="661" spans="1:1">
      <c r="A661" s="770"/>
    </row>
    <row r="662" spans="1:1">
      <c r="A662" s="770"/>
    </row>
    <row r="663" spans="1:1">
      <c r="A663" s="770"/>
    </row>
    <row r="664" spans="1:1">
      <c r="A664" s="770"/>
    </row>
    <row r="665" spans="1:1">
      <c r="A665" s="770"/>
    </row>
    <row r="666" spans="1:1">
      <c r="A666" s="770"/>
    </row>
    <row r="667" spans="1:1">
      <c r="A667" s="770"/>
    </row>
    <row r="668" spans="1:1">
      <c r="A668" s="770"/>
    </row>
    <row r="669" spans="1:1">
      <c r="A669" s="770"/>
    </row>
    <row r="670" spans="1:1">
      <c r="A670" s="770"/>
    </row>
    <row r="671" spans="1:1">
      <c r="A671" s="770"/>
    </row>
    <row r="672" spans="1:1">
      <c r="A672" s="770"/>
    </row>
    <row r="673" spans="1:1">
      <c r="A673" s="770"/>
    </row>
    <row r="674" spans="1:1">
      <c r="A674" s="770"/>
    </row>
    <row r="675" spans="1:1">
      <c r="A675" s="770"/>
    </row>
    <row r="676" spans="1:1">
      <c r="A676" s="770"/>
    </row>
    <row r="677" spans="1:1">
      <c r="A677" s="770"/>
    </row>
    <row r="678" spans="1:1">
      <c r="A678" s="770"/>
    </row>
    <row r="679" spans="1:1">
      <c r="A679" s="770"/>
    </row>
    <row r="680" spans="1:1">
      <c r="A680" s="770"/>
    </row>
    <row r="681" spans="1:1">
      <c r="A681" s="770"/>
    </row>
    <row r="682" spans="1:1">
      <c r="A682" s="770"/>
    </row>
    <row r="683" spans="1:1">
      <c r="A683" s="770"/>
    </row>
    <row r="684" spans="1:1">
      <c r="A684" s="770"/>
    </row>
    <row r="685" spans="1:1">
      <c r="A685" s="770"/>
    </row>
    <row r="686" spans="1:1">
      <c r="A686" s="770"/>
    </row>
    <row r="687" spans="1:1">
      <c r="A687" s="770"/>
    </row>
    <row r="688" spans="1:1">
      <c r="A688" s="770"/>
    </row>
    <row r="689" spans="1:1">
      <c r="A689" s="770"/>
    </row>
    <row r="690" spans="1:1">
      <c r="A690" s="770"/>
    </row>
    <row r="691" spans="1:1">
      <c r="A691" s="770"/>
    </row>
    <row r="692" spans="1:1">
      <c r="A692" s="770"/>
    </row>
    <row r="693" spans="1:1">
      <c r="A693" s="770"/>
    </row>
    <row r="694" spans="1:1">
      <c r="A694" s="770"/>
    </row>
    <row r="695" spans="1:1">
      <c r="A695" s="770"/>
    </row>
    <row r="696" spans="1:1">
      <c r="A696" s="770"/>
    </row>
    <row r="697" spans="1:1">
      <c r="A697" s="770"/>
    </row>
    <row r="698" spans="1:1">
      <c r="A698" s="770"/>
    </row>
    <row r="699" spans="1:1">
      <c r="A699" s="770"/>
    </row>
    <row r="700" spans="1:1">
      <c r="A700" s="770"/>
    </row>
    <row r="701" spans="1:1">
      <c r="A701" s="770"/>
    </row>
    <row r="702" spans="1:1">
      <c r="A702" s="770"/>
    </row>
    <row r="703" spans="1:1">
      <c r="A703" s="770"/>
    </row>
    <row r="704" spans="1:1">
      <c r="A704" s="770"/>
    </row>
    <row r="705" spans="1:1">
      <c r="A705" s="770"/>
    </row>
    <row r="706" spans="1:1">
      <c r="A706" s="770"/>
    </row>
    <row r="707" spans="1:1">
      <c r="A707" s="770"/>
    </row>
    <row r="708" spans="1:1">
      <c r="A708" s="770"/>
    </row>
    <row r="709" spans="1:1">
      <c r="A709" s="770"/>
    </row>
    <row r="710" spans="1:1">
      <c r="A710" s="770"/>
    </row>
    <row r="711" spans="1:1">
      <c r="A711" s="770"/>
    </row>
    <row r="712" spans="1:1">
      <c r="A712" s="770"/>
    </row>
    <row r="713" spans="1:1">
      <c r="A713" s="770"/>
    </row>
    <row r="714" spans="1:1">
      <c r="A714" s="770"/>
    </row>
    <row r="715" spans="1:1">
      <c r="A715" s="770"/>
    </row>
    <row r="716" spans="1:1">
      <c r="A716" s="770"/>
    </row>
    <row r="717" spans="1:1">
      <c r="A717" s="770"/>
    </row>
    <row r="718" spans="1:1">
      <c r="A718" s="770"/>
    </row>
    <row r="719" spans="1:1">
      <c r="A719" s="770"/>
    </row>
    <row r="720" spans="1:1">
      <c r="A720" s="770"/>
    </row>
    <row r="721" spans="1:1">
      <c r="A721" s="770"/>
    </row>
    <row r="722" spans="1:1">
      <c r="A722" s="770"/>
    </row>
    <row r="723" spans="1:1">
      <c r="A723" s="770"/>
    </row>
    <row r="724" spans="1:1">
      <c r="A724" s="770"/>
    </row>
    <row r="725" spans="1:1">
      <c r="A725" s="770"/>
    </row>
    <row r="726" spans="1:1">
      <c r="A726" s="770"/>
    </row>
    <row r="727" spans="1:1">
      <c r="A727" s="770"/>
    </row>
    <row r="728" spans="1:1">
      <c r="A728" s="770"/>
    </row>
    <row r="729" spans="1:1">
      <c r="A729" s="770"/>
    </row>
    <row r="730" spans="1:1">
      <c r="A730" s="770"/>
    </row>
    <row r="731" spans="1:1">
      <c r="A731" s="770"/>
    </row>
    <row r="732" spans="1:1">
      <c r="A732" s="770"/>
    </row>
    <row r="733" spans="1:1">
      <c r="A733" s="770"/>
    </row>
    <row r="734" spans="1:1">
      <c r="A734" s="770"/>
    </row>
    <row r="735" spans="1:1">
      <c r="A735" s="770"/>
    </row>
    <row r="736" spans="1:1">
      <c r="A736" s="770"/>
    </row>
    <row r="737" spans="1:1">
      <c r="A737" s="770"/>
    </row>
    <row r="738" spans="1:1">
      <c r="A738" s="770"/>
    </row>
    <row r="739" spans="1:1">
      <c r="A739" s="770"/>
    </row>
    <row r="740" spans="1:1">
      <c r="A740" s="770"/>
    </row>
    <row r="741" spans="1:1">
      <c r="A741" s="770"/>
    </row>
    <row r="742" spans="1:1">
      <c r="A742" s="770"/>
    </row>
    <row r="743" spans="1:1">
      <c r="A743" s="770"/>
    </row>
    <row r="744" spans="1:1">
      <c r="A744" s="770"/>
    </row>
    <row r="745" spans="1:1">
      <c r="A745" s="770"/>
    </row>
    <row r="746" spans="1:1">
      <c r="A746" s="770"/>
    </row>
    <row r="747" spans="1:1">
      <c r="A747" s="770"/>
    </row>
    <row r="748" spans="1:1">
      <c r="A748" s="770"/>
    </row>
    <row r="749" spans="1:1">
      <c r="A749" s="770"/>
    </row>
    <row r="750" spans="1:1">
      <c r="A750" s="770"/>
    </row>
    <row r="751" spans="1:1">
      <c r="A751" s="770"/>
    </row>
    <row r="752" spans="1:1">
      <c r="A752" s="770"/>
    </row>
    <row r="753" spans="1:1">
      <c r="A753" s="770"/>
    </row>
    <row r="754" spans="1:1">
      <c r="A754" s="770"/>
    </row>
    <row r="755" spans="1:1">
      <c r="A755" s="770"/>
    </row>
    <row r="756" spans="1:1">
      <c r="A756" s="770"/>
    </row>
    <row r="757" spans="1:1">
      <c r="A757" s="770"/>
    </row>
    <row r="758" spans="1:1">
      <c r="A758" s="770"/>
    </row>
    <row r="759" spans="1:1">
      <c r="A759" s="770"/>
    </row>
    <row r="760" spans="1:1">
      <c r="A760" s="770"/>
    </row>
    <row r="761" spans="1:1">
      <c r="A761" s="770"/>
    </row>
    <row r="762" spans="1:1">
      <c r="A762" s="770"/>
    </row>
    <row r="763" spans="1:1">
      <c r="A763" s="770"/>
    </row>
    <row r="764" spans="1:1">
      <c r="A764" s="770"/>
    </row>
    <row r="765" spans="1:1">
      <c r="A765" s="770"/>
    </row>
    <row r="766" spans="1:1">
      <c r="A766" s="770"/>
    </row>
    <row r="767" spans="1:1">
      <c r="A767" s="770"/>
    </row>
    <row r="768" spans="1:1">
      <c r="A768" s="770"/>
    </row>
    <row r="769" spans="1:1">
      <c r="A769" s="770"/>
    </row>
    <row r="770" spans="1:1">
      <c r="A770" s="770"/>
    </row>
    <row r="771" spans="1:1">
      <c r="A771" s="770"/>
    </row>
    <row r="772" spans="1:1">
      <c r="A772" s="770"/>
    </row>
    <row r="773" spans="1:1">
      <c r="A773" s="770"/>
    </row>
    <row r="774" spans="1:1">
      <c r="A774" s="770"/>
    </row>
    <row r="775" spans="1:1">
      <c r="A775" s="770"/>
    </row>
    <row r="776" spans="1:1">
      <c r="A776" s="770"/>
    </row>
    <row r="777" spans="1:1">
      <c r="A777" s="770"/>
    </row>
    <row r="778" spans="1:1">
      <c r="A778" s="770"/>
    </row>
    <row r="779" spans="1:1">
      <c r="A779" s="770"/>
    </row>
    <row r="780" spans="1:1">
      <c r="A780" s="770"/>
    </row>
    <row r="781" spans="1:1">
      <c r="A781" s="770"/>
    </row>
    <row r="782" spans="1:1">
      <c r="A782" s="770"/>
    </row>
    <row r="783" spans="1:1">
      <c r="A783" s="770"/>
    </row>
    <row r="784" spans="1:1">
      <c r="A784" s="770"/>
    </row>
    <row r="785" spans="1:1">
      <c r="A785" s="770"/>
    </row>
    <row r="786" spans="1:1">
      <c r="A786" s="770"/>
    </row>
    <row r="787" spans="1:1">
      <c r="A787" s="770"/>
    </row>
    <row r="788" spans="1:1">
      <c r="A788" s="770"/>
    </row>
    <row r="789" spans="1:1">
      <c r="A789" s="770"/>
    </row>
    <row r="790" spans="1:1">
      <c r="A790" s="770"/>
    </row>
    <row r="791" spans="1:1">
      <c r="A791" s="770"/>
    </row>
    <row r="792" spans="1:1">
      <c r="A792" s="770"/>
    </row>
    <row r="793" spans="1:1">
      <c r="A793" s="770"/>
    </row>
    <row r="794" spans="1:1">
      <c r="A794" s="770"/>
    </row>
    <row r="795" spans="1:1">
      <c r="A795" s="770"/>
    </row>
    <row r="796" spans="1:1">
      <c r="A796" s="770"/>
    </row>
    <row r="797" spans="1:1">
      <c r="A797" s="770"/>
    </row>
    <row r="798" spans="1:1">
      <c r="A798" s="770"/>
    </row>
    <row r="799" spans="1:1">
      <c r="A799" s="770"/>
    </row>
    <row r="800" spans="1:1">
      <c r="A800" s="770"/>
    </row>
    <row r="801" spans="1:1">
      <c r="A801" s="770"/>
    </row>
    <row r="802" spans="1:1">
      <c r="A802" s="770"/>
    </row>
    <row r="803" spans="1:1">
      <c r="A803" s="770"/>
    </row>
    <row r="804" spans="1:1">
      <c r="A804" s="770"/>
    </row>
    <row r="805" spans="1:1">
      <c r="A805" s="770"/>
    </row>
    <row r="806" spans="1:1">
      <c r="A806" s="770"/>
    </row>
    <row r="807" spans="1:1">
      <c r="A807" s="770"/>
    </row>
    <row r="808" spans="1:1">
      <c r="A808" s="770"/>
    </row>
    <row r="809" spans="1:1">
      <c r="A809" s="770"/>
    </row>
    <row r="810" spans="1:1">
      <c r="A810" s="770"/>
    </row>
    <row r="811" spans="1:1">
      <c r="A811" s="770"/>
    </row>
    <row r="812" spans="1:1">
      <c r="A812" s="770"/>
    </row>
    <row r="813" spans="1:1">
      <c r="A813" s="770"/>
    </row>
    <row r="814" spans="1:1">
      <c r="A814" s="770"/>
    </row>
    <row r="815" spans="1:1">
      <c r="A815" s="770"/>
    </row>
    <row r="816" spans="1:1">
      <c r="A816" s="770"/>
    </row>
    <row r="817" spans="1:1">
      <c r="A817" s="770"/>
    </row>
    <row r="818" spans="1:1">
      <c r="A818" s="770"/>
    </row>
    <row r="819" spans="1:1">
      <c r="A819" s="770"/>
    </row>
    <row r="820" spans="1:1">
      <c r="A820" s="770"/>
    </row>
    <row r="821" spans="1:1">
      <c r="A821" s="770"/>
    </row>
    <row r="822" spans="1:1">
      <c r="A822" s="770"/>
    </row>
    <row r="823" spans="1:1">
      <c r="A823" s="770"/>
    </row>
    <row r="824" spans="1:1">
      <c r="A824" s="770"/>
    </row>
    <row r="825" spans="1:1">
      <c r="A825" s="770"/>
    </row>
    <row r="826" spans="1:1">
      <c r="A826" s="770"/>
    </row>
    <row r="827" spans="1:1">
      <c r="A827" s="770"/>
    </row>
    <row r="828" spans="1:1">
      <c r="A828" s="770"/>
    </row>
    <row r="829" spans="1:1">
      <c r="A829" s="770"/>
    </row>
    <row r="830" spans="1:1">
      <c r="A830" s="770"/>
    </row>
    <row r="831" spans="1:1">
      <c r="A831" s="770"/>
    </row>
    <row r="832" spans="1:1">
      <c r="A832" s="770"/>
    </row>
    <row r="833" spans="1:1">
      <c r="A833" s="770"/>
    </row>
    <row r="834" spans="1:1">
      <c r="A834" s="770"/>
    </row>
    <row r="835" spans="1:1">
      <c r="A835" s="770"/>
    </row>
    <row r="836" spans="1:1">
      <c r="A836" s="770"/>
    </row>
    <row r="837" spans="1:1">
      <c r="A837" s="770"/>
    </row>
    <row r="838" spans="1:1">
      <c r="A838" s="770"/>
    </row>
    <row r="839" spans="1:1">
      <c r="A839" s="770"/>
    </row>
    <row r="840" spans="1:1">
      <c r="A840" s="770"/>
    </row>
    <row r="841" spans="1:1">
      <c r="A841" s="770"/>
    </row>
    <row r="842" spans="1:1">
      <c r="A842" s="770"/>
    </row>
    <row r="843" spans="1:1">
      <c r="A843" s="770"/>
    </row>
    <row r="844" spans="1:1">
      <c r="A844" s="770"/>
    </row>
    <row r="845" spans="1:1">
      <c r="A845" s="770"/>
    </row>
    <row r="846" spans="1:1">
      <c r="A846" s="770"/>
    </row>
    <row r="847" spans="1:1">
      <c r="A847" s="770"/>
    </row>
    <row r="848" spans="1:1">
      <c r="A848" s="770"/>
    </row>
    <row r="849" spans="1:1">
      <c r="A849" s="770"/>
    </row>
    <row r="850" spans="1:1">
      <c r="A850" s="770"/>
    </row>
    <row r="851" spans="1:1">
      <c r="A851" s="770"/>
    </row>
    <row r="852" spans="1:1">
      <c r="A852" s="770"/>
    </row>
    <row r="853" spans="1:1">
      <c r="A853" s="770"/>
    </row>
    <row r="854" spans="1:1">
      <c r="A854" s="770"/>
    </row>
    <row r="855" spans="1:1">
      <c r="A855" s="770"/>
    </row>
    <row r="856" spans="1:1">
      <c r="A856" s="770"/>
    </row>
    <row r="857" spans="1:1">
      <c r="A857" s="770"/>
    </row>
    <row r="858" spans="1:1">
      <c r="A858" s="770"/>
    </row>
    <row r="859" spans="1:1">
      <c r="A859" s="770"/>
    </row>
    <row r="860" spans="1:1">
      <c r="A860" s="770"/>
    </row>
    <row r="861" spans="1:1">
      <c r="A861" s="770"/>
    </row>
    <row r="862" spans="1:1">
      <c r="A862" s="770"/>
    </row>
    <row r="863" spans="1:1">
      <c r="A863" s="770"/>
    </row>
    <row r="864" spans="1:1">
      <c r="A864" s="770"/>
    </row>
    <row r="865" spans="1:1">
      <c r="A865" s="770"/>
    </row>
    <row r="866" spans="1:1">
      <c r="A866" s="770"/>
    </row>
    <row r="867" spans="1:1">
      <c r="A867" s="770"/>
    </row>
    <row r="868" spans="1:1">
      <c r="A868" s="770"/>
    </row>
    <row r="869" spans="1:1">
      <c r="A869" s="770"/>
    </row>
    <row r="870" spans="1:1">
      <c r="A870" s="770"/>
    </row>
    <row r="871" spans="1:1">
      <c r="A871" s="770"/>
    </row>
    <row r="872" spans="1:1">
      <c r="A872" s="770"/>
    </row>
    <row r="873" spans="1:1">
      <c r="A873" s="770"/>
    </row>
    <row r="874" spans="1:1">
      <c r="A874" s="770"/>
    </row>
    <row r="875" spans="1:1">
      <c r="A875" s="770"/>
    </row>
    <row r="876" spans="1:1">
      <c r="A876" s="770"/>
    </row>
    <row r="877" spans="1:1">
      <c r="A877" s="770"/>
    </row>
    <row r="878" spans="1:1">
      <c r="A878" s="770"/>
    </row>
    <row r="879" spans="1:1">
      <c r="A879" s="770"/>
    </row>
    <row r="880" spans="1:1">
      <c r="A880" s="770"/>
    </row>
    <row r="881" spans="1:1">
      <c r="A881" s="770"/>
    </row>
    <row r="882" spans="1:1">
      <c r="A882" s="770"/>
    </row>
    <row r="883" spans="1:1">
      <c r="A883" s="770"/>
    </row>
    <row r="884" spans="1:1">
      <c r="A884" s="770"/>
    </row>
    <row r="885" spans="1:1">
      <c r="A885" s="770"/>
    </row>
    <row r="886" spans="1:1">
      <c r="A886" s="770"/>
    </row>
    <row r="887" spans="1:1">
      <c r="A887" s="770"/>
    </row>
    <row r="888" spans="1:1">
      <c r="A888" s="770"/>
    </row>
    <row r="889" spans="1:1">
      <c r="A889" s="770"/>
    </row>
    <row r="890" spans="1:1">
      <c r="A890" s="770"/>
    </row>
    <row r="891" spans="1:1">
      <c r="A891" s="770"/>
    </row>
    <row r="892" spans="1:1">
      <c r="A892" s="770"/>
    </row>
    <row r="893" spans="1:1">
      <c r="A893" s="770"/>
    </row>
    <row r="894" spans="1:1">
      <c r="A894" s="770"/>
    </row>
    <row r="895" spans="1:1">
      <c r="A895" s="770"/>
    </row>
    <row r="896" spans="1:1">
      <c r="A896" s="770"/>
    </row>
    <row r="897" spans="1:1">
      <c r="A897" s="770"/>
    </row>
    <row r="898" spans="1:1">
      <c r="A898" s="770"/>
    </row>
    <row r="899" spans="1:1">
      <c r="A899" s="770"/>
    </row>
    <row r="900" spans="1:1">
      <c r="A900" s="770"/>
    </row>
    <row r="901" spans="1:1">
      <c r="A901" s="770"/>
    </row>
    <row r="902" spans="1:1">
      <c r="A902" s="770"/>
    </row>
    <row r="903" spans="1:1">
      <c r="A903" s="770"/>
    </row>
    <row r="904" spans="1:1">
      <c r="A904" s="770"/>
    </row>
    <row r="905" spans="1:1">
      <c r="A905" s="770"/>
    </row>
    <row r="906" spans="1:1">
      <c r="A906" s="770"/>
    </row>
    <row r="907" spans="1:1">
      <c r="A907" s="770"/>
    </row>
    <row r="908" spans="1:1">
      <c r="A908" s="770"/>
    </row>
    <row r="909" spans="1:1">
      <c r="A909" s="770"/>
    </row>
    <row r="910" spans="1:1">
      <c r="A910" s="770"/>
    </row>
    <row r="911" spans="1:1">
      <c r="A911" s="770"/>
    </row>
    <row r="912" spans="1:1">
      <c r="A912" s="770"/>
    </row>
    <row r="913" spans="1:1">
      <c r="A913" s="770"/>
    </row>
    <row r="914" spans="1:1">
      <c r="A914" s="770"/>
    </row>
    <row r="915" spans="1:1">
      <c r="A915" s="770"/>
    </row>
    <row r="916" spans="1:1">
      <c r="A916" s="770"/>
    </row>
    <row r="917" spans="1:1">
      <c r="A917" s="770"/>
    </row>
    <row r="918" spans="1:1">
      <c r="A918" s="770"/>
    </row>
    <row r="919" spans="1:1">
      <c r="A919" s="770"/>
    </row>
    <row r="920" spans="1:1">
      <c r="A920" s="770"/>
    </row>
    <row r="921" spans="1:1">
      <c r="A921" s="770"/>
    </row>
    <row r="922" spans="1:1">
      <c r="A922" s="770"/>
    </row>
    <row r="923" spans="1:1">
      <c r="A923" s="770"/>
    </row>
    <row r="924" spans="1:1">
      <c r="A924" s="770"/>
    </row>
    <row r="925" spans="1:1">
      <c r="A925" s="770"/>
    </row>
    <row r="926" spans="1:1">
      <c r="A926" s="770"/>
    </row>
    <row r="927" spans="1:1">
      <c r="A927" s="770"/>
    </row>
    <row r="928" spans="1:1">
      <c r="A928" s="770"/>
    </row>
    <row r="929" spans="1:1">
      <c r="A929" s="770"/>
    </row>
    <row r="930" spans="1:1">
      <c r="A930" s="770"/>
    </row>
    <row r="931" spans="1:1">
      <c r="A931" s="770"/>
    </row>
    <row r="932" spans="1:1">
      <c r="A932" s="770"/>
    </row>
    <row r="933" spans="1:1">
      <c r="A933" s="770"/>
    </row>
    <row r="934" spans="1:1">
      <c r="A934" s="770"/>
    </row>
    <row r="935" spans="1:1">
      <c r="A935" s="770"/>
    </row>
    <row r="936" spans="1:1">
      <c r="A936" s="770"/>
    </row>
    <row r="937" spans="1:1">
      <c r="A937" s="770"/>
    </row>
    <row r="938" spans="1:1">
      <c r="A938" s="770"/>
    </row>
    <row r="939" spans="1:1">
      <c r="A939" s="770"/>
    </row>
    <row r="940" spans="1:1">
      <c r="A940" s="770"/>
    </row>
    <row r="941" spans="1:1">
      <c r="A941" s="770"/>
    </row>
    <row r="942" spans="1:1">
      <c r="A942" s="770"/>
    </row>
    <row r="943" spans="1:1">
      <c r="A943" s="770"/>
    </row>
    <row r="944" spans="1:1">
      <c r="A944" s="770"/>
    </row>
    <row r="945" spans="1:1">
      <c r="A945" s="770"/>
    </row>
    <row r="946" spans="1:1">
      <c r="A946" s="770"/>
    </row>
    <row r="947" spans="1:1">
      <c r="A947" s="770"/>
    </row>
    <row r="948" spans="1:1">
      <c r="A948" s="770"/>
    </row>
    <row r="949" spans="1:1">
      <c r="A949" s="770"/>
    </row>
    <row r="950" spans="1:1">
      <c r="A950" s="770"/>
    </row>
    <row r="951" spans="1:1">
      <c r="A951" s="770"/>
    </row>
    <row r="952" spans="1:1">
      <c r="A952" s="770"/>
    </row>
    <row r="953" spans="1:1">
      <c r="A953" s="770"/>
    </row>
    <row r="954" spans="1:1">
      <c r="A954" s="770"/>
    </row>
    <row r="955" spans="1:1">
      <c r="A955" s="770"/>
    </row>
    <row r="956" spans="1:1">
      <c r="A956" s="770"/>
    </row>
    <row r="957" spans="1:1">
      <c r="A957" s="770"/>
    </row>
    <row r="958" spans="1:1">
      <c r="A958" s="770"/>
    </row>
    <row r="959" spans="1:1">
      <c r="A959" s="770"/>
    </row>
    <row r="960" spans="1:1">
      <c r="A960" s="770"/>
    </row>
    <row r="961" spans="1:1">
      <c r="A961" s="770"/>
    </row>
    <row r="962" spans="1:1">
      <c r="A962" s="770"/>
    </row>
    <row r="963" spans="1:1">
      <c r="A963" s="770"/>
    </row>
    <row r="964" spans="1:1">
      <c r="A964" s="770"/>
    </row>
    <row r="965" spans="1:1">
      <c r="A965" s="770"/>
    </row>
    <row r="966" spans="1:1">
      <c r="A966" s="770"/>
    </row>
    <row r="967" spans="1:1">
      <c r="A967" s="770"/>
    </row>
    <row r="968" spans="1:1">
      <c r="A968" s="770"/>
    </row>
    <row r="969" spans="1:1">
      <c r="A969" s="770"/>
    </row>
    <row r="970" spans="1:1">
      <c r="A970" s="770"/>
    </row>
    <row r="971" spans="1:1">
      <c r="A971" s="770"/>
    </row>
    <row r="972" spans="1:1">
      <c r="A972" s="770"/>
    </row>
    <row r="973" spans="1:1">
      <c r="A973" s="770"/>
    </row>
    <row r="974" spans="1:1">
      <c r="A974" s="770"/>
    </row>
    <row r="975" spans="1:1">
      <c r="A975" s="770"/>
    </row>
    <row r="976" spans="1:1">
      <c r="A976" s="770"/>
    </row>
    <row r="977" spans="1:1">
      <c r="A977" s="770"/>
    </row>
    <row r="978" spans="1:1">
      <c r="A978" s="770"/>
    </row>
    <row r="979" spans="1:1">
      <c r="A979" s="770"/>
    </row>
    <row r="980" spans="1:1">
      <c r="A980" s="770"/>
    </row>
    <row r="981" spans="1:1">
      <c r="A981" s="770"/>
    </row>
    <row r="982" spans="1:1">
      <c r="A982" s="770"/>
    </row>
    <row r="983" spans="1:1">
      <c r="A983" s="770"/>
    </row>
    <row r="984" spans="1:1">
      <c r="A984" s="770"/>
    </row>
    <row r="985" spans="1:1">
      <c r="A985" s="770"/>
    </row>
    <row r="986" spans="1:1">
      <c r="A986" s="770"/>
    </row>
    <row r="987" spans="1:1">
      <c r="A987" s="770"/>
    </row>
    <row r="988" spans="1:1">
      <c r="A988" s="770"/>
    </row>
    <row r="989" spans="1:1">
      <c r="A989" s="770"/>
    </row>
    <row r="990" spans="1:1">
      <c r="A990" s="770"/>
    </row>
    <row r="991" spans="1:1">
      <c r="A991" s="770"/>
    </row>
    <row r="992" spans="1:1">
      <c r="A992" s="770"/>
    </row>
    <row r="993" spans="1:1">
      <c r="A993" s="770"/>
    </row>
    <row r="994" spans="1:1">
      <c r="A994" s="770"/>
    </row>
    <row r="995" spans="1:1">
      <c r="A995" s="770"/>
    </row>
    <row r="996" spans="1:1">
      <c r="A996" s="770"/>
    </row>
    <row r="997" spans="1:1">
      <c r="A997" s="770"/>
    </row>
    <row r="998" spans="1:1">
      <c r="A998" s="770"/>
    </row>
    <row r="999" spans="1:1">
      <c r="A999" s="770"/>
    </row>
    <row r="1000" spans="1:1">
      <c r="A1000" s="770"/>
    </row>
    <row r="1001" spans="1:1">
      <c r="A1001" s="770"/>
    </row>
    <row r="1002" spans="1:1">
      <c r="A1002" s="770"/>
    </row>
    <row r="1003" spans="1:1">
      <c r="A1003" s="770"/>
    </row>
    <row r="1004" spans="1:1">
      <c r="A1004" s="770"/>
    </row>
    <row r="1005" spans="1:1">
      <c r="A1005" s="770"/>
    </row>
    <row r="1006" spans="1:1">
      <c r="A1006" s="770"/>
    </row>
    <row r="1007" spans="1:1">
      <c r="A1007" s="770"/>
    </row>
    <row r="1008" spans="1:1">
      <c r="A1008" s="770"/>
    </row>
    <row r="1009" spans="1:1">
      <c r="A1009" s="770"/>
    </row>
    <row r="1010" spans="1:1">
      <c r="A1010" s="770"/>
    </row>
    <row r="1011" spans="1:1">
      <c r="A1011" s="770"/>
    </row>
    <row r="1012" spans="1:1">
      <c r="A1012" s="770"/>
    </row>
    <row r="1013" spans="1:1">
      <c r="A1013" s="770"/>
    </row>
    <row r="1014" spans="1:1">
      <c r="A1014" s="770"/>
    </row>
    <row r="1015" spans="1:1">
      <c r="A1015" s="770"/>
    </row>
    <row r="1016" spans="1:1">
      <c r="A1016" s="770"/>
    </row>
    <row r="1017" spans="1:1">
      <c r="A1017" s="770"/>
    </row>
    <row r="1018" spans="1:1">
      <c r="A1018" s="770"/>
    </row>
    <row r="1019" spans="1:1">
      <c r="A1019" s="770"/>
    </row>
    <row r="1020" spans="1:1">
      <c r="A1020" s="770"/>
    </row>
    <row r="1021" spans="1:1">
      <c r="A1021" s="770"/>
    </row>
    <row r="1022" spans="1:1">
      <c r="A1022" s="770"/>
    </row>
    <row r="1023" spans="1:1">
      <c r="A1023" s="770"/>
    </row>
    <row r="1024" spans="1:1">
      <c r="A1024" s="770"/>
    </row>
    <row r="1025" spans="1:1">
      <c r="A1025" s="770"/>
    </row>
    <row r="1026" spans="1:1">
      <c r="A1026" s="770"/>
    </row>
    <row r="1027" spans="1:1">
      <c r="A1027" s="770"/>
    </row>
    <row r="1028" spans="1:1">
      <c r="A1028" s="770"/>
    </row>
    <row r="1029" spans="1:1">
      <c r="A1029" s="770"/>
    </row>
    <row r="1030" spans="1:1">
      <c r="A1030" s="770"/>
    </row>
    <row r="1031" spans="1:1">
      <c r="A1031" s="770"/>
    </row>
    <row r="1032" spans="1:1">
      <c r="A1032" s="770"/>
    </row>
    <row r="1033" spans="1:1">
      <c r="A1033" s="770"/>
    </row>
    <row r="1034" spans="1:1">
      <c r="A1034" s="770"/>
    </row>
    <row r="1035" spans="1:1">
      <c r="A1035" s="770"/>
    </row>
    <row r="1036" spans="1:1">
      <c r="A1036" s="770"/>
    </row>
    <row r="1037" spans="1:1">
      <c r="A1037" s="770"/>
    </row>
    <row r="1038" spans="1:1">
      <c r="A1038" s="770"/>
    </row>
    <row r="1039" spans="1:1">
      <c r="A1039" s="770"/>
    </row>
    <row r="1040" spans="1:1">
      <c r="A1040" s="770"/>
    </row>
    <row r="1041" spans="1:1">
      <c r="A1041" s="770"/>
    </row>
    <row r="1042" spans="1:1">
      <c r="A1042" s="770"/>
    </row>
    <row r="1043" spans="1:1">
      <c r="A1043" s="770"/>
    </row>
    <row r="1044" spans="1:1">
      <c r="A1044" s="770"/>
    </row>
    <row r="1045" spans="1:1">
      <c r="A1045" s="770"/>
    </row>
    <row r="1046" spans="1:1">
      <c r="A1046" s="770"/>
    </row>
    <row r="1047" spans="1:1">
      <c r="A1047" s="770"/>
    </row>
    <row r="1048" spans="1:1">
      <c r="A1048" s="770"/>
    </row>
    <row r="1049" spans="1:1">
      <c r="A1049" s="770"/>
    </row>
    <row r="1050" spans="1:1">
      <c r="A1050" s="770"/>
    </row>
    <row r="1051" spans="1:1">
      <c r="A1051" s="770"/>
    </row>
    <row r="1052" spans="1:1">
      <c r="A1052" s="770"/>
    </row>
    <row r="1053" spans="1:1">
      <c r="A1053" s="770"/>
    </row>
    <row r="1054" spans="1:1">
      <c r="A1054" s="770"/>
    </row>
    <row r="1055" spans="1:1">
      <c r="A1055" s="770"/>
    </row>
    <row r="1056" spans="1:1">
      <c r="A1056" s="770"/>
    </row>
    <row r="1057" spans="1:1">
      <c r="A1057" s="770"/>
    </row>
    <row r="1058" spans="1:1">
      <c r="A1058" s="770"/>
    </row>
    <row r="1059" spans="1:1">
      <c r="A1059" s="770"/>
    </row>
    <row r="1060" spans="1:1">
      <c r="A1060" s="770"/>
    </row>
    <row r="1061" spans="1:1">
      <c r="A1061" s="770"/>
    </row>
    <row r="1062" spans="1:1">
      <c r="A1062" s="770"/>
    </row>
    <row r="1063" spans="1:1">
      <c r="A1063" s="770"/>
    </row>
    <row r="1064" spans="1:1">
      <c r="A1064" s="770"/>
    </row>
    <row r="1065" spans="1:1">
      <c r="A1065" s="770"/>
    </row>
    <row r="1066" spans="1:1">
      <c r="A1066" s="770"/>
    </row>
    <row r="1067" spans="1:1">
      <c r="A1067" s="770"/>
    </row>
    <row r="1068" spans="1:1">
      <c r="A1068" s="770"/>
    </row>
    <row r="1069" spans="1:1">
      <c r="A1069" s="770"/>
    </row>
    <row r="1070" spans="1:1">
      <c r="A1070" s="770"/>
    </row>
    <row r="1071" spans="1:1">
      <c r="A1071" s="770"/>
    </row>
    <row r="1072" spans="1:1">
      <c r="A1072" s="770"/>
    </row>
    <row r="1073" spans="1:1">
      <c r="A1073" s="770"/>
    </row>
    <row r="1074" spans="1:1">
      <c r="A1074" s="770"/>
    </row>
    <row r="1075" spans="1:1">
      <c r="A1075" s="770"/>
    </row>
    <row r="1076" spans="1:1">
      <c r="A1076" s="770"/>
    </row>
    <row r="1077" spans="1:1">
      <c r="A1077" s="770"/>
    </row>
    <row r="1078" spans="1:1">
      <c r="A1078" s="770"/>
    </row>
    <row r="1079" spans="1:1">
      <c r="A1079" s="770"/>
    </row>
    <row r="1080" spans="1:1">
      <c r="A1080" s="770"/>
    </row>
    <row r="1081" spans="1:1">
      <c r="A1081" s="770"/>
    </row>
    <row r="1082" spans="1:1">
      <c r="A1082" s="770"/>
    </row>
    <row r="1083" spans="1:1">
      <c r="A1083" s="770"/>
    </row>
    <row r="1084" spans="1:1">
      <c r="A1084" s="770"/>
    </row>
    <row r="1085" spans="1:1">
      <c r="A1085" s="770"/>
    </row>
    <row r="1086" spans="1:1">
      <c r="A1086" s="770"/>
    </row>
    <row r="1087" spans="1:1">
      <c r="A1087" s="770"/>
    </row>
    <row r="1088" spans="1:1">
      <c r="A1088" s="770"/>
    </row>
    <row r="1089" spans="1:1">
      <c r="A1089" s="770"/>
    </row>
    <row r="1090" spans="1:1">
      <c r="A1090" s="770"/>
    </row>
    <row r="1091" spans="1:1">
      <c r="A1091" s="770"/>
    </row>
    <row r="1092" spans="1:1">
      <c r="A1092" s="770"/>
    </row>
    <row r="1093" spans="1:1">
      <c r="A1093" s="770"/>
    </row>
    <row r="1094" spans="1:1">
      <c r="A1094" s="770"/>
    </row>
    <row r="1095" spans="1:1">
      <c r="A1095" s="770"/>
    </row>
    <row r="1096" spans="1:1">
      <c r="A1096" s="770"/>
    </row>
    <row r="1097" spans="1:1">
      <c r="A1097" s="770"/>
    </row>
    <row r="1098" spans="1:1">
      <c r="A1098" s="770"/>
    </row>
    <row r="1099" spans="1:1">
      <c r="A1099" s="770"/>
    </row>
    <row r="1100" spans="1:1">
      <c r="A1100" s="770"/>
    </row>
    <row r="1101" spans="1:1">
      <c r="A1101" s="770"/>
    </row>
    <row r="1102" spans="1:1">
      <c r="A1102" s="770"/>
    </row>
    <row r="1103" spans="1:1">
      <c r="A1103" s="770"/>
    </row>
    <row r="1104" spans="1:1">
      <c r="A1104" s="770"/>
    </row>
    <row r="1105" spans="1:1">
      <c r="A1105" s="770"/>
    </row>
    <row r="1106" spans="1:1">
      <c r="A1106" s="770"/>
    </row>
    <row r="1107" spans="1:1">
      <c r="A1107" s="770"/>
    </row>
    <row r="1108" spans="1:1">
      <c r="A1108" s="770"/>
    </row>
    <row r="1109" spans="1:1">
      <c r="A1109" s="770"/>
    </row>
    <row r="1110" spans="1:1">
      <c r="A1110" s="770"/>
    </row>
    <row r="1111" spans="1:1">
      <c r="A1111" s="770"/>
    </row>
    <row r="1112" spans="1:1">
      <c r="A1112" s="770"/>
    </row>
    <row r="1113" spans="1:1">
      <c r="A1113" s="770"/>
    </row>
    <row r="1114" spans="1:1">
      <c r="A1114" s="770"/>
    </row>
    <row r="1115" spans="1:1">
      <c r="A1115" s="770"/>
    </row>
    <row r="1116" spans="1:1">
      <c r="A1116" s="770"/>
    </row>
    <row r="1117" spans="1:1">
      <c r="A1117" s="770"/>
    </row>
    <row r="1118" spans="1:1">
      <c r="A1118" s="770"/>
    </row>
    <row r="1119" spans="1:1">
      <c r="A1119" s="770"/>
    </row>
    <row r="1120" spans="1:1">
      <c r="A1120" s="770"/>
    </row>
    <row r="1121" spans="1:1">
      <c r="A1121" s="770"/>
    </row>
    <row r="1122" spans="1:1">
      <c r="A1122" s="770"/>
    </row>
    <row r="1123" spans="1:1">
      <c r="A1123" s="770"/>
    </row>
    <row r="1124" spans="1:1">
      <c r="A1124" s="770"/>
    </row>
    <row r="1125" spans="1:1">
      <c r="A1125" s="770"/>
    </row>
    <row r="1126" spans="1:1">
      <c r="A1126" s="770"/>
    </row>
    <row r="1127" spans="1:1">
      <c r="A1127" s="770"/>
    </row>
    <row r="1128" spans="1:1">
      <c r="A1128" s="770"/>
    </row>
    <row r="1129" spans="1:1">
      <c r="A1129" s="770"/>
    </row>
    <row r="1130" spans="1:1">
      <c r="A1130" s="770"/>
    </row>
    <row r="1131" spans="1:1">
      <c r="A1131" s="770"/>
    </row>
    <row r="1132" spans="1:1">
      <c r="A1132" s="770"/>
    </row>
    <row r="1133" spans="1:1">
      <c r="A1133" s="770"/>
    </row>
    <row r="1134" spans="1:1">
      <c r="A1134" s="770"/>
    </row>
    <row r="1135" spans="1:1">
      <c r="A1135" s="770"/>
    </row>
    <row r="1136" spans="1:1">
      <c r="A1136" s="770"/>
    </row>
    <row r="1137" spans="1:1">
      <c r="A1137" s="770"/>
    </row>
    <row r="1138" spans="1:1">
      <c r="A1138" s="770"/>
    </row>
    <row r="1139" spans="1:1">
      <c r="A1139" s="770"/>
    </row>
    <row r="1140" spans="1:1">
      <c r="A1140" s="770"/>
    </row>
    <row r="1141" spans="1:1">
      <c r="A1141" s="770"/>
    </row>
    <row r="1142" spans="1:1">
      <c r="A1142" s="770"/>
    </row>
    <row r="1143" spans="1:1">
      <c r="A1143" s="770"/>
    </row>
    <row r="1144" spans="1:1">
      <c r="A1144" s="770"/>
    </row>
    <row r="1145" spans="1:1">
      <c r="A1145" s="770"/>
    </row>
    <row r="1146" spans="1:1">
      <c r="A1146" s="770"/>
    </row>
    <row r="1147" spans="1:1">
      <c r="A1147" s="770"/>
    </row>
    <row r="1148" spans="1:1">
      <c r="A1148" s="770"/>
    </row>
    <row r="1149" spans="1:1">
      <c r="A1149" s="770"/>
    </row>
    <row r="1150" spans="1:1">
      <c r="A1150" s="770"/>
    </row>
    <row r="1151" spans="1:1">
      <c r="A1151" s="770"/>
    </row>
    <row r="1152" spans="1:1">
      <c r="A1152" s="770"/>
    </row>
    <row r="1153" spans="1:1">
      <c r="A1153" s="770"/>
    </row>
    <row r="1154" spans="1:1">
      <c r="A1154" s="770"/>
    </row>
    <row r="1155" spans="1:1">
      <c r="A1155" s="770"/>
    </row>
    <row r="1156" spans="1:1">
      <c r="A1156" s="770"/>
    </row>
    <row r="1157" spans="1:1">
      <c r="A1157" s="770"/>
    </row>
    <row r="1158" spans="1:1">
      <c r="A1158" s="770"/>
    </row>
    <row r="1159" spans="1:1">
      <c r="A1159" s="770"/>
    </row>
    <row r="1160" spans="1:1">
      <c r="A1160" s="770"/>
    </row>
    <row r="1161" spans="1:1">
      <c r="A1161" s="770"/>
    </row>
    <row r="1162" spans="1:1">
      <c r="A1162" s="770"/>
    </row>
    <row r="1163" spans="1:1">
      <c r="A1163" s="770"/>
    </row>
    <row r="1164" spans="1:1">
      <c r="A1164" s="770"/>
    </row>
    <row r="1165" spans="1:1">
      <c r="A1165" s="770"/>
    </row>
    <row r="1166" spans="1:1">
      <c r="A1166" s="770"/>
    </row>
    <row r="1167" spans="1:1">
      <c r="A1167" s="770"/>
    </row>
    <row r="1168" spans="1:1">
      <c r="A1168" s="770"/>
    </row>
    <row r="1169" spans="1:1">
      <c r="A1169" s="770"/>
    </row>
    <row r="1170" spans="1:1">
      <c r="A1170" s="770"/>
    </row>
    <row r="1171" spans="1:1">
      <c r="A1171" s="770"/>
    </row>
    <row r="1172" spans="1:1">
      <c r="A1172" s="770"/>
    </row>
    <row r="1173" spans="1:1">
      <c r="A1173" s="770"/>
    </row>
    <row r="1174" spans="1:1">
      <c r="A1174" s="770"/>
    </row>
    <row r="1175" spans="1:1">
      <c r="A1175" s="770"/>
    </row>
    <row r="1176" spans="1:1">
      <c r="A1176" s="770"/>
    </row>
    <row r="1177" spans="1:1">
      <c r="A1177" s="770"/>
    </row>
    <row r="1178" spans="1:1">
      <c r="A1178" s="770"/>
    </row>
    <row r="1179" spans="1:1">
      <c r="A1179" s="770"/>
    </row>
    <row r="1180" spans="1:1">
      <c r="A1180" s="770"/>
    </row>
    <row r="1181" spans="1:1">
      <c r="A1181" s="770"/>
    </row>
    <row r="1182" spans="1:1">
      <c r="A1182" s="770"/>
    </row>
    <row r="1183" spans="1:1">
      <c r="A1183" s="770"/>
    </row>
    <row r="1184" spans="1:1">
      <c r="A1184" s="770"/>
    </row>
    <row r="1185" spans="1:1">
      <c r="A1185" s="770"/>
    </row>
    <row r="1186" spans="1:1">
      <c r="A1186" s="770"/>
    </row>
    <row r="1187" spans="1:1">
      <c r="A1187" s="770"/>
    </row>
    <row r="1188" spans="1:1">
      <c r="A1188" s="770"/>
    </row>
    <row r="1189" spans="1:1">
      <c r="A1189" s="770"/>
    </row>
    <row r="1190" spans="1:1">
      <c r="A1190" s="770"/>
    </row>
    <row r="1191" spans="1:1">
      <c r="A1191" s="770"/>
    </row>
    <row r="1192" spans="1:1">
      <c r="A1192" s="770"/>
    </row>
    <row r="1193" spans="1:1">
      <c r="A1193" s="770"/>
    </row>
    <row r="1194" spans="1:1">
      <c r="A1194" s="770"/>
    </row>
    <row r="1195" spans="1:1">
      <c r="A1195" s="770"/>
    </row>
    <row r="1196" spans="1:1">
      <c r="A1196" s="770"/>
    </row>
    <row r="1197" spans="1:1">
      <c r="A1197" s="770"/>
    </row>
    <row r="1198" spans="1:1">
      <c r="A1198" s="770"/>
    </row>
    <row r="1199" spans="1:1">
      <c r="A1199" s="770"/>
    </row>
    <row r="1200" spans="1:1">
      <c r="A1200" s="770"/>
    </row>
    <row r="1201" spans="1:1">
      <c r="A1201" s="770"/>
    </row>
    <row r="1202" spans="1:1">
      <c r="A1202" s="770"/>
    </row>
    <row r="1203" spans="1:1">
      <c r="A1203" s="770"/>
    </row>
    <row r="1204" spans="1:1">
      <c r="A1204" s="770"/>
    </row>
    <row r="1205" spans="1:1">
      <c r="A1205" s="770"/>
    </row>
    <row r="1206" spans="1:1">
      <c r="A1206" s="770"/>
    </row>
    <row r="1207" spans="1:1">
      <c r="A1207" s="770"/>
    </row>
    <row r="1208" spans="1:1">
      <c r="A1208" s="770"/>
    </row>
    <row r="1209" spans="1:1">
      <c r="A1209" s="770"/>
    </row>
    <row r="1210" spans="1:1">
      <c r="A1210" s="770"/>
    </row>
    <row r="1211" spans="1:1">
      <c r="A1211" s="770"/>
    </row>
    <row r="1212" spans="1:1">
      <c r="A1212" s="770"/>
    </row>
    <row r="1213" spans="1:1">
      <c r="A1213" s="770"/>
    </row>
    <row r="1214" spans="1:1">
      <c r="A1214" s="770"/>
    </row>
    <row r="1215" spans="1:1">
      <c r="A1215" s="770"/>
    </row>
    <row r="1216" spans="1:1">
      <c r="A1216" s="770"/>
    </row>
    <row r="1217" spans="1:1">
      <c r="A1217" s="770"/>
    </row>
    <row r="1218" spans="1:1">
      <c r="A1218" s="770"/>
    </row>
    <row r="1219" spans="1:1">
      <c r="A1219" s="770"/>
    </row>
    <row r="1220" spans="1:1">
      <c r="A1220" s="770"/>
    </row>
    <row r="1221" spans="1:1">
      <c r="A1221" s="770"/>
    </row>
    <row r="1222" spans="1:1">
      <c r="A1222" s="770"/>
    </row>
    <row r="1223" spans="1:1">
      <c r="A1223" s="770"/>
    </row>
    <row r="1224" spans="1:1">
      <c r="A1224" s="770"/>
    </row>
    <row r="1225" spans="1:1">
      <c r="A1225" s="770"/>
    </row>
    <row r="1226" spans="1:1">
      <c r="A1226" s="770"/>
    </row>
    <row r="1227" spans="1:1">
      <c r="A1227" s="770"/>
    </row>
    <row r="1228" spans="1:1">
      <c r="A1228" s="770"/>
    </row>
    <row r="1229" spans="1:1">
      <c r="A1229" s="770"/>
    </row>
    <row r="1230" spans="1:1">
      <c r="A1230" s="770"/>
    </row>
    <row r="1231" spans="1:1">
      <c r="A1231" s="770"/>
    </row>
    <row r="1232" spans="1:1">
      <c r="A1232" s="770"/>
    </row>
    <row r="1233" spans="1:1">
      <c r="A1233" s="770"/>
    </row>
    <row r="1234" spans="1:1">
      <c r="A1234" s="770"/>
    </row>
    <row r="1235" spans="1:1">
      <c r="A1235" s="770"/>
    </row>
    <row r="1236" spans="1:1">
      <c r="A1236" s="770"/>
    </row>
    <row r="1237" spans="1:1">
      <c r="A1237" s="770"/>
    </row>
    <row r="1238" spans="1:1">
      <c r="A1238" s="770"/>
    </row>
    <row r="1239" spans="1:1">
      <c r="A1239" s="770"/>
    </row>
    <row r="1240" spans="1:1">
      <c r="A1240" s="770"/>
    </row>
    <row r="1241" spans="1:1">
      <c r="A1241" s="770"/>
    </row>
    <row r="1242" spans="1:1">
      <c r="A1242" s="770"/>
    </row>
    <row r="1243" spans="1:1">
      <c r="A1243" s="770"/>
    </row>
    <row r="1244" spans="1:1">
      <c r="A1244" s="770"/>
    </row>
    <row r="1245" spans="1:1">
      <c r="A1245" s="770"/>
    </row>
    <row r="1246" spans="1:1">
      <c r="A1246" s="770"/>
    </row>
    <row r="1247" spans="1:1">
      <c r="A1247" s="770"/>
    </row>
    <row r="1248" spans="1:1">
      <c r="A1248" s="770"/>
    </row>
    <row r="1249" spans="1:1">
      <c r="A1249" s="770"/>
    </row>
    <row r="1250" spans="1:1">
      <c r="A1250" s="770"/>
    </row>
    <row r="1251" spans="1:1">
      <c r="A1251" s="770"/>
    </row>
    <row r="1252" spans="1:1">
      <c r="A1252" s="770"/>
    </row>
    <row r="1253" spans="1:1">
      <c r="A1253" s="770"/>
    </row>
    <row r="1254" spans="1:1">
      <c r="A1254" s="770"/>
    </row>
    <row r="1255" spans="1:1">
      <c r="A1255" s="770"/>
    </row>
    <row r="1256" spans="1:1">
      <c r="A1256" s="770"/>
    </row>
    <row r="1257" spans="1:1">
      <c r="A1257" s="770"/>
    </row>
    <row r="1258" spans="1:1">
      <c r="A1258" s="770"/>
    </row>
    <row r="1259" spans="1:1">
      <c r="A1259" s="770"/>
    </row>
    <row r="1260" spans="1:1">
      <c r="A1260" s="770"/>
    </row>
    <row r="1261" spans="1:1">
      <c r="A1261" s="770"/>
    </row>
    <row r="1262" spans="1:1">
      <c r="A1262" s="770"/>
    </row>
    <row r="1263" spans="1:1">
      <c r="A1263" s="770"/>
    </row>
    <row r="1264" spans="1:1">
      <c r="A1264" s="770"/>
    </row>
    <row r="1265" spans="1:1">
      <c r="A1265" s="770"/>
    </row>
    <row r="1266" spans="1:1">
      <c r="A1266" s="770"/>
    </row>
    <row r="1267" spans="1:1">
      <c r="A1267" s="770"/>
    </row>
    <row r="1268" spans="1:1">
      <c r="A1268" s="770"/>
    </row>
    <row r="1269" spans="1:1">
      <c r="A1269" s="770"/>
    </row>
    <row r="1270" spans="1:1">
      <c r="A1270" s="770"/>
    </row>
    <row r="1271" spans="1:1">
      <c r="A1271" s="770"/>
    </row>
    <row r="1272" spans="1:1">
      <c r="A1272" s="770"/>
    </row>
    <row r="1273" spans="1:1">
      <c r="A1273" s="770"/>
    </row>
    <row r="1274" spans="1:1">
      <c r="A1274" s="770"/>
    </row>
    <row r="1275" spans="1:1">
      <c r="A1275" s="770"/>
    </row>
    <row r="1276" spans="1:1">
      <c r="A1276" s="770"/>
    </row>
    <row r="1277" spans="1:1">
      <c r="A1277" s="770"/>
    </row>
    <row r="1278" spans="1:1">
      <c r="A1278" s="770"/>
    </row>
    <row r="1279" spans="1:1">
      <c r="A1279" s="770"/>
    </row>
    <row r="1280" spans="1:1">
      <c r="A1280" s="770"/>
    </row>
    <row r="1281" spans="1:1">
      <c r="A1281" s="770"/>
    </row>
    <row r="1282" spans="1:1">
      <c r="A1282" s="770"/>
    </row>
    <row r="1283" spans="1:1">
      <c r="A1283" s="770"/>
    </row>
    <row r="1284" spans="1:1">
      <c r="A1284" s="770"/>
    </row>
    <row r="1285" spans="1:1">
      <c r="A1285" s="770"/>
    </row>
    <row r="1286" spans="1:1">
      <c r="A1286" s="770"/>
    </row>
    <row r="1287" spans="1:1">
      <c r="A1287" s="770"/>
    </row>
    <row r="1288" spans="1:1">
      <c r="A1288" s="770"/>
    </row>
    <row r="1289" spans="1:1">
      <c r="A1289" s="770"/>
    </row>
    <row r="1290" spans="1:1">
      <c r="A1290" s="770"/>
    </row>
    <row r="1291" spans="1:1">
      <c r="A1291" s="770"/>
    </row>
    <row r="1292" spans="1:1">
      <c r="A1292" s="770"/>
    </row>
    <row r="1293" spans="1:1">
      <c r="A1293" s="770"/>
    </row>
    <row r="1294" spans="1:1">
      <c r="A1294" s="770"/>
    </row>
    <row r="1295" spans="1:1">
      <c r="A1295" s="770"/>
    </row>
    <row r="1296" spans="1:1">
      <c r="A1296" s="770"/>
    </row>
    <row r="1297" spans="1:1">
      <c r="A1297" s="770"/>
    </row>
    <row r="1298" spans="1:1">
      <c r="A1298" s="770"/>
    </row>
    <row r="1299" spans="1:1">
      <c r="A1299" s="770"/>
    </row>
    <row r="1300" spans="1:1">
      <c r="A1300" s="770"/>
    </row>
    <row r="1301" spans="1:1">
      <c r="A1301" s="770"/>
    </row>
    <row r="1302" spans="1:1">
      <c r="A1302" s="770"/>
    </row>
    <row r="1303" spans="1:1">
      <c r="A1303" s="770"/>
    </row>
    <row r="1304" spans="1:1">
      <c r="A1304" s="770"/>
    </row>
    <row r="1305" spans="1:1">
      <c r="A1305" s="770"/>
    </row>
    <row r="1306" spans="1:1">
      <c r="A1306" s="770"/>
    </row>
    <row r="1307" spans="1:1">
      <c r="A1307" s="770"/>
    </row>
    <row r="1308" spans="1:1">
      <c r="A1308" s="770"/>
    </row>
    <row r="1309" spans="1:1">
      <c r="A1309" s="770"/>
    </row>
    <row r="1310" spans="1:1">
      <c r="A1310" s="770"/>
    </row>
    <row r="1311" spans="1:1">
      <c r="A1311" s="770"/>
    </row>
    <row r="1312" spans="1:1">
      <c r="A1312" s="770"/>
    </row>
    <row r="1313" spans="1:1">
      <c r="A1313" s="770"/>
    </row>
    <row r="1314" spans="1:1">
      <c r="A1314" s="770"/>
    </row>
    <row r="1315" spans="1:1">
      <c r="A1315" s="770"/>
    </row>
    <row r="1316" spans="1:1">
      <c r="A1316" s="770"/>
    </row>
    <row r="1317" spans="1:1">
      <c r="A1317" s="770"/>
    </row>
    <row r="1318" spans="1:1">
      <c r="A1318" s="770"/>
    </row>
    <row r="1319" spans="1:1">
      <c r="A1319" s="770"/>
    </row>
    <row r="1320" spans="1:1">
      <c r="A1320" s="770"/>
    </row>
    <row r="1321" spans="1:1">
      <c r="A1321" s="770"/>
    </row>
    <row r="1322" spans="1:1">
      <c r="A1322" s="770"/>
    </row>
    <row r="1323" spans="1:1">
      <c r="A1323" s="770"/>
    </row>
    <row r="1324" spans="1:1">
      <c r="A1324" s="770"/>
    </row>
    <row r="1325" spans="1:1">
      <c r="A1325" s="770"/>
    </row>
    <row r="1326" spans="1:1">
      <c r="A1326" s="770"/>
    </row>
    <row r="1327" spans="1:1">
      <c r="A1327" s="770"/>
    </row>
    <row r="1328" spans="1:1">
      <c r="A1328" s="770"/>
    </row>
    <row r="1329" spans="1:1">
      <c r="A1329" s="770"/>
    </row>
    <row r="1330" spans="1:1">
      <c r="A1330" s="770"/>
    </row>
    <row r="1331" spans="1:1">
      <c r="A1331" s="770"/>
    </row>
    <row r="1332" spans="1:1">
      <c r="A1332" s="770"/>
    </row>
    <row r="1333" spans="1:1">
      <c r="A1333" s="770"/>
    </row>
    <row r="1334" spans="1:1">
      <c r="A1334" s="770"/>
    </row>
    <row r="1335" spans="1:1">
      <c r="A1335" s="770"/>
    </row>
    <row r="1336" spans="1:1">
      <c r="A1336" s="770"/>
    </row>
    <row r="1337" spans="1:1">
      <c r="A1337" s="770"/>
    </row>
    <row r="1338" spans="1:1">
      <c r="A1338" s="770"/>
    </row>
    <row r="1339" spans="1:1">
      <c r="A1339" s="770"/>
    </row>
    <row r="1340" spans="1:1">
      <c r="A1340" s="770"/>
    </row>
    <row r="1341" spans="1:1">
      <c r="A1341" s="770"/>
    </row>
    <row r="1342" spans="1:1">
      <c r="A1342" s="770"/>
    </row>
    <row r="1343" spans="1:1">
      <c r="A1343" s="770"/>
    </row>
    <row r="1344" spans="1:1">
      <c r="A1344" s="770"/>
    </row>
    <row r="1345" spans="1:1">
      <c r="A1345" s="770"/>
    </row>
    <row r="1346" spans="1:1">
      <c r="A1346" s="770"/>
    </row>
    <row r="1347" spans="1:1">
      <c r="A1347" s="770"/>
    </row>
    <row r="1348" spans="1:1">
      <c r="A1348" s="770"/>
    </row>
    <row r="1349" spans="1:1">
      <c r="A1349" s="770"/>
    </row>
    <row r="1350" spans="1:1">
      <c r="A1350" s="770"/>
    </row>
    <row r="1351" spans="1:1">
      <c r="A1351" s="770"/>
    </row>
    <row r="1352" spans="1:1">
      <c r="A1352" s="770"/>
    </row>
    <row r="1353" spans="1:1">
      <c r="A1353" s="770"/>
    </row>
    <row r="1354" spans="1:1">
      <c r="A1354" s="770"/>
    </row>
    <row r="1355" spans="1:1">
      <c r="A1355" s="770"/>
    </row>
    <row r="1356" spans="1:1">
      <c r="A1356" s="770"/>
    </row>
    <row r="1357" spans="1:1">
      <c r="A1357" s="770"/>
    </row>
    <row r="1358" spans="1:1">
      <c r="A1358" s="770"/>
    </row>
    <row r="1359" spans="1:1">
      <c r="A1359" s="770"/>
    </row>
    <row r="1360" spans="1:1">
      <c r="A1360" s="770"/>
    </row>
    <row r="1361" spans="1:1">
      <c r="A1361" s="770"/>
    </row>
    <row r="1362" spans="1:1">
      <c r="A1362" s="770"/>
    </row>
    <row r="1363" spans="1:1">
      <c r="A1363" s="770"/>
    </row>
    <row r="1364" spans="1:1">
      <c r="A1364" s="770"/>
    </row>
    <row r="1365" spans="1:1">
      <c r="A1365" s="770"/>
    </row>
    <row r="1366" spans="1:1">
      <c r="A1366" s="770"/>
    </row>
    <row r="1367" spans="1:1">
      <c r="A1367" s="770"/>
    </row>
    <row r="1368" spans="1:1">
      <c r="A1368" s="770"/>
    </row>
    <row r="1369" spans="1:1">
      <c r="A1369" s="770"/>
    </row>
    <row r="1370" spans="1:1">
      <c r="A1370" s="770"/>
    </row>
  </sheetData>
  <mergeCells count="16">
    <mergeCell ref="D28:E28"/>
    <mergeCell ref="B19:F19"/>
    <mergeCell ref="D23:E23"/>
    <mergeCell ref="A26:B26"/>
    <mergeCell ref="D26:E26"/>
    <mergeCell ref="A27:G27"/>
    <mergeCell ref="B6:C6"/>
    <mergeCell ref="B7:C7"/>
    <mergeCell ref="B9:F9"/>
    <mergeCell ref="B13:F13"/>
    <mergeCell ref="B16:F16"/>
    <mergeCell ref="A1:F1"/>
    <mergeCell ref="A2:B2"/>
    <mergeCell ref="C2:G2"/>
    <mergeCell ref="B4:C4"/>
    <mergeCell ref="B5:F5"/>
  </mergeCells>
  <pageMargins left="0.7" right="0.7" top="0.75" bottom="0.75" header="0.3" footer="0.3"/>
  <pageSetup scale="8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indexed="14"/>
  </sheetPr>
  <dimension ref="A1:BT149"/>
  <sheetViews>
    <sheetView view="pageBreakPreview" zoomScale="115" workbookViewId="0">
      <selection activeCell="F27" sqref="F27:G27"/>
    </sheetView>
  </sheetViews>
  <sheetFormatPr defaultColWidth="7.88671875" defaultRowHeight="12.6"/>
  <cols>
    <col min="1" max="1" width="4.33203125" style="651" customWidth="1"/>
    <col min="2" max="2" width="12" style="652" customWidth="1"/>
    <col min="3" max="3" width="7" style="652" customWidth="1"/>
    <col min="4" max="4" width="8.6640625" style="652" customWidth="1"/>
    <col min="5" max="5" width="8.5546875" style="652" customWidth="1"/>
    <col min="6" max="6" width="9.5546875" style="651" customWidth="1"/>
    <col min="7" max="7" width="10.33203125" style="651" customWidth="1"/>
    <col min="8" max="8" width="9.5546875" style="652" customWidth="1"/>
    <col min="9" max="9" width="8.88671875" style="652" customWidth="1"/>
    <col min="10" max="10" width="14.5546875" style="652" customWidth="1"/>
    <col min="11" max="11" width="12.33203125" style="650" customWidth="1"/>
    <col min="12" max="12" width="15.5546875" style="652" customWidth="1"/>
    <col min="13" max="13" width="22.88671875" style="652" customWidth="1"/>
    <col min="14" max="14" width="12" style="652" customWidth="1"/>
    <col min="15" max="15" width="7.88671875" style="652"/>
    <col min="16" max="16" width="12.5546875" style="652" customWidth="1"/>
    <col min="17" max="16384" width="7.88671875" style="652"/>
  </cols>
  <sheetData>
    <row r="1" spans="1:21" ht="20.25" customHeight="1">
      <c r="A1" s="3862"/>
      <c r="B1" s="3862"/>
      <c r="C1" s="3862"/>
      <c r="D1" s="3862"/>
      <c r="E1" s="3862"/>
      <c r="F1" s="3862"/>
      <c r="G1" s="3862"/>
      <c r="H1" s="3862"/>
      <c r="I1" s="3862"/>
      <c r="J1" s="3862"/>
      <c r="L1" s="678" t="s">
        <v>1957</v>
      </c>
      <c r="M1" s="678" t="s">
        <v>1958</v>
      </c>
      <c r="P1" s="679"/>
      <c r="Q1" s="662"/>
      <c r="R1" s="679" t="s">
        <v>1959</v>
      </c>
      <c r="S1" s="662"/>
      <c r="T1" s="662"/>
    </row>
    <row r="2" spans="1:21" ht="20.25" customHeight="1">
      <c r="A2" s="3862"/>
      <c r="B2" s="3862"/>
      <c r="C2" s="3862"/>
      <c r="D2" s="3862"/>
      <c r="E2" s="3862"/>
      <c r="F2" s="3862"/>
      <c r="G2" s="3862"/>
      <c r="H2" s="3862"/>
      <c r="I2" s="3862"/>
      <c r="J2" s="3862"/>
      <c r="L2" s="680" t="str">
        <f>L1&amp;"/"&amp;M1&amp;"/"&amp;N4&amp;"/2017-18"</f>
        <v>W11/DEE-III/Vkb-0-SDF-GoRT.No.0-Sl.No-0/2017-18</v>
      </c>
      <c r="M2" s="662"/>
      <c r="P2" s="681"/>
      <c r="Q2" s="726"/>
      <c r="R2" s="727" t="s">
        <v>1960</v>
      </c>
      <c r="S2" s="689"/>
    </row>
    <row r="3" spans="1:21" ht="25.2">
      <c r="A3" s="3862"/>
      <c r="B3" s="3862"/>
      <c r="C3" s="3862"/>
      <c r="D3" s="3862"/>
      <c r="E3" s="3862"/>
      <c r="F3" s="3862"/>
      <c r="G3" s="3862"/>
      <c r="H3" s="3862"/>
      <c r="I3" s="3862"/>
      <c r="J3" s="3862"/>
      <c r="K3" s="682" t="s">
        <v>462</v>
      </c>
      <c r="L3" s="683" t="str">
        <f>'Input Data'!E1</f>
        <v xml:space="preserve">BT Renewal from Balabadraipally to Danamma Thanda of Gundumal Mandal in Narayanpet District </v>
      </c>
      <c r="M3" s="684"/>
      <c r="N3" s="685"/>
      <c r="O3" s="685"/>
      <c r="P3" s="685"/>
      <c r="Q3" s="685"/>
      <c r="R3" s="684"/>
      <c r="S3" s="728"/>
    </row>
    <row r="4" spans="1:21" ht="17.25" customHeight="1">
      <c r="A4" s="3862"/>
      <c r="B4" s="3862"/>
      <c r="C4" s="3862"/>
      <c r="D4" s="3862"/>
      <c r="E4" s="3862"/>
      <c r="F4" s="3862"/>
      <c r="G4" s="3862"/>
      <c r="H4" s="3862"/>
      <c r="I4" s="3862"/>
      <c r="J4" s="3862"/>
      <c r="K4" s="682" t="s">
        <v>464</v>
      </c>
      <c r="L4" s="686">
        <f>'Input Data'!J4</f>
        <v>96.15</v>
      </c>
      <c r="M4" s="687"/>
      <c r="N4" s="688" t="str">
        <f>L8&amp;"-"&amp;L9&amp;"-"&amp;K9&amp;"-GoRT.No."&amp;M6&amp;"-Sl.No-"&amp;N6</f>
        <v>Vkb-0-SDF-GoRT.No.0-Sl.No-0</v>
      </c>
      <c r="O4" s="687"/>
      <c r="P4" s="689"/>
      <c r="Q4" s="689"/>
      <c r="R4" s="689"/>
    </row>
    <row r="5" spans="1:21">
      <c r="A5" s="3862"/>
      <c r="B5" s="3862"/>
      <c r="C5" s="3862"/>
      <c r="D5" s="3862"/>
      <c r="E5" s="3862"/>
      <c r="F5" s="3862"/>
      <c r="G5" s="3862"/>
      <c r="H5" s="3862"/>
      <c r="I5" s="3862"/>
      <c r="J5" s="3862"/>
      <c r="K5" s="682" t="s">
        <v>391</v>
      </c>
      <c r="L5" s="690" t="str">
        <f>'Input Data'!D7</f>
        <v>Gundumal</v>
      </c>
      <c r="M5" s="691" t="s">
        <v>1961</v>
      </c>
      <c r="N5" s="691" t="s">
        <v>486</v>
      </c>
      <c r="O5" s="691"/>
      <c r="P5" s="691" t="s">
        <v>1962</v>
      </c>
      <c r="Q5" s="729"/>
      <c r="R5" s="730"/>
    </row>
    <row r="6" spans="1:21" ht="12.75" customHeight="1">
      <c r="A6" s="3862"/>
      <c r="B6" s="3862"/>
      <c r="C6" s="3862"/>
      <c r="D6" s="3862"/>
      <c r="E6" s="3862"/>
      <c r="F6" s="3862"/>
      <c r="G6" s="3862"/>
      <c r="H6" s="3862"/>
      <c r="I6" s="3862"/>
      <c r="J6" s="3862"/>
      <c r="K6" s="682" t="s">
        <v>469</v>
      </c>
      <c r="L6" s="690" t="str">
        <f>'Input Data'!D4</f>
        <v>Narayanpet</v>
      </c>
      <c r="M6" s="692">
        <f>'Input Data'!K3</f>
        <v>0</v>
      </c>
      <c r="N6" s="692">
        <f>'Input Data'!M3</f>
        <v>0</v>
      </c>
      <c r="O6" s="693"/>
      <c r="P6" s="694">
        <f>'Input Data'!L3</f>
        <v>0</v>
      </c>
      <c r="Q6" s="730"/>
      <c r="R6" s="730"/>
      <c r="T6" s="731"/>
    </row>
    <row r="7" spans="1:21" ht="18" customHeight="1">
      <c r="A7" s="3862"/>
      <c r="B7" s="3862"/>
      <c r="C7" s="3862"/>
      <c r="D7" s="3862"/>
      <c r="E7" s="3862"/>
      <c r="F7" s="3862"/>
      <c r="G7" s="3862"/>
      <c r="H7" s="3862"/>
      <c r="I7" s="3862"/>
      <c r="J7" s="3862"/>
      <c r="K7" s="682" t="s">
        <v>1963</v>
      </c>
      <c r="L7" s="690" t="str">
        <f>'Input Data'!D3</f>
        <v>Vikarabad</v>
      </c>
      <c r="M7" s="695" t="s">
        <v>1964</v>
      </c>
      <c r="N7" s="696" t="s">
        <v>1965</v>
      </c>
      <c r="O7" s="697"/>
      <c r="P7" s="697"/>
      <c r="Q7" s="697"/>
      <c r="R7" s="728"/>
      <c r="S7" s="732"/>
      <c r="T7" s="733"/>
    </row>
    <row r="8" spans="1:21" ht="34.5" customHeight="1">
      <c r="A8" s="3862"/>
      <c r="B8" s="3862"/>
      <c r="C8" s="3862"/>
      <c r="D8" s="3862"/>
      <c r="E8" s="3862"/>
      <c r="F8" s="3862"/>
      <c r="G8" s="3862"/>
      <c r="H8" s="3862"/>
      <c r="I8" s="3862"/>
      <c r="J8" s="3862"/>
      <c r="K8" s="682"/>
      <c r="L8" s="698" t="str">
        <f>'Input Data'!E3</f>
        <v>Vkb</v>
      </c>
      <c r="M8" s="699" t="s">
        <v>1966</v>
      </c>
      <c r="N8" s="3746" t="str">
        <f>"NIT.No."&amp;N9&amp;" Dt: 18-8-.2018 for 1st  Call"</f>
        <v>NIT.No.- Dt: 18-8-.2018 for 1st  Call</v>
      </c>
      <c r="O8" s="3747"/>
      <c r="P8" s="3747"/>
      <c r="Q8" s="3747"/>
      <c r="R8" s="3748"/>
    </row>
    <row r="9" spans="1:21" ht="16.2">
      <c r="A9" s="3862"/>
      <c r="B9" s="3862"/>
      <c r="C9" s="3862"/>
      <c r="D9" s="3862"/>
      <c r="E9" s="3862"/>
      <c r="F9" s="3862"/>
      <c r="G9" s="3862"/>
      <c r="H9" s="3862"/>
      <c r="I9" s="3862"/>
      <c r="J9" s="3862"/>
      <c r="K9" s="698" t="str">
        <f>'Input Data'!I6</f>
        <v>SDF</v>
      </c>
      <c r="L9" s="698">
        <f>'Input Data'!H7</f>
        <v>0</v>
      </c>
      <c r="M9" s="700" t="s">
        <v>1967</v>
      </c>
      <c r="N9" s="701" t="str">
        <f>'Input Data'!L5</f>
        <v>-</v>
      </c>
      <c r="O9" s="3749"/>
      <c r="P9" s="3750"/>
      <c r="Q9" s="3750"/>
      <c r="R9" s="3751"/>
      <c r="S9" s="734"/>
      <c r="T9" s="734"/>
      <c r="U9" s="734"/>
    </row>
    <row r="10" spans="1:21" ht="16.5" customHeight="1">
      <c r="A10" s="3862"/>
      <c r="B10" s="3862"/>
      <c r="C10" s="3862"/>
      <c r="D10" s="3862"/>
      <c r="E10" s="3862"/>
      <c r="F10" s="3862"/>
      <c r="G10" s="3862"/>
      <c r="H10" s="3862"/>
      <c r="I10" s="3862"/>
      <c r="J10" s="3862"/>
      <c r="K10" s="698"/>
      <c r="L10" s="698" t="str">
        <f>'Input Data'!I7</f>
        <v>2024-25</v>
      </c>
      <c r="M10" s="699" t="s">
        <v>1968</v>
      </c>
      <c r="N10" s="3875" t="s">
        <v>1969</v>
      </c>
      <c r="O10" s="3876"/>
      <c r="P10" s="3876"/>
      <c r="Q10" s="3876"/>
      <c r="R10" s="3877"/>
      <c r="S10" s="734"/>
      <c r="T10" s="734"/>
      <c r="U10" s="734"/>
    </row>
    <row r="11" spans="1:21" ht="17.25" customHeight="1">
      <c r="A11" s="3862"/>
      <c r="B11" s="3862"/>
      <c r="C11" s="3862"/>
      <c r="D11" s="3862"/>
      <c r="E11" s="3862"/>
      <c r="F11" s="3862"/>
      <c r="G11" s="3862"/>
      <c r="H11" s="3862"/>
      <c r="I11" s="3862"/>
      <c r="J11" s="3862"/>
      <c r="K11" s="691" t="s">
        <v>330</v>
      </c>
      <c r="L11" s="702">
        <f>'Schedule-A'!H192</f>
        <v>7737566</v>
      </c>
      <c r="M11" s="703"/>
      <c r="N11" s="3878"/>
      <c r="O11" s="3879"/>
      <c r="P11" s="3879"/>
      <c r="Q11" s="3879"/>
      <c r="R11" s="3880"/>
      <c r="S11" s="703"/>
      <c r="T11" s="703"/>
      <c r="U11" s="703"/>
    </row>
    <row r="12" spans="1:21" ht="27.75" customHeight="1">
      <c r="A12" s="3862"/>
      <c r="B12" s="3862"/>
      <c r="C12" s="3862"/>
      <c r="D12" s="3862"/>
      <c r="E12" s="3862"/>
      <c r="F12" s="3862"/>
      <c r="G12" s="3862"/>
      <c r="H12" s="3862"/>
      <c r="I12" s="3862"/>
      <c r="J12" s="3862"/>
      <c r="K12" s="704" t="s">
        <v>1970</v>
      </c>
      <c r="L12" s="705">
        <v>12</v>
      </c>
      <c r="M12" s="706" t="s">
        <v>1971</v>
      </c>
      <c r="N12" s="3881"/>
      <c r="O12" s="3882"/>
      <c r="P12" s="3882"/>
      <c r="Q12" s="3882"/>
      <c r="R12" s="3883"/>
      <c r="S12" s="703"/>
      <c r="T12" s="703"/>
      <c r="U12" s="703"/>
    </row>
    <row r="13" spans="1:21" ht="30" customHeight="1">
      <c r="B13" s="3752" t="s">
        <v>1972</v>
      </c>
      <c r="C13" s="3752"/>
      <c r="D13" s="3752"/>
      <c r="E13" s="3752"/>
      <c r="F13" s="3752"/>
      <c r="G13" s="3752"/>
      <c r="H13" s="3752"/>
      <c r="I13" s="3752"/>
      <c r="J13" s="3752"/>
      <c r="K13" s="707"/>
      <c r="M13" s="708" t="s">
        <v>1973</v>
      </c>
    </row>
    <row r="14" spans="1:21" ht="26.25" customHeight="1">
      <c r="B14" s="3753" t="str">
        <f>"Note file.No. "&amp;$L$2</f>
        <v>Note file.No. W11/DEE-III/Vkb-0-SDF-GoRT.No.0-Sl.No-0/2017-18</v>
      </c>
      <c r="C14" s="3753"/>
      <c r="D14" s="3753"/>
      <c r="E14" s="3753"/>
      <c r="F14" s="3753"/>
      <c r="G14" s="3753"/>
      <c r="H14" s="3753"/>
      <c r="I14" s="3753"/>
      <c r="J14" s="3753"/>
      <c r="K14" s="707"/>
    </row>
    <row r="15" spans="1:21" ht="39" customHeight="1">
      <c r="B15" s="653" t="s">
        <v>461</v>
      </c>
      <c r="C15" s="3754" t="str">
        <f>"PR Circle-"&amp;$L$7&amp;"-Dist:"&amp;$L$6&amp;"-"&amp;$L$9&amp;"-"&amp;$K$9&amp;"-"&amp;$L$10&amp;" - "&amp;$L$3&amp;"- Estt.Cost.Rs."&amp;$L$4&amp;".00 Lakhs Tender Submitted for Approval - regarding"</f>
        <v>PR Circle-Vikarabad-Dist:Narayanpet-0-SDF-2024-25 - BT Renewal from Balabadraipally to Danamma Thanda of Gundumal Mandal in Narayanpet District - Estt.Cost.Rs.96.15.00 Lakhs Tender Submitted for Approval - regarding</v>
      </c>
      <c r="D15" s="3754"/>
      <c r="E15" s="3754"/>
      <c r="F15" s="3754"/>
      <c r="G15" s="3754"/>
      <c r="H15" s="3754"/>
      <c r="I15" s="3754"/>
      <c r="J15" s="3754"/>
      <c r="K15" s="707"/>
    </row>
    <row r="16" spans="1:21" ht="27.75" customHeight="1">
      <c r="A16" s="3862"/>
      <c r="B16" s="3863" t="s">
        <v>463</v>
      </c>
      <c r="C16" s="3755" t="str">
        <f>"1).GoRt.No."&amp;M6&amp;" dt:"&amp;P6&amp;" of  PR&amp;RD (Prog-I)Dept, of Govt. Of Telangana-"&amp;"Sl.No."&amp;N6</f>
        <v>1).GoRt.No.0 dt:0 of  PR&amp;RD (Prog-I)Dept, of Govt. Of Telangana-Sl.No.0</v>
      </c>
      <c r="D16" s="3755"/>
      <c r="E16" s="3755"/>
      <c r="F16" s="3755"/>
      <c r="G16" s="3755"/>
      <c r="H16" s="3755"/>
      <c r="I16" s="3755"/>
      <c r="J16" s="3755"/>
      <c r="K16" s="707"/>
    </row>
    <row r="17" spans="1:13" ht="27" customHeight="1">
      <c r="A17" s="3862"/>
      <c r="B17" s="3863"/>
      <c r="C17" s="3755" t="str">
        <f>"2).SE,PR "&amp;L8&amp;","&amp;" "&amp;$N$8</f>
        <v>2).SE,PR Vkb, NIT.No.- Dt: 18-8-.2018 for 1st  Call</v>
      </c>
      <c r="D17" s="3755"/>
      <c r="E17" s="3755"/>
      <c r="F17" s="3755"/>
      <c r="G17" s="3755"/>
      <c r="H17" s="3755"/>
      <c r="I17" s="3755"/>
      <c r="J17" s="3755"/>
      <c r="K17" s="707"/>
    </row>
    <row r="18" spans="1:13" ht="15" customHeight="1">
      <c r="B18" s="655"/>
      <c r="C18" s="3755" t="str">
        <f>"3). SE,PR,"&amp;L8&amp;"-"&amp;N7</f>
        <v>3). SE,PR,Vkb-Lr.No.T3/737/CRR/Guntipally/2017-18, dt:  29.3.2018</v>
      </c>
      <c r="D18" s="3755"/>
      <c r="E18" s="3755"/>
      <c r="F18" s="3755"/>
      <c r="G18" s="3755"/>
      <c r="H18" s="3755"/>
      <c r="I18" s="3755"/>
      <c r="J18" s="3755"/>
      <c r="K18" s="707"/>
    </row>
    <row r="19" spans="1:13" ht="15" customHeight="1">
      <c r="B19" s="655"/>
      <c r="C19" s="3756" t="s">
        <v>1974</v>
      </c>
      <c r="D19" s="3756"/>
      <c r="E19" s="3756"/>
      <c r="F19" s="3756"/>
      <c r="G19" s="3756"/>
      <c r="H19" s="3756"/>
      <c r="I19" s="3756"/>
      <c r="J19" s="3756"/>
      <c r="K19" s="707"/>
    </row>
    <row r="20" spans="1:13" ht="15" customHeight="1">
      <c r="B20" s="655"/>
      <c r="C20" s="3756" t="s">
        <v>1975</v>
      </c>
      <c r="D20" s="3756"/>
      <c r="E20" s="3756"/>
      <c r="F20" s="3756"/>
      <c r="G20" s="3756"/>
      <c r="H20" s="3756"/>
      <c r="I20" s="3756"/>
      <c r="J20" s="3756"/>
      <c r="K20" s="707"/>
    </row>
    <row r="21" spans="1:13" ht="15" customHeight="1">
      <c r="B21" s="655"/>
      <c r="C21" s="3756" t="s">
        <v>1976</v>
      </c>
      <c r="D21" s="3756"/>
      <c r="E21" s="3756"/>
      <c r="F21" s="3756"/>
      <c r="G21" s="3756"/>
      <c r="H21" s="3756"/>
      <c r="I21" s="3756"/>
      <c r="J21" s="3756"/>
      <c r="K21" s="707"/>
    </row>
    <row r="22" spans="1:13" ht="13.5" customHeight="1">
      <c r="B22" s="3757"/>
      <c r="C22" s="3757"/>
      <c r="D22" s="3757"/>
      <c r="E22" s="3758" t="s">
        <v>468</v>
      </c>
      <c r="F22" s="3759"/>
      <c r="G22" s="3759"/>
      <c r="H22" s="3757"/>
      <c r="I22" s="3757"/>
      <c r="J22" s="3757"/>
      <c r="K22" s="707"/>
    </row>
    <row r="23" spans="1:13" ht="13.8">
      <c r="B23" s="3760" t="s">
        <v>472</v>
      </c>
      <c r="C23" s="3760"/>
      <c r="D23" s="3760"/>
      <c r="E23" s="3760"/>
      <c r="F23" s="3760"/>
      <c r="G23" s="3760"/>
      <c r="H23" s="3760"/>
      <c r="I23" s="3760"/>
      <c r="J23" s="3760"/>
      <c r="K23" s="707"/>
    </row>
    <row r="24" spans="1:13" ht="84.75" customHeight="1">
      <c r="B24" s="3754" t="s">
        <v>1977</v>
      </c>
      <c r="C24" s="3754"/>
      <c r="D24" s="3754"/>
      <c r="E24" s="3754"/>
      <c r="F24" s="3754"/>
      <c r="G24" s="3754"/>
      <c r="H24" s="3754"/>
      <c r="I24" s="3754"/>
      <c r="J24" s="3754"/>
      <c r="K24" s="707"/>
    </row>
    <row r="25" spans="1:13" ht="80.25" customHeight="1">
      <c r="A25" s="657"/>
      <c r="B25" s="3754" t="str">
        <f>"                    Kindly peruse the ref. 3rd  cited where in the SE (PR)"&amp;L7&amp;" has submitted the Bid evaluation report along with relevent certificates,"&amp;" down loaded tender documents  of  the above work for which tenders is invited vide in the ref. 2nd cited, and recomonded  the  successful L1 bidder  of "&amp;B35&amp;"  who has quoted @ "&amp;I35&amp;" than the estimated rates  of "&amp;M13&amp;" for ECV of Rs."&amp;E35&amp;".00 and with a TCV of Rs."&amp;G35&amp;".00 in 1st Call."</f>
        <v xml:space="preserve">                    Kindly peruse the ref. 3rd  cited where in the SE (PR)Vikarabad has submitted the Bid evaluation report along with relevent certificates, down loaded tender documents  of  the above work for which tenders is invited vide in the ref. 2nd cited, and recomonded  the  successful L1 bidder  of Sri.J.Aswarthulu  who has quoted @ 6.78% Less than the estimated rates  of SSR-2018-19 for ECV of Rs.7737566.00 and with a TCV of Rs.8888001.24.00 in 1st Call.</v>
      </c>
      <c r="C25" s="3754"/>
      <c r="D25" s="3754"/>
      <c r="E25" s="3754"/>
      <c r="F25" s="3754"/>
      <c r="G25" s="3754"/>
      <c r="H25" s="3754"/>
      <c r="I25" s="3754"/>
      <c r="J25" s="3754"/>
      <c r="K25" s="707"/>
      <c r="M25" s="652">
        <f>3700+2500</f>
        <v>6200</v>
      </c>
    </row>
    <row r="26" spans="1:13" ht="59.25" customHeight="1">
      <c r="B26" s="3761" t="str">
        <f>"                     The tenders are invited through ‘e’ procurement plot form vide tender notice No. in the ref, 2nd cited for "&amp;M12&amp;". The tender Notice was published in daily news paper of  "&amp;N10&amp;"   published through ‘e’ procurement with the following dates."</f>
        <v xml:space="preserve">                     The tenders are invited through ‘e’ procurement plot form vide tender notice No. in the ref, 2nd cited for 1st Call.. The tender Notice was published in daily news paper of  Eenadu ( Telugu) dt: 22-8-2018 &amp; The Times of India (English) dt. 22-8-2018   published through ‘e’ procurement with the following dates.</v>
      </c>
      <c r="C26" s="3761"/>
      <c r="D26" s="3761"/>
      <c r="E26" s="3761"/>
      <c r="F26" s="3761"/>
      <c r="G26" s="3761"/>
      <c r="H26" s="3761"/>
      <c r="I26" s="3761"/>
      <c r="J26" s="3761"/>
      <c r="K26" s="707"/>
    </row>
    <row r="27" spans="1:13" ht="19.5" customHeight="1">
      <c r="B27" s="658" t="s">
        <v>1978</v>
      </c>
      <c r="C27" s="659"/>
      <c r="D27" s="659"/>
      <c r="E27" s="660"/>
      <c r="F27" s="3762">
        <v>43168</v>
      </c>
      <c r="G27" s="3762"/>
      <c r="H27" s="661">
        <v>11</v>
      </c>
      <c r="I27" s="3763" t="s">
        <v>1979</v>
      </c>
      <c r="J27" s="3763"/>
      <c r="K27" s="707"/>
    </row>
    <row r="28" spans="1:13" ht="19.5" customHeight="1">
      <c r="B28" s="658" t="s">
        <v>1980</v>
      </c>
      <c r="C28" s="662"/>
      <c r="D28" s="662"/>
      <c r="E28" s="660"/>
      <c r="F28" s="3762">
        <v>43175</v>
      </c>
      <c r="G28" s="3762"/>
      <c r="H28" s="661">
        <v>4</v>
      </c>
      <c r="I28" s="3763" t="s">
        <v>1981</v>
      </c>
      <c r="J28" s="3763"/>
      <c r="K28" s="707"/>
    </row>
    <row r="29" spans="1:13" ht="19.5" customHeight="1">
      <c r="B29" s="658" t="s">
        <v>1982</v>
      </c>
      <c r="C29" s="662"/>
      <c r="D29" s="662"/>
      <c r="E29" s="660"/>
      <c r="F29" s="3764">
        <f>F28</f>
        <v>43175</v>
      </c>
      <c r="G29" s="3764"/>
      <c r="H29" s="661">
        <v>5</v>
      </c>
      <c r="I29" s="3763" t="s">
        <v>1981</v>
      </c>
      <c r="J29" s="3763"/>
      <c r="K29" s="707"/>
    </row>
    <row r="30" spans="1:13" ht="19.5" customHeight="1">
      <c r="B30" s="658" t="s">
        <v>1983</v>
      </c>
      <c r="C30" s="662"/>
      <c r="D30" s="662"/>
      <c r="E30" s="660"/>
      <c r="F30" s="3762">
        <v>43176</v>
      </c>
      <c r="G30" s="3762"/>
      <c r="H30" s="661">
        <v>11</v>
      </c>
      <c r="I30" s="709" t="str">
        <f>"AM By SE PR"&amp;$L$7</f>
        <v>AM By SE PRVikarabad</v>
      </c>
      <c r="J30" s="660"/>
      <c r="K30" s="707"/>
    </row>
    <row r="31" spans="1:13" ht="19.5" customHeight="1">
      <c r="B31" s="658" t="s">
        <v>1984</v>
      </c>
      <c r="C31" s="662"/>
      <c r="D31" s="662"/>
      <c r="E31" s="660"/>
      <c r="F31" s="3762">
        <v>43179</v>
      </c>
      <c r="G31" s="3762"/>
      <c r="H31" s="661">
        <v>11</v>
      </c>
      <c r="I31" s="709" t="str">
        <f>"AM  By SE PR"&amp;$L$7</f>
        <v>AM  By SE PRVikarabad</v>
      </c>
      <c r="J31" s="660"/>
      <c r="K31" s="707"/>
    </row>
    <row r="32" spans="1:13" ht="19.5" customHeight="1">
      <c r="B32" s="658" t="s">
        <v>1985</v>
      </c>
      <c r="C32" s="662"/>
      <c r="D32" s="662"/>
      <c r="E32" s="660"/>
      <c r="F32" s="3765">
        <f>L12</f>
        <v>12</v>
      </c>
      <c r="G32" s="3766"/>
      <c r="H32" s="661"/>
      <c r="I32" s="709" t="s">
        <v>1986</v>
      </c>
      <c r="J32" s="660"/>
      <c r="K32" s="707"/>
    </row>
    <row r="33" spans="1:14" s="645" customFormat="1" ht="39" customHeight="1">
      <c r="A33" s="663"/>
      <c r="B33" s="3767" t="str">
        <f>"                 In response to the above"&amp;M12&amp;"  tender notice, the following tenders  were  received and the details are as below."</f>
        <v xml:space="preserve">                 In response to the above1st Call.  tender notice, the following tenders  were  received and the details are as below.</v>
      </c>
      <c r="C33" s="3767"/>
      <c r="D33" s="3767"/>
      <c r="E33" s="3767"/>
      <c r="F33" s="3767"/>
      <c r="G33" s="3767"/>
      <c r="H33" s="3767"/>
      <c r="I33" s="3767"/>
      <c r="J33" s="3767"/>
      <c r="K33" s="710"/>
    </row>
    <row r="34" spans="1:14" ht="24" customHeight="1">
      <c r="A34" s="665" t="s">
        <v>486</v>
      </c>
      <c r="B34" s="3768" t="s">
        <v>1987</v>
      </c>
      <c r="C34" s="3768"/>
      <c r="D34" s="665" t="s">
        <v>452</v>
      </c>
      <c r="E34" s="3769" t="s">
        <v>330</v>
      </c>
      <c r="F34" s="3769"/>
      <c r="G34" s="3769" t="s">
        <v>365</v>
      </c>
      <c r="H34" s="3769"/>
      <c r="I34" s="711" t="s">
        <v>1988</v>
      </c>
      <c r="J34" s="712" t="s">
        <v>1989</v>
      </c>
    </row>
    <row r="35" spans="1:14" s="645" customFormat="1" ht="25.5" customHeight="1">
      <c r="A35" s="666">
        <v>1</v>
      </c>
      <c r="B35" s="3770" t="s">
        <v>1990</v>
      </c>
      <c r="C35" s="3771"/>
      <c r="D35" s="667" t="s">
        <v>1991</v>
      </c>
      <c r="E35" s="3772">
        <f>L11</f>
        <v>7737566</v>
      </c>
      <c r="F35" s="3772"/>
      <c r="G35" s="3773">
        <v>8888001.2400000002</v>
      </c>
      <c r="H35" s="3773"/>
      <c r="I35" s="667" t="s">
        <v>1992</v>
      </c>
      <c r="J35" s="713" t="s">
        <v>1993</v>
      </c>
      <c r="K35" s="714" t="s">
        <v>1994</v>
      </c>
      <c r="L35" s="715">
        <v>2</v>
      </c>
      <c r="M35" s="716" t="s">
        <v>1995</v>
      </c>
    </row>
    <row r="36" spans="1:14" s="646" customFormat="1" ht="25.5" customHeight="1">
      <c r="A36" s="668">
        <v>2</v>
      </c>
      <c r="B36" s="3774" t="s">
        <v>1996</v>
      </c>
      <c r="C36" s="3775"/>
      <c r="D36" s="669"/>
      <c r="E36" s="3776">
        <f>E35</f>
        <v>7737566</v>
      </c>
      <c r="F36" s="3776"/>
      <c r="G36" s="3777">
        <v>9324678.4100000001</v>
      </c>
      <c r="H36" s="3777"/>
      <c r="I36" s="717" t="s">
        <v>1997</v>
      </c>
      <c r="J36" s="668" t="s">
        <v>1998</v>
      </c>
      <c r="K36" s="718" t="s">
        <v>1999</v>
      </c>
      <c r="L36" s="719">
        <v>2</v>
      </c>
    </row>
    <row r="37" spans="1:14" ht="29.25" hidden="1" customHeight="1">
      <c r="A37" s="665">
        <v>3</v>
      </c>
      <c r="B37" s="3778" t="s">
        <v>2000</v>
      </c>
      <c r="C37" s="3778"/>
      <c r="D37" s="667" t="s">
        <v>1991</v>
      </c>
      <c r="E37" s="3776">
        <f t="shared" ref="E37:E43" si="0">E36</f>
        <v>7737566</v>
      </c>
      <c r="F37" s="3776"/>
      <c r="G37" s="3777">
        <v>8357179.2599999998</v>
      </c>
      <c r="H37" s="3777"/>
      <c r="I37" s="667" t="s">
        <v>2001</v>
      </c>
      <c r="J37" s="713" t="s">
        <v>2002</v>
      </c>
      <c r="K37" s="682"/>
      <c r="L37" s="719"/>
    </row>
    <row r="38" spans="1:14" ht="29.25" hidden="1" customHeight="1">
      <c r="A38" s="665">
        <v>4</v>
      </c>
      <c r="B38" s="3778" t="s">
        <v>2003</v>
      </c>
      <c r="C38" s="3778"/>
      <c r="D38" s="667" t="s">
        <v>1991</v>
      </c>
      <c r="E38" s="3779">
        <f t="shared" si="0"/>
        <v>7737566</v>
      </c>
      <c r="F38" s="3780"/>
      <c r="G38" s="3777" t="s">
        <v>2004</v>
      </c>
      <c r="H38" s="3777"/>
      <c r="I38" s="667" t="s">
        <v>2005</v>
      </c>
      <c r="J38" s="713" t="s">
        <v>2006</v>
      </c>
      <c r="K38" s="682"/>
      <c r="L38" s="719"/>
    </row>
    <row r="39" spans="1:14" ht="54" hidden="1" customHeight="1">
      <c r="A39" s="665">
        <v>5</v>
      </c>
      <c r="B39" s="3778" t="s">
        <v>2007</v>
      </c>
      <c r="C39" s="3778"/>
      <c r="D39" s="667" t="s">
        <v>2008</v>
      </c>
      <c r="E39" s="3776">
        <f t="shared" si="0"/>
        <v>7737566</v>
      </c>
      <c r="F39" s="3776"/>
      <c r="G39" s="3777" t="s">
        <v>2004</v>
      </c>
      <c r="H39" s="3777"/>
      <c r="I39" s="667"/>
      <c r="J39" s="713"/>
      <c r="K39" s="682"/>
      <c r="L39" s="719"/>
    </row>
    <row r="40" spans="1:14" hidden="1">
      <c r="A40" s="665">
        <v>6</v>
      </c>
      <c r="B40" s="3778" t="s">
        <v>2009</v>
      </c>
      <c r="C40" s="3778"/>
      <c r="D40" s="667" t="s">
        <v>1991</v>
      </c>
      <c r="E40" s="3776">
        <f t="shared" si="0"/>
        <v>7737566</v>
      </c>
      <c r="F40" s="3776"/>
      <c r="G40" s="3777">
        <v>25193516.829999998</v>
      </c>
      <c r="H40" s="3777"/>
      <c r="I40" s="667" t="s">
        <v>2010</v>
      </c>
      <c r="J40" s="713" t="s">
        <v>2011</v>
      </c>
      <c r="K40" s="682"/>
      <c r="L40" s="719"/>
    </row>
    <row r="41" spans="1:14" hidden="1">
      <c r="A41" s="665">
        <v>7</v>
      </c>
      <c r="B41" s="3778" t="s">
        <v>2012</v>
      </c>
      <c r="C41" s="3778"/>
      <c r="D41" s="667" t="s">
        <v>1991</v>
      </c>
      <c r="E41" s="3776">
        <f t="shared" si="0"/>
        <v>7737566</v>
      </c>
      <c r="F41" s="3776"/>
      <c r="G41" s="3777">
        <v>42980568.359999999</v>
      </c>
      <c r="H41" s="3777"/>
      <c r="I41" s="667" t="s">
        <v>2013</v>
      </c>
      <c r="J41" s="713" t="s">
        <v>2014</v>
      </c>
      <c r="K41" s="682"/>
      <c r="L41" s="719"/>
    </row>
    <row r="42" spans="1:14" ht="29.25" hidden="1" customHeight="1">
      <c r="A42" s="665">
        <v>8</v>
      </c>
      <c r="B42" s="3778" t="s">
        <v>2015</v>
      </c>
      <c r="C42" s="3778"/>
      <c r="D42" s="667" t="s">
        <v>1991</v>
      </c>
      <c r="E42" s="3776">
        <f t="shared" si="0"/>
        <v>7737566</v>
      </c>
      <c r="F42" s="3776"/>
      <c r="G42" s="3777">
        <v>42993820.329999998</v>
      </c>
      <c r="H42" s="3777"/>
      <c r="I42" s="667" t="s">
        <v>2016</v>
      </c>
      <c r="J42" s="713" t="s">
        <v>2017</v>
      </c>
      <c r="K42" s="682"/>
      <c r="L42" s="719"/>
    </row>
    <row r="43" spans="1:14" ht="25.2" hidden="1">
      <c r="A43" s="665">
        <v>9</v>
      </c>
      <c r="B43" s="3778" t="s">
        <v>2018</v>
      </c>
      <c r="C43" s="3778"/>
      <c r="D43" s="669" t="s">
        <v>1991</v>
      </c>
      <c r="E43" s="3776">
        <f t="shared" si="0"/>
        <v>7737566</v>
      </c>
      <c r="F43" s="3776"/>
      <c r="G43" s="3777">
        <v>44115820.780000001</v>
      </c>
      <c r="H43" s="3777"/>
      <c r="I43" s="669" t="s">
        <v>2019</v>
      </c>
      <c r="J43" s="713" t="s">
        <v>2020</v>
      </c>
      <c r="K43" s="682" t="s">
        <v>2021</v>
      </c>
      <c r="L43" s="720">
        <f>L35-L36</f>
        <v>0</v>
      </c>
    </row>
    <row r="44" spans="1:14" hidden="1">
      <c r="A44" s="665"/>
      <c r="B44" s="3778"/>
      <c r="C44" s="3778"/>
      <c r="D44" s="669"/>
      <c r="E44" s="3776"/>
      <c r="F44" s="3776"/>
      <c r="G44" s="3781"/>
      <c r="H44" s="3781"/>
      <c r="I44" s="669"/>
      <c r="J44" s="668"/>
      <c r="K44" s="721"/>
      <c r="L44" s="722" t="str">
        <f>N44</f>
        <v>Lowest</v>
      </c>
      <c r="M44" s="723" t="s">
        <v>2022</v>
      </c>
      <c r="N44" s="724" t="s">
        <v>2023</v>
      </c>
    </row>
    <row r="45" spans="1:14" ht="15" hidden="1" customHeight="1">
      <c r="A45" s="665">
        <v>4</v>
      </c>
      <c r="B45" s="3778" t="s">
        <v>2024</v>
      </c>
      <c r="C45" s="3778"/>
      <c r="D45" s="669" t="s">
        <v>2008</v>
      </c>
      <c r="E45" s="3776">
        <f>E44</f>
        <v>0</v>
      </c>
      <c r="F45" s="3776"/>
      <c r="G45" s="3782" t="s">
        <v>2025</v>
      </c>
      <c r="H45" s="3783"/>
      <c r="I45" s="668"/>
      <c r="J45" s="668" t="s">
        <v>2026</v>
      </c>
    </row>
    <row r="46" spans="1:14" hidden="1">
      <c r="H46" s="670"/>
    </row>
    <row r="47" spans="1:14" ht="45.75" customHeight="1">
      <c r="B47" s="3767" t="str">
        <f>"                             As per the Evaluation statement  and down loaded documents submitted by the SE, PR,"&amp;L7&amp;",  total "&amp;L35&amp;" -Bid is received and "&amp;L36&amp;" - Bid  is qualified and "&amp;L43&amp;"-Bid(s) are dis-Qualified. The evaluation of the "&amp;L44&amp;"  bidder is as follows."</f>
        <v xml:space="preserve">                             As per the Evaluation statement  and down loaded documents submitted by the SE, PR,Vikarabad,  total 2 -Bid is received and 2 - Bid  is qualified and 0-Bid(s) are dis-Qualified. The evaluation of the Lowest  bidder is as follows.</v>
      </c>
      <c r="C47" s="3767"/>
      <c r="D47" s="3767"/>
      <c r="E47" s="3767"/>
      <c r="F47" s="3767"/>
      <c r="G47" s="3767"/>
      <c r="H47" s="3767"/>
      <c r="I47" s="3767"/>
      <c r="J47" s="3767"/>
      <c r="K47" s="650" t="s">
        <v>85</v>
      </c>
    </row>
    <row r="48" spans="1:14">
      <c r="B48" s="664"/>
      <c r="C48" s="664"/>
      <c r="D48" s="664"/>
      <c r="E48" s="664"/>
      <c r="F48" s="664"/>
      <c r="G48" s="664"/>
      <c r="H48" s="664"/>
      <c r="I48" s="664"/>
      <c r="J48" s="664"/>
    </row>
    <row r="49" spans="1:16" ht="34.5" customHeight="1">
      <c r="B49" s="3784" t="str">
        <f>"EVALUATION STATEMENT OF SUCCESSFUL L1 -"&amp;L44&amp;" BIDDER -"&amp;B35&amp;" is as follows"</f>
        <v>EVALUATION STATEMENT OF SUCCESSFUL L1 -Lowest BIDDER -Sri.J.Aswarthulu is as follows</v>
      </c>
      <c r="C49" s="3785"/>
      <c r="D49" s="3785"/>
      <c r="E49" s="3785"/>
      <c r="F49" s="3785"/>
      <c r="G49" s="3785"/>
      <c r="H49" s="3785"/>
      <c r="I49" s="3785"/>
      <c r="J49" s="3786"/>
    </row>
    <row r="50" spans="1:16" ht="21" customHeight="1">
      <c r="B50" s="3787" t="s">
        <v>2027</v>
      </c>
      <c r="C50" s="3787"/>
      <c r="D50" s="3787"/>
      <c r="E50" s="3873" t="s">
        <v>2028</v>
      </c>
      <c r="F50" s="3873"/>
      <c r="G50" s="3788" t="s">
        <v>1993</v>
      </c>
      <c r="H50" s="3788"/>
      <c r="I50" s="3788"/>
      <c r="J50" s="3788"/>
    </row>
    <row r="51" spans="1:16" ht="29.25" customHeight="1">
      <c r="A51" s="651">
        <v>1</v>
      </c>
      <c r="B51" s="3789" t="s">
        <v>2029</v>
      </c>
      <c r="C51" s="3789"/>
      <c r="D51" s="3789"/>
      <c r="E51" s="3874"/>
      <c r="F51" s="3874"/>
      <c r="G51" s="3790" t="str">
        <f>B35</f>
        <v>Sri.J.Aswarthulu</v>
      </c>
      <c r="H51" s="3791"/>
      <c r="I51" s="3791"/>
      <c r="J51" s="3792"/>
    </row>
    <row r="52" spans="1:16" ht="27" customHeight="1">
      <c r="B52" s="3793" t="s">
        <v>2030</v>
      </c>
      <c r="C52" s="3794"/>
      <c r="D52" s="3794"/>
      <c r="E52" s="3794"/>
      <c r="F52" s="3795"/>
      <c r="G52" s="671" t="s">
        <v>2031</v>
      </c>
      <c r="H52" s="672"/>
      <c r="I52" s="3796" t="s">
        <v>2032</v>
      </c>
      <c r="J52" s="3797"/>
    </row>
    <row r="53" spans="1:16" ht="24.75" customHeight="1">
      <c r="B53" s="3793" t="s">
        <v>2033</v>
      </c>
      <c r="C53" s="3794"/>
      <c r="D53" s="3794"/>
      <c r="E53" s="3794"/>
      <c r="F53" s="3795"/>
      <c r="G53" s="3864" t="s">
        <v>2034</v>
      </c>
      <c r="H53" s="3865"/>
      <c r="I53" s="3865"/>
      <c r="J53" s="3866"/>
    </row>
    <row r="54" spans="1:16" ht="24.75" customHeight="1">
      <c r="B54" s="3793" t="s">
        <v>2035</v>
      </c>
      <c r="C54" s="3794"/>
      <c r="D54" s="3794"/>
      <c r="E54" s="3794"/>
      <c r="F54" s="3795"/>
      <c r="G54" s="3867"/>
      <c r="H54" s="3868"/>
      <c r="I54" s="3868"/>
      <c r="J54" s="3869"/>
      <c r="P54" s="652">
        <f>600.29*1.1</f>
        <v>660.31899999999996</v>
      </c>
    </row>
    <row r="55" spans="1:16" ht="26.25" customHeight="1">
      <c r="B55" s="3793" t="s">
        <v>2036</v>
      </c>
      <c r="C55" s="3794"/>
      <c r="D55" s="3794"/>
      <c r="E55" s="3794"/>
      <c r="F55" s="3795"/>
      <c r="G55" s="3867"/>
      <c r="H55" s="3868"/>
      <c r="I55" s="3868"/>
      <c r="J55" s="3869"/>
    </row>
    <row r="56" spans="1:16" ht="26.25" customHeight="1">
      <c r="B56" s="3793" t="s">
        <v>2037</v>
      </c>
      <c r="C56" s="3794"/>
      <c r="D56" s="3794"/>
      <c r="E56" s="3794"/>
      <c r="F56" s="3795"/>
      <c r="G56" s="3870"/>
      <c r="H56" s="3871"/>
      <c r="I56" s="3871"/>
      <c r="J56" s="3872"/>
    </row>
    <row r="57" spans="1:16" ht="51.75" customHeight="1">
      <c r="A57" s="651">
        <v>2</v>
      </c>
      <c r="B57" s="3798" t="s">
        <v>332</v>
      </c>
      <c r="C57" s="3799"/>
      <c r="D57" s="3800"/>
      <c r="E57" s="3801">
        <v>95400</v>
      </c>
      <c r="F57" s="3801"/>
      <c r="G57" s="3802" t="s">
        <v>2038</v>
      </c>
      <c r="H57" s="3802"/>
      <c r="I57" s="3802"/>
      <c r="J57" s="674" t="s">
        <v>2039</v>
      </c>
    </row>
    <row r="58" spans="1:16" ht="29.25" customHeight="1">
      <c r="A58" s="651">
        <v>3</v>
      </c>
      <c r="B58" s="673" t="s">
        <v>2040</v>
      </c>
      <c r="C58" s="673"/>
      <c r="D58" s="673"/>
      <c r="E58" s="3803" t="s">
        <v>2041</v>
      </c>
      <c r="F58" s="3804"/>
      <c r="G58" s="3805" t="s">
        <v>2042</v>
      </c>
      <c r="H58" s="3805"/>
      <c r="I58" s="3805"/>
      <c r="J58" s="674"/>
    </row>
    <row r="59" spans="1:16" s="647" customFormat="1" ht="29.25" customHeight="1">
      <c r="A59" s="675">
        <v>4</v>
      </c>
      <c r="B59" s="3806" t="s">
        <v>2043</v>
      </c>
      <c r="C59" s="3807"/>
      <c r="D59" s="3808"/>
      <c r="E59" s="3809" t="s">
        <v>2041</v>
      </c>
      <c r="F59" s="3810"/>
      <c r="G59" s="3811" t="s">
        <v>2042</v>
      </c>
      <c r="H59" s="3812"/>
      <c r="I59" s="3812"/>
      <c r="J59" s="676"/>
      <c r="K59" s="653"/>
    </row>
    <row r="60" spans="1:16" s="647" customFormat="1" ht="42" customHeight="1">
      <c r="A60" s="651">
        <v>5</v>
      </c>
      <c r="B60" s="3806" t="s">
        <v>2044</v>
      </c>
      <c r="C60" s="3807"/>
      <c r="D60" s="3808"/>
      <c r="E60" s="3813">
        <v>23.89</v>
      </c>
      <c r="F60" s="3813"/>
      <c r="G60" s="3814" t="s">
        <v>2045</v>
      </c>
      <c r="H60" s="3815"/>
      <c r="I60" s="3816"/>
      <c r="J60" s="677" t="s">
        <v>2046</v>
      </c>
      <c r="K60" s="653"/>
    </row>
    <row r="61" spans="1:16" ht="55.5" customHeight="1">
      <c r="A61" s="651">
        <v>6</v>
      </c>
      <c r="B61" s="3806" t="s">
        <v>2047</v>
      </c>
      <c r="C61" s="3807"/>
      <c r="D61" s="3808"/>
      <c r="E61" s="3817" t="s">
        <v>2048</v>
      </c>
      <c r="F61" s="3818"/>
      <c r="G61" s="3819" t="s">
        <v>2049</v>
      </c>
      <c r="H61" s="3820"/>
      <c r="I61" s="3821"/>
      <c r="J61" s="677" t="s">
        <v>2050</v>
      </c>
      <c r="L61" s="652">
        <f>3.7*2500</f>
        <v>9250</v>
      </c>
    </row>
    <row r="62" spans="1:16" ht="120" customHeight="1">
      <c r="A62" s="651">
        <v>7</v>
      </c>
      <c r="B62" s="3806" t="s">
        <v>2051</v>
      </c>
      <c r="C62" s="3807"/>
      <c r="D62" s="3808"/>
      <c r="E62" s="3817" t="s">
        <v>2052</v>
      </c>
      <c r="F62" s="3818"/>
      <c r="G62" s="3811" t="s">
        <v>2053</v>
      </c>
      <c r="H62" s="3812"/>
      <c r="I62" s="3822"/>
      <c r="J62" s="674" t="s">
        <v>2054</v>
      </c>
    </row>
    <row r="63" spans="1:16" ht="57.75" customHeight="1">
      <c r="A63" s="651">
        <v>8</v>
      </c>
      <c r="B63" s="3806" t="s">
        <v>2055</v>
      </c>
      <c r="C63" s="3807"/>
      <c r="D63" s="3808"/>
      <c r="E63" s="3817" t="s">
        <v>2052</v>
      </c>
      <c r="F63" s="3818"/>
      <c r="G63" s="3811" t="s">
        <v>2053</v>
      </c>
      <c r="H63" s="3812"/>
      <c r="I63" s="3822"/>
      <c r="J63" s="674" t="s">
        <v>2056</v>
      </c>
    </row>
    <row r="64" spans="1:16" ht="26.25" customHeight="1">
      <c r="A64" s="651">
        <v>9</v>
      </c>
      <c r="B64" s="3806" t="s">
        <v>2057</v>
      </c>
      <c r="C64" s="3807"/>
      <c r="D64" s="3807"/>
      <c r="E64" s="3817" t="s">
        <v>2052</v>
      </c>
      <c r="F64" s="3818"/>
      <c r="G64" s="3811" t="s">
        <v>2058</v>
      </c>
      <c r="H64" s="3812"/>
      <c r="I64" s="3812"/>
      <c r="J64" s="725" t="s">
        <v>2059</v>
      </c>
    </row>
    <row r="65" spans="1:15" ht="24" customHeight="1">
      <c r="A65" s="651">
        <v>10</v>
      </c>
      <c r="B65" s="3806" t="s">
        <v>2060</v>
      </c>
      <c r="C65" s="3807"/>
      <c r="D65" s="3807"/>
      <c r="E65" s="3823" t="s">
        <v>2061</v>
      </c>
      <c r="F65" s="3824"/>
      <c r="G65" s="3811" t="s">
        <v>2053</v>
      </c>
      <c r="H65" s="3812"/>
      <c r="I65" s="3812"/>
      <c r="J65" s="725" t="s">
        <v>2062</v>
      </c>
    </row>
    <row r="66" spans="1:15" ht="31.5" customHeight="1">
      <c r="A66" s="651">
        <v>11</v>
      </c>
      <c r="B66" s="3806" t="s">
        <v>2063</v>
      </c>
      <c r="C66" s="3807"/>
      <c r="D66" s="3807"/>
      <c r="E66" s="3817" t="s">
        <v>2052</v>
      </c>
      <c r="F66" s="3818"/>
      <c r="G66" s="3811" t="s">
        <v>2064</v>
      </c>
      <c r="H66" s="3812"/>
      <c r="I66" s="3812"/>
      <c r="J66" s="725" t="s">
        <v>2065</v>
      </c>
    </row>
    <row r="67" spans="1:15" s="648" customFormat="1" ht="23.25" hidden="1" customHeight="1">
      <c r="A67" s="735">
        <v>12</v>
      </c>
      <c r="B67" s="3825" t="s">
        <v>2066</v>
      </c>
      <c r="C67" s="3826"/>
      <c r="D67" s="3826"/>
      <c r="E67" s="3823" t="s">
        <v>2061</v>
      </c>
      <c r="F67" s="3824"/>
      <c r="G67" s="3827" t="s">
        <v>2053</v>
      </c>
      <c r="H67" s="3828"/>
      <c r="I67" s="3828"/>
      <c r="J67" s="744" t="s">
        <v>2067</v>
      </c>
      <c r="K67" s="745"/>
    </row>
    <row r="68" spans="1:15" ht="20.25" customHeight="1">
      <c r="A68" s="651">
        <v>12</v>
      </c>
      <c r="B68" s="3806" t="s">
        <v>2068</v>
      </c>
      <c r="C68" s="3807"/>
      <c r="D68" s="3807"/>
      <c r="E68" s="3817" t="s">
        <v>2052</v>
      </c>
      <c r="F68" s="3818"/>
      <c r="G68" s="3811" t="s">
        <v>2053</v>
      </c>
      <c r="H68" s="3812"/>
      <c r="I68" s="3812"/>
      <c r="J68" s="725" t="s">
        <v>2069</v>
      </c>
      <c r="K68" s="746"/>
    </row>
    <row r="69" spans="1:15" ht="26.25" customHeight="1">
      <c r="A69" s="651">
        <v>13</v>
      </c>
      <c r="B69" s="3806" t="s">
        <v>2070</v>
      </c>
      <c r="C69" s="3807"/>
      <c r="D69" s="3807"/>
      <c r="E69" s="3817" t="s">
        <v>2052</v>
      </c>
      <c r="F69" s="3818"/>
      <c r="G69" s="3811" t="s">
        <v>2053</v>
      </c>
      <c r="H69" s="3812"/>
      <c r="I69" s="3812"/>
      <c r="J69" s="747" t="s">
        <v>2071</v>
      </c>
    </row>
    <row r="70" spans="1:15" ht="85.5" customHeight="1">
      <c r="B70" s="3829" t="s">
        <v>2072</v>
      </c>
      <c r="C70" s="3830"/>
      <c r="D70" s="3830"/>
      <c r="E70" s="3830"/>
      <c r="F70" s="3831"/>
      <c r="G70" s="3832">
        <f>ROUND(M70,2)</f>
        <v>1097.78</v>
      </c>
      <c r="H70" s="3833"/>
      <c r="I70" s="3834" t="s">
        <v>2073</v>
      </c>
      <c r="J70" s="3835"/>
      <c r="K70" s="719">
        <v>997.98</v>
      </c>
      <c r="L70" s="719">
        <v>1.1000000000000001</v>
      </c>
      <c r="M70" s="720">
        <f>K70*L70</f>
        <v>1097.778</v>
      </c>
    </row>
    <row r="71" spans="1:15" ht="13.8">
      <c r="B71" s="3836" t="s">
        <v>429</v>
      </c>
      <c r="C71" s="3837"/>
      <c r="D71" s="3837"/>
      <c r="E71" s="3837"/>
      <c r="F71" s="3838"/>
      <c r="G71" s="3839">
        <f>L12/12</f>
        <v>1</v>
      </c>
      <c r="H71" s="3839"/>
      <c r="I71" s="3840"/>
      <c r="J71" s="3841"/>
      <c r="K71" s="748"/>
      <c r="L71" s="652">
        <f>1.2*187.94</f>
        <v>225.52799999999999</v>
      </c>
    </row>
    <row r="72" spans="1:15" ht="18" customHeight="1">
      <c r="B72" s="3842" t="s">
        <v>2074</v>
      </c>
      <c r="C72" s="3842"/>
      <c r="D72" s="3842"/>
      <c r="E72" s="3842"/>
      <c r="F72" s="3842"/>
      <c r="G72" s="3842"/>
      <c r="H72" s="3842"/>
      <c r="I72" s="3843"/>
      <c r="J72" s="3843"/>
      <c r="K72" s="748"/>
    </row>
    <row r="73" spans="1:15" ht="13.8">
      <c r="B73" s="736" t="s">
        <v>2075</v>
      </c>
      <c r="C73" s="3843" t="s">
        <v>2076</v>
      </c>
      <c r="D73" s="3843"/>
      <c r="E73" s="3843"/>
      <c r="F73" s="3843"/>
      <c r="G73" s="3844" t="s">
        <v>2077</v>
      </c>
      <c r="H73" s="3844"/>
      <c r="I73" s="3840" t="s">
        <v>452</v>
      </c>
      <c r="J73" s="3841"/>
      <c r="K73" s="748"/>
      <c r="L73" s="749" t="s">
        <v>2078</v>
      </c>
      <c r="M73" s="749" t="s">
        <v>2077</v>
      </c>
    </row>
    <row r="74" spans="1:15" ht="13.8">
      <c r="B74" s="737">
        <v>1</v>
      </c>
      <c r="C74" s="3840" t="str">
        <f>"NIT. No. "&amp;L74</f>
        <v>NIT. No. Naryanpet Divn</v>
      </c>
      <c r="D74" s="3841"/>
      <c r="E74" s="3841"/>
      <c r="F74" s="3841"/>
      <c r="G74" s="3845">
        <f t="shared" ref="G74:G91" si="1">M74</f>
        <v>219.69</v>
      </c>
      <c r="H74" s="3845"/>
      <c r="I74" s="3840" t="s">
        <v>2079</v>
      </c>
      <c r="J74" s="3840"/>
      <c r="K74" s="748"/>
      <c r="L74" s="750" t="s">
        <v>2080</v>
      </c>
      <c r="M74" s="751">
        <v>219.69</v>
      </c>
      <c r="N74" s="752"/>
      <c r="O74" s="752"/>
    </row>
    <row r="75" spans="1:15" ht="13.8">
      <c r="B75" s="737">
        <v>2</v>
      </c>
      <c r="C75" s="3840" t="str">
        <f>"NIT. No. "&amp;L75</f>
        <v>NIT. No. Naryanpet Divn</v>
      </c>
      <c r="D75" s="3841"/>
      <c r="E75" s="3841"/>
      <c r="F75" s="3841"/>
      <c r="G75" s="3845">
        <f t="shared" si="1"/>
        <v>150</v>
      </c>
      <c r="H75" s="3845"/>
      <c r="I75" s="3840" t="s">
        <v>2079</v>
      </c>
      <c r="J75" s="3840"/>
      <c r="K75" s="748"/>
      <c r="L75" s="750" t="s">
        <v>2080</v>
      </c>
      <c r="M75" s="751">
        <v>150</v>
      </c>
    </row>
    <row r="76" spans="1:15" ht="13.8">
      <c r="B76" s="737">
        <v>3</v>
      </c>
      <c r="C76" s="3840" t="str">
        <f t="shared" ref="C76:C91" si="2">"NIT. No. "&amp;L76</f>
        <v>NIT. No. Naryanpet Divn</v>
      </c>
      <c r="D76" s="3841"/>
      <c r="E76" s="3841"/>
      <c r="F76" s="3841"/>
      <c r="G76" s="3845">
        <f t="shared" si="1"/>
        <v>67.17</v>
      </c>
      <c r="H76" s="3845"/>
      <c r="I76" s="3840" t="s">
        <v>2079</v>
      </c>
      <c r="J76" s="3840"/>
      <c r="K76" s="748"/>
      <c r="L76" s="750" t="s">
        <v>2080</v>
      </c>
      <c r="M76" s="751">
        <v>67.17</v>
      </c>
    </row>
    <row r="77" spans="1:15" ht="13.8" hidden="1">
      <c r="B77" s="737">
        <v>4</v>
      </c>
      <c r="C77" s="3840" t="str">
        <f t="shared" si="2"/>
        <v xml:space="preserve">NIT. No. </v>
      </c>
      <c r="D77" s="3841"/>
      <c r="E77" s="3841"/>
      <c r="F77" s="3841"/>
      <c r="G77" s="3845">
        <f t="shared" si="1"/>
        <v>0</v>
      </c>
      <c r="H77" s="3845"/>
      <c r="I77" s="3840" t="s">
        <v>2079</v>
      </c>
      <c r="J77" s="3840"/>
      <c r="K77" s="748"/>
      <c r="L77" s="753"/>
      <c r="M77" s="751"/>
    </row>
    <row r="78" spans="1:15" ht="13.8" hidden="1">
      <c r="B78" s="737">
        <v>5</v>
      </c>
      <c r="C78" s="3840" t="str">
        <f t="shared" si="2"/>
        <v xml:space="preserve">NIT. No. </v>
      </c>
      <c r="D78" s="3841"/>
      <c r="E78" s="3841"/>
      <c r="F78" s="3841"/>
      <c r="G78" s="3845">
        <f t="shared" si="1"/>
        <v>0</v>
      </c>
      <c r="H78" s="3845"/>
      <c r="I78" s="3840" t="s">
        <v>2079</v>
      </c>
      <c r="J78" s="3840"/>
      <c r="K78" s="748"/>
      <c r="L78" s="754"/>
      <c r="M78" s="755"/>
    </row>
    <row r="79" spans="1:15" ht="13.8" hidden="1">
      <c r="B79" s="737">
        <v>6</v>
      </c>
      <c r="C79" s="3840" t="str">
        <f t="shared" si="2"/>
        <v xml:space="preserve">NIT. No. </v>
      </c>
      <c r="D79" s="3841"/>
      <c r="E79" s="3841"/>
      <c r="F79" s="3841"/>
      <c r="G79" s="3845">
        <f t="shared" si="1"/>
        <v>0</v>
      </c>
      <c r="H79" s="3845"/>
      <c r="I79" s="3840" t="s">
        <v>2079</v>
      </c>
      <c r="J79" s="3840"/>
      <c r="K79" s="748"/>
      <c r="L79" s="754"/>
      <c r="M79" s="755"/>
    </row>
    <row r="80" spans="1:15" ht="13.8" hidden="1">
      <c r="B80" s="737">
        <v>7</v>
      </c>
      <c r="C80" s="3840" t="str">
        <f t="shared" si="2"/>
        <v xml:space="preserve">NIT. No. </v>
      </c>
      <c r="D80" s="3841"/>
      <c r="E80" s="3841"/>
      <c r="F80" s="3841"/>
      <c r="G80" s="3845">
        <f t="shared" si="1"/>
        <v>0</v>
      </c>
      <c r="H80" s="3845"/>
      <c r="I80" s="3840" t="s">
        <v>2079</v>
      </c>
      <c r="J80" s="3840"/>
      <c r="K80" s="748"/>
      <c r="L80" s="754"/>
      <c r="M80" s="755"/>
    </row>
    <row r="81" spans="2:13" ht="13.8" hidden="1">
      <c r="B81" s="737">
        <v>8</v>
      </c>
      <c r="C81" s="3840" t="str">
        <f t="shared" si="2"/>
        <v xml:space="preserve">NIT. No. </v>
      </c>
      <c r="D81" s="3841"/>
      <c r="E81" s="3841"/>
      <c r="F81" s="3841"/>
      <c r="G81" s="3845">
        <f t="shared" si="1"/>
        <v>0</v>
      </c>
      <c r="H81" s="3845"/>
      <c r="I81" s="3840" t="s">
        <v>2079</v>
      </c>
      <c r="J81" s="3840"/>
      <c r="K81" s="748"/>
      <c r="L81" s="754"/>
      <c r="M81" s="755"/>
    </row>
    <row r="82" spans="2:13" ht="13.8" hidden="1">
      <c r="B82" s="737">
        <v>9</v>
      </c>
      <c r="C82" s="3840" t="str">
        <f t="shared" si="2"/>
        <v xml:space="preserve">NIT. No. </v>
      </c>
      <c r="D82" s="3841"/>
      <c r="E82" s="3841"/>
      <c r="F82" s="3841"/>
      <c r="G82" s="3845">
        <f t="shared" si="1"/>
        <v>0</v>
      </c>
      <c r="H82" s="3845"/>
      <c r="I82" s="3840" t="s">
        <v>2079</v>
      </c>
      <c r="J82" s="3840"/>
      <c r="K82" s="748"/>
      <c r="L82" s="754"/>
      <c r="M82" s="755"/>
    </row>
    <row r="83" spans="2:13" ht="13.8" hidden="1">
      <c r="B83" s="737">
        <v>10</v>
      </c>
      <c r="C83" s="3840" t="str">
        <f t="shared" si="2"/>
        <v xml:space="preserve">NIT. No. </v>
      </c>
      <c r="D83" s="3841"/>
      <c r="E83" s="3841"/>
      <c r="F83" s="3841"/>
      <c r="G83" s="3845">
        <f t="shared" si="1"/>
        <v>0</v>
      </c>
      <c r="H83" s="3845"/>
      <c r="I83" s="3840" t="s">
        <v>2079</v>
      </c>
      <c r="J83" s="3840"/>
      <c r="K83" s="748"/>
      <c r="L83" s="754"/>
      <c r="M83" s="755"/>
    </row>
    <row r="84" spans="2:13" ht="13.8" hidden="1">
      <c r="B84" s="737">
        <v>11</v>
      </c>
      <c r="C84" s="3840" t="str">
        <f t="shared" si="2"/>
        <v xml:space="preserve">NIT. No. </v>
      </c>
      <c r="D84" s="3841"/>
      <c r="E84" s="3841"/>
      <c r="F84" s="3841"/>
      <c r="G84" s="3845">
        <f t="shared" si="1"/>
        <v>0</v>
      </c>
      <c r="H84" s="3845"/>
      <c r="I84" s="3840" t="s">
        <v>2079</v>
      </c>
      <c r="J84" s="3840"/>
      <c r="K84" s="748"/>
      <c r="L84" s="754"/>
      <c r="M84" s="755"/>
    </row>
    <row r="85" spans="2:13" ht="13.8" hidden="1">
      <c r="B85" s="737">
        <v>12</v>
      </c>
      <c r="C85" s="3840" t="str">
        <f t="shared" si="2"/>
        <v xml:space="preserve">NIT. No. </v>
      </c>
      <c r="D85" s="3841"/>
      <c r="E85" s="3841"/>
      <c r="F85" s="3841"/>
      <c r="G85" s="3845">
        <f t="shared" si="1"/>
        <v>0</v>
      </c>
      <c r="H85" s="3845"/>
      <c r="I85" s="3840" t="s">
        <v>2079</v>
      </c>
      <c r="J85" s="3840"/>
      <c r="K85" s="748"/>
      <c r="L85" s="754"/>
      <c r="M85" s="755"/>
    </row>
    <row r="86" spans="2:13" ht="13.8" hidden="1">
      <c r="B86" s="737">
        <v>13</v>
      </c>
      <c r="C86" s="3840" t="str">
        <f t="shared" si="2"/>
        <v xml:space="preserve">NIT. No. </v>
      </c>
      <c r="D86" s="3841"/>
      <c r="E86" s="3841"/>
      <c r="F86" s="3841"/>
      <c r="G86" s="3845">
        <f t="shared" si="1"/>
        <v>0</v>
      </c>
      <c r="H86" s="3845"/>
      <c r="I86" s="3840" t="s">
        <v>2079</v>
      </c>
      <c r="J86" s="3840"/>
      <c r="K86" s="748"/>
      <c r="L86" s="754"/>
      <c r="M86" s="755"/>
    </row>
    <row r="87" spans="2:13" ht="13.8" hidden="1">
      <c r="B87" s="737">
        <v>14</v>
      </c>
      <c r="C87" s="3840" t="str">
        <f t="shared" si="2"/>
        <v xml:space="preserve">NIT. No. </v>
      </c>
      <c r="D87" s="3841"/>
      <c r="E87" s="3841"/>
      <c r="F87" s="3841"/>
      <c r="G87" s="3845">
        <f t="shared" si="1"/>
        <v>0</v>
      </c>
      <c r="H87" s="3845"/>
      <c r="I87" s="3840" t="s">
        <v>2079</v>
      </c>
      <c r="J87" s="3840"/>
      <c r="K87" s="748"/>
      <c r="L87" s="754"/>
      <c r="M87" s="755"/>
    </row>
    <row r="88" spans="2:13" ht="13.8" hidden="1">
      <c r="B88" s="737">
        <v>15</v>
      </c>
      <c r="C88" s="3840" t="str">
        <f t="shared" si="2"/>
        <v xml:space="preserve">NIT. No. </v>
      </c>
      <c r="D88" s="3841"/>
      <c r="E88" s="3841"/>
      <c r="F88" s="3841"/>
      <c r="G88" s="3845">
        <f t="shared" si="1"/>
        <v>0</v>
      </c>
      <c r="H88" s="3845"/>
      <c r="I88" s="3840" t="s">
        <v>2079</v>
      </c>
      <c r="J88" s="3840"/>
      <c r="K88" s="748"/>
      <c r="L88" s="754"/>
      <c r="M88" s="755"/>
    </row>
    <row r="89" spans="2:13" ht="13.8" hidden="1">
      <c r="B89" s="737">
        <v>16</v>
      </c>
      <c r="C89" s="3840" t="str">
        <f t="shared" si="2"/>
        <v xml:space="preserve">NIT. No. </v>
      </c>
      <c r="D89" s="3841"/>
      <c r="E89" s="3841"/>
      <c r="F89" s="3841"/>
      <c r="G89" s="3845">
        <f t="shared" si="1"/>
        <v>0</v>
      </c>
      <c r="H89" s="3845"/>
      <c r="I89" s="3840" t="s">
        <v>2079</v>
      </c>
      <c r="J89" s="3840"/>
      <c r="K89" s="748"/>
      <c r="L89" s="754"/>
      <c r="M89" s="755"/>
    </row>
    <row r="90" spans="2:13" ht="13.8" hidden="1">
      <c r="B90" s="737">
        <v>17</v>
      </c>
      <c r="C90" s="3840" t="str">
        <f t="shared" si="2"/>
        <v xml:space="preserve">NIT. No. </v>
      </c>
      <c r="D90" s="3841"/>
      <c r="E90" s="3841"/>
      <c r="F90" s="3841"/>
      <c r="G90" s="3845">
        <f t="shared" si="1"/>
        <v>0</v>
      </c>
      <c r="H90" s="3845"/>
      <c r="I90" s="3840" t="s">
        <v>2079</v>
      </c>
      <c r="J90" s="3840"/>
      <c r="K90" s="748"/>
      <c r="L90" s="754"/>
      <c r="M90" s="755"/>
    </row>
    <row r="91" spans="2:13" ht="13.8" hidden="1">
      <c r="B91" s="737">
        <v>18</v>
      </c>
      <c r="C91" s="3840" t="str">
        <f t="shared" si="2"/>
        <v xml:space="preserve">NIT. No. </v>
      </c>
      <c r="D91" s="3841"/>
      <c r="E91" s="3841"/>
      <c r="F91" s="3841"/>
      <c r="G91" s="3845">
        <f t="shared" si="1"/>
        <v>0</v>
      </c>
      <c r="H91" s="3845"/>
      <c r="I91" s="3840" t="s">
        <v>2079</v>
      </c>
      <c r="J91" s="3840"/>
      <c r="K91" s="748"/>
      <c r="L91" s="754"/>
      <c r="M91" s="755"/>
    </row>
    <row r="92" spans="2:13" ht="21" customHeight="1">
      <c r="B92" s="3846" t="s">
        <v>2081</v>
      </c>
      <c r="C92" s="3846"/>
      <c r="D92" s="3846"/>
      <c r="E92" s="3846"/>
      <c r="F92" s="3846"/>
      <c r="G92" s="3847">
        <f>SUM(G74:H91)</f>
        <v>436.86</v>
      </c>
      <c r="H92" s="3847"/>
      <c r="I92" s="3840"/>
      <c r="J92" s="3841"/>
      <c r="K92" s="748"/>
      <c r="L92" s="754"/>
      <c r="M92" s="755"/>
    </row>
    <row r="93" spans="2:13" ht="47.25" customHeight="1">
      <c r="B93" s="3846" t="s">
        <v>2082</v>
      </c>
      <c r="C93" s="3846"/>
      <c r="D93" s="3846"/>
      <c r="E93" s="3846"/>
      <c r="F93" s="3846"/>
      <c r="G93" s="3848">
        <v>423.15</v>
      </c>
      <c r="H93" s="3849"/>
      <c r="I93" s="3850" t="s">
        <v>2083</v>
      </c>
      <c r="J93" s="3851"/>
      <c r="K93" s="748"/>
      <c r="L93" s="756" t="s">
        <v>2084</v>
      </c>
      <c r="M93" s="757">
        <v>96.644484800000001</v>
      </c>
    </row>
    <row r="94" spans="2:13" ht="15.75" customHeight="1">
      <c r="B94" s="3846" t="s">
        <v>2085</v>
      </c>
      <c r="C94" s="3846"/>
      <c r="D94" s="3846"/>
      <c r="E94" s="3846"/>
      <c r="F94" s="3846"/>
      <c r="G94" s="3852">
        <f>ROUND(G93+G92,2)</f>
        <v>860.01</v>
      </c>
      <c r="H94" s="3844"/>
      <c r="I94" s="3840"/>
      <c r="J94" s="3841"/>
      <c r="K94" s="748"/>
    </row>
    <row r="95" spans="2:13" ht="29.25" customHeight="1">
      <c r="B95" s="3846" t="str">
        <f>"Bid Capacity = 2x"&amp;G70&amp;"x"&amp;G71&amp;"-"&amp;G94</f>
        <v>Bid Capacity = 2x1097.78x1-860.01</v>
      </c>
      <c r="C95" s="3846"/>
      <c r="D95" s="3846"/>
      <c r="E95" s="3846"/>
      <c r="F95" s="3846"/>
      <c r="G95" s="3853">
        <f>ROUND(2*G70*G71-G94,20)</f>
        <v>1335.55</v>
      </c>
      <c r="H95" s="3853"/>
      <c r="I95" s="3854">
        <f>ROUND(L11/100000,2)</f>
        <v>77.38</v>
      </c>
      <c r="J95" s="3854"/>
      <c r="K95" s="652"/>
    </row>
    <row r="96" spans="2:13" ht="26.25" customHeight="1">
      <c r="B96" s="3842" t="str">
        <f>"Hence Assed Bid capacity is more than required, ie.,Rs."&amp;G95&amp;" Lakhs &gt; "&amp;I95&amp;" Lakhs"</f>
        <v>Hence Assed Bid capacity is more than required, ie.,Rs.1335.55 Lakhs &gt; 77.38 Lakhs</v>
      </c>
      <c r="C96" s="3842"/>
      <c r="D96" s="3842"/>
      <c r="E96" s="3842"/>
      <c r="F96" s="3842"/>
      <c r="G96" s="3842"/>
      <c r="H96" s="3842"/>
      <c r="I96" s="3842"/>
      <c r="J96" s="3842"/>
      <c r="L96" s="752"/>
      <c r="M96" s="752"/>
    </row>
    <row r="98" spans="1:72" ht="55.5" customHeight="1">
      <c r="B98" s="3754" t="str">
        <f>"                             The SE has recommended the "&amp;M12&amp;"  "&amp;L44&amp;"  qualified  bidder  of "&amp;B35&amp;"  for acceptance of the tender for above work  (NiT.No-"&amp;N9&amp;" ) at  "&amp;I35&amp;" than the estimate rates with SSR 2017-18 with a ECV of Rs:"&amp;E35&amp;".00   and  TCV of  Rs: "&amp;G35</f>
        <v xml:space="preserve">                             The SE has recommended the 1st Call.  Lowest  qualified  bidder  of Sri.J.Aswarthulu  for acceptance of the tender for above work  (NiT.No-- ) at  6.78% Less than the estimate rates with SSR 2017-18 with a ECV of Rs:7737566.00   and  TCV of  Rs: 8888001.24</v>
      </c>
      <c r="C98" s="3754"/>
      <c r="D98" s="3754"/>
      <c r="E98" s="3754"/>
      <c r="F98" s="3754"/>
      <c r="G98" s="3754"/>
      <c r="H98" s="3754"/>
      <c r="I98" s="3754"/>
      <c r="J98" s="3754"/>
    </row>
    <row r="99" spans="1:72" ht="86.25" hidden="1" customHeight="1">
      <c r="B99" s="3754" t="s">
        <v>2086</v>
      </c>
      <c r="C99" s="3754"/>
      <c r="D99" s="3754"/>
      <c r="E99" s="3754"/>
      <c r="F99" s="3754"/>
      <c r="G99" s="3754"/>
      <c r="H99" s="3754"/>
      <c r="I99" s="3754"/>
      <c r="J99" s="3754"/>
    </row>
    <row r="100" spans="1:72" ht="60.75" customHeight="1">
      <c r="B100" s="3754" t="str">
        <f>"                             As per the GoMs.NO 12 dt: 28-1-2015 of I&amp;CAD Dept. Govt. Of Telangana all the tender with a ECV up to Rs. 10.00 Cr. the  Chief Engineer is competent to  approve Tender, as this work ECV is Rs."&amp;E35&amp;".00 which is less than 10.00 Cr. Hence the  Engineer-in-Chief is competent for approve this tender."</f>
        <v xml:space="preserve">                             As per the GoMs.NO 12 dt: 28-1-2015 of I&amp;CAD Dept. Govt. Of Telangana all the tender with a ECV up to Rs. 10.00 Cr. the  Chief Engineer is competent to  approve Tender, as this work ECV is Rs.7737566.00 which is less than 10.00 Cr. Hence the  Engineer-in-Chief is competent for approve this tender.</v>
      </c>
      <c r="C100" s="3754"/>
      <c r="D100" s="3754"/>
      <c r="E100" s="3754"/>
      <c r="F100" s="3754"/>
      <c r="G100" s="3754"/>
      <c r="H100" s="3754"/>
      <c r="I100" s="3754"/>
      <c r="J100" s="3754"/>
    </row>
    <row r="101" spans="1:72" ht="27" customHeight="1">
      <c r="B101" s="3754" t="s">
        <v>2087</v>
      </c>
      <c r="C101" s="3754"/>
      <c r="D101" s="3754"/>
      <c r="E101" s="3754"/>
      <c r="F101" s="3754"/>
      <c r="G101" s="3754"/>
      <c r="H101" s="3754"/>
      <c r="I101" s="3754"/>
      <c r="J101" s="3754"/>
    </row>
    <row r="102" spans="1:72">
      <c r="B102" s="654"/>
      <c r="C102" s="654"/>
      <c r="D102" s="654"/>
      <c r="E102" s="654"/>
      <c r="F102" s="654"/>
      <c r="G102" s="654"/>
      <c r="H102" s="654"/>
      <c r="I102" s="654"/>
      <c r="J102" s="654"/>
    </row>
    <row r="103" spans="1:72">
      <c r="B103" s="654"/>
      <c r="C103" s="654"/>
      <c r="D103" s="654"/>
      <c r="E103" s="654"/>
      <c r="F103" s="654"/>
      <c r="G103" s="654"/>
      <c r="H103" s="654"/>
      <c r="I103" s="654"/>
      <c r="J103" s="654"/>
    </row>
    <row r="104" spans="1:72" ht="48.75" customHeight="1">
      <c r="B104" s="3856" t="s">
        <v>650</v>
      </c>
      <c r="C104" s="3856"/>
      <c r="D104" s="3856"/>
      <c r="E104" s="3856"/>
      <c r="F104" s="3856"/>
      <c r="G104" s="3856"/>
      <c r="H104" s="3856"/>
      <c r="I104" s="3856"/>
      <c r="J104" s="3856"/>
    </row>
    <row r="105" spans="1:72" ht="105" customHeight="1">
      <c r="B105" s="3857" t="str">
        <f>"           As per the pre page note orders the lowest tender of  "&amp;$B$35&amp;"  quoated at "&amp;I35&amp;"  then Estiamted rates  of "&amp;$M$13&amp;" for the ECV of Rs."&amp;$E$35&amp;".00 and with a TCV of Rs."&amp;G35&amp;" is apparoved  for NIt No. "&amp;$N$9&amp;"  online tender compartive statement and a draft memo to Superintending Engineer P.R "&amp;$L$6&amp;" for communicating the approved tender   is put up below for perusal and approval Sir,"</f>
        <v xml:space="preserve">           As per the pre page note orders the lowest tender of  Sri.J.Aswarthulu  quoated at 6.78% Less  then Estiamted rates  of SSR-2018-19 for the ECV of Rs.7737566.00 and with a TCV of Rs.8888001.24 is apparoved  for NIt No. -  online tender compartive statement and a draft memo to Superintending Engineer P.R Narayanpet for communicating the approved tender   is put up below for perusal and approval Sir,</v>
      </c>
      <c r="C105" s="3857"/>
      <c r="D105" s="3857"/>
      <c r="E105" s="3857"/>
      <c r="F105" s="3857"/>
      <c r="G105" s="3857"/>
      <c r="H105" s="3857"/>
      <c r="I105" s="3857"/>
      <c r="J105" s="3857"/>
    </row>
    <row r="106" spans="1:72" ht="38.25" customHeight="1">
      <c r="B106" s="654"/>
      <c r="C106" s="654"/>
      <c r="D106" s="654"/>
      <c r="E106" s="654"/>
      <c r="F106" s="656"/>
      <c r="G106" s="654"/>
      <c r="H106" s="654"/>
      <c r="I106" s="654"/>
      <c r="J106" s="654"/>
      <c r="BT106" s="652" t="s">
        <v>2088</v>
      </c>
    </row>
    <row r="108" spans="1:72" ht="21" customHeight="1">
      <c r="A108" s="738"/>
      <c r="B108" s="3858" t="s">
        <v>677</v>
      </c>
      <c r="C108" s="3858"/>
      <c r="D108" s="3858"/>
      <c r="E108" s="3858"/>
      <c r="F108" s="3858"/>
      <c r="G108" s="3858"/>
      <c r="H108" s="3858"/>
      <c r="I108" s="3858"/>
      <c r="J108" s="3858"/>
    </row>
    <row r="109" spans="1:72" ht="26.25" customHeight="1">
      <c r="B109" s="3858" t="s">
        <v>2089</v>
      </c>
      <c r="C109" s="3858"/>
      <c r="D109" s="3858"/>
      <c r="E109" s="3858"/>
      <c r="F109" s="3858"/>
      <c r="G109" s="3858"/>
      <c r="H109" s="3858"/>
      <c r="I109" s="3858"/>
      <c r="J109" s="3858"/>
    </row>
    <row r="110" spans="1:72" ht="21" customHeight="1">
      <c r="B110" s="3859" t="str">
        <f>"Memo No."&amp;$L$2&amp;"-Tender,"&amp;$R$2</f>
        <v>Memo No.W11/DEE-III/Vkb-0-SDF-GoRT.No.0-Sl.No-0/2017-18-Tender,  Dt:  - 9-2018</v>
      </c>
      <c r="C110" s="3859"/>
      <c r="D110" s="3859"/>
      <c r="E110" s="3859"/>
      <c r="F110" s="3859"/>
      <c r="G110" s="3859"/>
      <c r="H110" s="3859"/>
      <c r="I110" s="3859"/>
      <c r="J110" s="3859"/>
    </row>
    <row r="111" spans="1:72" ht="52.5" customHeight="1">
      <c r="B111" s="739" t="s">
        <v>679</v>
      </c>
      <c r="C111" s="3754" t="str">
        <f>"PR Circle-"&amp;$L$7&amp;"-Dist:"&amp;$L$6&amp;"-"&amp;$L$9&amp;"-"&amp;$K$9&amp;"-"&amp;$L$10&amp;" - "&amp;$L$3&amp;"- Estt.Cost.Rs."&amp;$L$4&amp;".00 Lakhs approval of tender communicated - regarding"</f>
        <v>PR Circle-Vikarabad-Dist:Narayanpet-0-SDF-2024-25 - BT Renewal from Balabadraipally to Danamma Thanda of Gundumal Mandal in Narayanpet District - Estt.Cost.Rs.96.15.00 Lakhs approval of tender communicated - regarding</v>
      </c>
      <c r="D111" s="3754"/>
      <c r="E111" s="3754"/>
      <c r="F111" s="3754"/>
      <c r="G111" s="3754"/>
      <c r="H111" s="3754"/>
      <c r="I111" s="3754"/>
      <c r="J111" s="3754"/>
      <c r="L111" s="652" t="s">
        <v>2090</v>
      </c>
    </row>
    <row r="112" spans="1:72" ht="31.5" customHeight="1">
      <c r="B112" s="740" t="s">
        <v>680</v>
      </c>
      <c r="C112" s="3860" t="str">
        <f>$C$16</f>
        <v>1).GoRt.No.0 dt:0 of  PR&amp;RD (Prog-I)Dept, of Govt. Of Telangana-Sl.No.0</v>
      </c>
      <c r="D112" s="3860"/>
      <c r="E112" s="3860"/>
      <c r="F112" s="3860"/>
      <c r="G112" s="3860"/>
      <c r="H112" s="3860"/>
      <c r="I112" s="3860"/>
      <c r="J112" s="3860"/>
    </row>
    <row r="113" spans="1:13" ht="28.5" customHeight="1">
      <c r="B113" s="707"/>
      <c r="C113" s="3884" t="str">
        <f>$C$17</f>
        <v>2).SE,PR Vkb, NIT.No.- Dt: 18-8-.2018 for 1st  Call</v>
      </c>
      <c r="D113" s="3884"/>
      <c r="E113" s="3884"/>
      <c r="F113" s="3884"/>
      <c r="G113" s="3884"/>
      <c r="H113" s="3884"/>
      <c r="I113" s="3884"/>
      <c r="J113" s="3884"/>
    </row>
    <row r="114" spans="1:13" ht="14.25" customHeight="1">
      <c r="B114" s="655"/>
      <c r="C114" s="3884" t="str">
        <f>$C$18</f>
        <v>3). SE,PR,Vkb-Lr.No.T3/737/CRR/Guntipally/2017-18, dt:  29.3.2018</v>
      </c>
      <c r="D114" s="3884"/>
      <c r="E114" s="3884"/>
      <c r="F114" s="3884"/>
      <c r="G114" s="3884"/>
      <c r="H114" s="3884"/>
      <c r="I114" s="3884"/>
      <c r="J114" s="3884"/>
      <c r="K114" s="707"/>
    </row>
    <row r="115" spans="1:13" ht="14.25" customHeight="1">
      <c r="B115" s="655"/>
      <c r="C115" s="3884" t="s">
        <v>2091</v>
      </c>
      <c r="D115" s="3884"/>
      <c r="E115" s="3884"/>
      <c r="F115" s="3884"/>
      <c r="G115" s="3884"/>
      <c r="H115" s="3884"/>
      <c r="I115" s="3884"/>
      <c r="J115" s="3884"/>
      <c r="K115" s="707"/>
    </row>
    <row r="116" spans="1:13" ht="14.25" customHeight="1">
      <c r="B116" s="655"/>
      <c r="C116" s="741"/>
      <c r="D116" s="741"/>
      <c r="E116" s="741"/>
      <c r="F116" s="741"/>
      <c r="G116" s="741"/>
      <c r="H116" s="741"/>
      <c r="I116" s="741"/>
      <c r="J116" s="741"/>
      <c r="K116" s="707"/>
    </row>
    <row r="117" spans="1:13" ht="19.5" customHeight="1">
      <c r="B117" s="707"/>
      <c r="C117" s="707"/>
      <c r="D117" s="707"/>
      <c r="E117" s="707"/>
      <c r="F117" s="707" t="s">
        <v>681</v>
      </c>
      <c r="G117" s="707"/>
      <c r="H117" s="707"/>
      <c r="I117" s="707"/>
      <c r="J117" s="707"/>
    </row>
    <row r="118" spans="1:13" ht="90" customHeight="1">
      <c r="B118" s="3855" t="str">
        <f>"                The "&amp;$L$44&amp;" qualified tender of "&amp;$B$35&amp;"  for the work  "&amp;$L$3&amp;" , Estt. Rs. "&amp;L4&amp;".00 Lakhs  is accepted at "&amp;$I$35&amp;" than the Estimated rates with "&amp;$M$13&amp;", for Tender Contract Value of   Rs."&amp;$G$35&amp;"  incuding 5 years maintanance charges as recommended by the Superintending Engineer, (PR),"&amp;$L$7&amp;"  through the reference 3rd&amp;4th cited  above.  in "&amp;M12</f>
        <v xml:space="preserve">                The Lowest qualified tender of Sri.J.Aswarthulu  for the work  BT Renewal from Balabadraipally to Danamma Thanda of Gundumal Mandal in Narayanpet District  , Estt. Rs. 96.15.00 Lakhs  is accepted at 6.78% Less than the Estimated rates with SSR-2018-19, for Tender Contract Value of   Rs.8888001.24  incuding 5 years maintanance charges as recommended by the Superintending Engineer, (PR),Vikarabad  through the reference 3rd&amp;4th cited  above.  in 1st Call.</v>
      </c>
      <c r="C118" s="3855"/>
      <c r="D118" s="3855"/>
      <c r="E118" s="3855"/>
      <c r="F118" s="3855"/>
      <c r="G118" s="3855"/>
      <c r="H118" s="3855"/>
      <c r="I118" s="3855"/>
      <c r="J118" s="3855"/>
      <c r="M118" s="707"/>
    </row>
    <row r="119" spans="1:13" ht="93.75" customHeight="1">
      <c r="B119" s="3855" t="s">
        <v>2092</v>
      </c>
      <c r="C119" s="3855"/>
      <c r="D119" s="3855"/>
      <c r="E119" s="3855"/>
      <c r="F119" s="3855"/>
      <c r="G119" s="3855"/>
      <c r="H119" s="3855"/>
      <c r="I119" s="3855"/>
      <c r="J119" s="3855"/>
      <c r="M119" s="707"/>
    </row>
    <row r="120" spans="1:13" ht="57.75" customHeight="1">
      <c r="B120" s="3855" t="s">
        <v>2093</v>
      </c>
      <c r="C120" s="3855"/>
      <c r="D120" s="3855"/>
      <c r="E120" s="3855"/>
      <c r="F120" s="3855"/>
      <c r="G120" s="3855"/>
      <c r="H120" s="3855"/>
      <c r="I120" s="3855"/>
      <c r="J120" s="3855"/>
      <c r="M120" s="707"/>
    </row>
    <row r="121" spans="1:13" ht="35.25" customHeight="1">
      <c r="A121" s="743" t="s">
        <v>682</v>
      </c>
      <c r="B121" s="3855" t="s">
        <v>2094</v>
      </c>
      <c r="C121" s="3855"/>
      <c r="D121" s="3855"/>
      <c r="E121" s="3855"/>
      <c r="F121" s="3855"/>
      <c r="G121" s="3855"/>
      <c r="H121" s="3855"/>
      <c r="I121" s="3855"/>
      <c r="J121" s="3855"/>
      <c r="M121" s="707"/>
    </row>
    <row r="122" spans="1:13" ht="103.5" customHeight="1">
      <c r="A122" s="743" t="s">
        <v>684</v>
      </c>
      <c r="B122" s="3855" t="s">
        <v>2095</v>
      </c>
      <c r="C122" s="3855"/>
      <c r="D122" s="3855"/>
      <c r="E122" s="3855"/>
      <c r="F122" s="3855"/>
      <c r="G122" s="3855"/>
      <c r="H122" s="3855"/>
      <c r="I122" s="3855"/>
      <c r="J122" s="3855"/>
    </row>
    <row r="123" spans="1:13" ht="40.5" customHeight="1">
      <c r="A123" s="743" t="s">
        <v>686</v>
      </c>
      <c r="B123" s="3855" t="s">
        <v>2096</v>
      </c>
      <c r="C123" s="3855"/>
      <c r="D123" s="3855"/>
      <c r="E123" s="3855"/>
      <c r="F123" s="3855"/>
      <c r="G123" s="3855"/>
      <c r="H123" s="3855"/>
      <c r="I123" s="3855"/>
      <c r="J123" s="3855"/>
    </row>
    <row r="124" spans="1:13" ht="51.75" customHeight="1">
      <c r="A124" s="743" t="s">
        <v>688</v>
      </c>
      <c r="B124" s="3855" t="s">
        <v>2097</v>
      </c>
      <c r="C124" s="3855"/>
      <c r="D124" s="3855"/>
      <c r="E124" s="3855"/>
      <c r="F124" s="3855"/>
      <c r="G124" s="3855"/>
      <c r="H124" s="3855"/>
      <c r="I124" s="3855"/>
      <c r="J124" s="3855"/>
    </row>
    <row r="125" spans="1:13" s="649" customFormat="1" ht="62.25" customHeight="1">
      <c r="A125" s="743" t="s">
        <v>690</v>
      </c>
      <c r="B125" s="3855" t="s">
        <v>2098</v>
      </c>
      <c r="C125" s="3855"/>
      <c r="D125" s="3855"/>
      <c r="E125" s="3855"/>
      <c r="F125" s="3855"/>
      <c r="G125" s="3855"/>
      <c r="H125" s="3855"/>
      <c r="I125" s="3855"/>
      <c r="J125" s="3855"/>
      <c r="K125" s="758"/>
    </row>
    <row r="126" spans="1:13" s="649" customFormat="1" ht="37.5" customHeight="1">
      <c r="A126" s="743" t="s">
        <v>692</v>
      </c>
      <c r="B126" s="3855" t="s">
        <v>2099</v>
      </c>
      <c r="C126" s="3855"/>
      <c r="D126" s="3855"/>
      <c r="E126" s="3855"/>
      <c r="F126" s="3855"/>
      <c r="G126" s="3855"/>
      <c r="H126" s="3855"/>
      <c r="I126" s="3855"/>
      <c r="J126" s="3855"/>
      <c r="K126" s="758"/>
    </row>
    <row r="127" spans="1:13" s="649" customFormat="1" ht="78" customHeight="1">
      <c r="A127" s="743" t="s">
        <v>694</v>
      </c>
      <c r="B127" s="3855" t="s">
        <v>2100</v>
      </c>
      <c r="C127" s="3855"/>
      <c r="D127" s="3855"/>
      <c r="E127" s="3855"/>
      <c r="F127" s="3855"/>
      <c r="G127" s="3855"/>
      <c r="H127" s="3855"/>
      <c r="I127" s="3855"/>
      <c r="J127" s="3855"/>
      <c r="K127" s="758"/>
    </row>
    <row r="128" spans="1:13" s="649" customFormat="1" ht="58.5" customHeight="1">
      <c r="A128" s="743" t="s">
        <v>696</v>
      </c>
      <c r="B128" s="3855" t="s">
        <v>2101</v>
      </c>
      <c r="C128" s="3855"/>
      <c r="D128" s="3855"/>
      <c r="E128" s="3855"/>
      <c r="F128" s="3855"/>
      <c r="G128" s="3855"/>
      <c r="H128" s="3855"/>
      <c r="I128" s="3855"/>
      <c r="J128" s="3855"/>
      <c r="K128" s="758"/>
    </row>
    <row r="129" spans="1:30" ht="28.5" customHeight="1">
      <c r="A129" s="743" t="s">
        <v>2102</v>
      </c>
      <c r="B129" s="3855" t="s">
        <v>2103</v>
      </c>
      <c r="C129" s="3855"/>
      <c r="D129" s="3855"/>
      <c r="E129" s="3855"/>
      <c r="F129" s="3855"/>
      <c r="G129" s="3855"/>
      <c r="H129" s="3855"/>
      <c r="I129" s="3855"/>
      <c r="J129" s="3855"/>
    </row>
    <row r="130" spans="1:30" s="650" customFormat="1" ht="26.25" customHeight="1">
      <c r="A130" s="743" t="s">
        <v>2104</v>
      </c>
      <c r="B130" s="3855" t="s">
        <v>2105</v>
      </c>
      <c r="C130" s="3855"/>
      <c r="D130" s="3855"/>
      <c r="E130" s="3855"/>
      <c r="F130" s="3855"/>
      <c r="G130" s="3855"/>
      <c r="H130" s="3855"/>
      <c r="I130" s="3855"/>
      <c r="J130" s="3855"/>
      <c r="L130" s="3855"/>
      <c r="M130" s="3855"/>
      <c r="N130" s="3855"/>
      <c r="O130" s="3855"/>
      <c r="P130" s="3855"/>
      <c r="Q130" s="3855"/>
      <c r="R130" s="3855"/>
      <c r="S130" s="3855"/>
      <c r="T130" s="3855"/>
      <c r="U130" s="652"/>
      <c r="V130" s="652"/>
      <c r="W130" s="652"/>
      <c r="X130" s="652"/>
      <c r="Y130" s="652"/>
      <c r="Z130" s="652"/>
      <c r="AA130" s="652"/>
      <c r="AB130" s="652"/>
      <c r="AC130" s="652"/>
      <c r="AD130" s="652"/>
    </row>
    <row r="131" spans="1:30" s="650" customFormat="1" ht="33.75" customHeight="1">
      <c r="A131" s="743" t="s">
        <v>2106</v>
      </c>
      <c r="B131" s="3855" t="s">
        <v>2107</v>
      </c>
      <c r="C131" s="3855"/>
      <c r="D131" s="3855"/>
      <c r="E131" s="3855"/>
      <c r="F131" s="3855"/>
      <c r="G131" s="3855"/>
      <c r="H131" s="3855"/>
      <c r="I131" s="3855"/>
      <c r="J131" s="3855"/>
      <c r="L131" s="742"/>
      <c r="M131" s="742"/>
      <c r="N131" s="742"/>
      <c r="O131" s="742"/>
      <c r="P131" s="742"/>
      <c r="Q131" s="742"/>
      <c r="R131" s="742"/>
      <c r="S131" s="742"/>
      <c r="T131" s="742"/>
      <c r="U131" s="652"/>
      <c r="V131" s="652"/>
      <c r="W131" s="652"/>
      <c r="X131" s="652"/>
      <c r="Y131" s="652"/>
      <c r="Z131" s="652"/>
      <c r="AA131" s="652"/>
      <c r="AB131" s="652"/>
      <c r="AC131" s="652"/>
      <c r="AD131" s="652"/>
    </row>
    <row r="132" spans="1:30" s="650" customFormat="1" ht="28.5" customHeight="1">
      <c r="A132" s="743"/>
      <c r="B132" s="3860" t="s">
        <v>2108</v>
      </c>
      <c r="C132" s="3860"/>
      <c r="D132" s="3860"/>
      <c r="E132" s="3860"/>
      <c r="F132" s="3860"/>
      <c r="G132" s="3860"/>
      <c r="H132" s="3860"/>
      <c r="I132" s="3860"/>
      <c r="J132" s="3860"/>
      <c r="L132" s="3855"/>
      <c r="M132" s="3855"/>
      <c r="N132" s="3855"/>
      <c r="O132" s="3855"/>
      <c r="P132" s="3855"/>
      <c r="Q132" s="3855"/>
      <c r="R132" s="3855"/>
      <c r="S132" s="3855"/>
      <c r="T132" s="3855"/>
      <c r="U132" s="652"/>
      <c r="V132" s="652"/>
      <c r="W132" s="652"/>
      <c r="X132" s="652"/>
      <c r="Y132" s="652"/>
      <c r="Z132" s="652"/>
      <c r="AA132" s="652"/>
      <c r="AB132" s="652"/>
      <c r="AC132" s="652"/>
      <c r="AD132" s="652"/>
    </row>
    <row r="133" spans="1:30" s="650" customFormat="1" ht="38.25" customHeight="1">
      <c r="A133" s="743"/>
      <c r="B133" s="3855" t="s">
        <v>2109</v>
      </c>
      <c r="C133" s="3855"/>
      <c r="D133" s="3855"/>
      <c r="E133" s="3855"/>
      <c r="F133" s="3855"/>
      <c r="G133" s="3855"/>
      <c r="H133" s="3855"/>
      <c r="I133" s="3855"/>
      <c r="J133" s="3855"/>
      <c r="L133" s="652"/>
      <c r="M133" s="652"/>
      <c r="N133" s="652"/>
      <c r="O133" s="652"/>
      <c r="P133" s="652"/>
      <c r="Q133" s="652"/>
      <c r="R133" s="652"/>
      <c r="S133" s="652"/>
      <c r="T133" s="652"/>
      <c r="U133" s="652"/>
      <c r="V133" s="652"/>
      <c r="W133" s="652"/>
      <c r="X133" s="652"/>
      <c r="Y133" s="652"/>
      <c r="Z133" s="652"/>
      <c r="AA133" s="652"/>
      <c r="AB133" s="652"/>
      <c r="AC133" s="652"/>
      <c r="AD133" s="652"/>
    </row>
    <row r="134" spans="1:30" s="650" customFormat="1" ht="13.8">
      <c r="A134" s="651"/>
      <c r="B134" s="707"/>
      <c r="C134" s="707"/>
      <c r="D134" s="707"/>
      <c r="E134" s="707"/>
      <c r="F134" s="707"/>
      <c r="G134" s="707"/>
      <c r="H134" s="759" t="s">
        <v>2110</v>
      </c>
      <c r="I134" s="707"/>
      <c r="J134" s="707"/>
      <c r="L134" s="652"/>
      <c r="M134" s="652"/>
      <c r="N134" s="652"/>
      <c r="O134" s="652"/>
      <c r="P134" s="652"/>
      <c r="Q134" s="652"/>
      <c r="R134" s="652"/>
      <c r="S134" s="652"/>
      <c r="T134" s="652"/>
      <c r="U134" s="652"/>
      <c r="V134" s="652"/>
      <c r="W134" s="652"/>
      <c r="X134" s="652"/>
      <c r="Y134" s="652"/>
      <c r="Z134" s="652"/>
      <c r="AA134" s="652"/>
      <c r="AB134" s="652"/>
      <c r="AC134" s="652"/>
      <c r="AD134" s="652"/>
    </row>
    <row r="135" spans="1:30" s="650" customFormat="1" ht="13.8">
      <c r="A135" s="651"/>
      <c r="B135" s="707"/>
      <c r="C135" s="707"/>
      <c r="D135" s="707"/>
      <c r="E135" s="707"/>
      <c r="F135" s="707"/>
      <c r="G135" s="707"/>
      <c r="H135" s="760" t="s">
        <v>2111</v>
      </c>
      <c r="I135" s="707"/>
      <c r="J135" s="707"/>
      <c r="L135" s="652"/>
      <c r="M135" s="652"/>
      <c r="N135" s="652"/>
      <c r="O135" s="652"/>
      <c r="P135" s="652"/>
      <c r="Q135" s="652"/>
      <c r="R135" s="652"/>
      <c r="S135" s="652"/>
      <c r="T135" s="652"/>
      <c r="U135" s="652"/>
      <c r="V135" s="652"/>
      <c r="W135" s="652"/>
      <c r="X135" s="652"/>
      <c r="Y135" s="652"/>
      <c r="Z135" s="652"/>
      <c r="AA135" s="652"/>
      <c r="AB135" s="652"/>
      <c r="AC135" s="652"/>
      <c r="AD135" s="652"/>
    </row>
    <row r="136" spans="1:30" s="650" customFormat="1" ht="13.8">
      <c r="A136" s="651"/>
      <c r="B136" s="707"/>
      <c r="C136" s="707"/>
      <c r="D136" s="707"/>
      <c r="E136" s="707"/>
      <c r="F136" s="707"/>
      <c r="G136" s="707"/>
      <c r="H136" s="760" t="s">
        <v>2112</v>
      </c>
      <c r="I136" s="707"/>
      <c r="J136" s="707"/>
      <c r="L136" s="652"/>
      <c r="M136" s="652"/>
      <c r="N136" s="652"/>
      <c r="O136" s="652"/>
      <c r="P136" s="652"/>
      <c r="Q136" s="652"/>
      <c r="R136" s="652"/>
      <c r="S136" s="652"/>
      <c r="T136" s="652"/>
      <c r="U136" s="652"/>
      <c r="V136" s="652"/>
      <c r="W136" s="652"/>
      <c r="X136" s="652"/>
      <c r="Y136" s="652"/>
      <c r="Z136" s="652"/>
      <c r="AA136" s="652"/>
      <c r="AB136" s="652"/>
      <c r="AC136" s="652"/>
      <c r="AD136" s="652"/>
    </row>
    <row r="137" spans="1:30" s="650" customFormat="1" ht="20.25" customHeight="1">
      <c r="A137" s="651"/>
      <c r="B137" s="707" t="s">
        <v>704</v>
      </c>
      <c r="C137" s="707"/>
      <c r="D137" s="707"/>
      <c r="E137" s="707"/>
      <c r="F137" s="707"/>
      <c r="G137" s="707"/>
      <c r="H137" s="760" t="s">
        <v>2113</v>
      </c>
      <c r="I137" s="761"/>
      <c r="J137" s="707"/>
      <c r="L137" s="652"/>
      <c r="M137" s="652"/>
      <c r="N137" s="652"/>
      <c r="O137" s="652"/>
      <c r="P137" s="652"/>
      <c r="Q137" s="652"/>
      <c r="R137" s="652"/>
      <c r="S137" s="652"/>
      <c r="T137" s="652"/>
      <c r="U137" s="652"/>
      <c r="V137" s="652"/>
      <c r="W137" s="652"/>
      <c r="X137" s="652"/>
      <c r="Y137" s="652"/>
      <c r="Z137" s="652"/>
      <c r="AA137" s="652"/>
      <c r="AB137" s="652"/>
      <c r="AC137" s="652"/>
      <c r="AD137" s="652"/>
    </row>
    <row r="138" spans="1:30" s="650" customFormat="1" ht="19.5" customHeight="1">
      <c r="A138" s="651"/>
      <c r="B138" s="707" t="str">
        <f>"The Superintending Engineer (PR), "&amp;$L$7</f>
        <v>The Superintending Engineer (PR), Vikarabad</v>
      </c>
      <c r="C138" s="707"/>
      <c r="D138" s="707"/>
      <c r="E138" s="707"/>
      <c r="F138" s="707"/>
      <c r="G138" s="707"/>
      <c r="H138" s="761"/>
      <c r="I138" s="707"/>
      <c r="J138" s="707"/>
      <c r="L138" s="652"/>
      <c r="M138" s="652"/>
      <c r="N138" s="652"/>
      <c r="O138" s="652"/>
      <c r="P138" s="652"/>
      <c r="Q138" s="652"/>
      <c r="R138" s="652"/>
      <c r="S138" s="652"/>
      <c r="T138" s="652"/>
      <c r="U138" s="652"/>
      <c r="V138" s="652"/>
      <c r="W138" s="652"/>
      <c r="X138" s="652"/>
      <c r="Y138" s="652"/>
      <c r="Z138" s="652"/>
      <c r="AA138" s="652"/>
      <c r="AB138" s="652"/>
      <c r="AC138" s="652"/>
      <c r="AD138" s="652"/>
    </row>
    <row r="139" spans="1:30" s="650" customFormat="1" ht="13.8">
      <c r="A139" s="651"/>
      <c r="B139" s="707"/>
      <c r="C139" s="707"/>
      <c r="D139" s="762"/>
      <c r="E139" s="762"/>
      <c r="F139" s="762"/>
      <c r="G139" s="762"/>
      <c r="H139" s="761"/>
      <c r="I139" s="762"/>
      <c r="J139" s="762"/>
      <c r="L139" s="652"/>
      <c r="M139" s="652"/>
      <c r="N139" s="652"/>
      <c r="O139" s="652"/>
      <c r="P139" s="652"/>
      <c r="Q139" s="652"/>
      <c r="R139" s="652"/>
      <c r="S139" s="652"/>
      <c r="T139" s="652"/>
      <c r="U139" s="652"/>
      <c r="V139" s="652"/>
      <c r="W139" s="652"/>
      <c r="X139" s="652"/>
      <c r="Y139" s="652"/>
      <c r="Z139" s="652"/>
      <c r="AA139" s="652"/>
      <c r="AB139" s="652"/>
      <c r="AC139" s="652"/>
      <c r="AD139" s="652"/>
    </row>
    <row r="140" spans="1:30" s="650" customFormat="1" ht="13.8">
      <c r="A140" s="651"/>
      <c r="B140" s="707"/>
      <c r="C140" s="707"/>
      <c r="D140" s="762"/>
      <c r="E140" s="762"/>
      <c r="F140" s="762"/>
      <c r="G140" s="762"/>
      <c r="H140" s="761"/>
      <c r="I140" s="762"/>
      <c r="J140" s="762"/>
      <c r="L140" s="652"/>
      <c r="M140" s="652"/>
      <c r="N140" s="652"/>
      <c r="O140" s="652"/>
      <c r="P140" s="652"/>
      <c r="Q140" s="652"/>
      <c r="R140" s="652"/>
      <c r="S140" s="652"/>
      <c r="T140" s="652"/>
      <c r="U140" s="652"/>
      <c r="V140" s="652"/>
      <c r="W140" s="652"/>
      <c r="X140" s="652"/>
      <c r="Y140" s="652"/>
      <c r="Z140" s="652"/>
      <c r="AA140" s="652"/>
      <c r="AB140" s="652"/>
      <c r="AC140" s="652"/>
      <c r="AD140" s="652"/>
    </row>
    <row r="141" spans="1:30" s="650" customFormat="1" ht="13.8">
      <c r="A141" s="651"/>
      <c r="B141" s="707"/>
      <c r="C141" s="707"/>
      <c r="D141" s="762"/>
      <c r="E141" s="762"/>
      <c r="F141" s="763"/>
      <c r="G141" s="763"/>
      <c r="H141" s="759" t="s">
        <v>705</v>
      </c>
      <c r="I141" s="763"/>
      <c r="J141" s="763"/>
      <c r="L141" s="652"/>
      <c r="M141" s="652"/>
      <c r="N141" s="652"/>
      <c r="O141" s="652"/>
      <c r="P141" s="652"/>
      <c r="Q141" s="652"/>
      <c r="R141" s="652"/>
      <c r="S141" s="652"/>
      <c r="T141" s="652"/>
      <c r="U141" s="652"/>
      <c r="V141" s="652"/>
      <c r="W141" s="652"/>
      <c r="X141" s="652"/>
      <c r="Y141" s="652"/>
      <c r="Z141" s="652"/>
      <c r="AA141" s="652"/>
      <c r="AB141" s="652"/>
      <c r="AC141" s="652"/>
      <c r="AD141" s="652"/>
    </row>
    <row r="142" spans="1:30" s="650" customFormat="1" ht="13.8">
      <c r="A142" s="651"/>
      <c r="B142" s="707"/>
      <c r="C142" s="707"/>
      <c r="D142" s="762"/>
      <c r="E142" s="762"/>
      <c r="F142" s="763"/>
      <c r="G142" s="763"/>
      <c r="H142" s="759"/>
      <c r="I142" s="763"/>
      <c r="J142" s="763"/>
      <c r="L142" s="652"/>
      <c r="M142" s="652"/>
      <c r="N142" s="652"/>
      <c r="O142" s="652"/>
      <c r="P142" s="652"/>
      <c r="Q142" s="652"/>
      <c r="R142" s="652"/>
      <c r="S142" s="652"/>
      <c r="T142" s="652"/>
      <c r="U142" s="652"/>
      <c r="V142" s="652"/>
      <c r="W142" s="652"/>
      <c r="X142" s="652"/>
      <c r="Y142" s="652"/>
      <c r="Z142" s="652"/>
      <c r="AA142" s="652"/>
      <c r="AB142" s="652"/>
      <c r="AC142" s="652"/>
      <c r="AD142" s="652"/>
    </row>
    <row r="143" spans="1:30" s="650" customFormat="1" ht="13.8">
      <c r="A143" s="651"/>
      <c r="B143" s="761"/>
      <c r="C143" s="761"/>
      <c r="D143" s="761"/>
      <c r="E143" s="761"/>
      <c r="F143" s="764"/>
      <c r="G143" s="764"/>
      <c r="H143" s="759"/>
      <c r="I143" s="766"/>
      <c r="J143" s="766"/>
      <c r="L143" s="652"/>
      <c r="M143" s="652"/>
      <c r="N143" s="652"/>
      <c r="O143" s="652"/>
      <c r="P143" s="652"/>
      <c r="Q143" s="652"/>
      <c r="R143" s="652"/>
      <c r="S143" s="652"/>
      <c r="T143" s="652"/>
      <c r="U143" s="652"/>
      <c r="V143" s="652"/>
      <c r="W143" s="652"/>
      <c r="X143" s="652"/>
      <c r="Y143" s="652"/>
      <c r="Z143" s="652"/>
      <c r="AA143" s="652"/>
      <c r="AB143" s="652"/>
      <c r="AC143" s="652"/>
      <c r="AD143" s="652"/>
    </row>
    <row r="144" spans="1:30" s="650" customFormat="1" ht="13.8">
      <c r="A144" s="651"/>
      <c r="B144" s="761"/>
      <c r="C144" s="761"/>
      <c r="D144" s="761"/>
      <c r="E144" s="761"/>
      <c r="F144" s="764"/>
      <c r="G144" s="764"/>
      <c r="H144" s="759" t="s">
        <v>2114</v>
      </c>
      <c r="I144" s="766"/>
      <c r="J144" s="766"/>
      <c r="L144" s="652"/>
      <c r="M144" s="652"/>
      <c r="N144" s="652"/>
      <c r="O144" s="652"/>
      <c r="P144" s="652"/>
      <c r="Q144" s="652"/>
      <c r="R144" s="652"/>
      <c r="S144" s="652"/>
      <c r="T144" s="652"/>
      <c r="U144" s="652"/>
      <c r="V144" s="652"/>
      <c r="W144" s="652"/>
      <c r="X144" s="652"/>
      <c r="Y144" s="652"/>
      <c r="Z144" s="652"/>
      <c r="AA144" s="652"/>
      <c r="AB144" s="652"/>
      <c r="AC144" s="652"/>
      <c r="AD144" s="652"/>
    </row>
    <row r="145" spans="1:30" s="650" customFormat="1" ht="13.8">
      <c r="A145" s="651"/>
      <c r="B145" s="761"/>
      <c r="C145" s="761"/>
      <c r="D145" s="761"/>
      <c r="E145" s="761"/>
      <c r="F145" s="765"/>
      <c r="G145" s="765"/>
      <c r="H145" s="766"/>
      <c r="I145" s="761"/>
      <c r="J145" s="761"/>
      <c r="L145" s="652"/>
      <c r="M145" s="652"/>
      <c r="N145" s="652"/>
      <c r="O145" s="652"/>
      <c r="P145" s="652"/>
      <c r="Q145" s="652"/>
      <c r="R145" s="652"/>
      <c r="S145" s="652"/>
      <c r="T145" s="652"/>
      <c r="U145" s="652"/>
      <c r="V145" s="652"/>
      <c r="W145" s="652"/>
      <c r="X145" s="652"/>
      <c r="Y145" s="652"/>
      <c r="Z145" s="652"/>
      <c r="AA145" s="652"/>
      <c r="AB145" s="652"/>
      <c r="AC145" s="652"/>
      <c r="AD145" s="652"/>
    </row>
    <row r="146" spans="1:30" s="650" customFormat="1" ht="13.8">
      <c r="A146" s="767" t="s">
        <v>2115</v>
      </c>
      <c r="B146" s="761"/>
      <c r="C146" s="761"/>
      <c r="D146" s="761"/>
      <c r="E146" s="761"/>
      <c r="F146" s="765"/>
      <c r="G146" s="765"/>
      <c r="H146" s="766"/>
      <c r="I146" s="761"/>
      <c r="J146" s="761"/>
      <c r="L146" s="652"/>
      <c r="M146" s="652"/>
      <c r="N146" s="652"/>
      <c r="O146" s="652"/>
      <c r="P146" s="652"/>
      <c r="Q146" s="652"/>
      <c r="R146" s="652"/>
      <c r="S146" s="652"/>
      <c r="T146" s="652"/>
      <c r="U146" s="652"/>
      <c r="V146" s="652"/>
      <c r="W146" s="652"/>
      <c r="X146" s="652"/>
      <c r="Y146" s="652"/>
      <c r="Z146" s="652"/>
      <c r="AA146" s="652"/>
      <c r="AB146" s="652"/>
      <c r="AC146" s="652"/>
      <c r="AD146" s="652"/>
    </row>
    <row r="147" spans="1:30" s="650" customFormat="1" ht="46.5" customHeight="1">
      <c r="A147" s="3861" t="str">
        <f>"                The "&amp;L44&amp;"  qualified tender of "&amp;B35&amp;" is accepted at "&amp;I35&amp;" than the Estimated rates with "&amp;M13&amp;" with a TCV of Rs."&amp;G35</f>
        <v xml:space="preserve">                The Lowest  qualified tender of Sri.J.Aswarthulu is accepted at 6.78% Less than the Estimated rates with SSR-2018-19 with a TCV of Rs.8888001.24</v>
      </c>
      <c r="B147" s="3861"/>
      <c r="C147" s="3861"/>
      <c r="D147" s="3861"/>
      <c r="E147" s="3861"/>
      <c r="F147" s="3861"/>
      <c r="G147" s="3861"/>
      <c r="H147" s="3861"/>
      <c r="I147" s="3861"/>
      <c r="J147" s="761"/>
      <c r="L147" s="652"/>
      <c r="M147" s="652"/>
      <c r="N147" s="652"/>
      <c r="O147" s="652"/>
      <c r="P147" s="652"/>
      <c r="Q147" s="652"/>
      <c r="R147" s="652"/>
      <c r="S147" s="652"/>
      <c r="T147" s="652"/>
      <c r="U147" s="652"/>
      <c r="V147" s="652"/>
      <c r="W147" s="652"/>
      <c r="X147" s="652"/>
      <c r="Y147" s="652"/>
      <c r="Z147" s="652"/>
      <c r="AA147" s="652"/>
      <c r="AB147" s="652"/>
      <c r="AC147" s="652"/>
      <c r="AD147" s="652"/>
    </row>
    <row r="148" spans="1:30" s="650" customFormat="1" ht="13.8">
      <c r="A148" s="651"/>
      <c r="B148" s="761"/>
      <c r="C148" s="761"/>
      <c r="D148" s="761"/>
      <c r="E148" s="761"/>
      <c r="F148" s="765"/>
      <c r="G148" s="765"/>
      <c r="H148" s="761"/>
      <c r="I148" s="761"/>
      <c r="J148" s="761"/>
      <c r="L148" s="652"/>
      <c r="M148" s="652"/>
      <c r="N148" s="652"/>
      <c r="O148" s="652"/>
      <c r="P148" s="652"/>
      <c r="Q148" s="652"/>
      <c r="R148" s="652"/>
      <c r="S148" s="652"/>
      <c r="T148" s="652"/>
      <c r="U148" s="652"/>
      <c r="V148" s="652"/>
      <c r="W148" s="652"/>
      <c r="X148" s="652"/>
      <c r="Y148" s="652"/>
      <c r="Z148" s="652"/>
      <c r="AA148" s="652"/>
      <c r="AB148" s="652"/>
      <c r="AC148" s="652"/>
      <c r="AD148" s="652"/>
    </row>
    <row r="149" spans="1:30" s="650" customFormat="1" ht="13.8">
      <c r="A149" s="651"/>
      <c r="B149" s="761"/>
      <c r="C149" s="761"/>
      <c r="D149" s="761"/>
      <c r="E149" s="761"/>
      <c r="F149" s="765"/>
      <c r="G149" s="765"/>
      <c r="H149" s="761"/>
      <c r="I149" s="761"/>
      <c r="J149" s="761"/>
      <c r="L149" s="652"/>
      <c r="M149" s="652"/>
      <c r="N149" s="652"/>
      <c r="O149" s="652"/>
      <c r="P149" s="652"/>
      <c r="Q149" s="652"/>
      <c r="R149" s="652"/>
      <c r="S149" s="652"/>
      <c r="T149" s="652"/>
      <c r="U149" s="652"/>
      <c r="V149" s="652"/>
      <c r="W149" s="652"/>
      <c r="X149" s="652"/>
      <c r="Y149" s="652"/>
      <c r="Z149" s="652"/>
      <c r="AA149" s="652"/>
      <c r="AB149" s="652"/>
      <c r="AC149" s="652"/>
      <c r="AD149" s="652"/>
    </row>
  </sheetData>
  <mergeCells count="231">
    <mergeCell ref="B132:J132"/>
    <mergeCell ref="L132:T132"/>
    <mergeCell ref="B133:J133"/>
    <mergeCell ref="A147:I147"/>
    <mergeCell ref="A16:A17"/>
    <mergeCell ref="B16:B17"/>
    <mergeCell ref="G53:J56"/>
    <mergeCell ref="E50:F51"/>
    <mergeCell ref="A1:J12"/>
    <mergeCell ref="N10:R12"/>
    <mergeCell ref="B124:J124"/>
    <mergeCell ref="B125:J125"/>
    <mergeCell ref="B126:J126"/>
    <mergeCell ref="B127:J127"/>
    <mergeCell ref="B128:J128"/>
    <mergeCell ref="B129:J129"/>
    <mergeCell ref="B130:J130"/>
    <mergeCell ref="L130:T130"/>
    <mergeCell ref="B131:J131"/>
    <mergeCell ref="C113:J113"/>
    <mergeCell ref="C114:J114"/>
    <mergeCell ref="C115:J115"/>
    <mergeCell ref="B118:J118"/>
    <mergeCell ref="B119:J119"/>
    <mergeCell ref="B120:J120"/>
    <mergeCell ref="B121:J121"/>
    <mergeCell ref="B122:J122"/>
    <mergeCell ref="B123:J123"/>
    <mergeCell ref="B100:J100"/>
    <mergeCell ref="B101:J101"/>
    <mergeCell ref="B104:J104"/>
    <mergeCell ref="B105:J105"/>
    <mergeCell ref="B108:J108"/>
    <mergeCell ref="B109:J109"/>
    <mergeCell ref="B110:J110"/>
    <mergeCell ref="C111:J111"/>
    <mergeCell ref="C112:J112"/>
    <mergeCell ref="B94:F94"/>
    <mergeCell ref="G94:H94"/>
    <mergeCell ref="I94:J94"/>
    <mergeCell ref="B95:F95"/>
    <mergeCell ref="G95:H95"/>
    <mergeCell ref="I95:J95"/>
    <mergeCell ref="B96:J96"/>
    <mergeCell ref="B98:J98"/>
    <mergeCell ref="B99:J99"/>
    <mergeCell ref="C91:F91"/>
    <mergeCell ref="G91:H91"/>
    <mergeCell ref="I91:J91"/>
    <mergeCell ref="B92:F92"/>
    <mergeCell ref="G92:H92"/>
    <mergeCell ref="I92:J92"/>
    <mergeCell ref="B93:F93"/>
    <mergeCell ref="G93:H93"/>
    <mergeCell ref="I93:J93"/>
    <mergeCell ref="C88:F88"/>
    <mergeCell ref="G88:H88"/>
    <mergeCell ref="I88:J88"/>
    <mergeCell ref="C89:F89"/>
    <mergeCell ref="G89:H89"/>
    <mergeCell ref="I89:J89"/>
    <mergeCell ref="C90:F90"/>
    <mergeCell ref="G90:H90"/>
    <mergeCell ref="I90:J90"/>
    <mergeCell ref="C85:F85"/>
    <mergeCell ref="G85:H85"/>
    <mergeCell ref="I85:J85"/>
    <mergeCell ref="C86:F86"/>
    <mergeCell ref="G86:H86"/>
    <mergeCell ref="I86:J86"/>
    <mergeCell ref="C87:F87"/>
    <mergeCell ref="G87:H87"/>
    <mergeCell ref="I87:J87"/>
    <mergeCell ref="C82:F82"/>
    <mergeCell ref="G82:H82"/>
    <mergeCell ref="I82:J82"/>
    <mergeCell ref="C83:F83"/>
    <mergeCell ref="G83:H83"/>
    <mergeCell ref="I83:J83"/>
    <mergeCell ref="C84:F84"/>
    <mergeCell ref="G84:H84"/>
    <mergeCell ref="I84:J84"/>
    <mergeCell ref="C79:F79"/>
    <mergeCell ref="G79:H79"/>
    <mergeCell ref="I79:J79"/>
    <mergeCell ref="C80:F80"/>
    <mergeCell ref="G80:H80"/>
    <mergeCell ref="I80:J80"/>
    <mergeCell ref="C81:F81"/>
    <mergeCell ref="G81:H81"/>
    <mergeCell ref="I81:J81"/>
    <mergeCell ref="C76:F76"/>
    <mergeCell ref="G76:H76"/>
    <mergeCell ref="I76:J76"/>
    <mergeCell ref="C77:F77"/>
    <mergeCell ref="G77:H77"/>
    <mergeCell ref="I77:J77"/>
    <mergeCell ref="C78:F78"/>
    <mergeCell ref="G78:H78"/>
    <mergeCell ref="I78:J78"/>
    <mergeCell ref="B72:H72"/>
    <mergeCell ref="I72:J72"/>
    <mergeCell ref="C73:F73"/>
    <mergeCell ref="G73:H73"/>
    <mergeCell ref="I73:J73"/>
    <mergeCell ref="C74:F74"/>
    <mergeCell ref="G74:H74"/>
    <mergeCell ref="I74:J74"/>
    <mergeCell ref="C75:F75"/>
    <mergeCell ref="G75:H75"/>
    <mergeCell ref="I75:J75"/>
    <mergeCell ref="B69:D69"/>
    <mergeCell ref="E69:F69"/>
    <mergeCell ref="G69:I69"/>
    <mergeCell ref="B70:F70"/>
    <mergeCell ref="G70:H70"/>
    <mergeCell ref="I70:J70"/>
    <mergeCell ref="B71:F71"/>
    <mergeCell ref="G71:H71"/>
    <mergeCell ref="I71:J71"/>
    <mergeCell ref="B66:D66"/>
    <mergeCell ref="E66:F66"/>
    <mergeCell ref="G66:I66"/>
    <mergeCell ref="B67:D67"/>
    <mergeCell ref="E67:F67"/>
    <mergeCell ref="G67:I67"/>
    <mergeCell ref="B68:D68"/>
    <mergeCell ref="E68:F68"/>
    <mergeCell ref="G68:I68"/>
    <mergeCell ref="B63:D63"/>
    <mergeCell ref="E63:F63"/>
    <mergeCell ref="G63:I63"/>
    <mergeCell ref="B64:D64"/>
    <mergeCell ref="E64:F64"/>
    <mergeCell ref="G64:I64"/>
    <mergeCell ref="B65:D65"/>
    <mergeCell ref="E65:F65"/>
    <mergeCell ref="G65:I65"/>
    <mergeCell ref="B60:D60"/>
    <mergeCell ref="E60:F60"/>
    <mergeCell ref="G60:I60"/>
    <mergeCell ref="B61:D61"/>
    <mergeCell ref="E61:F61"/>
    <mergeCell ref="G61:I61"/>
    <mergeCell ref="B62:D62"/>
    <mergeCell ref="E62:F62"/>
    <mergeCell ref="G62:I62"/>
    <mergeCell ref="B54:F54"/>
    <mergeCell ref="B55:F55"/>
    <mergeCell ref="B56:F56"/>
    <mergeCell ref="B57:D57"/>
    <mergeCell ref="E57:F57"/>
    <mergeCell ref="G57:I57"/>
    <mergeCell ref="E58:F58"/>
    <mergeCell ref="G58:I58"/>
    <mergeCell ref="B59:D59"/>
    <mergeCell ref="E59:F59"/>
    <mergeCell ref="G59:I59"/>
    <mergeCell ref="B47:J47"/>
    <mergeCell ref="B49:J49"/>
    <mergeCell ref="B50:D50"/>
    <mergeCell ref="G50:J50"/>
    <mergeCell ref="B51:D51"/>
    <mergeCell ref="G51:J51"/>
    <mergeCell ref="B52:F52"/>
    <mergeCell ref="I52:J52"/>
    <mergeCell ref="B53:F53"/>
    <mergeCell ref="B43:C43"/>
    <mergeCell ref="E43:F43"/>
    <mergeCell ref="G43:H43"/>
    <mergeCell ref="B44:C44"/>
    <mergeCell ref="E44:F44"/>
    <mergeCell ref="G44:H44"/>
    <mergeCell ref="B45:C45"/>
    <mergeCell ref="E45:F45"/>
    <mergeCell ref="G45:H45"/>
    <mergeCell ref="B40:C40"/>
    <mergeCell ref="E40:F40"/>
    <mergeCell ref="G40:H40"/>
    <mergeCell ref="B41:C41"/>
    <mergeCell ref="E41:F41"/>
    <mergeCell ref="G41:H41"/>
    <mergeCell ref="B42:C42"/>
    <mergeCell ref="E42:F42"/>
    <mergeCell ref="G42:H42"/>
    <mergeCell ref="B37:C37"/>
    <mergeCell ref="E37:F37"/>
    <mergeCell ref="G37:H37"/>
    <mergeCell ref="B38:C38"/>
    <mergeCell ref="E38:F38"/>
    <mergeCell ref="G38:H38"/>
    <mergeCell ref="B39:C39"/>
    <mergeCell ref="E39:F39"/>
    <mergeCell ref="G39:H39"/>
    <mergeCell ref="B33:J33"/>
    <mergeCell ref="B34:C34"/>
    <mergeCell ref="E34:F34"/>
    <mergeCell ref="G34:H34"/>
    <mergeCell ref="B35:C35"/>
    <mergeCell ref="E35:F35"/>
    <mergeCell ref="G35:H35"/>
    <mergeCell ref="B36:C36"/>
    <mergeCell ref="E36:F36"/>
    <mergeCell ref="G36:H36"/>
    <mergeCell ref="F27:G27"/>
    <mergeCell ref="I27:J27"/>
    <mergeCell ref="F28:G28"/>
    <mergeCell ref="I28:J28"/>
    <mergeCell ref="F29:G29"/>
    <mergeCell ref="I29:J29"/>
    <mergeCell ref="F30:G30"/>
    <mergeCell ref="F31:G31"/>
    <mergeCell ref="F32:G32"/>
    <mergeCell ref="C20:J20"/>
    <mergeCell ref="C21:J21"/>
    <mergeCell ref="B22:D22"/>
    <mergeCell ref="E22:G22"/>
    <mergeCell ref="H22:J22"/>
    <mergeCell ref="B23:J23"/>
    <mergeCell ref="B24:J24"/>
    <mergeCell ref="B25:J25"/>
    <mergeCell ref="B26:J26"/>
    <mergeCell ref="N8:R8"/>
    <mergeCell ref="O9:R9"/>
    <mergeCell ref="B13:J13"/>
    <mergeCell ref="B14:J14"/>
    <mergeCell ref="C15:J15"/>
    <mergeCell ref="C16:J16"/>
    <mergeCell ref="C17:J17"/>
    <mergeCell ref="C18:J18"/>
    <mergeCell ref="C19:J19"/>
  </mergeCells>
  <printOptions horizontalCentered="1"/>
  <pageMargins left="0.39370078740157499" right="0.47244094488188998" top="0.74803149606299202" bottom="0.511811023622047" header="0.23622047244094499" footer="0.23622047244094499"/>
  <pageSetup paperSize="9" orientation="portrait" r:id="rId1"/>
  <headerFooter alignWithMargins="0"/>
  <rowBreaks count="3" manualBreakCount="3">
    <brk id="48" max="9" man="1"/>
    <brk id="103" max="9" man="1"/>
    <brk id="107" max="9"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tabColor theme="5" tint="-0.249977111117893"/>
  </sheetPr>
  <dimension ref="A1:Z118"/>
  <sheetViews>
    <sheetView showGridLines="0" view="pageBreakPreview" topLeftCell="A105" workbookViewId="0">
      <selection activeCell="L108" sqref="L108"/>
    </sheetView>
  </sheetViews>
  <sheetFormatPr defaultColWidth="9.109375" defaultRowHeight="14.4"/>
  <cols>
    <col min="1" max="1" width="4" style="556" customWidth="1"/>
    <col min="2" max="2" width="22" style="490" customWidth="1"/>
    <col min="3" max="3" width="5.5546875" style="487" customWidth="1"/>
    <col min="4" max="4" width="2.5546875" style="487" customWidth="1"/>
    <col min="5" max="5" width="4.6640625" style="487" customWidth="1"/>
    <col min="6" max="6" width="7.5546875" style="487" customWidth="1"/>
    <col min="7" max="7" width="10.33203125" style="487" customWidth="1"/>
    <col min="8" max="8" width="10.109375" style="487" customWidth="1"/>
    <col min="9" max="10" width="9.88671875" style="487" customWidth="1"/>
    <col min="11" max="11" width="6.5546875" style="487" customWidth="1"/>
    <col min="12" max="12" width="12.33203125" style="486" customWidth="1"/>
    <col min="13" max="13" width="9.109375" style="490" hidden="1" customWidth="1"/>
    <col min="14" max="14" width="13.88671875" style="490" hidden="1" customWidth="1"/>
    <col min="15" max="15" width="11.109375" style="490" hidden="1" customWidth="1"/>
    <col min="16" max="16" width="6.44140625" style="490" hidden="1" customWidth="1"/>
    <col min="17" max="26" width="9.109375" style="490" hidden="1" customWidth="1"/>
    <col min="27" max="16384" width="9.109375" style="490"/>
  </cols>
  <sheetData>
    <row r="1" spans="1:15" ht="18" customHeight="1">
      <c r="A1" s="3885" t="s">
        <v>2116</v>
      </c>
      <c r="B1" s="3631"/>
      <c r="C1" s="3631"/>
      <c r="D1" s="3631"/>
      <c r="E1" s="3631"/>
      <c r="F1" s="3631"/>
      <c r="G1" s="3631"/>
      <c r="H1" s="3631"/>
      <c r="I1" s="3631"/>
      <c r="J1" s="3631"/>
      <c r="K1" s="3631"/>
      <c r="L1" s="3886"/>
    </row>
    <row r="2" spans="1:15" ht="30" customHeight="1">
      <c r="A2" s="3887" t="s">
        <v>445</v>
      </c>
      <c r="B2" s="3888"/>
      <c r="C2" s="557"/>
      <c r="D2" s="557"/>
      <c r="E2" s="557"/>
      <c r="F2" s="3889" t="str">
        <f>'Input Data'!E1</f>
        <v xml:space="preserve">BT Renewal from Balabadraipally to Danamma Thanda of Gundumal Mandal in Narayanpet District </v>
      </c>
      <c r="G2" s="3889"/>
      <c r="H2" s="3889"/>
      <c r="I2" s="3889"/>
      <c r="J2" s="3889"/>
      <c r="K2" s="3889"/>
      <c r="L2" s="3633"/>
    </row>
    <row r="3" spans="1:15" s="487" customFormat="1" ht="21.75" customHeight="1">
      <c r="A3" s="3890" t="s">
        <v>2117</v>
      </c>
      <c r="B3" s="3891"/>
      <c r="C3" s="3891"/>
      <c r="D3" s="3891"/>
      <c r="E3" s="3891"/>
      <c r="F3" s="3891"/>
      <c r="G3" s="3891"/>
      <c r="H3" s="3891"/>
      <c r="I3" s="3891"/>
      <c r="J3" s="3891"/>
      <c r="K3" s="3891"/>
      <c r="L3" s="3732"/>
    </row>
    <row r="4" spans="1:15" s="487" customFormat="1" ht="33" customHeight="1">
      <c r="A4" s="558" t="s">
        <v>1141</v>
      </c>
      <c r="B4" s="496" t="s">
        <v>917</v>
      </c>
      <c r="C4" s="3728" t="s">
        <v>918</v>
      </c>
      <c r="D4" s="3728"/>
      <c r="E4" s="3728"/>
      <c r="F4" s="496" t="s">
        <v>180</v>
      </c>
      <c r="G4" s="496" t="s">
        <v>919</v>
      </c>
      <c r="H4" s="496" t="s">
        <v>920</v>
      </c>
      <c r="I4" s="514" t="s">
        <v>3</v>
      </c>
      <c r="J4" s="498" t="s">
        <v>5</v>
      </c>
      <c r="K4" s="498" t="s">
        <v>607</v>
      </c>
      <c r="L4" s="593" t="s">
        <v>7</v>
      </c>
    </row>
    <row r="5" spans="1:15" s="487" customFormat="1">
      <c r="A5" s="559">
        <v>1</v>
      </c>
      <c r="B5" s="560">
        <v>2</v>
      </c>
      <c r="C5" s="3892">
        <v>3</v>
      </c>
      <c r="D5" s="3892"/>
      <c r="E5" s="3892"/>
      <c r="F5" s="560">
        <v>4</v>
      </c>
      <c r="G5" s="560">
        <v>5</v>
      </c>
      <c r="H5" s="560">
        <v>6</v>
      </c>
      <c r="I5" s="560">
        <v>7</v>
      </c>
      <c r="J5" s="560">
        <v>8</v>
      </c>
      <c r="K5" s="560">
        <v>9</v>
      </c>
      <c r="L5" s="594">
        <v>10</v>
      </c>
    </row>
    <row r="6" spans="1:15" ht="88.5" customHeight="1">
      <c r="A6" s="561">
        <v>1</v>
      </c>
      <c r="B6" s="3893"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893"/>
      <c r="D6" s="3893"/>
      <c r="E6" s="3893"/>
      <c r="F6" s="3893"/>
      <c r="G6" s="3893"/>
      <c r="H6" s="3893"/>
      <c r="I6" s="3893"/>
      <c r="J6" s="3893"/>
      <c r="K6" s="3893"/>
      <c r="L6" s="595"/>
      <c r="O6" s="542"/>
    </row>
    <row r="7" spans="1:15" ht="20.100000000000001" customHeight="1">
      <c r="A7" s="562"/>
      <c r="B7" s="563" t="s">
        <v>1142</v>
      </c>
      <c r="C7" s="564">
        <v>1</v>
      </c>
      <c r="D7" s="564" t="s">
        <v>921</v>
      </c>
      <c r="E7" s="564">
        <v>2</v>
      </c>
      <c r="F7" s="564">
        <v>8.4499999999999993</v>
      </c>
      <c r="G7" s="564">
        <v>3.5</v>
      </c>
      <c r="H7" s="564">
        <v>2.15</v>
      </c>
      <c r="I7" s="564">
        <f>ROUND(PRODUCT(C7:H7),2)</f>
        <v>127.17</v>
      </c>
      <c r="J7" s="567"/>
      <c r="K7" s="596"/>
      <c r="L7" s="597"/>
      <c r="O7" s="542"/>
    </row>
    <row r="8" spans="1:15" ht="30" customHeight="1">
      <c r="A8" s="562"/>
      <c r="B8" s="563" t="s">
        <v>1144</v>
      </c>
      <c r="C8" s="564">
        <v>2</v>
      </c>
      <c r="D8" s="564" t="s">
        <v>921</v>
      </c>
      <c r="E8" s="564">
        <v>2</v>
      </c>
      <c r="F8" s="564">
        <v>3.5</v>
      </c>
      <c r="G8" s="565" t="s">
        <v>1936</v>
      </c>
      <c r="H8" s="564">
        <v>2.15</v>
      </c>
      <c r="I8" s="564">
        <f>ROUND(PRODUCT(C8:H8)*(2.37+1.85)/2,2)</f>
        <v>63.51</v>
      </c>
      <c r="J8" s="567"/>
      <c r="K8" s="596"/>
      <c r="L8" s="597"/>
      <c r="O8" s="542"/>
    </row>
    <row r="9" spans="1:15" ht="15" customHeight="1">
      <c r="A9" s="562"/>
      <c r="B9" s="566"/>
      <c r="C9" s="567"/>
      <c r="D9" s="567"/>
      <c r="E9" s="567"/>
      <c r="F9" s="567"/>
      <c r="G9" s="568"/>
      <c r="H9" s="568"/>
      <c r="I9" s="598">
        <f>SUM(I7:I8)</f>
        <v>190.68</v>
      </c>
      <c r="J9" s="567">
        <f>'Pipe data'!G20</f>
        <v>123.69927804166667</v>
      </c>
      <c r="K9" s="567">
        <v>1</v>
      </c>
      <c r="L9" s="599">
        <f>ROUND(I9*J9,0)</f>
        <v>23587</v>
      </c>
      <c r="O9" s="542"/>
    </row>
    <row r="10" spans="1:15" ht="12.75" customHeight="1">
      <c r="A10" s="562"/>
      <c r="B10" s="566"/>
      <c r="C10" s="567"/>
      <c r="D10" s="567"/>
      <c r="E10" s="567"/>
      <c r="F10" s="567"/>
      <c r="G10" s="568"/>
      <c r="H10" s="568"/>
      <c r="I10" s="567" t="s">
        <v>31</v>
      </c>
      <c r="J10" s="567"/>
      <c r="K10" s="567" t="s">
        <v>31</v>
      </c>
      <c r="L10" s="599"/>
    </row>
    <row r="11" spans="1:15" ht="45.6" hidden="1" customHeight="1">
      <c r="A11" s="569">
        <v>2</v>
      </c>
      <c r="B11" s="3894" t="str">
        <f>'Pipe data'!B55:G55</f>
        <v>Sand  Filling  in foundation trenches as per drawing and technical specification Clause 304 of MORTH including overhead charges &amp; Contractors profit etc complete.</v>
      </c>
      <c r="C11" s="3894"/>
      <c r="D11" s="3894"/>
      <c r="E11" s="3894"/>
      <c r="F11" s="3894"/>
      <c r="G11" s="3894"/>
      <c r="H11" s="3894"/>
      <c r="I11" s="3894"/>
      <c r="J11" s="3894"/>
      <c r="K11" s="3894"/>
      <c r="L11" s="600"/>
      <c r="N11" s="542"/>
    </row>
    <row r="12" spans="1:15" s="488" customFormat="1" ht="20.399999999999999" hidden="1" customHeight="1">
      <c r="A12" s="571"/>
      <c r="B12" s="572" t="s">
        <v>1145</v>
      </c>
      <c r="C12" s="573">
        <v>1</v>
      </c>
      <c r="D12" s="573" t="s">
        <v>921</v>
      </c>
      <c r="E12" s="573">
        <v>1</v>
      </c>
      <c r="F12" s="573">
        <v>0</v>
      </c>
      <c r="G12" s="573">
        <v>3</v>
      </c>
      <c r="H12" s="573">
        <v>0.15</v>
      </c>
      <c r="I12" s="573">
        <f>ROUND(C12*E12*F12*G12*H12,2)</f>
        <v>0</v>
      </c>
      <c r="J12" s="601"/>
      <c r="K12" s="602"/>
      <c r="L12" s="603"/>
      <c r="O12" s="604"/>
    </row>
    <row r="13" spans="1:15" ht="15" hidden="1" customHeight="1">
      <c r="A13" s="569"/>
      <c r="B13" s="574"/>
      <c r="C13" s="575"/>
      <c r="D13" s="575"/>
      <c r="E13" s="575"/>
      <c r="F13" s="575"/>
      <c r="G13" s="568"/>
      <c r="H13" s="568"/>
      <c r="I13" s="567">
        <f>SUM(I12:I12)</f>
        <v>0</v>
      </c>
      <c r="J13" s="567">
        <f>'Pipe data'!G72</f>
        <v>1237.43</v>
      </c>
      <c r="K13" s="567">
        <v>1</v>
      </c>
      <c r="L13" s="599"/>
    </row>
    <row r="14" spans="1:15" ht="15" hidden="1" customHeight="1">
      <c r="A14" s="569"/>
      <c r="B14" s="574"/>
      <c r="C14" s="575"/>
      <c r="D14" s="575"/>
      <c r="E14" s="575"/>
      <c r="F14" s="575"/>
      <c r="G14" s="568"/>
      <c r="H14" s="568"/>
      <c r="I14" s="567" t="s">
        <v>31</v>
      </c>
      <c r="J14" s="567"/>
      <c r="K14" s="567" t="s">
        <v>31</v>
      </c>
      <c r="L14" s="599"/>
    </row>
    <row r="15" spans="1:15" ht="102" customHeight="1">
      <c r="A15" s="569">
        <v>2</v>
      </c>
      <c r="B15" s="3894"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894"/>
      <c r="D15" s="3894"/>
      <c r="E15" s="3894"/>
      <c r="F15" s="3894"/>
      <c r="G15" s="3894"/>
      <c r="H15" s="3894"/>
      <c r="I15" s="3894"/>
      <c r="J15" s="3894"/>
      <c r="K15" s="3894"/>
      <c r="L15" s="600"/>
    </row>
    <row r="16" spans="1:15" ht="20.100000000000001" customHeight="1">
      <c r="A16" s="562"/>
      <c r="B16" s="563" t="s">
        <v>1142</v>
      </c>
      <c r="C16" s="564">
        <v>1</v>
      </c>
      <c r="D16" s="564" t="s">
        <v>921</v>
      </c>
      <c r="E16" s="564">
        <v>2</v>
      </c>
      <c r="F16" s="564">
        <v>8.4499999999999993</v>
      </c>
      <c r="G16" s="564">
        <v>3.5</v>
      </c>
      <c r="H16" s="564">
        <v>0.15</v>
      </c>
      <c r="I16" s="564">
        <f>ROUND(PRODUCT(C16:H16),2)</f>
        <v>8.8699999999999992</v>
      </c>
      <c r="J16" s="567"/>
      <c r="K16" s="596"/>
      <c r="L16" s="597"/>
    </row>
    <row r="17" spans="1:12" ht="30" customHeight="1">
      <c r="A17" s="562"/>
      <c r="B17" s="563" t="s">
        <v>1144</v>
      </c>
      <c r="C17" s="564">
        <v>2</v>
      </c>
      <c r="D17" s="564" t="s">
        <v>921</v>
      </c>
      <c r="E17" s="564">
        <v>2</v>
      </c>
      <c r="F17" s="564">
        <v>3.5</v>
      </c>
      <c r="G17" s="565" t="s">
        <v>2118</v>
      </c>
      <c r="H17" s="564">
        <v>0.15</v>
      </c>
      <c r="I17" s="564">
        <f>ROUND(PRODUCT(C17:H17)*(2.38+1.85)/2,2)</f>
        <v>4.4400000000000004</v>
      </c>
      <c r="J17" s="567"/>
      <c r="K17" s="596"/>
      <c r="L17" s="597"/>
    </row>
    <row r="18" spans="1:12" ht="15" customHeight="1">
      <c r="A18" s="562"/>
      <c r="B18" s="576"/>
      <c r="C18" s="577"/>
      <c r="D18" s="577"/>
      <c r="E18" s="577"/>
      <c r="F18" s="577"/>
      <c r="G18" s="577"/>
      <c r="H18" s="577"/>
      <c r="I18" s="598">
        <f>SUM(I16:I17)</f>
        <v>13.309999999999999</v>
      </c>
      <c r="J18" s="567">
        <f>'Slab-Culverts Data'!J31</f>
        <v>5748.72</v>
      </c>
      <c r="K18" s="567">
        <v>1</v>
      </c>
      <c r="L18" s="599">
        <f>ROUND(I18*J18,0)</f>
        <v>76515</v>
      </c>
    </row>
    <row r="19" spans="1:12" ht="15" customHeight="1">
      <c r="A19" s="562"/>
      <c r="B19" s="566"/>
      <c r="C19" s="567"/>
      <c r="D19" s="567"/>
      <c r="E19" s="567"/>
      <c r="F19" s="568"/>
      <c r="G19" s="568"/>
      <c r="H19" s="568"/>
      <c r="I19" s="567" t="s">
        <v>31</v>
      </c>
      <c r="J19" s="567"/>
      <c r="K19" s="567" t="s">
        <v>31</v>
      </c>
      <c r="L19" s="599"/>
    </row>
    <row r="20" spans="1:12" ht="102.75" customHeight="1">
      <c r="A20" s="569">
        <v>3</v>
      </c>
      <c r="B20" s="3894"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894"/>
      <c r="D20" s="3894"/>
      <c r="E20" s="3894"/>
      <c r="F20" s="3894"/>
      <c r="G20" s="3894"/>
      <c r="H20" s="3894"/>
      <c r="I20" s="3894"/>
      <c r="J20" s="3894"/>
      <c r="K20" s="3894"/>
      <c r="L20" s="600"/>
    </row>
    <row r="21" spans="1:12" ht="20.100000000000001" customHeight="1">
      <c r="A21" s="562"/>
      <c r="B21" s="578" t="s">
        <v>1146</v>
      </c>
      <c r="C21" s="568"/>
      <c r="D21" s="568"/>
      <c r="E21" s="568"/>
      <c r="F21" s="567"/>
      <c r="G21" s="567"/>
      <c r="H21" s="567"/>
      <c r="I21" s="567"/>
      <c r="J21" s="567"/>
      <c r="K21" s="596"/>
      <c r="L21" s="597"/>
    </row>
    <row r="22" spans="1:12" s="551" customFormat="1" ht="20.100000000000001" customHeight="1">
      <c r="A22" s="579"/>
      <c r="B22" s="580" t="s">
        <v>1147</v>
      </c>
      <c r="C22" s="581">
        <v>1</v>
      </c>
      <c r="D22" s="581" t="s">
        <v>921</v>
      </c>
      <c r="E22" s="581">
        <v>2</v>
      </c>
      <c r="F22" s="581">
        <v>8.25</v>
      </c>
      <c r="G22" s="581">
        <v>3.3</v>
      </c>
      <c r="H22" s="581">
        <v>0.2</v>
      </c>
      <c r="I22" s="581">
        <f>ROUNDDOWN(PRODUCT(C22:H22),2)</f>
        <v>10.89</v>
      </c>
      <c r="J22" s="581"/>
      <c r="K22" s="581"/>
      <c r="L22" s="605"/>
    </row>
    <row r="23" spans="1:12" s="551" customFormat="1" ht="20.100000000000001" customHeight="1">
      <c r="A23" s="579"/>
      <c r="B23" s="580" t="s">
        <v>1148</v>
      </c>
      <c r="C23" s="581">
        <v>1</v>
      </c>
      <c r="D23" s="581" t="s">
        <v>921</v>
      </c>
      <c r="E23" s="581">
        <v>2</v>
      </c>
      <c r="F23" s="581">
        <f>F22</f>
        <v>8.25</v>
      </c>
      <c r="G23" s="581">
        <v>2.9</v>
      </c>
      <c r="H23" s="581">
        <v>0.2</v>
      </c>
      <c r="I23" s="581">
        <f>ROUNDDOWN(PRODUCT(C23:H23),2)</f>
        <v>9.57</v>
      </c>
      <c r="J23" s="581"/>
      <c r="K23" s="581"/>
      <c r="L23" s="605"/>
    </row>
    <row r="24" spans="1:12" s="551" customFormat="1" ht="20.100000000000001" customHeight="1">
      <c r="A24" s="579"/>
      <c r="B24" s="580" t="s">
        <v>1149</v>
      </c>
      <c r="C24" s="581">
        <v>1</v>
      </c>
      <c r="D24" s="581" t="s">
        <v>921</v>
      </c>
      <c r="E24" s="581">
        <v>2</v>
      </c>
      <c r="F24" s="581">
        <f>F23</f>
        <v>8.25</v>
      </c>
      <c r="G24" s="581">
        <v>2.5</v>
      </c>
      <c r="H24" s="581">
        <v>0.4</v>
      </c>
      <c r="I24" s="581">
        <f>ROUNDDOWN(PRODUCT(C24:H24),2)</f>
        <v>16.5</v>
      </c>
      <c r="J24" s="581"/>
      <c r="K24" s="581"/>
      <c r="L24" s="605"/>
    </row>
    <row r="25" spans="1:12" s="551" customFormat="1" ht="28.5" customHeight="1">
      <c r="A25" s="579"/>
      <c r="B25" s="580" t="s">
        <v>1150</v>
      </c>
      <c r="C25" s="581">
        <v>1</v>
      </c>
      <c r="D25" s="581" t="s">
        <v>921</v>
      </c>
      <c r="E25" s="581">
        <v>2</v>
      </c>
      <c r="F25" s="581">
        <f>F24</f>
        <v>8.25</v>
      </c>
      <c r="G25" s="582" t="s">
        <v>2119</v>
      </c>
      <c r="H25" s="581">
        <v>0.4</v>
      </c>
      <c r="I25" s="581">
        <f>ROUNDDOWN(PRODUCT(C25:H25)*(2.5+2.1)/2,2)</f>
        <v>15.18</v>
      </c>
      <c r="J25" s="581"/>
      <c r="K25" s="581"/>
      <c r="L25" s="605"/>
    </row>
    <row r="26" spans="1:12" ht="29.25" customHeight="1">
      <c r="A26" s="562"/>
      <c r="B26" s="580" t="s">
        <v>2120</v>
      </c>
      <c r="C26" s="581">
        <v>1</v>
      </c>
      <c r="D26" s="581" t="s">
        <v>921</v>
      </c>
      <c r="E26" s="581">
        <v>2</v>
      </c>
      <c r="F26" s="581">
        <v>8.25</v>
      </c>
      <c r="G26" s="582" t="s">
        <v>2121</v>
      </c>
      <c r="H26" s="581">
        <v>0.8</v>
      </c>
      <c r="I26" s="581">
        <f>ROUNDDOWN(PRODUCT(C26:H26)*(2.1+1.82)/2,2)</f>
        <v>25.87</v>
      </c>
      <c r="J26" s="567"/>
      <c r="K26" s="567"/>
      <c r="L26" s="599"/>
    </row>
    <row r="27" spans="1:12" s="551" customFormat="1" ht="20.100000000000001" customHeight="1">
      <c r="A27" s="579"/>
      <c r="B27" s="580" t="s">
        <v>1144</v>
      </c>
      <c r="C27" s="581">
        <v>2</v>
      </c>
      <c r="D27" s="581" t="s">
        <v>921</v>
      </c>
      <c r="E27" s="581">
        <v>2</v>
      </c>
      <c r="F27" s="581">
        <v>3.5</v>
      </c>
      <c r="G27" s="582">
        <v>2.5299999999999998</v>
      </c>
      <c r="H27" s="581">
        <v>0.4</v>
      </c>
      <c r="I27" s="581">
        <f>ROUNDDOWN(PRODUCT(C27:H27),2)</f>
        <v>14.16</v>
      </c>
      <c r="J27" s="581"/>
      <c r="K27" s="581"/>
      <c r="L27" s="605"/>
    </row>
    <row r="28" spans="1:12" s="551" customFormat="1" ht="20.100000000000001" customHeight="1">
      <c r="A28" s="579"/>
      <c r="B28" s="580" t="s">
        <v>1152</v>
      </c>
      <c r="C28" s="581">
        <v>2</v>
      </c>
      <c r="D28" s="581" t="s">
        <v>921</v>
      </c>
      <c r="E28" s="581">
        <v>2</v>
      </c>
      <c r="F28" s="581">
        <v>3.5</v>
      </c>
      <c r="G28" s="582">
        <v>2.13</v>
      </c>
      <c r="H28" s="581">
        <v>0.4</v>
      </c>
      <c r="I28" s="581">
        <f>ROUNDDOWN(PRODUCT(C28:H28),2)</f>
        <v>11.92</v>
      </c>
      <c r="J28" s="581"/>
      <c r="K28" s="581"/>
      <c r="L28" s="605"/>
    </row>
    <row r="29" spans="1:12" s="551" customFormat="1" ht="26.25" customHeight="1">
      <c r="A29" s="579"/>
      <c r="B29" s="580" t="s">
        <v>1153</v>
      </c>
      <c r="C29" s="581">
        <v>2</v>
      </c>
      <c r="D29" s="581" t="s">
        <v>921</v>
      </c>
      <c r="E29" s="581">
        <v>2</v>
      </c>
      <c r="F29" s="581">
        <v>3.5</v>
      </c>
      <c r="G29" s="582" t="s">
        <v>2122</v>
      </c>
      <c r="H29" s="581">
        <v>0.4</v>
      </c>
      <c r="I29" s="581">
        <f>ROUNDDOWN(PRODUCT(C29:H29)*(2.13+1.73)/2,2)</f>
        <v>10.8</v>
      </c>
      <c r="J29" s="581"/>
      <c r="K29" s="581"/>
      <c r="L29" s="605"/>
    </row>
    <row r="30" spans="1:12" ht="25.5" customHeight="1">
      <c r="A30" s="562"/>
      <c r="B30" s="583" t="s">
        <v>2123</v>
      </c>
      <c r="C30" s="584">
        <v>2</v>
      </c>
      <c r="D30" s="584" t="s">
        <v>921</v>
      </c>
      <c r="E30" s="584">
        <v>2</v>
      </c>
      <c r="F30" s="581">
        <v>3.5</v>
      </c>
      <c r="G30" s="582" t="s">
        <v>2124</v>
      </c>
      <c r="H30" s="581">
        <v>0.8</v>
      </c>
      <c r="I30" s="581">
        <f>ROUNDDOWN(PRODUCT(C30:H30)*(1.73+1.38)/2,2)</f>
        <v>17.41</v>
      </c>
      <c r="J30" s="567"/>
      <c r="K30" s="567"/>
      <c r="L30" s="599"/>
    </row>
    <row r="31" spans="1:12" ht="20.100000000000001" customHeight="1">
      <c r="A31" s="562"/>
      <c r="B31" s="566"/>
      <c r="C31" s="567"/>
      <c r="D31" s="567"/>
      <c r="E31" s="567"/>
      <c r="F31" s="568"/>
      <c r="G31" s="568"/>
      <c r="H31" s="568"/>
      <c r="I31" s="598">
        <f>SUM(I22:I30)</f>
        <v>132.30000000000001</v>
      </c>
      <c r="J31" s="567">
        <f>'Slab-Culverts Data'!J62</f>
        <v>6425.92</v>
      </c>
      <c r="K31" s="567">
        <v>1</v>
      </c>
      <c r="L31" s="599">
        <f>ROUND(I31*J31,0)</f>
        <v>850149</v>
      </c>
    </row>
    <row r="32" spans="1:12" ht="20.100000000000001" customHeight="1">
      <c r="A32" s="562"/>
      <c r="B32" s="566"/>
      <c r="C32" s="567"/>
      <c r="D32" s="567"/>
      <c r="E32" s="567"/>
      <c r="F32" s="568"/>
      <c r="G32" s="568"/>
      <c r="H32" s="568"/>
      <c r="I32" s="567" t="s">
        <v>31</v>
      </c>
      <c r="J32" s="567"/>
      <c r="K32" s="567" t="s">
        <v>31</v>
      </c>
      <c r="L32" s="599"/>
    </row>
    <row r="33" spans="1:12" ht="102.75" customHeight="1">
      <c r="A33" s="569">
        <v>4</v>
      </c>
      <c r="B33" s="3894"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3" s="3894"/>
      <c r="D33" s="3894"/>
      <c r="E33" s="3894"/>
      <c r="F33" s="3894"/>
      <c r="G33" s="3894"/>
      <c r="H33" s="3894"/>
      <c r="I33" s="3894"/>
      <c r="J33" s="3894"/>
      <c r="K33" s="3894"/>
      <c r="L33" s="599"/>
    </row>
    <row r="34" spans="1:12" ht="27" customHeight="1">
      <c r="A34" s="562"/>
      <c r="B34" s="580" t="s">
        <v>1154</v>
      </c>
      <c r="C34" s="581">
        <v>1</v>
      </c>
      <c r="D34" s="581" t="s">
        <v>921</v>
      </c>
      <c r="E34" s="581">
        <f>E26</f>
        <v>2</v>
      </c>
      <c r="F34" s="581">
        <v>8.25</v>
      </c>
      <c r="G34" s="582" t="s">
        <v>2125</v>
      </c>
      <c r="H34" s="581">
        <v>1.5</v>
      </c>
      <c r="I34" s="581">
        <f>ROUNDDOWN(PRODUCT(C34:H34)*(1.82+1.3)/2,2)</f>
        <v>38.61</v>
      </c>
      <c r="J34" s="567"/>
      <c r="K34" s="567"/>
      <c r="L34" s="599"/>
    </row>
    <row r="35" spans="1:12" ht="20.100000000000001" customHeight="1">
      <c r="A35" s="562"/>
      <c r="B35" s="580" t="s">
        <v>1159</v>
      </c>
      <c r="C35" s="581">
        <v>1</v>
      </c>
      <c r="D35" s="581" t="s">
        <v>921</v>
      </c>
      <c r="E35" s="581">
        <v>2</v>
      </c>
      <c r="F35" s="581">
        <v>8.25</v>
      </c>
      <c r="G35" s="581">
        <v>0.3</v>
      </c>
      <c r="H35" s="581">
        <v>0.2</v>
      </c>
      <c r="I35" s="581">
        <f>ROUNDDOWN(PRODUCT(C35:H35),2)</f>
        <v>0.99</v>
      </c>
      <c r="J35" s="567"/>
      <c r="K35" s="567"/>
      <c r="L35" s="599"/>
    </row>
    <row r="36" spans="1:12" ht="27.75" customHeight="1">
      <c r="A36" s="562"/>
      <c r="B36" s="583" t="s">
        <v>2126</v>
      </c>
      <c r="C36" s="584">
        <v>2</v>
      </c>
      <c r="D36" s="584" t="s">
        <v>921</v>
      </c>
      <c r="E36" s="584">
        <v>2</v>
      </c>
      <c r="F36" s="581">
        <v>3.5</v>
      </c>
      <c r="G36" s="582" t="s">
        <v>2127</v>
      </c>
      <c r="H36" s="581">
        <v>2</v>
      </c>
      <c r="I36" s="581">
        <f>ROUNDDOWN(PRODUCT(C36:H36)*(1.38+0.5)/2,2)</f>
        <v>26.32</v>
      </c>
      <c r="J36" s="567"/>
      <c r="K36" s="567"/>
      <c r="L36" s="599"/>
    </row>
    <row r="37" spans="1:12" ht="20.100000000000001" customHeight="1">
      <c r="A37" s="562"/>
      <c r="B37" s="585"/>
      <c r="C37" s="577"/>
      <c r="D37" s="577"/>
      <c r="E37" s="577"/>
      <c r="F37" s="577"/>
      <c r="G37" s="577"/>
      <c r="H37" s="577"/>
      <c r="I37" s="598">
        <f>SUM(I34:I36)</f>
        <v>65.92</v>
      </c>
      <c r="J37" s="567">
        <f>'Slab-Culverts Data'!J206</f>
        <v>6796.65</v>
      </c>
      <c r="K37" s="567">
        <v>1</v>
      </c>
      <c r="L37" s="599">
        <f>ROUND(I37*J37,0)</f>
        <v>448035</v>
      </c>
    </row>
    <row r="38" spans="1:12" ht="18" customHeight="1">
      <c r="A38" s="562"/>
      <c r="B38" s="566"/>
      <c r="C38" s="567"/>
      <c r="D38" s="567"/>
      <c r="E38" s="567"/>
      <c r="F38" s="568"/>
      <c r="G38" s="568"/>
      <c r="H38" s="568"/>
      <c r="I38" s="567" t="s">
        <v>31</v>
      </c>
      <c r="J38" s="567"/>
      <c r="K38" s="567" t="s">
        <v>31</v>
      </c>
      <c r="L38" s="599"/>
    </row>
    <row r="39" spans="1:12" ht="7.5" customHeight="1">
      <c r="A39" s="569"/>
      <c r="B39" s="574"/>
      <c r="C39" s="575"/>
      <c r="D39" s="575"/>
      <c r="E39" s="575"/>
      <c r="F39" s="568"/>
      <c r="G39" s="568"/>
      <c r="H39" s="568"/>
      <c r="I39" s="567"/>
      <c r="J39" s="567"/>
      <c r="K39" s="567"/>
      <c r="L39" s="599"/>
    </row>
    <row r="40" spans="1:12" ht="109.5" customHeight="1">
      <c r="A40" s="569">
        <v>5</v>
      </c>
      <c r="B40" s="3894" t="str">
        <f>'Slab-Culverts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40" s="3894"/>
      <c r="D40" s="3894"/>
      <c r="E40" s="3894"/>
      <c r="F40" s="3894"/>
      <c r="G40" s="3894"/>
      <c r="H40" s="3894"/>
      <c r="I40" s="3894"/>
      <c r="J40" s="3894"/>
      <c r="K40" s="3894"/>
      <c r="L40" s="599"/>
    </row>
    <row r="41" spans="1:12" ht="31.5" customHeight="1">
      <c r="A41" s="562"/>
      <c r="B41" s="583" t="s">
        <v>1161</v>
      </c>
      <c r="C41" s="581">
        <v>1</v>
      </c>
      <c r="D41" s="581" t="s">
        <v>921</v>
      </c>
      <c r="E41" s="581">
        <v>2</v>
      </c>
      <c r="F41" s="581">
        <v>8.25</v>
      </c>
      <c r="G41" s="581">
        <v>1.375</v>
      </c>
      <c r="H41" s="581">
        <v>0.3</v>
      </c>
      <c r="I41" s="581">
        <f>ROUND(PRODUCT(C41:H41),2)</f>
        <v>6.81</v>
      </c>
      <c r="J41" s="567"/>
      <c r="K41" s="567"/>
      <c r="L41" s="599"/>
    </row>
    <row r="42" spans="1:12" s="552" customFormat="1" ht="20.100000000000001" hidden="1" customHeight="1">
      <c r="A42" s="586"/>
      <c r="B42" s="583"/>
      <c r="C42" s="584"/>
      <c r="D42" s="584"/>
      <c r="E42" s="584"/>
      <c r="F42" s="584"/>
      <c r="G42" s="584"/>
      <c r="H42" s="584"/>
      <c r="I42" s="584"/>
      <c r="J42" s="584"/>
      <c r="K42" s="584"/>
      <c r="L42" s="606"/>
    </row>
    <row r="43" spans="1:12" s="552" customFormat="1" ht="20.100000000000001" customHeight="1">
      <c r="A43" s="586"/>
      <c r="B43" s="583" t="s">
        <v>2128</v>
      </c>
      <c r="C43" s="584">
        <v>1</v>
      </c>
      <c r="D43" s="584" t="s">
        <v>921</v>
      </c>
      <c r="E43" s="584">
        <v>2</v>
      </c>
      <c r="F43" s="584">
        <v>8.25</v>
      </c>
      <c r="G43" s="584">
        <v>0.92</v>
      </c>
      <c r="H43" s="584">
        <v>0.2</v>
      </c>
      <c r="I43" s="584">
        <f>ROUNDDOWN(PRODUCT(C43:H43),2)</f>
        <v>3.03</v>
      </c>
      <c r="J43" s="584"/>
      <c r="K43" s="584"/>
      <c r="L43" s="606"/>
    </row>
    <row r="44" spans="1:12" s="552" customFormat="1" ht="20.100000000000001" customHeight="1">
      <c r="A44" s="586"/>
      <c r="B44" s="583" t="s">
        <v>1164</v>
      </c>
      <c r="C44" s="584">
        <v>1</v>
      </c>
      <c r="D44" s="584" t="s">
        <v>921</v>
      </c>
      <c r="E44" s="584">
        <v>2</v>
      </c>
      <c r="F44" s="584">
        <v>15.6</v>
      </c>
      <c r="G44" s="584">
        <v>0.47499999999999998</v>
      </c>
      <c r="H44" s="584">
        <v>0.27500000000000002</v>
      </c>
      <c r="I44" s="584">
        <f>ROUNDDOWN(PRODUCT(C44:H44),2)</f>
        <v>4.07</v>
      </c>
      <c r="J44" s="584"/>
      <c r="K44" s="584"/>
      <c r="L44" s="606"/>
    </row>
    <row r="45" spans="1:12" ht="20.100000000000001" customHeight="1">
      <c r="A45" s="562"/>
      <c r="B45" s="566"/>
      <c r="C45" s="567"/>
      <c r="D45" s="567"/>
      <c r="E45" s="567"/>
      <c r="F45" s="568"/>
      <c r="G45" s="568"/>
      <c r="H45" s="568"/>
      <c r="I45" s="607">
        <f>SUM(I41:I44)</f>
        <v>13.91</v>
      </c>
      <c r="J45" s="567">
        <f>'Slab-Culverts Data'!J267</f>
        <v>7713.58</v>
      </c>
      <c r="K45" s="567">
        <v>1</v>
      </c>
      <c r="L45" s="599">
        <f>ROUND(I45*J45,0)</f>
        <v>107296</v>
      </c>
    </row>
    <row r="46" spans="1:12" ht="18" customHeight="1">
      <c r="A46" s="562"/>
      <c r="B46" s="566"/>
      <c r="C46" s="567"/>
      <c r="D46" s="567"/>
      <c r="E46" s="567"/>
      <c r="F46" s="568"/>
      <c r="G46" s="568"/>
      <c r="H46" s="568"/>
      <c r="I46" s="567" t="s">
        <v>31</v>
      </c>
      <c r="J46" s="567"/>
      <c r="K46" s="567" t="s">
        <v>31</v>
      </c>
      <c r="L46" s="599"/>
    </row>
    <row r="47" spans="1:12" ht="130.5" customHeight="1">
      <c r="A47" s="587">
        <v>7</v>
      </c>
      <c r="B47" s="3895" t="str">
        <f>'Slab-Culverts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7" s="3896"/>
      <c r="D47" s="3896"/>
      <c r="E47" s="3896"/>
      <c r="F47" s="3896"/>
      <c r="G47" s="3896"/>
      <c r="H47" s="3896"/>
      <c r="I47" s="3896"/>
      <c r="J47" s="3896"/>
      <c r="K47" s="3897"/>
      <c r="L47" s="608"/>
    </row>
    <row r="48" spans="1:12" ht="15.6" customHeight="1">
      <c r="A48" s="569"/>
      <c r="B48" s="574" t="s">
        <v>1165</v>
      </c>
      <c r="C48" s="575"/>
      <c r="D48" s="575"/>
      <c r="E48" s="575"/>
      <c r="F48" s="575"/>
      <c r="G48" s="575"/>
      <c r="H48" s="575"/>
      <c r="I48" s="575"/>
      <c r="J48" s="575"/>
      <c r="K48" s="575"/>
      <c r="L48" s="600"/>
    </row>
    <row r="49" spans="1:14" s="553" customFormat="1" ht="18" customHeight="1">
      <c r="A49" s="588"/>
      <c r="B49" s="589" t="s">
        <v>1166</v>
      </c>
      <c r="C49" s="584">
        <v>1</v>
      </c>
      <c r="D49" s="584" t="s">
        <v>921</v>
      </c>
      <c r="E49" s="584">
        <v>1</v>
      </c>
      <c r="F49" s="584">
        <v>8.25</v>
      </c>
      <c r="G49" s="584">
        <v>6.76</v>
      </c>
      <c r="H49" s="584">
        <v>0.5</v>
      </c>
      <c r="I49" s="584">
        <f>ROUNDDOWN(PRODUCT(C49:H49),2)</f>
        <v>27.88</v>
      </c>
      <c r="J49" s="573"/>
      <c r="K49" s="609"/>
      <c r="L49" s="610"/>
      <c r="M49" s="611"/>
      <c r="N49" s="612"/>
    </row>
    <row r="50" spans="1:14" ht="15" customHeight="1">
      <c r="A50" s="569"/>
      <c r="B50" s="574"/>
      <c r="C50" s="575"/>
      <c r="D50" s="575"/>
      <c r="E50" s="575"/>
      <c r="F50" s="568"/>
      <c r="G50" s="567"/>
      <c r="H50" s="568"/>
      <c r="I50" s="607">
        <f>I49</f>
        <v>27.88</v>
      </c>
      <c r="J50" s="567">
        <f>'Slab-Culverts Data'!J366</f>
        <v>8387.5499999999993</v>
      </c>
      <c r="K50" s="567">
        <v>1</v>
      </c>
      <c r="L50" s="599">
        <f>ROUND(I50*J50,0)</f>
        <v>233845</v>
      </c>
    </row>
    <row r="51" spans="1:14" ht="15" customHeight="1">
      <c r="A51" s="569"/>
      <c r="B51" s="574"/>
      <c r="C51" s="575"/>
      <c r="D51" s="575"/>
      <c r="E51" s="575"/>
      <c r="F51" s="568"/>
      <c r="G51" s="568"/>
      <c r="H51" s="568"/>
      <c r="I51" s="567" t="s">
        <v>31</v>
      </c>
      <c r="J51" s="567"/>
      <c r="K51" s="567" t="s">
        <v>31</v>
      </c>
      <c r="L51" s="599"/>
    </row>
    <row r="52" spans="1:14" ht="7.5" customHeight="1">
      <c r="A52" s="569"/>
      <c r="B52" s="574"/>
      <c r="C52" s="575"/>
      <c r="D52" s="575"/>
      <c r="E52" s="575"/>
      <c r="F52" s="568"/>
      <c r="G52" s="568"/>
      <c r="H52" s="568"/>
      <c r="I52" s="567"/>
      <c r="J52" s="567"/>
      <c r="K52" s="567"/>
      <c r="L52" s="599"/>
    </row>
    <row r="53" spans="1:14" ht="102.6" hidden="1" customHeight="1">
      <c r="A53" s="569">
        <v>7</v>
      </c>
      <c r="B53" s="3894" t="str">
        <f>'Slab-Culverts Data'!B369:J369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C53" s="3894"/>
      <c r="D53" s="3894"/>
      <c r="E53" s="3894"/>
      <c r="F53" s="3894"/>
      <c r="G53" s="3894"/>
      <c r="H53" s="3894"/>
      <c r="I53" s="3894"/>
      <c r="J53" s="3894"/>
      <c r="K53" s="3894"/>
      <c r="L53" s="599"/>
    </row>
    <row r="54" spans="1:14" ht="15.6" hidden="1" customHeight="1">
      <c r="A54" s="569"/>
      <c r="B54" s="574" t="s">
        <v>1165</v>
      </c>
      <c r="C54" s="575"/>
      <c r="D54" s="575"/>
      <c r="E54" s="575"/>
      <c r="F54" s="575"/>
      <c r="G54" s="575"/>
      <c r="H54" s="575"/>
      <c r="I54" s="575"/>
      <c r="J54" s="575"/>
      <c r="K54" s="570"/>
      <c r="L54" s="600"/>
    </row>
    <row r="55" spans="1:14" s="553" customFormat="1" ht="18" hidden="1" customHeight="1">
      <c r="A55" s="588"/>
      <c r="B55" s="589" t="s">
        <v>1166</v>
      </c>
      <c r="C55" s="573">
        <v>1</v>
      </c>
      <c r="D55" s="573" t="s">
        <v>921</v>
      </c>
      <c r="E55" s="573">
        <v>1</v>
      </c>
      <c r="F55" s="573">
        <v>7.5</v>
      </c>
      <c r="G55" s="573">
        <v>7</v>
      </c>
      <c r="H55" s="573">
        <v>0.3</v>
      </c>
      <c r="I55" s="573">
        <f>ROUND(C55*E55*F55*G55*H55,2)</f>
        <v>15.75</v>
      </c>
      <c r="J55" s="573"/>
      <c r="K55" s="613"/>
      <c r="L55" s="610"/>
      <c r="M55" s="611"/>
      <c r="N55" s="612"/>
    </row>
    <row r="56" spans="1:14" ht="15" hidden="1" customHeight="1">
      <c r="A56" s="569"/>
      <c r="B56" s="574"/>
      <c r="C56" s="575"/>
      <c r="D56" s="575"/>
      <c r="E56" s="575"/>
      <c r="F56" s="568"/>
      <c r="G56" s="567"/>
      <c r="H56" s="568"/>
      <c r="I56" s="567"/>
      <c r="J56" s="567">
        <f>'Slab-Culverts Data'!J397</f>
        <v>8495.99</v>
      </c>
      <c r="K56" s="567">
        <v>1</v>
      </c>
      <c r="L56" s="599">
        <f>ROUND(I56*J56,0)</f>
        <v>0</v>
      </c>
    </row>
    <row r="57" spans="1:14" ht="15" hidden="1" customHeight="1">
      <c r="A57" s="569"/>
      <c r="B57" s="574"/>
      <c r="C57" s="575"/>
      <c r="D57" s="575"/>
      <c r="E57" s="575"/>
      <c r="F57" s="568"/>
      <c r="G57" s="568"/>
      <c r="H57" s="568"/>
      <c r="I57" s="567" t="s">
        <v>31</v>
      </c>
      <c r="J57" s="567"/>
      <c r="K57" s="567" t="s">
        <v>31</v>
      </c>
      <c r="L57" s="599"/>
    </row>
    <row r="58" spans="1:14" ht="60.75" customHeight="1">
      <c r="A58" s="569">
        <v>6</v>
      </c>
      <c r="B58" s="3894" t="str">
        <f>'Slab-Culverts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8" s="3894"/>
      <c r="D58" s="3894"/>
      <c r="E58" s="3894"/>
      <c r="F58" s="3894"/>
      <c r="G58" s="3894"/>
      <c r="H58" s="3894"/>
      <c r="I58" s="3894"/>
      <c r="J58" s="3894"/>
      <c r="K58" s="3894"/>
      <c r="L58" s="599"/>
    </row>
    <row r="59" spans="1:14" ht="30" customHeight="1">
      <c r="A59" s="562"/>
      <c r="B59" s="563" t="s">
        <v>1167</v>
      </c>
      <c r="C59" s="564">
        <v>1</v>
      </c>
      <c r="D59" s="564" t="s">
        <v>921</v>
      </c>
      <c r="E59" s="564">
        <v>2</v>
      </c>
      <c r="F59" s="564">
        <v>3.5</v>
      </c>
      <c r="G59" s="564">
        <v>6.6</v>
      </c>
      <c r="H59" s="565" t="s">
        <v>1943</v>
      </c>
      <c r="I59" s="564">
        <f>ROUNDDOWN(PRODUCT(C59:H59)*(2+0.5)/2,2)</f>
        <v>57.75</v>
      </c>
      <c r="J59" s="592"/>
      <c r="K59" s="614"/>
      <c r="L59" s="615"/>
    </row>
    <row r="60" spans="1:14" ht="20.100000000000001" customHeight="1">
      <c r="A60" s="562"/>
      <c r="B60" s="566"/>
      <c r="C60" s="567"/>
      <c r="D60" s="567"/>
      <c r="E60" s="567"/>
      <c r="F60" s="568"/>
      <c r="G60" s="567"/>
      <c r="H60" s="568"/>
      <c r="I60" s="607">
        <f>I59</f>
        <v>57.75</v>
      </c>
      <c r="J60" s="567">
        <f>'Slab-Culverts Data'!J625</f>
        <v>691.79</v>
      </c>
      <c r="K60" s="567">
        <v>1</v>
      </c>
      <c r="L60" s="599">
        <f>ROUND(I60*J60,0)</f>
        <v>39951</v>
      </c>
    </row>
    <row r="61" spans="1:14" ht="18" customHeight="1">
      <c r="A61" s="562"/>
      <c r="B61" s="566"/>
      <c r="C61" s="567"/>
      <c r="D61" s="567"/>
      <c r="E61" s="567"/>
      <c r="F61" s="568"/>
      <c r="G61" s="568"/>
      <c r="H61" s="568"/>
      <c r="I61" s="567" t="s">
        <v>31</v>
      </c>
      <c r="J61" s="567"/>
      <c r="K61" s="567" t="s">
        <v>31</v>
      </c>
      <c r="L61" s="599"/>
    </row>
    <row r="62" spans="1:14" ht="122.25" customHeight="1">
      <c r="A62" s="569">
        <v>7</v>
      </c>
      <c r="B62" s="3894"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62" s="3894"/>
      <c r="D62" s="3894"/>
      <c r="E62" s="3894"/>
      <c r="F62" s="3894"/>
      <c r="G62" s="3894"/>
      <c r="H62" s="3894"/>
      <c r="I62" s="3894"/>
      <c r="J62" s="3894"/>
      <c r="K62" s="3894"/>
      <c r="L62" s="599"/>
    </row>
    <row r="63" spans="1:14" s="554" customFormat="1" ht="20.100000000000001" customHeight="1">
      <c r="A63" s="590"/>
      <c r="B63" s="591" t="s">
        <v>1168</v>
      </c>
      <c r="C63" s="592">
        <v>1</v>
      </c>
      <c r="D63" s="592" t="s">
        <v>921</v>
      </c>
      <c r="E63" s="592">
        <v>1</v>
      </c>
      <c r="F63" s="592">
        <v>7.5</v>
      </c>
      <c r="G63" s="592">
        <v>6.76</v>
      </c>
      <c r="H63" s="592">
        <v>0.1</v>
      </c>
      <c r="I63" s="616">
        <f>ROUNDDOWN(PRODUCT(C63:H63),2)</f>
        <v>5.07</v>
      </c>
      <c r="J63" s="592"/>
      <c r="K63" s="614"/>
      <c r="L63" s="615"/>
      <c r="M63" s="617"/>
      <c r="N63" s="618"/>
    </row>
    <row r="64" spans="1:14" s="554" customFormat="1" ht="20.100000000000001" customHeight="1">
      <c r="A64" s="590"/>
      <c r="B64" s="591" t="s">
        <v>2129</v>
      </c>
      <c r="C64" s="592">
        <v>1</v>
      </c>
      <c r="D64" s="592" t="s">
        <v>921</v>
      </c>
      <c r="E64" s="592">
        <v>2</v>
      </c>
      <c r="F64" s="592">
        <v>3.5</v>
      </c>
      <c r="G64" s="592">
        <v>7.5</v>
      </c>
      <c r="H64" s="592">
        <v>0.1</v>
      </c>
      <c r="I64" s="616">
        <f>ROUNDDOWN(PRODUCT(C64:H64),2)</f>
        <v>5.25</v>
      </c>
      <c r="J64" s="592"/>
      <c r="K64" s="614"/>
      <c r="L64" s="615"/>
      <c r="M64" s="617"/>
      <c r="N64" s="618"/>
    </row>
    <row r="65" spans="1:12" ht="20.100000000000001" customHeight="1">
      <c r="A65" s="562"/>
      <c r="B65" s="566"/>
      <c r="C65" s="567"/>
      <c r="D65" s="567"/>
      <c r="E65" s="567"/>
      <c r="F65" s="568"/>
      <c r="G65" s="567"/>
      <c r="H65" s="568"/>
      <c r="I65" s="607">
        <f>SUM(I63:I64)</f>
        <v>10.32</v>
      </c>
      <c r="J65" s="567">
        <f>'Slab-Culverts Data'!J428</f>
        <v>7079.99</v>
      </c>
      <c r="K65" s="567">
        <v>1</v>
      </c>
      <c r="L65" s="599">
        <f>ROUND(I65*J65,0)</f>
        <v>73065</v>
      </c>
    </row>
    <row r="66" spans="1:12" ht="18" customHeight="1">
      <c r="A66" s="562"/>
      <c r="B66" s="566"/>
      <c r="C66" s="567"/>
      <c r="D66" s="567"/>
      <c r="E66" s="567"/>
      <c r="F66" s="568"/>
      <c r="G66" s="568"/>
      <c r="H66" s="568"/>
      <c r="I66" s="567" t="s">
        <v>31</v>
      </c>
      <c r="J66" s="567"/>
      <c r="K66" s="567" t="s">
        <v>31</v>
      </c>
      <c r="L66" s="599"/>
    </row>
    <row r="67" spans="1:12" s="555" customFormat="1" ht="120.75" customHeight="1">
      <c r="A67" s="619">
        <v>8</v>
      </c>
      <c r="B67" s="3894"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67" s="3894"/>
      <c r="D67" s="3894"/>
      <c r="E67" s="3894"/>
      <c r="F67" s="3894"/>
      <c r="G67" s="3894"/>
      <c r="H67" s="3894"/>
      <c r="I67" s="3894"/>
      <c r="J67" s="3894"/>
      <c r="K67" s="3894"/>
      <c r="L67" s="633"/>
    </row>
    <row r="68" spans="1:12" ht="30" customHeight="1">
      <c r="A68" s="562"/>
      <c r="B68" s="563" t="s">
        <v>1169</v>
      </c>
      <c r="C68" s="564">
        <v>1</v>
      </c>
      <c r="D68" s="564" t="s">
        <v>921</v>
      </c>
      <c r="E68" s="564">
        <v>2</v>
      </c>
      <c r="F68" s="564">
        <v>5</v>
      </c>
      <c r="G68" s="565" t="s">
        <v>2130</v>
      </c>
      <c r="H68" s="565" t="s">
        <v>2131</v>
      </c>
      <c r="I68" s="564">
        <f>ROUND(PRODUCT(C68:H68)*(13.5+7.5)/2*(2+0.3)/2,2)</f>
        <v>120.75</v>
      </c>
      <c r="J68" s="563"/>
      <c r="K68" s="634"/>
      <c r="L68" s="635"/>
    </row>
    <row r="69" spans="1:12" ht="20.100000000000001" customHeight="1">
      <c r="A69" s="562"/>
      <c r="B69" s="620"/>
      <c r="C69" s="577"/>
      <c r="D69" s="577"/>
      <c r="E69" s="577"/>
      <c r="F69" s="621"/>
      <c r="G69" s="621"/>
      <c r="H69" s="621"/>
      <c r="I69" s="598">
        <f>SUM(I68:I68)</f>
        <v>120.75</v>
      </c>
      <c r="J69" s="621">
        <f>'Road data'!G188</f>
        <v>318.8</v>
      </c>
      <c r="K69" s="636" t="s">
        <v>1170</v>
      </c>
      <c r="L69" s="599">
        <f>ROUND(I69*J69,0)</f>
        <v>38495</v>
      </c>
    </row>
    <row r="70" spans="1:12" ht="15" customHeight="1">
      <c r="A70" s="562"/>
      <c r="B70" s="566"/>
      <c r="C70" s="567"/>
      <c r="D70" s="567"/>
      <c r="E70" s="567"/>
      <c r="F70" s="568"/>
      <c r="G70" s="568"/>
      <c r="H70" s="568"/>
      <c r="I70" s="567" t="s">
        <v>73</v>
      </c>
      <c r="J70" s="567"/>
      <c r="K70" s="567"/>
      <c r="L70" s="599"/>
    </row>
    <row r="71" spans="1:12" ht="104.25" customHeight="1">
      <c r="A71" s="569">
        <v>9</v>
      </c>
      <c r="B71" s="3894" t="str">
        <f>'Slab-Culverts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71" s="3894"/>
      <c r="D71" s="3894"/>
      <c r="E71" s="3894"/>
      <c r="F71" s="3894"/>
      <c r="G71" s="3894"/>
      <c r="H71" s="3894"/>
      <c r="I71" s="3894"/>
      <c r="J71" s="3894"/>
      <c r="K71" s="3894"/>
      <c r="L71" s="637"/>
    </row>
    <row r="72" spans="1:12" ht="20.100000000000001" customHeight="1">
      <c r="A72" s="562"/>
      <c r="B72" s="563" t="s">
        <v>1169</v>
      </c>
      <c r="C72" s="564">
        <v>1</v>
      </c>
      <c r="D72" s="564" t="s">
        <v>921</v>
      </c>
      <c r="E72" s="564">
        <v>2</v>
      </c>
      <c r="F72" s="564">
        <f>F59</f>
        <v>3.5</v>
      </c>
      <c r="G72" s="564">
        <v>6.5</v>
      </c>
      <c r="H72" s="564">
        <v>0.15</v>
      </c>
      <c r="I72" s="564">
        <f>ROUND(PRODUCT(C72:H72),2)</f>
        <v>6.83</v>
      </c>
      <c r="J72" s="563"/>
      <c r="K72" s="634"/>
      <c r="L72" s="635"/>
    </row>
    <row r="73" spans="1:12" ht="20.100000000000001" customHeight="1">
      <c r="A73" s="562"/>
      <c r="B73" s="620"/>
      <c r="C73" s="577"/>
      <c r="D73" s="577"/>
      <c r="E73" s="577"/>
      <c r="F73" s="621"/>
      <c r="G73" s="621"/>
      <c r="H73" s="621"/>
      <c r="I73" s="598">
        <f>SUM(I72:I72)</f>
        <v>6.83</v>
      </c>
      <c r="J73" s="621">
        <f>'Slab-Culverts Data'!J535</f>
        <v>6182.18</v>
      </c>
      <c r="K73" s="636" t="s">
        <v>1170</v>
      </c>
      <c r="L73" s="599">
        <f>ROUND(I73*J73,0)</f>
        <v>42224</v>
      </c>
    </row>
    <row r="74" spans="1:12" ht="15" customHeight="1">
      <c r="A74" s="562"/>
      <c r="B74" s="566"/>
      <c r="C74" s="567"/>
      <c r="D74" s="567"/>
      <c r="E74" s="567"/>
      <c r="F74" s="568"/>
      <c r="G74" s="568"/>
      <c r="H74" s="568"/>
      <c r="I74" s="567" t="s">
        <v>73</v>
      </c>
      <c r="J74" s="567"/>
      <c r="K74" s="567"/>
      <c r="L74" s="599"/>
    </row>
    <row r="75" spans="1:12" ht="135.75" customHeight="1">
      <c r="A75" s="569">
        <v>10</v>
      </c>
      <c r="B75" s="3894" t="str">
        <f>'Slab-Culverts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75" s="3894"/>
      <c r="D75" s="3894"/>
      <c r="E75" s="3894"/>
      <c r="F75" s="3894"/>
      <c r="G75" s="3894"/>
      <c r="H75" s="3894"/>
      <c r="I75" s="3894"/>
      <c r="J75" s="3894"/>
      <c r="K75" s="3894"/>
      <c r="L75" s="637"/>
    </row>
    <row r="76" spans="1:12" ht="20.100000000000001" customHeight="1">
      <c r="A76" s="562"/>
      <c r="B76" s="563" t="s">
        <v>1171</v>
      </c>
      <c r="C76" s="564">
        <v>1</v>
      </c>
      <c r="D76" s="564" t="s">
        <v>921</v>
      </c>
      <c r="E76" s="564">
        <v>2</v>
      </c>
      <c r="F76" s="564">
        <v>3.5</v>
      </c>
      <c r="G76" s="564">
        <v>7.5</v>
      </c>
      <c r="H76" s="564">
        <v>0.3</v>
      </c>
      <c r="I76" s="564">
        <f>ROUND(PRODUCT(C76:H76),2)</f>
        <v>15.75</v>
      </c>
      <c r="J76" s="563"/>
      <c r="K76" s="634"/>
      <c r="L76" s="635"/>
    </row>
    <row r="77" spans="1:12" ht="20.100000000000001" customHeight="1">
      <c r="A77" s="562"/>
      <c r="B77" s="620"/>
      <c r="C77" s="577"/>
      <c r="D77" s="577"/>
      <c r="E77" s="577"/>
      <c r="F77" s="621"/>
      <c r="G77" s="621"/>
      <c r="H77" s="621"/>
      <c r="I77" s="598">
        <f>SUM(I76:I76)</f>
        <v>15.75</v>
      </c>
      <c r="J77" s="621">
        <f>'Slab-Culverts Data'!J504</f>
        <v>7175.39</v>
      </c>
      <c r="K77" s="636" t="s">
        <v>1170</v>
      </c>
      <c r="L77" s="638">
        <f>ROUND(I77*J77,0)</f>
        <v>113012</v>
      </c>
    </row>
    <row r="78" spans="1:12" ht="15" customHeight="1">
      <c r="A78" s="562"/>
      <c r="B78" s="620"/>
      <c r="C78" s="577"/>
      <c r="D78" s="577"/>
      <c r="E78" s="577"/>
      <c r="F78" s="621"/>
      <c r="G78" s="621"/>
      <c r="H78" s="621"/>
      <c r="I78" s="567" t="s">
        <v>73</v>
      </c>
      <c r="J78" s="621"/>
      <c r="K78" s="636"/>
      <c r="L78" s="638"/>
    </row>
    <row r="79" spans="1:12" ht="95.25" customHeight="1">
      <c r="A79" s="569">
        <v>11</v>
      </c>
      <c r="B79" s="3894" t="str">
        <f>'Slab-Culverts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9" s="3894"/>
      <c r="D79" s="3894"/>
      <c r="E79" s="3894"/>
      <c r="F79" s="3894"/>
      <c r="G79" s="3894"/>
      <c r="H79" s="3894"/>
      <c r="I79" s="3894"/>
      <c r="J79" s="3894"/>
      <c r="K79" s="3894"/>
      <c r="L79" s="637"/>
    </row>
    <row r="80" spans="1:12" ht="20.100000000000001" customHeight="1">
      <c r="A80" s="569"/>
      <c r="B80" s="622"/>
      <c r="C80" s="623">
        <v>1</v>
      </c>
      <c r="D80" s="623" t="s">
        <v>921</v>
      </c>
      <c r="E80" s="623">
        <v>2</v>
      </c>
      <c r="F80" s="623">
        <v>15.6</v>
      </c>
      <c r="G80" s="623"/>
      <c r="H80" s="623"/>
      <c r="I80" s="623">
        <f>ROUND(PRODUCT(C80:H80),2)</f>
        <v>31.2</v>
      </c>
      <c r="J80" s="622"/>
      <c r="K80" s="639"/>
      <c r="L80" s="640"/>
    </row>
    <row r="81" spans="1:12" ht="20.100000000000001" customHeight="1">
      <c r="A81" s="569"/>
      <c r="B81" s="624"/>
      <c r="C81" s="625"/>
      <c r="D81" s="625"/>
      <c r="E81" s="625"/>
      <c r="F81" s="626"/>
      <c r="G81" s="626"/>
      <c r="H81" s="626"/>
      <c r="I81" s="641">
        <f>SUM(I80:I80)</f>
        <v>31.2</v>
      </c>
      <c r="J81" s="626">
        <f>'Slab-Culverts Data'!J673</f>
        <v>617.67139145468752</v>
      </c>
      <c r="K81" s="642" t="s">
        <v>1054</v>
      </c>
      <c r="L81" s="637">
        <f>ROUND(I81*J81,0)</f>
        <v>19271</v>
      </c>
    </row>
    <row r="82" spans="1:12" ht="15" customHeight="1">
      <c r="A82" s="569"/>
      <c r="B82" s="624"/>
      <c r="C82" s="625"/>
      <c r="D82" s="625"/>
      <c r="E82" s="625"/>
      <c r="F82" s="626"/>
      <c r="G82" s="626"/>
      <c r="H82" s="626"/>
      <c r="I82" s="567" t="s">
        <v>1054</v>
      </c>
      <c r="J82" s="626"/>
      <c r="K82" s="642"/>
      <c r="L82" s="637"/>
    </row>
    <row r="83" spans="1:12" ht="107.25" customHeight="1">
      <c r="A83" s="569">
        <v>12</v>
      </c>
      <c r="B83" s="3894" t="str">
        <f>'Slab-Culverts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83" s="3894"/>
      <c r="D83" s="3894"/>
      <c r="E83" s="3894"/>
      <c r="F83" s="3894"/>
      <c r="G83" s="3894"/>
      <c r="H83" s="3894"/>
      <c r="I83" s="3894"/>
      <c r="J83" s="3894"/>
      <c r="K83" s="3894"/>
      <c r="L83" s="637"/>
    </row>
    <row r="84" spans="1:12" ht="20.100000000000001" customHeight="1">
      <c r="A84" s="562"/>
      <c r="B84" s="563"/>
      <c r="C84" s="564">
        <v>2</v>
      </c>
      <c r="D84" s="564" t="s">
        <v>921</v>
      </c>
      <c r="E84" s="564">
        <v>2</v>
      </c>
      <c r="F84" s="564">
        <v>15</v>
      </c>
      <c r="G84" s="564"/>
      <c r="H84" s="564"/>
      <c r="I84" s="564">
        <f>ROUND(PRODUCT(C84:H84),2)</f>
        <v>60</v>
      </c>
      <c r="J84" s="563"/>
      <c r="K84" s="634"/>
      <c r="L84" s="635"/>
    </row>
    <row r="85" spans="1:12" ht="20.100000000000001" customHeight="1">
      <c r="A85" s="562"/>
      <c r="B85" s="620"/>
      <c r="C85" s="577"/>
      <c r="D85" s="577"/>
      <c r="E85" s="577"/>
      <c r="F85" s="621"/>
      <c r="G85" s="621"/>
      <c r="H85" s="621"/>
      <c r="I85" s="598">
        <f>SUM(I84:I84)</f>
        <v>60</v>
      </c>
      <c r="J85" s="621">
        <f>'Slab-Culverts Data'!J312</f>
        <v>614.33766666666668</v>
      </c>
      <c r="K85" s="636" t="s">
        <v>1054</v>
      </c>
      <c r="L85" s="638">
        <f>ROUND(I85*J85,0)</f>
        <v>36860</v>
      </c>
    </row>
    <row r="86" spans="1:12" ht="15" customHeight="1">
      <c r="A86" s="562"/>
      <c r="B86" s="620"/>
      <c r="C86" s="577"/>
      <c r="D86" s="577"/>
      <c r="E86" s="577"/>
      <c r="F86" s="621"/>
      <c r="G86" s="621"/>
      <c r="H86" s="621"/>
      <c r="I86" s="567" t="s">
        <v>73</v>
      </c>
      <c r="J86" s="621"/>
      <c r="K86" s="636"/>
      <c r="L86" s="638"/>
    </row>
    <row r="87" spans="1:12" ht="123.75" customHeight="1">
      <c r="A87" s="569">
        <v>13</v>
      </c>
      <c r="B87" s="3894" t="str">
        <f>'Slab-Culverts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87" s="3894"/>
      <c r="D87" s="3894"/>
      <c r="E87" s="3894"/>
      <c r="F87" s="3894"/>
      <c r="G87" s="3894"/>
      <c r="H87" s="3894"/>
      <c r="I87" s="3894"/>
      <c r="J87" s="3894"/>
      <c r="K87" s="3894"/>
      <c r="L87" s="637"/>
    </row>
    <row r="88" spans="1:12" ht="20.100000000000001" customHeight="1">
      <c r="A88" s="562"/>
      <c r="B88" s="563"/>
      <c r="C88" s="564">
        <v>1</v>
      </c>
      <c r="D88" s="564" t="s">
        <v>921</v>
      </c>
      <c r="E88" s="564">
        <v>2</v>
      </c>
      <c r="F88" s="564">
        <v>13.5</v>
      </c>
      <c r="G88" s="564">
        <v>0.23</v>
      </c>
      <c r="H88" s="564">
        <v>1.5</v>
      </c>
      <c r="I88" s="564">
        <f>ROUND(PRODUCT(C88:H88),2)</f>
        <v>9.32</v>
      </c>
      <c r="J88" s="563"/>
      <c r="K88" s="634"/>
      <c r="L88" s="635"/>
    </row>
    <row r="89" spans="1:12" ht="20.100000000000001" customHeight="1">
      <c r="A89" s="562"/>
      <c r="B89" s="620"/>
      <c r="C89" s="577"/>
      <c r="D89" s="577"/>
      <c r="E89" s="577"/>
      <c r="F89" s="621"/>
      <c r="G89" s="621"/>
      <c r="H89" s="621"/>
      <c r="I89" s="598">
        <f>SUM(I88:I88)</f>
        <v>9.32</v>
      </c>
      <c r="J89" s="621">
        <f>'Slab-Culverts Data'!J335</f>
        <v>2427.13</v>
      </c>
      <c r="K89" s="636" t="s">
        <v>73</v>
      </c>
      <c r="L89" s="638">
        <f>ROUND(I89*J89,0)</f>
        <v>22621</v>
      </c>
    </row>
    <row r="90" spans="1:12" ht="15" customHeight="1">
      <c r="A90" s="562"/>
      <c r="B90" s="620"/>
      <c r="C90" s="577"/>
      <c r="D90" s="577"/>
      <c r="E90" s="577"/>
      <c r="F90" s="621"/>
      <c r="G90" s="621"/>
      <c r="H90" s="621"/>
      <c r="I90" s="567" t="s">
        <v>73</v>
      </c>
      <c r="J90" s="621"/>
      <c r="K90" s="636"/>
      <c r="L90" s="638"/>
    </row>
    <row r="91" spans="1:12" ht="60" customHeight="1">
      <c r="A91" s="569">
        <v>14</v>
      </c>
      <c r="B91" s="3894"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91" s="3894"/>
      <c r="D91" s="3894"/>
      <c r="E91" s="3894"/>
      <c r="F91" s="3894"/>
      <c r="G91" s="3894"/>
      <c r="H91" s="3894"/>
      <c r="I91" s="3894"/>
      <c r="J91" s="3894"/>
      <c r="K91" s="3894"/>
      <c r="L91" s="637"/>
    </row>
    <row r="92" spans="1:12" ht="20.100000000000001" customHeight="1">
      <c r="A92" s="562"/>
      <c r="B92" s="563" t="s">
        <v>1172</v>
      </c>
      <c r="C92" s="564">
        <v>1</v>
      </c>
      <c r="D92" s="564" t="s">
        <v>921</v>
      </c>
      <c r="E92" s="564">
        <v>1</v>
      </c>
      <c r="F92" s="564">
        <v>8.25</v>
      </c>
      <c r="G92" s="564">
        <v>6</v>
      </c>
      <c r="H92" s="564">
        <v>0.3</v>
      </c>
      <c r="I92" s="564">
        <f>ROUND(PRODUCT(C92:H92),2)</f>
        <v>14.85</v>
      </c>
      <c r="J92" s="563"/>
      <c r="K92" s="634"/>
      <c r="L92" s="635"/>
    </row>
    <row r="93" spans="1:12" ht="20.100000000000001" customHeight="1">
      <c r="A93" s="562"/>
      <c r="B93" s="563" t="s">
        <v>1173</v>
      </c>
      <c r="C93" s="564">
        <v>1</v>
      </c>
      <c r="D93" s="564" t="s">
        <v>921</v>
      </c>
      <c r="E93" s="564">
        <v>1</v>
      </c>
      <c r="F93" s="564">
        <v>14</v>
      </c>
      <c r="G93" s="564">
        <v>1.5</v>
      </c>
      <c r="H93" s="564">
        <v>0.3</v>
      </c>
      <c r="I93" s="564">
        <f>ROUND(PRODUCT(C93:H93),2)</f>
        <v>6.3</v>
      </c>
      <c r="J93" s="563"/>
      <c r="K93" s="634"/>
      <c r="L93" s="635"/>
    </row>
    <row r="94" spans="1:12" ht="20.100000000000001" customHeight="1">
      <c r="A94" s="562"/>
      <c r="B94" s="563" t="s">
        <v>1174</v>
      </c>
      <c r="C94" s="564">
        <v>1</v>
      </c>
      <c r="D94" s="564" t="s">
        <v>921</v>
      </c>
      <c r="E94" s="564">
        <v>1</v>
      </c>
      <c r="F94" s="564">
        <v>14</v>
      </c>
      <c r="G94" s="564">
        <v>3</v>
      </c>
      <c r="H94" s="564">
        <v>0.3</v>
      </c>
      <c r="I94" s="564">
        <f>ROUND(PRODUCT(C94:H94),2)</f>
        <v>12.6</v>
      </c>
      <c r="J94" s="563"/>
      <c r="K94" s="634"/>
      <c r="L94" s="635"/>
    </row>
    <row r="95" spans="1:12" ht="20.100000000000001" customHeight="1">
      <c r="A95" s="562"/>
      <c r="B95" s="620"/>
      <c r="C95" s="577"/>
      <c r="D95" s="577"/>
      <c r="E95" s="577"/>
      <c r="F95" s="621"/>
      <c r="G95" s="621"/>
      <c r="H95" s="621"/>
      <c r="I95" s="598">
        <f>SUM(I92:I94)</f>
        <v>33.75</v>
      </c>
      <c r="J95" s="621">
        <f>'Slab-Culverts Data'!J559</f>
        <v>2067.88</v>
      </c>
      <c r="K95" s="636" t="s">
        <v>73</v>
      </c>
      <c r="L95" s="638">
        <f>ROUND(I95*J95,0)</f>
        <v>69791</v>
      </c>
    </row>
    <row r="96" spans="1:12" ht="20.100000000000001" customHeight="1">
      <c r="A96" s="562"/>
      <c r="B96" s="566"/>
      <c r="C96" s="567"/>
      <c r="D96" s="567"/>
      <c r="E96" s="567"/>
      <c r="F96" s="568"/>
      <c r="G96" s="568"/>
      <c r="H96" s="568"/>
      <c r="I96" s="567" t="s">
        <v>73</v>
      </c>
      <c r="J96" s="567"/>
      <c r="K96" s="567"/>
      <c r="L96" s="599"/>
    </row>
    <row r="97" spans="1:12" ht="20.100000000000001" customHeight="1">
      <c r="A97" s="569"/>
      <c r="B97" s="574"/>
      <c r="C97" s="575"/>
      <c r="D97" s="575"/>
      <c r="E97" s="575"/>
      <c r="F97" s="568"/>
      <c r="G97" s="568"/>
      <c r="H97" s="568"/>
      <c r="I97" s="567"/>
      <c r="J97" s="567"/>
      <c r="K97" s="567"/>
      <c r="L97" s="599"/>
    </row>
    <row r="98" spans="1:12" ht="130.5" customHeight="1">
      <c r="A98" s="569">
        <v>15</v>
      </c>
      <c r="B98" s="3894" t="str">
        <f>'Slab-Culverts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8" s="3894"/>
      <c r="D98" s="3894"/>
      <c r="E98" s="3894"/>
      <c r="F98" s="3894"/>
      <c r="G98" s="3894"/>
      <c r="H98" s="3894"/>
      <c r="I98" s="3894"/>
      <c r="J98" s="3894"/>
      <c r="K98" s="3894"/>
      <c r="L98" s="599"/>
    </row>
    <row r="99" spans="1:12" ht="20.100000000000001" customHeight="1">
      <c r="A99" s="562"/>
      <c r="B99" s="566"/>
      <c r="C99" s="567"/>
      <c r="D99" s="567"/>
      <c r="E99" s="567"/>
      <c r="F99" s="568"/>
      <c r="G99" s="568"/>
      <c r="H99" s="568"/>
      <c r="I99" s="567">
        <v>0.61199999999999999</v>
      </c>
      <c r="J99" s="567">
        <f>'Slab-Culverts Data'!J175</f>
        <v>64656.02</v>
      </c>
      <c r="K99" s="567">
        <v>1</v>
      </c>
      <c r="L99" s="599">
        <f>ROUND(I99*J99,0)</f>
        <v>39569</v>
      </c>
    </row>
    <row r="100" spans="1:12" ht="20.100000000000001" customHeight="1">
      <c r="A100" s="562"/>
      <c r="B100" s="566"/>
      <c r="C100" s="567"/>
      <c r="D100" s="567"/>
      <c r="E100" s="567"/>
      <c r="F100" s="568"/>
      <c r="G100" s="568"/>
      <c r="H100" s="568"/>
      <c r="I100" s="567" t="s">
        <v>66</v>
      </c>
      <c r="J100" s="567"/>
      <c r="K100" s="567" t="s">
        <v>66</v>
      </c>
      <c r="L100" s="599"/>
    </row>
    <row r="101" spans="1:12" ht="15" customHeight="1">
      <c r="A101" s="569"/>
      <c r="B101" s="574"/>
      <c r="C101" s="575"/>
      <c r="D101" s="575"/>
      <c r="E101" s="575"/>
      <c r="F101" s="568"/>
      <c r="G101" s="568"/>
      <c r="H101" s="568"/>
      <c r="I101" s="567"/>
      <c r="J101" s="567"/>
      <c r="K101" s="567"/>
      <c r="L101" s="599"/>
    </row>
    <row r="102" spans="1:12" ht="132" customHeight="1">
      <c r="A102" s="569">
        <v>16</v>
      </c>
      <c r="B102" s="3894" t="str">
        <f>'Slab-Culverts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102" s="3894"/>
      <c r="D102" s="3894"/>
      <c r="E102" s="3894"/>
      <c r="F102" s="3894"/>
      <c r="G102" s="3894"/>
      <c r="H102" s="3894"/>
      <c r="I102" s="3894"/>
      <c r="J102" s="3894"/>
      <c r="K102" s="3894"/>
      <c r="L102" s="599"/>
    </row>
    <row r="103" spans="1:12" ht="20.100000000000001" customHeight="1">
      <c r="A103" s="562"/>
      <c r="B103" s="566"/>
      <c r="C103" s="567"/>
      <c r="D103" s="567"/>
      <c r="E103" s="567"/>
      <c r="F103" s="568"/>
      <c r="G103" s="568"/>
      <c r="H103" s="568"/>
      <c r="I103" s="567">
        <v>0.61199999999999999</v>
      </c>
      <c r="J103" s="567">
        <f>'Slab-Culverts Data'!J290</f>
        <v>64943.47</v>
      </c>
      <c r="K103" s="567">
        <v>1</v>
      </c>
      <c r="L103" s="599">
        <f>ROUND(I103*J103,0)</f>
        <v>39745</v>
      </c>
    </row>
    <row r="104" spans="1:12" ht="20.100000000000001" customHeight="1">
      <c r="A104" s="562"/>
      <c r="B104" s="566"/>
      <c r="C104" s="567"/>
      <c r="D104" s="567"/>
      <c r="E104" s="567"/>
      <c r="F104" s="568"/>
      <c r="G104" s="568"/>
      <c r="H104" s="568"/>
      <c r="I104" s="567" t="s">
        <v>66</v>
      </c>
      <c r="J104" s="567"/>
      <c r="K104" s="567" t="s">
        <v>66</v>
      </c>
      <c r="L104" s="599"/>
    </row>
    <row r="105" spans="1:12" ht="134.25" customHeight="1">
      <c r="A105" s="569">
        <v>17</v>
      </c>
      <c r="B105" s="3894"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105" s="3894"/>
      <c r="D105" s="3894"/>
      <c r="E105" s="3894"/>
      <c r="F105" s="3894"/>
      <c r="G105" s="3894"/>
      <c r="H105" s="3894"/>
      <c r="I105" s="3894"/>
      <c r="J105" s="3894"/>
      <c r="K105" s="3894"/>
      <c r="L105" s="600"/>
    </row>
    <row r="106" spans="1:12" ht="20.100000000000001" customHeight="1">
      <c r="A106" s="562"/>
      <c r="B106" s="566"/>
      <c r="C106" s="567"/>
      <c r="D106" s="567"/>
      <c r="E106" s="567"/>
      <c r="F106" s="568"/>
      <c r="G106" s="568"/>
      <c r="H106" s="568"/>
      <c r="I106" s="567">
        <v>4</v>
      </c>
      <c r="J106" s="567">
        <f>'Slab-Culverts Data'!J451</f>
        <v>66904.47</v>
      </c>
      <c r="K106" s="567">
        <v>1</v>
      </c>
      <c r="L106" s="599">
        <f>ROUND(I106*J106,0)</f>
        <v>267618</v>
      </c>
    </row>
    <row r="107" spans="1:12" ht="20.100000000000001" customHeight="1">
      <c r="A107" s="627"/>
      <c r="B107" s="628"/>
      <c r="C107" s="629"/>
      <c r="D107" s="629"/>
      <c r="E107" s="629"/>
      <c r="F107" s="630"/>
      <c r="G107" s="630"/>
      <c r="H107" s="630"/>
      <c r="I107" s="629" t="s">
        <v>66</v>
      </c>
      <c r="J107" s="629"/>
      <c r="K107" s="629" t="s">
        <v>66</v>
      </c>
      <c r="L107" s="643"/>
    </row>
    <row r="108" spans="1:12" ht="23.25" customHeight="1">
      <c r="A108" s="631"/>
      <c r="B108" s="628"/>
      <c r="C108" s="629"/>
      <c r="D108" s="629"/>
      <c r="E108" s="629"/>
      <c r="F108" s="630"/>
      <c r="G108" s="630"/>
      <c r="H108" s="630"/>
      <c r="I108" s="629"/>
      <c r="J108" s="630" t="s">
        <v>1175</v>
      </c>
      <c r="K108" s="630"/>
      <c r="L108" s="644">
        <f>SUM(L6:L107)</f>
        <v>2541649</v>
      </c>
    </row>
    <row r="109" spans="1:12" ht="12.75" customHeight="1">
      <c r="L109" s="550"/>
    </row>
    <row r="112" spans="1:12" ht="15" customHeight="1">
      <c r="B112" s="632" t="s">
        <v>722</v>
      </c>
      <c r="F112" s="3644" t="s">
        <v>723</v>
      </c>
      <c r="G112" s="3644"/>
      <c r="H112" s="3644"/>
      <c r="J112" s="632" t="s">
        <v>2132</v>
      </c>
    </row>
    <row r="113" spans="1:20" ht="15" customHeight="1">
      <c r="B113" s="632" t="str">
        <f>'Slab Culvert 1V 5m x 2m span'!F105</f>
        <v>PRSD Maddur</v>
      </c>
      <c r="F113" s="3644" t="str">
        <f>'Slab Culvert 1V 5m x 2m span'!J105</f>
        <v>PRSD, Maddur</v>
      </c>
      <c r="G113" s="3644"/>
      <c r="H113" s="3644"/>
      <c r="J113" s="632" t="str">
        <f>'Slab Culvert 1V 5m x 2m span'!F110</f>
        <v>PR Division, Narayanpet</v>
      </c>
    </row>
    <row r="114" spans="1:20">
      <c r="B114" s="632"/>
      <c r="F114" s="632"/>
      <c r="J114" s="530"/>
      <c r="K114" s="530"/>
    </row>
    <row r="115" spans="1:20">
      <c r="B115" s="632"/>
      <c r="F115" s="632"/>
      <c r="J115" s="530"/>
      <c r="K115" s="530"/>
    </row>
    <row r="116" spans="1:20">
      <c r="B116" s="532"/>
      <c r="F116" s="530"/>
      <c r="J116" s="532"/>
      <c r="K116" s="530"/>
    </row>
    <row r="117" spans="1:20" ht="15" customHeight="1">
      <c r="B117" s="632"/>
      <c r="I117" s="3644"/>
      <c r="J117" s="3644"/>
      <c r="K117" s="3644"/>
    </row>
    <row r="118" spans="1:20" s="487" customFormat="1">
      <c r="A118" s="556"/>
      <c r="B118" s="632"/>
      <c r="I118" s="3735"/>
      <c r="J118" s="3735"/>
      <c r="K118" s="3735"/>
      <c r="L118" s="486"/>
      <c r="M118" s="490"/>
      <c r="N118" s="490"/>
      <c r="O118" s="490"/>
      <c r="P118" s="490"/>
      <c r="Q118" s="490"/>
      <c r="R118" s="490"/>
      <c r="S118" s="490"/>
      <c r="T118" s="490"/>
    </row>
  </sheetData>
  <protectedRanges>
    <protectedRange sqref="J112:J113 B112:B118 F114:F116" name="Range4"/>
    <protectedRange sqref="I117 H112:H113 F112:F113 J114:J116 K114:K118" name="Range4_1"/>
  </protectedRanges>
  <mergeCells count="30">
    <mergeCell ref="B105:K105"/>
    <mergeCell ref="F112:H112"/>
    <mergeCell ref="F113:H113"/>
    <mergeCell ref="I117:K117"/>
    <mergeCell ref="I118:K118"/>
    <mergeCell ref="B83:K83"/>
    <mergeCell ref="B87:K87"/>
    <mergeCell ref="B91:K91"/>
    <mergeCell ref="B98:K98"/>
    <mergeCell ref="B102:K102"/>
    <mergeCell ref="B62:K62"/>
    <mergeCell ref="B67:K67"/>
    <mergeCell ref="B71:K71"/>
    <mergeCell ref="B75:K75"/>
    <mergeCell ref="B79:K79"/>
    <mergeCell ref="B33:K33"/>
    <mergeCell ref="B40:K40"/>
    <mergeCell ref="B47:K47"/>
    <mergeCell ref="B53:K53"/>
    <mergeCell ref="B58:K58"/>
    <mergeCell ref="C5:E5"/>
    <mergeCell ref="B6:K6"/>
    <mergeCell ref="B11:K11"/>
    <mergeCell ref="B15:K15"/>
    <mergeCell ref="B20:K20"/>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1"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5" tint="-0.249977111117893"/>
  </sheetPr>
  <dimension ref="A1:T48"/>
  <sheetViews>
    <sheetView view="pageBreakPreview" zoomScale="112" workbookViewId="0">
      <selection activeCell="B32" sqref="B32:K32"/>
    </sheetView>
  </sheetViews>
  <sheetFormatPr defaultColWidth="9.109375" defaultRowHeight="14.4"/>
  <cols>
    <col min="1" max="1" width="5" style="489" customWidth="1"/>
    <col min="2" max="2" width="20.109375" style="490" customWidth="1"/>
    <col min="3" max="3" width="3.5546875" style="491" customWidth="1"/>
    <col min="4" max="4" width="3.5546875" style="487" customWidth="1"/>
    <col min="5" max="5" width="3.5546875" style="492" customWidth="1"/>
    <col min="6" max="6" width="7.109375" style="487" customWidth="1"/>
    <col min="7" max="7" width="8.109375" style="487" customWidth="1"/>
    <col min="8" max="9" width="7.44140625" style="487" customWidth="1"/>
    <col min="10" max="10" width="9.44140625" style="487" customWidth="1"/>
    <col min="11" max="11" width="5.44140625" style="487" customWidth="1"/>
    <col min="12" max="12" width="11.88671875" style="486" customWidth="1"/>
    <col min="13" max="13" width="9.109375" style="490"/>
    <col min="14" max="14" width="9.6640625" style="490" customWidth="1"/>
    <col min="15" max="15" width="9.109375" style="490"/>
    <col min="16" max="16" width="6.44140625" style="490" customWidth="1"/>
    <col min="17" max="20" width="9.109375" style="490" hidden="1" customWidth="1"/>
    <col min="21" max="16384" width="9.109375" style="490"/>
  </cols>
  <sheetData>
    <row r="1" spans="1:14" ht="18" customHeight="1">
      <c r="A1" s="3630" t="s">
        <v>1176</v>
      </c>
      <c r="B1" s="3631"/>
      <c r="C1" s="3631"/>
      <c r="D1" s="3631"/>
      <c r="E1" s="3631"/>
      <c r="F1" s="3631"/>
      <c r="G1" s="3631"/>
      <c r="H1" s="3631"/>
      <c r="I1" s="3631"/>
      <c r="J1" s="3631"/>
      <c r="K1" s="3631"/>
      <c r="L1" s="3631"/>
    </row>
    <row r="2" spans="1:14" ht="36.75" customHeight="1">
      <c r="A2" s="3632" t="s">
        <v>445</v>
      </c>
      <c r="B2" s="3632"/>
      <c r="C2" s="494"/>
      <c r="D2" s="493"/>
      <c r="E2" s="495"/>
      <c r="F2" s="3633" t="str">
        <f>'Input Data'!E1</f>
        <v xml:space="preserve">BT Renewal from Balabadraipally to Danamma Thanda of Gundumal Mandal in Narayanpet District </v>
      </c>
      <c r="G2" s="3633"/>
      <c r="H2" s="3633"/>
      <c r="I2" s="3633"/>
      <c r="J2" s="3633"/>
      <c r="K2" s="3633"/>
      <c r="L2" s="3633"/>
    </row>
    <row r="3" spans="1:14" s="486" customFormat="1" ht="22.5" customHeight="1">
      <c r="A3" s="3630" t="s">
        <v>2133</v>
      </c>
      <c r="B3" s="3634"/>
      <c r="C3" s="3634"/>
      <c r="D3" s="3634"/>
      <c r="E3" s="3634"/>
      <c r="F3" s="3634"/>
      <c r="G3" s="3634"/>
      <c r="H3" s="3634"/>
      <c r="I3" s="3634"/>
      <c r="J3" s="3634"/>
      <c r="K3" s="3634"/>
      <c r="L3" s="3634"/>
    </row>
    <row r="4" spans="1:14" s="487" customFormat="1" ht="36.75" customHeight="1">
      <c r="A4" s="496" t="s">
        <v>1141</v>
      </c>
      <c r="B4" s="496" t="s">
        <v>917</v>
      </c>
      <c r="C4" s="3635" t="s">
        <v>918</v>
      </c>
      <c r="D4" s="3636"/>
      <c r="E4" s="3637"/>
      <c r="F4" s="496" t="s">
        <v>180</v>
      </c>
      <c r="G4" s="496" t="s">
        <v>919</v>
      </c>
      <c r="H4" s="496" t="s">
        <v>920</v>
      </c>
      <c r="I4" s="514" t="s">
        <v>3</v>
      </c>
      <c r="J4" s="498" t="s">
        <v>5</v>
      </c>
      <c r="K4" s="498" t="s">
        <v>607</v>
      </c>
      <c r="L4" s="496" t="s">
        <v>7</v>
      </c>
    </row>
    <row r="5" spans="1:14" s="487" customFormat="1">
      <c r="A5" s="497">
        <v>1</v>
      </c>
      <c r="B5" s="498">
        <v>2</v>
      </c>
      <c r="C5" s="3638">
        <v>3</v>
      </c>
      <c r="D5" s="3638"/>
      <c r="E5" s="3638"/>
      <c r="F5" s="498">
        <v>4</v>
      </c>
      <c r="G5" s="498">
        <v>5</v>
      </c>
      <c r="H5" s="498">
        <v>6</v>
      </c>
      <c r="I5" s="498">
        <v>7</v>
      </c>
      <c r="J5" s="498">
        <v>8</v>
      </c>
      <c r="K5" s="498">
        <v>9</v>
      </c>
      <c r="L5" s="498">
        <v>10</v>
      </c>
    </row>
    <row r="6" spans="1:14" ht="90.9" customHeight="1">
      <c r="A6" s="497">
        <v>1</v>
      </c>
      <c r="B6" s="3639"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39"/>
      <c r="D6" s="3639"/>
      <c r="E6" s="3639"/>
      <c r="F6" s="3639"/>
      <c r="G6" s="3639"/>
      <c r="H6" s="3639"/>
      <c r="I6" s="3639"/>
      <c r="J6" s="3639"/>
      <c r="K6" s="3639"/>
      <c r="L6" s="533"/>
    </row>
    <row r="7" spans="1:14" s="488" customFormat="1">
      <c r="A7" s="500"/>
      <c r="B7" s="501" t="s">
        <v>1180</v>
      </c>
      <c r="C7" s="502">
        <v>1</v>
      </c>
      <c r="D7" s="502" t="s">
        <v>921</v>
      </c>
      <c r="E7" s="500">
        <v>2</v>
      </c>
      <c r="F7" s="503">
        <v>7.3</v>
      </c>
      <c r="G7" s="503">
        <v>1.4</v>
      </c>
      <c r="H7" s="504">
        <v>1.5</v>
      </c>
      <c r="I7" s="534">
        <f>ROUND(C7*E7*F7*G7*H7,2)</f>
        <v>30.66</v>
      </c>
      <c r="J7" s="502"/>
      <c r="K7" s="535"/>
      <c r="L7" s="536"/>
    </row>
    <row r="8" spans="1:14" s="488" customFormat="1">
      <c r="A8" s="500"/>
      <c r="B8" s="501" t="s">
        <v>1181</v>
      </c>
      <c r="C8" s="502">
        <v>1</v>
      </c>
      <c r="D8" s="502" t="s">
        <v>921</v>
      </c>
      <c r="E8" s="500">
        <v>1</v>
      </c>
      <c r="F8" s="503">
        <v>7.5</v>
      </c>
      <c r="G8" s="503">
        <v>3</v>
      </c>
      <c r="H8" s="504">
        <v>0.3</v>
      </c>
      <c r="I8" s="534">
        <f>ROUND(C8*E8*F8*G8*H8,2)</f>
        <v>6.75</v>
      </c>
      <c r="J8" s="502"/>
      <c r="K8" s="535"/>
      <c r="L8" s="536"/>
    </row>
    <row r="9" spans="1:14" s="488" customFormat="1">
      <c r="A9" s="500"/>
      <c r="B9" s="502"/>
      <c r="C9" s="505"/>
      <c r="D9" s="502"/>
      <c r="E9" s="501"/>
      <c r="F9" s="500"/>
      <c r="G9" s="500"/>
      <c r="H9" s="500"/>
      <c r="I9" s="537">
        <f>SUM(I7:I8)</f>
        <v>37.409999999999997</v>
      </c>
      <c r="J9" s="504">
        <f>'Pipe data'!G20</f>
        <v>123.69927804166667</v>
      </c>
      <c r="K9" s="502">
        <v>1</v>
      </c>
      <c r="L9" s="538">
        <f>ROUND(I9*J9,0)</f>
        <v>4628</v>
      </c>
    </row>
    <row r="10" spans="1:14">
      <c r="A10" s="497"/>
      <c r="B10" s="506"/>
      <c r="C10" s="507"/>
      <c r="D10" s="498"/>
      <c r="E10" s="508"/>
      <c r="F10" s="498"/>
      <c r="G10" s="498"/>
      <c r="H10" s="498"/>
      <c r="I10" s="539" t="s">
        <v>73</v>
      </c>
      <c r="J10" s="523"/>
      <c r="K10" s="496" t="s">
        <v>73</v>
      </c>
      <c r="L10" s="540"/>
    </row>
    <row r="11" spans="1:14" ht="42" customHeight="1">
      <c r="A11" s="497">
        <v>2</v>
      </c>
      <c r="B11" s="3640" t="str">
        <f>'Pipe data'!B55:G55</f>
        <v>Sand  Filling  in foundation trenches as per drawing and technical specification Clause 304 of MORTH including overhead charges &amp; Contractors profit etc complete.</v>
      </c>
      <c r="C11" s="3639"/>
      <c r="D11" s="3639"/>
      <c r="E11" s="3639"/>
      <c r="F11" s="3639"/>
      <c r="G11" s="3639"/>
      <c r="H11" s="3639"/>
      <c r="I11" s="3639"/>
      <c r="J11" s="3639"/>
      <c r="K11" s="3639"/>
      <c r="L11" s="541"/>
      <c r="N11" s="542"/>
    </row>
    <row r="12" spans="1:14" s="488" customFormat="1">
      <c r="A12" s="500"/>
      <c r="B12" s="501" t="s">
        <v>1180</v>
      </c>
      <c r="C12" s="502">
        <v>1</v>
      </c>
      <c r="D12" s="502" t="s">
        <v>921</v>
      </c>
      <c r="E12" s="500">
        <v>2</v>
      </c>
      <c r="F12" s="503">
        <f>F7</f>
        <v>7.3</v>
      </c>
      <c r="G12" s="503">
        <v>1.4</v>
      </c>
      <c r="H12" s="504">
        <v>0.1</v>
      </c>
      <c r="I12" s="534">
        <f t="shared" ref="I12:I13" si="0">ROUND(C12*E12*F12*G12*H12,2)</f>
        <v>2.04</v>
      </c>
      <c r="J12" s="502"/>
      <c r="K12" s="535"/>
      <c r="L12" s="536"/>
    </row>
    <row r="13" spans="1:14" s="488" customFormat="1">
      <c r="A13" s="500"/>
      <c r="B13" s="501" t="s">
        <v>1181</v>
      </c>
      <c r="C13" s="502">
        <v>1</v>
      </c>
      <c r="D13" s="502" t="s">
        <v>921</v>
      </c>
      <c r="E13" s="500">
        <v>1</v>
      </c>
      <c r="F13" s="503">
        <v>5.5</v>
      </c>
      <c r="G13" s="503">
        <v>3</v>
      </c>
      <c r="H13" s="504">
        <v>0.3</v>
      </c>
      <c r="I13" s="534">
        <f t="shared" si="0"/>
        <v>4.95</v>
      </c>
      <c r="J13" s="502"/>
      <c r="K13" s="535"/>
      <c r="L13" s="536"/>
    </row>
    <row r="14" spans="1:14" s="488" customFormat="1">
      <c r="A14" s="500"/>
      <c r="B14" s="510"/>
      <c r="C14" s="511"/>
      <c r="D14" s="500"/>
      <c r="E14" s="512"/>
      <c r="F14" s="513"/>
      <c r="G14" s="500"/>
      <c r="H14" s="500"/>
      <c r="I14" s="537">
        <f>SUM(I12:I13)</f>
        <v>6.99</v>
      </c>
      <c r="J14" s="543">
        <f>'Pipe data'!G72</f>
        <v>1237.43</v>
      </c>
      <c r="K14" s="502">
        <v>1</v>
      </c>
      <c r="L14" s="538">
        <f>ROUND(I14*J14,0)</f>
        <v>8650</v>
      </c>
    </row>
    <row r="15" spans="1:14">
      <c r="A15" s="497"/>
      <c r="B15" s="506"/>
      <c r="C15" s="507"/>
      <c r="D15" s="498"/>
      <c r="E15" s="508"/>
      <c r="F15" s="498"/>
      <c r="G15" s="498"/>
      <c r="H15" s="498"/>
      <c r="I15" s="539" t="s">
        <v>73</v>
      </c>
      <c r="J15" s="523"/>
      <c r="K15" s="496" t="s">
        <v>73</v>
      </c>
      <c r="L15" s="540"/>
    </row>
    <row r="16" spans="1:14" ht="94.2" customHeight="1">
      <c r="A16" s="497">
        <v>3</v>
      </c>
      <c r="B16" s="3639"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639"/>
      <c r="D16" s="3639"/>
      <c r="E16" s="3639"/>
      <c r="F16" s="3639"/>
      <c r="G16" s="3639"/>
      <c r="H16" s="3639"/>
      <c r="I16" s="3639"/>
      <c r="J16" s="3639"/>
      <c r="K16" s="496"/>
      <c r="L16" s="540"/>
    </row>
    <row r="17" spans="1:12" ht="19.2" customHeight="1">
      <c r="A17" s="497"/>
      <c r="B17" s="506" t="s">
        <v>1184</v>
      </c>
      <c r="C17" s="507">
        <v>1</v>
      </c>
      <c r="D17" s="498" t="s">
        <v>921</v>
      </c>
      <c r="E17" s="508">
        <v>2</v>
      </c>
      <c r="F17" s="514">
        <f>F12</f>
        <v>7.3</v>
      </c>
      <c r="G17" s="498">
        <v>1.4</v>
      </c>
      <c r="H17" s="498">
        <v>0.15</v>
      </c>
      <c r="I17" s="534">
        <f t="shared" ref="I17:I18" si="1">ROUND(C17*E17*F17*G17*H17,2)</f>
        <v>3.07</v>
      </c>
      <c r="J17" s="523"/>
      <c r="K17" s="496"/>
      <c r="L17" s="540"/>
    </row>
    <row r="18" spans="1:12" ht="19.2" customHeight="1">
      <c r="A18" s="497"/>
      <c r="B18" s="501" t="s">
        <v>1181</v>
      </c>
      <c r="C18" s="505">
        <v>1</v>
      </c>
      <c r="D18" s="502" t="s">
        <v>921</v>
      </c>
      <c r="E18" s="512">
        <v>1</v>
      </c>
      <c r="F18" s="503">
        <v>5.4</v>
      </c>
      <c r="G18" s="503">
        <v>1.5</v>
      </c>
      <c r="H18" s="504">
        <v>0.2</v>
      </c>
      <c r="I18" s="534">
        <f t="shared" si="1"/>
        <v>1.62</v>
      </c>
      <c r="J18" s="523"/>
      <c r="K18" s="496"/>
      <c r="L18" s="540"/>
    </row>
    <row r="19" spans="1:12" ht="19.2" customHeight="1">
      <c r="A19" s="497"/>
      <c r="B19" s="506"/>
      <c r="C19" s="507"/>
      <c r="D19" s="498"/>
      <c r="E19" s="508"/>
      <c r="F19" s="498"/>
      <c r="G19" s="498"/>
      <c r="H19" s="498"/>
      <c r="I19" s="539">
        <f>SUM(I17:I18)</f>
        <v>4.6899999999999995</v>
      </c>
      <c r="J19" s="523">
        <f>'Slab-Culverts Data'!J31</f>
        <v>5748.72</v>
      </c>
      <c r="K19" s="502">
        <v>1</v>
      </c>
      <c r="L19" s="538">
        <f>ROUND(I19*J19,0)</f>
        <v>26961</v>
      </c>
    </row>
    <row r="20" spans="1:12" ht="19.2" customHeight="1">
      <c r="A20" s="497"/>
      <c r="B20" s="506"/>
      <c r="C20" s="507"/>
      <c r="D20" s="498"/>
      <c r="E20" s="508"/>
      <c r="F20" s="498"/>
      <c r="G20" s="498"/>
      <c r="H20" s="498"/>
      <c r="I20" s="539" t="s">
        <v>73</v>
      </c>
      <c r="J20" s="523"/>
      <c r="K20" s="496" t="s">
        <v>73</v>
      </c>
      <c r="L20" s="540"/>
    </row>
    <row r="21" spans="1:12" ht="101.25" customHeight="1">
      <c r="A21" s="497">
        <v>3</v>
      </c>
      <c r="B21" s="3639" t="str">
        <f>'Pipe data'!$B$74:$G$74</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1" s="3639"/>
      <c r="D21" s="3639"/>
      <c r="E21" s="3639"/>
      <c r="F21" s="3639"/>
      <c r="G21" s="3639"/>
      <c r="H21" s="3639"/>
      <c r="I21" s="3639"/>
      <c r="J21" s="3639"/>
      <c r="K21" s="3639"/>
      <c r="L21" s="540"/>
    </row>
    <row r="22" spans="1:12" s="488" customFormat="1" ht="27.6" customHeight="1">
      <c r="A22" s="500"/>
      <c r="B22" s="515" t="s">
        <v>1186</v>
      </c>
      <c r="C22" s="516" t="s">
        <v>1187</v>
      </c>
      <c r="D22" s="516"/>
      <c r="E22" s="497">
        <v>2</v>
      </c>
      <c r="F22" s="517">
        <f>F12</f>
        <v>7.3</v>
      </c>
      <c r="G22" s="518">
        <v>1.4</v>
      </c>
      <c r="H22" s="518">
        <v>0.15</v>
      </c>
      <c r="I22" s="544">
        <f>ROUND(PRODUCT(C22:H22),2)</f>
        <v>3.07</v>
      </c>
      <c r="J22" s="535"/>
      <c r="K22" s="535"/>
      <c r="L22" s="536"/>
    </row>
    <row r="23" spans="1:12" s="488" customFormat="1" ht="27.6" customHeight="1">
      <c r="A23" s="500"/>
      <c r="B23" s="515" t="s">
        <v>1186</v>
      </c>
      <c r="C23" s="516" t="s">
        <v>1187</v>
      </c>
      <c r="D23" s="516"/>
      <c r="E23" s="519">
        <v>2</v>
      </c>
      <c r="F23" s="517">
        <f>F22</f>
        <v>7.3</v>
      </c>
      <c r="G23" s="520" t="s">
        <v>1188</v>
      </c>
      <c r="H23" s="518">
        <v>1.25</v>
      </c>
      <c r="I23" s="544">
        <f>ROUND(PRODUCT(C23:H23)*(1.25+1)/2,2)</f>
        <v>20.53</v>
      </c>
      <c r="J23" s="535"/>
      <c r="K23" s="535"/>
      <c r="L23" s="536"/>
    </row>
    <row r="24" spans="1:12">
      <c r="A24" s="497"/>
      <c r="B24" s="499"/>
      <c r="C24" s="521"/>
      <c r="D24" s="499"/>
      <c r="E24" s="499"/>
      <c r="F24" s="499"/>
      <c r="G24" s="499"/>
      <c r="H24" s="499"/>
      <c r="I24" s="545">
        <f>SUM(I22:I23)</f>
        <v>23.6</v>
      </c>
      <c r="J24" s="546">
        <f>'Pipe data'!$G$103</f>
        <v>6425.92</v>
      </c>
      <c r="K24" s="502">
        <v>1</v>
      </c>
      <c r="L24" s="538">
        <f>ROUND(I24*J24,0)</f>
        <v>151652</v>
      </c>
    </row>
    <row r="25" spans="1:12">
      <c r="A25" s="497"/>
      <c r="B25" s="499"/>
      <c r="C25" s="521"/>
      <c r="D25" s="499"/>
      <c r="E25" s="499"/>
      <c r="F25" s="499"/>
      <c r="G25" s="499"/>
      <c r="H25" s="499"/>
      <c r="I25" s="547" t="s">
        <v>73</v>
      </c>
      <c r="J25" s="499"/>
      <c r="K25" s="496" t="s">
        <v>73</v>
      </c>
      <c r="L25" s="540"/>
    </row>
    <row r="26" spans="1:12" ht="99.75" customHeight="1">
      <c r="A26" s="497">
        <v>4</v>
      </c>
      <c r="B26" s="3639"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6" s="3639"/>
      <c r="D26" s="3639"/>
      <c r="E26" s="3639"/>
      <c r="F26" s="3639"/>
      <c r="G26" s="3639"/>
      <c r="H26" s="3639"/>
      <c r="I26" s="3639"/>
      <c r="J26" s="3639"/>
      <c r="K26" s="3639"/>
      <c r="L26" s="540"/>
    </row>
    <row r="27" spans="1:12" ht="32.4" customHeight="1">
      <c r="A27" s="497"/>
      <c r="B27" s="515" t="s">
        <v>1190</v>
      </c>
      <c r="C27" s="516" t="s">
        <v>1187</v>
      </c>
      <c r="D27" s="516"/>
      <c r="E27" s="497">
        <v>2</v>
      </c>
      <c r="F27" s="517">
        <f>F22</f>
        <v>7.3</v>
      </c>
      <c r="G27" s="520" t="s">
        <v>1191</v>
      </c>
      <c r="H27" s="518">
        <v>1.8</v>
      </c>
      <c r="I27" s="544">
        <f>ROUND(PRODUCT(C27:H27)*(0.4+1)/2,2)</f>
        <v>18.399999999999999</v>
      </c>
      <c r="J27" s="543"/>
      <c r="K27" s="502"/>
      <c r="L27" s="538"/>
    </row>
    <row r="28" spans="1:12" s="488" customFormat="1">
      <c r="A28" s="500"/>
      <c r="B28" s="515" t="s">
        <v>1192</v>
      </c>
      <c r="C28" s="516" t="s">
        <v>1187</v>
      </c>
      <c r="D28" s="516"/>
      <c r="E28" s="497">
        <v>2</v>
      </c>
      <c r="F28" s="517">
        <f>F23</f>
        <v>7.3</v>
      </c>
      <c r="G28" s="497">
        <v>0.45</v>
      </c>
      <c r="H28" s="518">
        <v>0.4</v>
      </c>
      <c r="I28" s="544">
        <f>ROUND(PRODUCT(C28:H28),2)</f>
        <v>2.63</v>
      </c>
      <c r="J28" s="535"/>
      <c r="K28" s="535"/>
      <c r="L28" s="536"/>
    </row>
    <row r="29" spans="1:12" s="488" customFormat="1" ht="28.8">
      <c r="A29" s="500"/>
      <c r="B29" s="522" t="s">
        <v>1193</v>
      </c>
      <c r="C29" s="516" t="s">
        <v>1194</v>
      </c>
      <c r="D29" s="516"/>
      <c r="E29" s="497">
        <v>-4</v>
      </c>
      <c r="F29" s="517">
        <v>1.1000000000000001</v>
      </c>
      <c r="G29" s="517">
        <v>1.1000000000000001</v>
      </c>
      <c r="H29" s="520" t="s">
        <v>1195</v>
      </c>
      <c r="I29" s="544">
        <f>ROUND(PRODUCT(C29:H29)*(3.14/4)*(1+0.6)/2,2)</f>
        <v>-3.04</v>
      </c>
      <c r="J29" s="535"/>
      <c r="K29" s="535"/>
      <c r="L29" s="536"/>
    </row>
    <row r="30" spans="1:12" ht="15" customHeight="1">
      <c r="A30" s="497"/>
      <c r="B30" s="3641"/>
      <c r="C30" s="3642"/>
      <c r="D30" s="3642"/>
      <c r="E30" s="3642"/>
      <c r="F30" s="3642"/>
      <c r="G30" s="498"/>
      <c r="H30" s="498"/>
      <c r="I30" s="537">
        <f>SUM(I27:I29)</f>
        <v>17.989999999999998</v>
      </c>
      <c r="J30" s="546">
        <f>'Pipe data'!G230</f>
        <v>6796.65</v>
      </c>
      <c r="K30" s="496">
        <v>1</v>
      </c>
      <c r="L30" s="540">
        <f>ROUND(I30*J30,0)</f>
        <v>122272</v>
      </c>
    </row>
    <row r="31" spans="1:12" ht="15" customHeight="1">
      <c r="A31" s="497"/>
      <c r="B31" s="506"/>
      <c r="C31" s="507"/>
      <c r="D31" s="498"/>
      <c r="E31" s="508"/>
      <c r="F31" s="498"/>
      <c r="G31" s="498"/>
      <c r="H31" s="498"/>
      <c r="I31" s="539" t="s">
        <v>73</v>
      </c>
      <c r="J31" s="523"/>
      <c r="K31" s="496" t="s">
        <v>31</v>
      </c>
      <c r="L31" s="540"/>
    </row>
    <row r="32" spans="1:12" ht="102" customHeight="1">
      <c r="A32" s="497">
        <v>5</v>
      </c>
      <c r="B32" s="3639" t="str">
        <f>'Pipe data'!B105:G105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2" s="3639"/>
      <c r="D32" s="3639"/>
      <c r="E32" s="3639"/>
      <c r="F32" s="3639"/>
      <c r="G32" s="3639"/>
      <c r="H32" s="3639"/>
      <c r="I32" s="3639"/>
      <c r="J32" s="3639"/>
      <c r="K32" s="3639"/>
      <c r="L32" s="540"/>
    </row>
    <row r="33" spans="1:12" ht="15" customHeight="1">
      <c r="A33" s="497"/>
      <c r="B33" s="496" t="s">
        <v>1197</v>
      </c>
      <c r="C33" s="496" t="s">
        <v>1187</v>
      </c>
      <c r="D33" s="496"/>
      <c r="E33" s="498">
        <v>6</v>
      </c>
      <c r="F33" s="514">
        <v>2.5</v>
      </c>
      <c r="G33" s="498"/>
      <c r="H33" s="523"/>
      <c r="I33" s="539">
        <f>ROUND(PRODUCT(C33:H33),2)</f>
        <v>15</v>
      </c>
      <c r="J33" s="523">
        <f>'Pipe data'!G128</f>
        <v>13715.57</v>
      </c>
      <c r="K33" s="496">
        <v>1</v>
      </c>
      <c r="L33" s="540">
        <f>ROUND(I33*J33,0)</f>
        <v>205734</v>
      </c>
    </row>
    <row r="34" spans="1:12" ht="15" customHeight="1">
      <c r="A34" s="497"/>
      <c r="B34" s="506"/>
      <c r="C34" s="507"/>
      <c r="D34" s="498"/>
      <c r="E34" s="508"/>
      <c r="F34" s="498"/>
      <c r="G34" s="498"/>
      <c r="H34" s="498"/>
      <c r="I34" s="539" t="s">
        <v>107</v>
      </c>
      <c r="J34" s="523"/>
      <c r="K34" s="496" t="s">
        <v>107</v>
      </c>
      <c r="L34" s="540"/>
    </row>
    <row r="35" spans="1:12" ht="26.1" customHeight="1">
      <c r="A35" s="524"/>
      <c r="B35" s="525"/>
      <c r="C35" s="526"/>
      <c r="D35" s="527"/>
      <c r="E35" s="528"/>
      <c r="F35" s="527"/>
      <c r="G35" s="527"/>
      <c r="H35" s="527"/>
      <c r="I35" s="527"/>
      <c r="J35" s="548" t="s">
        <v>1175</v>
      </c>
      <c r="K35" s="527"/>
      <c r="L35" s="549">
        <f>SUM(L6:L34)</f>
        <v>519897</v>
      </c>
    </row>
    <row r="36" spans="1:12">
      <c r="J36" s="486"/>
      <c r="L36" s="550"/>
    </row>
    <row r="37" spans="1:12">
      <c r="J37" s="486"/>
      <c r="L37" s="550"/>
    </row>
    <row r="38" spans="1:12">
      <c r="J38" s="486"/>
      <c r="L38" s="550"/>
    </row>
    <row r="39" spans="1:12" ht="15" customHeight="1">
      <c r="B39" s="3643" t="s">
        <v>1199</v>
      </c>
      <c r="C39" s="3643"/>
      <c r="D39" s="3643"/>
      <c r="E39" s="3643"/>
      <c r="F39" s="3643"/>
      <c r="H39" s="3644" t="s">
        <v>723</v>
      </c>
      <c r="I39" s="3644"/>
      <c r="J39" s="3644"/>
    </row>
    <row r="40" spans="1:12">
      <c r="B40" s="3643" t="str">
        <f>'Road data'!D986</f>
        <v>PRSD Maddur</v>
      </c>
      <c r="C40" s="3643"/>
      <c r="D40" s="3643"/>
      <c r="E40" s="3643"/>
      <c r="F40" s="3643"/>
      <c r="H40" s="3645" t="str">
        <f>GA!C35</f>
        <v>PRSD, Maddur</v>
      </c>
      <c r="I40" s="3644"/>
      <c r="J40" s="3644"/>
    </row>
    <row r="41" spans="1:12">
      <c r="B41" s="530"/>
      <c r="C41" s="531"/>
      <c r="D41" s="530"/>
      <c r="E41" s="529"/>
      <c r="F41" s="530"/>
      <c r="H41" s="530"/>
      <c r="I41" s="530"/>
    </row>
    <row r="42" spans="1:12">
      <c r="B42" s="530"/>
      <c r="C42" s="531"/>
      <c r="D42" s="530"/>
      <c r="E42" s="529"/>
      <c r="F42" s="530"/>
      <c r="H42" s="530"/>
      <c r="I42" s="530"/>
    </row>
    <row r="43" spans="1:12">
      <c r="B43" s="532"/>
      <c r="C43" s="531"/>
      <c r="D43" s="532"/>
      <c r="E43" s="529"/>
      <c r="F43" s="532"/>
      <c r="H43" s="532"/>
      <c r="I43" s="530"/>
    </row>
    <row r="44" spans="1:12" ht="18" hidden="1" customHeight="1">
      <c r="B44" s="3644" t="s">
        <v>725</v>
      </c>
      <c r="C44" s="3644"/>
      <c r="D44" s="3644"/>
      <c r="E44" s="3644"/>
      <c r="F44" s="3644"/>
      <c r="H44" s="3644" t="s">
        <v>455</v>
      </c>
      <c r="I44" s="3644"/>
      <c r="J44" s="3644"/>
    </row>
    <row r="45" spans="1:12" ht="15" hidden="1" customHeight="1">
      <c r="B45" s="3644" t="str">
        <f>'Road data'!D990</f>
        <v>PR Division, Narayanpet</v>
      </c>
      <c r="C45" s="3644"/>
      <c r="D45" s="3644"/>
      <c r="E45" s="3644"/>
      <c r="F45" s="3644"/>
      <c r="H45" s="3644" t="str">
        <f>GA!C38</f>
        <v>PR, Circle, Vikarabad</v>
      </c>
      <c r="I45" s="3644"/>
      <c r="J45" s="3644"/>
    </row>
    <row r="46" spans="1:12">
      <c r="B46" s="490" t="str">
        <f>'1V 1m dia Pipe Culverts'!B44</f>
        <v>District Panchayat Raj Engineer,</v>
      </c>
    </row>
    <row r="47" spans="1:12">
      <c r="B47" s="490" t="str">
        <f>'1V 1m dia Pipe Culverts'!B45</f>
        <v>PR Division, Narayanpet</v>
      </c>
      <c r="I47" s="487" t="str">
        <f>'1V 1m dia Pipe Culverts'!H44</f>
        <v>Superintending Engineer</v>
      </c>
    </row>
    <row r="48" spans="1:12">
      <c r="I48" s="487" t="str">
        <f>'1V 1m dia Pipe Culverts'!H45</f>
        <v>PR, Circle, Vikarabad</v>
      </c>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5" tint="-0.249977111117893"/>
  </sheetPr>
  <dimension ref="A1:T41"/>
  <sheetViews>
    <sheetView view="pageBreakPreview" topLeftCell="A25" workbookViewId="0">
      <selection activeCell="F38" sqref="F38"/>
    </sheetView>
  </sheetViews>
  <sheetFormatPr defaultColWidth="9.109375" defaultRowHeight="13.8"/>
  <cols>
    <col min="1" max="1" width="5" style="421" customWidth="1"/>
    <col min="2" max="2" width="21.33203125" style="422" customWidth="1"/>
    <col min="3" max="5" width="4.109375" style="419" customWidth="1"/>
    <col min="6" max="6" width="9" style="419" customWidth="1"/>
    <col min="7" max="7" width="10.5546875" style="419" customWidth="1"/>
    <col min="8" max="8" width="5" style="419" customWidth="1"/>
    <col min="9" max="9" width="9.5546875" style="419" customWidth="1"/>
    <col min="10" max="10" width="10.5546875" style="419" customWidth="1"/>
    <col min="11" max="11" width="6.109375" style="419" customWidth="1"/>
    <col min="12" max="12" width="16.33203125" style="418" customWidth="1"/>
    <col min="13" max="13" width="9.109375" style="422"/>
    <col min="14" max="14" width="13.88671875" style="422" customWidth="1"/>
    <col min="15" max="15" width="11.109375" style="422" customWidth="1"/>
    <col min="16" max="16" width="6.44140625" style="422" customWidth="1"/>
    <col min="17" max="20" width="9.109375" style="422" hidden="1" customWidth="1"/>
    <col min="21" max="16384" width="9.109375" style="422"/>
  </cols>
  <sheetData>
    <row r="1" spans="1:15" ht="18" customHeight="1">
      <c r="A1" s="3646" t="s">
        <v>2134</v>
      </c>
      <c r="B1" s="3647"/>
      <c r="C1" s="3647"/>
      <c r="D1" s="3647"/>
      <c r="E1" s="3647"/>
      <c r="F1" s="3647"/>
      <c r="G1" s="3647"/>
      <c r="H1" s="3647"/>
      <c r="I1" s="3647"/>
      <c r="J1" s="3647"/>
      <c r="K1" s="3647"/>
      <c r="L1" s="3647"/>
    </row>
    <row r="2" spans="1:15" ht="30" customHeight="1">
      <c r="A2" s="3648" t="s">
        <v>445</v>
      </c>
      <c r="B2" s="3648"/>
      <c r="C2" s="3649" t="str">
        <f>'Input Data'!E1</f>
        <v xml:space="preserve">BT Renewal from Balabadraipally to Danamma Thanda of Gundumal Mandal in Narayanpet District </v>
      </c>
      <c r="D2" s="3649"/>
      <c r="E2" s="3649"/>
      <c r="F2" s="3649"/>
      <c r="G2" s="3649"/>
      <c r="H2" s="3649"/>
      <c r="I2" s="3649"/>
      <c r="J2" s="3649"/>
      <c r="K2" s="3649"/>
      <c r="L2" s="3649"/>
    </row>
    <row r="3" spans="1:15" s="418" customFormat="1" ht="21.75" customHeight="1">
      <c r="A3" s="3650" t="s">
        <v>2135</v>
      </c>
      <c r="B3" s="3650"/>
      <c r="C3" s="3650"/>
      <c r="D3" s="3650"/>
      <c r="E3" s="3650"/>
      <c r="F3" s="3650"/>
      <c r="G3" s="3650"/>
      <c r="H3" s="3650"/>
      <c r="I3" s="3650"/>
      <c r="J3" s="3650"/>
      <c r="K3" s="3650"/>
      <c r="L3" s="3650"/>
    </row>
    <row r="4" spans="1:15" s="419" customFormat="1" ht="33" customHeight="1">
      <c r="A4" s="423" t="s">
        <v>1141</v>
      </c>
      <c r="B4" s="424" t="s">
        <v>917</v>
      </c>
      <c r="C4" s="3651" t="s">
        <v>918</v>
      </c>
      <c r="D4" s="3652"/>
      <c r="E4" s="3653"/>
      <c r="F4" s="424" t="s">
        <v>180</v>
      </c>
      <c r="G4" s="424" t="s">
        <v>919</v>
      </c>
      <c r="H4" s="424" t="s">
        <v>920</v>
      </c>
      <c r="I4" s="458" t="s">
        <v>3</v>
      </c>
      <c r="J4" s="426" t="s">
        <v>5</v>
      </c>
      <c r="K4" s="426" t="s">
        <v>607</v>
      </c>
      <c r="L4" s="424" t="s">
        <v>7</v>
      </c>
    </row>
    <row r="5" spans="1:15" s="418" customFormat="1">
      <c r="A5" s="425">
        <v>1</v>
      </c>
      <c r="B5" s="426">
        <v>2</v>
      </c>
      <c r="C5" s="3654">
        <v>3</v>
      </c>
      <c r="D5" s="3655"/>
      <c r="E5" s="3656"/>
      <c r="F5" s="426">
        <v>4</v>
      </c>
      <c r="G5" s="426">
        <v>5</v>
      </c>
      <c r="H5" s="426">
        <v>6</v>
      </c>
      <c r="I5" s="459">
        <v>7</v>
      </c>
      <c r="J5" s="426">
        <v>8</v>
      </c>
      <c r="K5" s="426">
        <v>9</v>
      </c>
      <c r="L5" s="426">
        <v>10</v>
      </c>
    </row>
    <row r="6" spans="1:15" ht="94.5" customHeight="1">
      <c r="A6" s="427">
        <v>1</v>
      </c>
      <c r="B6" s="3657"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57"/>
      <c r="D6" s="3657"/>
      <c r="E6" s="3657"/>
      <c r="F6" s="3657"/>
      <c r="G6" s="3657"/>
      <c r="H6" s="3657"/>
      <c r="I6" s="3657"/>
      <c r="J6" s="3657"/>
      <c r="K6" s="3657"/>
      <c r="L6" s="460"/>
      <c r="O6" s="461"/>
    </row>
    <row r="7" spans="1:15" ht="22.2" customHeight="1">
      <c r="A7" s="428"/>
      <c r="B7" s="429" t="s">
        <v>2136</v>
      </c>
      <c r="C7" s="430"/>
      <c r="D7" s="430"/>
      <c r="E7" s="430"/>
      <c r="F7" s="430"/>
      <c r="G7" s="430"/>
      <c r="H7" s="430"/>
      <c r="I7" s="430"/>
      <c r="J7" s="430"/>
      <c r="K7" s="430"/>
      <c r="L7" s="462"/>
      <c r="O7" s="461"/>
    </row>
    <row r="8" spans="1:15" ht="22.2" customHeight="1">
      <c r="A8" s="431"/>
      <c r="B8" s="432" t="s">
        <v>2137</v>
      </c>
      <c r="C8" s="433"/>
      <c r="D8" s="433"/>
      <c r="E8" s="433"/>
      <c r="F8" s="433"/>
      <c r="G8" s="433"/>
      <c r="H8" s="433"/>
      <c r="I8" s="433"/>
      <c r="J8" s="433"/>
      <c r="K8" s="433"/>
      <c r="L8" s="463"/>
      <c r="O8" s="461"/>
    </row>
    <row r="9" spans="1:15" ht="20.100000000000001" customHeight="1">
      <c r="A9" s="431"/>
      <c r="B9" s="434"/>
      <c r="C9" s="435">
        <v>2</v>
      </c>
      <c r="D9" s="435" t="s">
        <v>921</v>
      </c>
      <c r="E9" s="435">
        <v>1</v>
      </c>
      <c r="F9" s="436">
        <v>370</v>
      </c>
      <c r="G9" s="436">
        <v>1</v>
      </c>
      <c r="H9" s="436">
        <v>0.45</v>
      </c>
      <c r="I9" s="436">
        <f>ROUND(C9*E9*F9*G9*H9,2)</f>
        <v>333</v>
      </c>
      <c r="J9" s="435"/>
      <c r="K9" s="433"/>
      <c r="L9" s="463"/>
      <c r="O9" s="461"/>
    </row>
    <row r="10" spans="1:15" ht="20.100000000000001" customHeight="1">
      <c r="A10" s="431"/>
      <c r="B10" s="434"/>
      <c r="C10" s="434"/>
      <c r="D10" s="434"/>
      <c r="E10" s="434"/>
      <c r="F10" s="433"/>
      <c r="G10" s="431"/>
      <c r="H10" s="431"/>
      <c r="I10" s="464">
        <f>SUM(I9:I9)</f>
        <v>333</v>
      </c>
      <c r="J10" s="436">
        <f>'Pipe data'!G20</f>
        <v>123.69927804166667</v>
      </c>
      <c r="K10" s="435">
        <v>1</v>
      </c>
      <c r="L10" s="465">
        <f>ROUND(I10*J10,0)</f>
        <v>41192</v>
      </c>
      <c r="O10" s="461"/>
    </row>
    <row r="11" spans="1:15" ht="20.100000000000001" customHeight="1">
      <c r="A11" s="431"/>
      <c r="B11" s="434"/>
      <c r="C11" s="434"/>
      <c r="D11" s="434"/>
      <c r="E11" s="434"/>
      <c r="F11" s="433"/>
      <c r="G11" s="431"/>
      <c r="H11" s="431"/>
      <c r="I11" s="466" t="s">
        <v>31</v>
      </c>
      <c r="J11" s="436"/>
      <c r="K11" s="435" t="s">
        <v>31</v>
      </c>
      <c r="L11" s="465"/>
    </row>
    <row r="12" spans="1:15" ht="12.75" customHeight="1">
      <c r="A12" s="437"/>
      <c r="B12" s="438"/>
      <c r="C12" s="438"/>
      <c r="D12" s="438"/>
      <c r="E12" s="438"/>
      <c r="F12" s="439"/>
      <c r="G12" s="431"/>
      <c r="H12" s="431"/>
      <c r="I12" s="466"/>
      <c r="J12" s="436"/>
      <c r="K12" s="435"/>
      <c r="L12" s="465"/>
    </row>
    <row r="13" spans="1:15" ht="45.75" customHeight="1">
      <c r="A13" s="437">
        <v>2</v>
      </c>
      <c r="B13" s="3658" t="str">
        <f>'Pipe data'!B55:G55</f>
        <v>Sand  Filling  in foundation trenches as per drawing and technical specification Clause 304 of MORTH including overhead charges &amp; Contractors profit etc complete.</v>
      </c>
      <c r="C13" s="3659"/>
      <c r="D13" s="3659"/>
      <c r="E13" s="3659"/>
      <c r="F13" s="3659"/>
      <c r="G13" s="3659"/>
      <c r="H13" s="3659"/>
      <c r="I13" s="3659"/>
      <c r="J13" s="3659"/>
      <c r="K13" s="3659"/>
      <c r="L13" s="467"/>
      <c r="N13" s="461"/>
    </row>
    <row r="14" spans="1:15" ht="22.2" customHeight="1">
      <c r="A14" s="431"/>
      <c r="B14" s="432" t="s">
        <v>2137</v>
      </c>
      <c r="C14" s="433"/>
      <c r="D14" s="433"/>
      <c r="E14" s="433"/>
      <c r="F14" s="433"/>
      <c r="G14" s="433"/>
      <c r="H14" s="433"/>
      <c r="I14" s="433"/>
      <c r="J14" s="433"/>
      <c r="K14" s="433"/>
      <c r="L14" s="463"/>
      <c r="O14" s="461"/>
    </row>
    <row r="15" spans="1:15" ht="32.4" customHeight="1">
      <c r="A15" s="431"/>
      <c r="B15" s="434" t="s">
        <v>2138</v>
      </c>
      <c r="C15" s="435">
        <v>2</v>
      </c>
      <c r="D15" s="435" t="s">
        <v>921</v>
      </c>
      <c r="E15" s="435">
        <v>1</v>
      </c>
      <c r="F15" s="436">
        <f>F9</f>
        <v>370</v>
      </c>
      <c r="G15" s="436">
        <v>1</v>
      </c>
      <c r="H15" s="436">
        <v>0.1</v>
      </c>
      <c r="I15" s="436">
        <f>ROUND(C15*E15*F15*G15*H15,2)</f>
        <v>74</v>
      </c>
      <c r="J15" s="435"/>
      <c r="K15" s="433"/>
      <c r="L15" s="463"/>
      <c r="O15" s="461"/>
    </row>
    <row r="16" spans="1:15" ht="20.100000000000001" customHeight="1">
      <c r="A16" s="431"/>
      <c r="B16" s="434"/>
      <c r="C16" s="434"/>
      <c r="D16" s="434"/>
      <c r="E16" s="434"/>
      <c r="F16" s="433"/>
      <c r="G16" s="431"/>
      <c r="H16" s="431"/>
      <c r="I16" s="464">
        <f>SUM(I15:I15)</f>
        <v>74</v>
      </c>
      <c r="J16" s="436">
        <f>'Pipe data'!G72</f>
        <v>1237.43</v>
      </c>
      <c r="K16" s="435">
        <v>1</v>
      </c>
      <c r="L16" s="465">
        <f>ROUND(I16*J16,0)</f>
        <v>91570</v>
      </c>
    </row>
    <row r="17" spans="1:15" ht="20.100000000000001" customHeight="1">
      <c r="A17" s="431"/>
      <c r="B17" s="434"/>
      <c r="C17" s="434"/>
      <c r="D17" s="434"/>
      <c r="E17" s="434"/>
      <c r="F17" s="433"/>
      <c r="G17" s="431"/>
      <c r="H17" s="431"/>
      <c r="I17" s="466" t="s">
        <v>31</v>
      </c>
      <c r="J17" s="436"/>
      <c r="K17" s="435" t="s">
        <v>31</v>
      </c>
      <c r="L17" s="465"/>
    </row>
    <row r="18" spans="1:15">
      <c r="A18" s="437"/>
      <c r="B18" s="438"/>
      <c r="C18" s="438"/>
      <c r="D18" s="438"/>
      <c r="E18" s="438"/>
      <c r="F18" s="439"/>
      <c r="G18" s="431"/>
      <c r="H18" s="431"/>
      <c r="I18" s="466"/>
      <c r="J18" s="436"/>
      <c r="K18" s="435"/>
      <c r="L18" s="465"/>
    </row>
    <row r="19" spans="1:15" ht="105" customHeight="1">
      <c r="A19" s="437">
        <v>3</v>
      </c>
      <c r="B19" s="3658"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9" s="3659"/>
      <c r="D19" s="3659"/>
      <c r="E19" s="3659"/>
      <c r="F19" s="3659"/>
      <c r="G19" s="3659"/>
      <c r="H19" s="3659"/>
      <c r="I19" s="3659"/>
      <c r="J19" s="3659"/>
      <c r="K19" s="3659"/>
      <c r="L19" s="467"/>
    </row>
    <row r="20" spans="1:15" ht="22.2" customHeight="1">
      <c r="A20" s="431"/>
      <c r="B20" s="432" t="s">
        <v>2139</v>
      </c>
      <c r="C20" s="433"/>
      <c r="D20" s="433"/>
      <c r="E20" s="433"/>
      <c r="F20" s="433"/>
      <c r="G20" s="433"/>
      <c r="H20" s="433"/>
      <c r="I20" s="433"/>
      <c r="J20" s="433"/>
      <c r="K20" s="433"/>
      <c r="L20" s="463"/>
      <c r="O20" s="461"/>
    </row>
    <row r="21" spans="1:15" ht="20.100000000000001" customHeight="1">
      <c r="A21" s="431"/>
      <c r="B21" s="440" t="s">
        <v>1207</v>
      </c>
      <c r="C21" s="435">
        <v>2</v>
      </c>
      <c r="D21" s="435" t="s">
        <v>921</v>
      </c>
      <c r="E21" s="441">
        <f>E15</f>
        <v>1</v>
      </c>
      <c r="F21" s="442">
        <f>F15</f>
        <v>370</v>
      </c>
      <c r="G21" s="442">
        <v>1</v>
      </c>
      <c r="H21" s="442">
        <v>0.15</v>
      </c>
      <c r="I21" s="442">
        <f>+E21*F21*G21*H21*C21</f>
        <v>111</v>
      </c>
      <c r="J21" s="435"/>
      <c r="K21" s="433"/>
      <c r="L21" s="463"/>
      <c r="O21" s="461"/>
    </row>
    <row r="22" spans="1:15" ht="32.4" customHeight="1">
      <c r="A22" s="431"/>
      <c r="B22" s="440" t="s">
        <v>2140</v>
      </c>
      <c r="C22" s="435">
        <v>2</v>
      </c>
      <c r="D22" s="435" t="s">
        <v>921</v>
      </c>
      <c r="E22" s="441">
        <f>E21</f>
        <v>1</v>
      </c>
      <c r="F22" s="442">
        <f>+F21</f>
        <v>370</v>
      </c>
      <c r="G22" s="443" t="s">
        <v>2141</v>
      </c>
      <c r="H22" s="442">
        <v>0.6</v>
      </c>
      <c r="I22" s="442">
        <f>+E22*F22*(0.23+0.3)/2*H22*C22</f>
        <v>117.66000000000001</v>
      </c>
      <c r="J22" s="435"/>
      <c r="K22" s="433"/>
      <c r="L22" s="463"/>
      <c r="O22" s="461"/>
    </row>
    <row r="23" spans="1:15" ht="32.4" customHeight="1">
      <c r="A23" s="431"/>
      <c r="B23" s="440" t="s">
        <v>2142</v>
      </c>
      <c r="C23" s="435">
        <v>2</v>
      </c>
      <c r="D23" s="435" t="s">
        <v>921</v>
      </c>
      <c r="E23" s="441">
        <f>E22</f>
        <v>1</v>
      </c>
      <c r="F23" s="442">
        <f>+F22</f>
        <v>370</v>
      </c>
      <c r="G23" s="443" t="s">
        <v>2141</v>
      </c>
      <c r="H23" s="442">
        <v>0.6</v>
      </c>
      <c r="I23" s="442">
        <f>+E23*F23*(0.23+0.3)/2*H23*C23</f>
        <v>117.66000000000001</v>
      </c>
      <c r="J23" s="435"/>
      <c r="K23" s="433"/>
      <c r="L23" s="463"/>
      <c r="O23" s="461"/>
    </row>
    <row r="24" spans="1:15" ht="15" customHeight="1">
      <c r="A24" s="431"/>
      <c r="B24" s="434"/>
      <c r="C24" s="434"/>
      <c r="D24" s="434"/>
      <c r="E24" s="434"/>
      <c r="F24" s="431"/>
      <c r="G24" s="431"/>
      <c r="H24" s="431"/>
      <c r="I24" s="464">
        <f>SUM(I21:I23)</f>
        <v>346.32000000000005</v>
      </c>
      <c r="J24" s="436">
        <f>'Slab-Culverts Data'!J62</f>
        <v>6425.92</v>
      </c>
      <c r="K24" s="435">
        <v>1</v>
      </c>
      <c r="L24" s="465">
        <f>ROUND(I24*J24,0)</f>
        <v>2225425</v>
      </c>
    </row>
    <row r="25" spans="1:15" ht="15" customHeight="1">
      <c r="A25" s="444"/>
      <c r="B25" s="445"/>
      <c r="C25" s="445"/>
      <c r="D25" s="445"/>
      <c r="E25" s="445"/>
      <c r="F25" s="444"/>
      <c r="G25" s="444"/>
      <c r="H25" s="444"/>
      <c r="I25" s="468" t="s">
        <v>31</v>
      </c>
      <c r="J25" s="469"/>
      <c r="K25" s="470" t="s">
        <v>31</v>
      </c>
      <c r="L25" s="471"/>
    </row>
    <row r="26" spans="1:15" ht="104.4" customHeight="1">
      <c r="A26" s="446">
        <v>4</v>
      </c>
      <c r="B26" s="3898" t="str">
        <f>'Slab-Culverts Data'!B369:J369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C26" s="3899"/>
      <c r="D26" s="3899"/>
      <c r="E26" s="3899"/>
      <c r="F26" s="3899"/>
      <c r="G26" s="3899"/>
      <c r="H26" s="3899"/>
      <c r="I26" s="3899"/>
      <c r="J26" s="3899"/>
      <c r="K26" s="3899"/>
      <c r="L26" s="472"/>
    </row>
    <row r="27" spans="1:15" ht="15" customHeight="1">
      <c r="A27" s="446"/>
      <c r="B27" s="448" t="s">
        <v>2143</v>
      </c>
      <c r="C27" s="448">
        <v>1</v>
      </c>
      <c r="D27" s="448" t="s">
        <v>921</v>
      </c>
      <c r="E27" s="448">
        <v>35</v>
      </c>
      <c r="F27" s="449">
        <v>0</v>
      </c>
      <c r="G27" s="449">
        <v>0.9</v>
      </c>
      <c r="H27" s="449">
        <v>0.2</v>
      </c>
      <c r="I27" s="455">
        <f>ROUND(C27*E27*F27*G27*H27,2)</f>
        <v>0</v>
      </c>
      <c r="J27" s="473"/>
      <c r="K27" s="474"/>
      <c r="L27" s="472"/>
    </row>
    <row r="28" spans="1:15" ht="15" customHeight="1">
      <c r="A28" s="446"/>
      <c r="B28" s="448"/>
      <c r="C28" s="448"/>
      <c r="D28" s="448"/>
      <c r="E28" s="448"/>
      <c r="F28" s="450"/>
      <c r="G28" s="450"/>
      <c r="H28" s="450"/>
      <c r="I28" s="464">
        <f>SUM(I27)</f>
        <v>0</v>
      </c>
      <c r="J28" s="473">
        <f>'Slab-Culverts Data'!J397</f>
        <v>8495.99</v>
      </c>
      <c r="K28" s="474">
        <v>1</v>
      </c>
      <c r="L28" s="472">
        <f>ROUND(I28*J28,0)</f>
        <v>0</v>
      </c>
    </row>
    <row r="29" spans="1:15" ht="15" customHeight="1">
      <c r="A29" s="446"/>
      <c r="B29" s="448"/>
      <c r="C29" s="448"/>
      <c r="D29" s="448"/>
      <c r="E29" s="448"/>
      <c r="F29" s="450"/>
      <c r="G29" s="450"/>
      <c r="H29" s="450"/>
      <c r="I29" s="464" t="s">
        <v>73</v>
      </c>
      <c r="J29" s="473"/>
      <c r="K29" s="474" t="s">
        <v>31</v>
      </c>
      <c r="L29" s="472"/>
    </row>
    <row r="30" spans="1:15" ht="103.2" customHeight="1">
      <c r="A30" s="446">
        <v>5</v>
      </c>
      <c r="B30" s="3898"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30" s="3899"/>
      <c r="D30" s="3899"/>
      <c r="E30" s="3899"/>
      <c r="F30" s="3899"/>
      <c r="G30" s="3899"/>
      <c r="H30" s="3899"/>
      <c r="I30" s="3899"/>
      <c r="J30" s="3899"/>
      <c r="K30" s="3899"/>
      <c r="L30" s="472"/>
    </row>
    <row r="31" spans="1:15" s="420" customFormat="1" ht="22.2" customHeight="1">
      <c r="A31" s="451"/>
      <c r="B31" s="452"/>
      <c r="C31" s="453"/>
      <c r="D31" s="453"/>
      <c r="E31" s="453"/>
      <c r="F31" s="453"/>
      <c r="G31" s="453"/>
      <c r="H31" s="453"/>
      <c r="I31" s="475">
        <v>0</v>
      </c>
      <c r="J31" s="476">
        <f>'Slab-Culverts Data'!J451</f>
        <v>66904.47</v>
      </c>
      <c r="K31" s="453">
        <v>1</v>
      </c>
      <c r="L31" s="477">
        <f>ROUND((I31*J31),0)</f>
        <v>0</v>
      </c>
      <c r="O31" s="478"/>
    </row>
    <row r="32" spans="1:15" ht="32.4" customHeight="1">
      <c r="A32" s="446"/>
      <c r="B32" s="448"/>
      <c r="C32" s="454"/>
      <c r="D32" s="454"/>
      <c r="E32" s="454"/>
      <c r="F32" s="455"/>
      <c r="G32" s="455"/>
      <c r="H32" s="455"/>
      <c r="I32" s="479" t="s">
        <v>66</v>
      </c>
      <c r="J32" s="454"/>
      <c r="K32" s="447" t="s">
        <v>66</v>
      </c>
      <c r="L32" s="480"/>
      <c r="O32" s="461"/>
    </row>
    <row r="33" spans="1:12" ht="23.25" customHeight="1">
      <c r="A33" s="446"/>
      <c r="B33" s="448"/>
      <c r="C33" s="448"/>
      <c r="D33" s="448"/>
      <c r="E33" s="448"/>
      <c r="F33" s="450"/>
      <c r="G33" s="450"/>
      <c r="H33" s="450"/>
      <c r="I33" s="464"/>
      <c r="J33" s="481" t="s">
        <v>1175</v>
      </c>
      <c r="K33" s="482"/>
      <c r="L33" s="483">
        <f>SUM(L6:L32)</f>
        <v>2358187</v>
      </c>
    </row>
    <row r="34" spans="1:12" ht="12.75" customHeight="1">
      <c r="L34" s="484"/>
    </row>
    <row r="36" spans="1:12" ht="14.25" customHeight="1">
      <c r="B36" s="456"/>
      <c r="F36" s="456" t="str">
        <f>GA!B34</f>
        <v>Asst Exe Engineer,</v>
      </c>
      <c r="I36" s="3660" t="s">
        <v>723</v>
      </c>
      <c r="J36" s="3660"/>
      <c r="K36" s="3660"/>
    </row>
    <row r="37" spans="1:12" ht="14.25" customHeight="1">
      <c r="B37" s="456"/>
      <c r="F37" s="2633" t="s">
        <v>2786</v>
      </c>
      <c r="I37" s="3660" t="str">
        <f>'Ret wall'!I33:K33</f>
        <v>PRSD, Maddur</v>
      </c>
      <c r="J37" s="3660"/>
      <c r="K37" s="3660"/>
    </row>
    <row r="38" spans="1:12" ht="14.25" customHeight="1">
      <c r="B38" s="456"/>
      <c r="F38" s="456"/>
      <c r="I38" s="485"/>
      <c r="J38" s="485"/>
      <c r="K38" s="485"/>
    </row>
    <row r="39" spans="1:12">
      <c r="B39" s="457"/>
      <c r="F39" s="457"/>
      <c r="J39" s="457"/>
      <c r="K39" s="485"/>
    </row>
    <row r="40" spans="1:12" ht="14.25" customHeight="1">
      <c r="B40" s="456"/>
      <c r="F40" s="456" t="s">
        <v>725</v>
      </c>
      <c r="I40" s="3660" t="s">
        <v>455</v>
      </c>
      <c r="J40" s="3660"/>
      <c r="K40" s="3660"/>
    </row>
    <row r="41" spans="1:12">
      <c r="B41" s="456"/>
      <c r="F41" s="456" t="str">
        <f>'Ret wall'!F37</f>
        <v>PR Division, Narayanpet</v>
      </c>
      <c r="I41" s="3661">
        <f>'Ret wall'!I37:K37</f>
        <v>0</v>
      </c>
      <c r="J41" s="3661"/>
      <c r="K41" s="3661"/>
    </row>
  </sheetData>
  <protectedRanges>
    <protectedRange sqref="B36:B41 F36:F41" name="Range4"/>
    <protectedRange sqref="I40 K36:K41 I36:I38 J39" name="Range4_1"/>
  </protectedRanges>
  <mergeCells count="15">
    <mergeCell ref="B30:K30"/>
    <mergeCell ref="I36:K36"/>
    <mergeCell ref="I37:K37"/>
    <mergeCell ref="I40:K40"/>
    <mergeCell ref="I41:K41"/>
    <mergeCell ref="C5:E5"/>
    <mergeCell ref="B6:K6"/>
    <mergeCell ref="B13:K13"/>
    <mergeCell ref="B19:K19"/>
    <mergeCell ref="B26:K26"/>
    <mergeCell ref="A1:L1"/>
    <mergeCell ref="A2:B2"/>
    <mergeCell ref="C2:L2"/>
    <mergeCell ref="A3:L3"/>
    <mergeCell ref="C4:E4"/>
  </mergeCells>
  <printOptions horizontalCentered="1" headings="1"/>
  <pageMargins left="0.59055118110236204" right="0.196850393700787" top="0.59055118110236204" bottom="0.39370078740157499" header="0.31496062992126" footer="0.31496062992126"/>
  <pageSetup paperSize="9" scale="84" orientation="portrait" r:id="rId1"/>
  <colBreaks count="1" manualBreakCount="1">
    <brk id="12" max="1048575" man="1"/>
  </col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1:U507"/>
  <sheetViews>
    <sheetView topLeftCell="I76" zoomScaleSheetLayoutView="70" workbookViewId="0">
      <selection activeCell="D243" sqref="D243"/>
    </sheetView>
  </sheetViews>
  <sheetFormatPr defaultColWidth="8.88671875" defaultRowHeight="25.2" customHeight="1"/>
  <cols>
    <col min="1" max="1" width="8.88671875" customWidth="1"/>
    <col min="2" max="2" width="12.109375" style="313" customWidth="1"/>
    <col min="3" max="3" width="16.109375" style="100" customWidth="1"/>
    <col min="4" max="4" width="14.6640625" style="100" customWidth="1"/>
    <col min="5" max="5" width="7" style="314" customWidth="1"/>
    <col min="6" max="6" width="56" style="315" customWidth="1"/>
    <col min="7" max="7" width="10.44140625" style="315" hidden="1" customWidth="1"/>
    <col min="8" max="8" width="15.33203125" style="316" hidden="1" customWidth="1"/>
    <col min="9" max="11" width="15.33203125" style="316" customWidth="1"/>
    <col min="12" max="12" width="16.44140625" style="313" customWidth="1"/>
    <col min="13" max="13" width="7.44140625" customWidth="1"/>
    <col min="14" max="14" width="19.109375" style="314" customWidth="1"/>
    <col min="15" max="15" width="23.109375" customWidth="1"/>
    <col min="16" max="16" width="22" customWidth="1"/>
    <col min="17" max="17" width="19.5546875" customWidth="1"/>
    <col min="18" max="18" width="8.88671875" customWidth="1"/>
  </cols>
  <sheetData>
    <row r="1" spans="2:21" ht="25.2" customHeight="1">
      <c r="B1" s="3904" t="s">
        <v>2338</v>
      </c>
      <c r="C1" s="3904"/>
      <c r="D1" s="3905"/>
      <c r="E1" s="318"/>
      <c r="F1" s="3906" t="s">
        <v>2339</v>
      </c>
      <c r="G1" s="3906"/>
      <c r="H1" s="3906"/>
      <c r="I1" s="319"/>
      <c r="J1" s="319"/>
      <c r="K1" s="319"/>
      <c r="L1" s="343" t="s">
        <v>2340</v>
      </c>
      <c r="N1" s="320" t="s">
        <v>2341</v>
      </c>
      <c r="O1" s="320" t="s">
        <v>2342</v>
      </c>
    </row>
    <row r="2" spans="2:21" ht="33.6" customHeight="1">
      <c r="B2" s="317"/>
      <c r="C2" s="320" t="s">
        <v>2341</v>
      </c>
      <c r="D2" s="320" t="s">
        <v>2342</v>
      </c>
      <c r="E2" s="318"/>
      <c r="F2" s="321"/>
      <c r="G2" s="322" t="s">
        <v>2343</v>
      </c>
      <c r="H2" s="323" t="s">
        <v>2344</v>
      </c>
      <c r="I2" s="323" t="s">
        <v>2345</v>
      </c>
      <c r="J2" s="323" t="s">
        <v>2346</v>
      </c>
      <c r="K2" s="323" t="s">
        <v>2347</v>
      </c>
      <c r="L2" s="321" t="s">
        <v>2348</v>
      </c>
      <c r="N2" s="324">
        <f>P7/$P$19</f>
        <v>38.463231087444441</v>
      </c>
      <c r="O2" s="324">
        <f>Q7/$P$19</f>
        <v>37.054966333670734</v>
      </c>
      <c r="P2" s="344"/>
      <c r="Q2" s="344"/>
      <c r="R2" s="344"/>
      <c r="S2" s="344"/>
      <c r="T2" s="344"/>
      <c r="U2" s="344"/>
    </row>
    <row r="3" spans="2:21" ht="25.2" customHeight="1">
      <c r="B3" s="317" t="s">
        <v>2349</v>
      </c>
      <c r="C3" s="324">
        <f>P16/$P$19</f>
        <v>63.283897372706072</v>
      </c>
      <c r="D3" s="324">
        <f>Q16/$P$19</f>
        <v>119.17440478810016</v>
      </c>
      <c r="E3" s="318"/>
      <c r="F3" s="325" t="s">
        <v>2350</v>
      </c>
      <c r="G3" s="326"/>
      <c r="H3" s="327"/>
      <c r="I3" s="327"/>
      <c r="J3" s="327"/>
      <c r="K3" s="327"/>
      <c r="L3" s="345"/>
      <c r="N3" s="3901" t="s">
        <v>2</v>
      </c>
      <c r="O3" s="3901" t="s">
        <v>2351</v>
      </c>
      <c r="P3" s="3902" t="s">
        <v>2352</v>
      </c>
      <c r="Q3" s="3902" t="s">
        <v>2353</v>
      </c>
      <c r="R3" s="3903"/>
      <c r="S3" s="3903"/>
      <c r="T3" s="3903"/>
    </row>
    <row r="4" spans="2:21" ht="25.2" customHeight="1">
      <c r="B4" s="317" t="s">
        <v>2354</v>
      </c>
      <c r="C4" s="324">
        <f>P17/$P$19</f>
        <v>19.363640364388505</v>
      </c>
      <c r="D4" s="328">
        <f>Q17/$P$19</f>
        <v>19.363640364388505</v>
      </c>
      <c r="E4" s="329">
        <v>1</v>
      </c>
      <c r="F4" s="330" t="s">
        <v>2355</v>
      </c>
      <c r="G4" s="331">
        <v>398</v>
      </c>
      <c r="H4" s="332">
        <v>400</v>
      </c>
      <c r="I4" s="332">
        <v>540</v>
      </c>
      <c r="J4" s="332">
        <v>544</v>
      </c>
      <c r="K4" s="346">
        <v>544</v>
      </c>
      <c r="L4" s="347" t="s">
        <v>2356</v>
      </c>
      <c r="N4" s="3901"/>
      <c r="O4" s="3901"/>
      <c r="P4" s="3902"/>
      <c r="Q4" s="3902"/>
      <c r="R4" s="3903"/>
      <c r="S4" s="3903"/>
      <c r="T4" s="3903"/>
    </row>
    <row r="5" spans="2:21" ht="25.2" customHeight="1">
      <c r="B5" s="317" t="s">
        <v>2357</v>
      </c>
      <c r="C5" s="324">
        <v>0</v>
      </c>
      <c r="D5" s="328">
        <v>0</v>
      </c>
      <c r="E5" s="329">
        <v>2</v>
      </c>
      <c r="F5" s="330" t="s">
        <v>2358</v>
      </c>
      <c r="G5" s="331">
        <v>433</v>
      </c>
      <c r="H5" s="332">
        <v>440</v>
      </c>
      <c r="I5" s="332">
        <v>650</v>
      </c>
      <c r="J5" s="332">
        <v>655</v>
      </c>
      <c r="K5" s="346">
        <v>655</v>
      </c>
      <c r="L5" s="347" t="s">
        <v>2359</v>
      </c>
      <c r="N5" s="3901"/>
      <c r="O5" s="3901"/>
      <c r="P5" s="3902"/>
      <c r="Q5" s="3902"/>
    </row>
    <row r="6" spans="2:21" ht="25.2" customHeight="1">
      <c r="B6" s="317">
        <v>0.25</v>
      </c>
      <c r="C6" s="324">
        <v>0</v>
      </c>
      <c r="D6" s="328">
        <v>0</v>
      </c>
      <c r="E6" s="329">
        <v>3</v>
      </c>
      <c r="F6" s="330" t="s">
        <v>2360</v>
      </c>
      <c r="G6" s="331">
        <v>475</v>
      </c>
      <c r="H6" s="332">
        <v>520</v>
      </c>
      <c r="I6" s="332">
        <v>903</v>
      </c>
      <c r="J6" s="332">
        <v>909</v>
      </c>
      <c r="K6" s="346">
        <v>909</v>
      </c>
      <c r="L6" s="347" t="s">
        <v>2361</v>
      </c>
      <c r="N6" s="3901"/>
      <c r="O6" s="3901"/>
      <c r="P6" s="3902"/>
      <c r="Q6" s="3902"/>
    </row>
    <row r="7" spans="2:21" ht="25.2" customHeight="1">
      <c r="B7" s="317">
        <v>0.5</v>
      </c>
      <c r="C7" s="324">
        <v>0</v>
      </c>
      <c r="D7" s="328">
        <v>0</v>
      </c>
      <c r="E7" s="329">
        <v>4</v>
      </c>
      <c r="F7" s="330" t="s">
        <v>2362</v>
      </c>
      <c r="G7" s="333">
        <v>156</v>
      </c>
      <c r="H7" s="332">
        <v>156</v>
      </c>
      <c r="I7" s="332">
        <v>163</v>
      </c>
      <c r="J7" s="332">
        <v>164</v>
      </c>
      <c r="K7" s="346">
        <v>164</v>
      </c>
      <c r="L7" s="347" t="s">
        <v>2363</v>
      </c>
      <c r="N7" s="319">
        <v>1</v>
      </c>
      <c r="O7" s="348" t="s">
        <v>2364</v>
      </c>
      <c r="P7" s="349">
        <v>43.7</v>
      </c>
      <c r="Q7" s="349">
        <v>42.1</v>
      </c>
    </row>
    <row r="8" spans="2:21" ht="25.2" customHeight="1">
      <c r="B8" s="317">
        <v>1</v>
      </c>
      <c r="C8" s="324">
        <v>0</v>
      </c>
      <c r="D8" s="324">
        <v>0</v>
      </c>
      <c r="E8" s="329">
        <v>5</v>
      </c>
      <c r="F8" s="330" t="s">
        <v>2365</v>
      </c>
      <c r="G8" s="333">
        <v>152</v>
      </c>
      <c r="H8" s="332">
        <v>152</v>
      </c>
      <c r="I8" s="332">
        <v>161</v>
      </c>
      <c r="J8" s="332">
        <v>162</v>
      </c>
      <c r="K8" s="346">
        <v>162</v>
      </c>
      <c r="L8" s="347" t="s">
        <v>2366</v>
      </c>
      <c r="N8" s="319">
        <v>2</v>
      </c>
      <c r="O8" s="348" t="s">
        <v>2367</v>
      </c>
      <c r="P8" s="350">
        <v>61.1</v>
      </c>
      <c r="Q8" s="350">
        <v>59</v>
      </c>
    </row>
    <row r="9" spans="2:21" ht="25.2" customHeight="1">
      <c r="B9" s="317">
        <v>2</v>
      </c>
      <c r="C9" s="324">
        <f>P8/$P$19-N2</f>
        <v>15.314879197289088</v>
      </c>
      <c r="D9" s="324">
        <f>Q8/$P$19-O2</f>
        <v>14.874796461734803</v>
      </c>
      <c r="E9" s="329">
        <v>6</v>
      </c>
      <c r="F9" s="330" t="s">
        <v>2368</v>
      </c>
      <c r="G9" s="333">
        <v>146</v>
      </c>
      <c r="H9" s="332">
        <v>146</v>
      </c>
      <c r="I9" s="332">
        <v>167</v>
      </c>
      <c r="J9" s="332">
        <v>168</v>
      </c>
      <c r="K9" s="346">
        <v>168</v>
      </c>
      <c r="L9" s="347" t="s">
        <v>2369</v>
      </c>
      <c r="N9" s="319">
        <v>3</v>
      </c>
      <c r="O9" s="348" t="s">
        <v>2370</v>
      </c>
      <c r="P9" s="350">
        <v>81.5</v>
      </c>
      <c r="Q9" s="350">
        <v>81.5</v>
      </c>
    </row>
    <row r="10" spans="2:21" ht="25.2" customHeight="1">
      <c r="B10" s="317">
        <v>3</v>
      </c>
      <c r="C10" s="324">
        <f>P9/$P$19-N2</f>
        <v>33.270254807903882</v>
      </c>
      <c r="D10" s="324">
        <f>Q9/$P$19-O2</f>
        <v>34.678519561677589</v>
      </c>
      <c r="E10" s="329">
        <v>7</v>
      </c>
      <c r="F10" s="330" t="s">
        <v>2371</v>
      </c>
      <c r="G10" s="333">
        <v>148</v>
      </c>
      <c r="H10" s="332">
        <v>156</v>
      </c>
      <c r="I10" s="332">
        <v>172</v>
      </c>
      <c r="J10" s="332">
        <v>173</v>
      </c>
      <c r="K10" s="346">
        <v>173</v>
      </c>
      <c r="L10" s="347" t="s">
        <v>2372</v>
      </c>
      <c r="N10" s="319">
        <v>4</v>
      </c>
      <c r="O10" s="348" t="s">
        <v>2373</v>
      </c>
      <c r="P10" s="350">
        <v>99</v>
      </c>
      <c r="Q10" s="350">
        <v>99</v>
      </c>
    </row>
    <row r="11" spans="2:21" ht="25.2" customHeight="1">
      <c r="B11" s="317">
        <v>4</v>
      </c>
      <c r="C11" s="324">
        <f>P10/$P$19-N2</f>
        <v>48.673150552303838</v>
      </c>
      <c r="D11" s="324">
        <f>Q10/$P$19-O2</f>
        <v>50.081415306077545</v>
      </c>
      <c r="E11" s="329">
        <v>8</v>
      </c>
      <c r="F11" s="330" t="s">
        <v>2374</v>
      </c>
      <c r="G11" s="333">
        <v>129</v>
      </c>
      <c r="H11" s="332">
        <v>129</v>
      </c>
      <c r="I11" s="332">
        <v>142</v>
      </c>
      <c r="J11" s="332">
        <v>143</v>
      </c>
      <c r="K11" s="346">
        <v>143</v>
      </c>
      <c r="L11" s="347" t="s">
        <v>2375</v>
      </c>
      <c r="N11" s="319">
        <v>5</v>
      </c>
      <c r="O11" s="348" t="s">
        <v>2376</v>
      </c>
      <c r="P11" s="350">
        <v>116.5</v>
      </c>
      <c r="Q11" s="350">
        <v>116.5</v>
      </c>
    </row>
    <row r="12" spans="2:21" ht="30.6">
      <c r="B12" s="317">
        <v>5</v>
      </c>
      <c r="C12" s="324">
        <f>P11/$P$19-N2</f>
        <v>64.07604629670378</v>
      </c>
      <c r="D12" s="324">
        <f>Q11/$P$19-O2</f>
        <v>65.484311050477487</v>
      </c>
      <c r="E12" s="329">
        <v>9</v>
      </c>
      <c r="F12" s="330" t="s">
        <v>2377</v>
      </c>
      <c r="G12" s="333">
        <v>112</v>
      </c>
      <c r="H12" s="332">
        <v>112</v>
      </c>
      <c r="I12" s="332">
        <v>123</v>
      </c>
      <c r="J12" s="332">
        <v>124</v>
      </c>
      <c r="K12" s="346">
        <v>124</v>
      </c>
      <c r="L12" s="347" t="s">
        <v>2378</v>
      </c>
      <c r="N12" s="319">
        <v>6</v>
      </c>
      <c r="O12" s="330" t="s">
        <v>2379</v>
      </c>
      <c r="P12" s="350">
        <v>17.5</v>
      </c>
      <c r="Q12" s="350">
        <v>17.5</v>
      </c>
    </row>
    <row r="13" spans="2:21" ht="25.2" customHeight="1">
      <c r="B13" s="317">
        <v>6</v>
      </c>
      <c r="C13" s="324">
        <f>C12+($P$12/$P$19)</f>
        <v>79.478942041103721</v>
      </c>
      <c r="D13" s="324">
        <f>D12+($Q$12/$P$19)</f>
        <v>80.887206794877429</v>
      </c>
      <c r="E13" s="329">
        <v>10</v>
      </c>
      <c r="F13" s="330" t="s">
        <v>2380</v>
      </c>
      <c r="G13" s="333">
        <v>131</v>
      </c>
      <c r="H13" s="332">
        <v>131</v>
      </c>
      <c r="I13" s="332">
        <v>144</v>
      </c>
      <c r="J13" s="332">
        <v>145</v>
      </c>
      <c r="K13" s="346">
        <v>145</v>
      </c>
      <c r="L13" s="347" t="s">
        <v>2381</v>
      </c>
      <c r="N13" s="319">
        <v>7</v>
      </c>
      <c r="O13" s="330" t="s">
        <v>2382</v>
      </c>
      <c r="P13" s="350">
        <v>14.6</v>
      </c>
      <c r="Q13" s="350">
        <v>14.6</v>
      </c>
    </row>
    <row r="14" spans="2:21" ht="25.2" customHeight="1">
      <c r="B14" s="317">
        <v>7</v>
      </c>
      <c r="C14" s="324">
        <f t="shared" ref="C14:C37" si="0">C13+($P$12/$P$19)</f>
        <v>94.881837785503663</v>
      </c>
      <c r="D14" s="324">
        <f t="shared" ref="D14:D37" si="1">D13+($Q$12/$P$19)</f>
        <v>96.29010253927737</v>
      </c>
      <c r="E14" s="329">
        <v>11</v>
      </c>
      <c r="F14" s="330" t="s">
        <v>2383</v>
      </c>
      <c r="G14" s="333">
        <v>179</v>
      </c>
      <c r="H14" s="332">
        <v>179</v>
      </c>
      <c r="I14" s="332">
        <v>197</v>
      </c>
      <c r="J14" s="332">
        <v>198</v>
      </c>
      <c r="K14" s="346">
        <v>198</v>
      </c>
      <c r="L14" s="347" t="s">
        <v>2384</v>
      </c>
      <c r="N14" s="351"/>
      <c r="O14" s="352"/>
      <c r="P14" s="353"/>
      <c r="Q14" s="353"/>
    </row>
    <row r="15" spans="2:21" ht="25.2" customHeight="1">
      <c r="B15" s="317">
        <v>8</v>
      </c>
      <c r="C15" s="324">
        <f t="shared" si="0"/>
        <v>110.2847335299036</v>
      </c>
      <c r="D15" s="324">
        <f t="shared" si="1"/>
        <v>111.69299828367731</v>
      </c>
      <c r="E15" s="329">
        <v>12</v>
      </c>
      <c r="F15" s="334" t="s">
        <v>2385</v>
      </c>
      <c r="G15" s="331">
        <v>52</v>
      </c>
      <c r="H15" s="332">
        <v>40</v>
      </c>
      <c r="I15" s="332">
        <v>44</v>
      </c>
      <c r="J15" s="332">
        <v>44</v>
      </c>
      <c r="K15" s="346">
        <v>44</v>
      </c>
      <c r="L15" s="347" t="s">
        <v>2386</v>
      </c>
      <c r="N15" s="3900" t="s">
        <v>2387</v>
      </c>
      <c r="O15" s="3900"/>
      <c r="P15" s="3900"/>
      <c r="Q15" s="3900"/>
    </row>
    <row r="16" spans="2:21" ht="25.2" customHeight="1">
      <c r="B16" s="317">
        <v>9</v>
      </c>
      <c r="C16" s="324">
        <f t="shared" si="0"/>
        <v>125.68762927430355</v>
      </c>
      <c r="D16" s="324">
        <f t="shared" si="1"/>
        <v>127.09589402807725</v>
      </c>
      <c r="E16" s="329">
        <v>13</v>
      </c>
      <c r="F16" s="330" t="s">
        <v>1859</v>
      </c>
      <c r="G16" s="331">
        <v>90</v>
      </c>
      <c r="H16" s="332">
        <v>90</v>
      </c>
      <c r="I16" s="332">
        <v>99</v>
      </c>
      <c r="J16" s="332">
        <v>100</v>
      </c>
      <c r="K16" s="346">
        <v>100</v>
      </c>
      <c r="L16" s="347" t="s">
        <v>2388</v>
      </c>
      <c r="N16" s="351"/>
      <c r="O16" s="354" t="s">
        <v>2389</v>
      </c>
      <c r="P16" s="355">
        <v>71.900000000000006</v>
      </c>
      <c r="Q16" s="355">
        <v>135.4</v>
      </c>
    </row>
    <row r="17" spans="2:20" ht="25.2" customHeight="1">
      <c r="B17" s="317">
        <v>10</v>
      </c>
      <c r="C17" s="324">
        <f t="shared" si="0"/>
        <v>141.09052501870349</v>
      </c>
      <c r="D17" s="324">
        <f t="shared" si="1"/>
        <v>142.49878977247721</v>
      </c>
      <c r="E17" s="329">
        <v>14</v>
      </c>
      <c r="F17" s="330" t="s">
        <v>2390</v>
      </c>
      <c r="G17" s="331">
        <v>475</v>
      </c>
      <c r="H17" s="332">
        <v>520</v>
      </c>
      <c r="I17" s="332">
        <v>903</v>
      </c>
      <c r="J17" s="332">
        <v>909</v>
      </c>
      <c r="K17" s="346">
        <v>909</v>
      </c>
      <c r="L17" s="347" t="s">
        <v>2361</v>
      </c>
      <c r="N17" s="351"/>
      <c r="O17" s="354" t="s">
        <v>2391</v>
      </c>
      <c r="P17" s="355">
        <v>22</v>
      </c>
      <c r="Q17" s="355">
        <v>22</v>
      </c>
    </row>
    <row r="18" spans="2:20" ht="25.2" customHeight="1">
      <c r="B18" s="317">
        <v>11</v>
      </c>
      <c r="C18" s="324">
        <f t="shared" si="0"/>
        <v>156.49342076310344</v>
      </c>
      <c r="D18" s="324">
        <f t="shared" si="1"/>
        <v>157.90168551687717</v>
      </c>
      <c r="E18" s="329">
        <v>15</v>
      </c>
      <c r="F18" s="330" t="s">
        <v>2392</v>
      </c>
      <c r="G18" s="331">
        <v>783</v>
      </c>
      <c r="H18" s="332">
        <v>790</v>
      </c>
      <c r="I18" s="332">
        <v>1090</v>
      </c>
      <c r="J18" s="332">
        <v>1098</v>
      </c>
      <c r="K18" s="346">
        <v>1098</v>
      </c>
      <c r="L18" s="347" t="s">
        <v>2393</v>
      </c>
      <c r="N18" s="351"/>
      <c r="O18" s="356"/>
      <c r="P18" s="356"/>
      <c r="Q18" s="356"/>
      <c r="T18" s="378"/>
    </row>
    <row r="19" spans="2:20" ht="25.2" customHeight="1">
      <c r="B19" s="317">
        <v>12</v>
      </c>
      <c r="C19" s="324">
        <f t="shared" si="0"/>
        <v>171.8963165075034</v>
      </c>
      <c r="D19" s="324">
        <f t="shared" si="1"/>
        <v>173.30458126127712</v>
      </c>
      <c r="E19" s="329">
        <v>16</v>
      </c>
      <c r="F19" s="330" t="s">
        <v>2394</v>
      </c>
      <c r="G19" s="331">
        <v>821</v>
      </c>
      <c r="H19" s="332">
        <v>821</v>
      </c>
      <c r="I19" s="332">
        <v>1100</v>
      </c>
      <c r="J19" s="332">
        <v>1108</v>
      </c>
      <c r="K19" s="346">
        <v>1208</v>
      </c>
      <c r="L19" s="347" t="s">
        <v>2395</v>
      </c>
      <c r="N19" s="351"/>
      <c r="O19" s="357" t="s">
        <v>2396</v>
      </c>
      <c r="P19" s="358">
        <v>1.13615</v>
      </c>
      <c r="Q19" s="379"/>
      <c r="T19" s="378"/>
    </row>
    <row r="20" spans="2:20" ht="25.2" customHeight="1">
      <c r="B20" s="317">
        <v>13</v>
      </c>
      <c r="C20" s="324">
        <f t="shared" si="0"/>
        <v>187.29921225190336</v>
      </c>
      <c r="D20" s="324">
        <f t="shared" si="1"/>
        <v>188.70747700567708</v>
      </c>
      <c r="E20" s="329">
        <v>17</v>
      </c>
      <c r="F20" s="330" t="s">
        <v>2397</v>
      </c>
      <c r="G20" s="331">
        <v>681</v>
      </c>
      <c r="H20" s="332">
        <v>700</v>
      </c>
      <c r="I20" s="332">
        <v>1050</v>
      </c>
      <c r="J20" s="332">
        <v>1057</v>
      </c>
      <c r="K20" s="346">
        <v>1057</v>
      </c>
      <c r="L20" s="347" t="s">
        <v>2398</v>
      </c>
      <c r="N20" s="313"/>
      <c r="O20" s="359"/>
      <c r="P20" s="360"/>
      <c r="Q20" s="360"/>
      <c r="T20" s="378"/>
    </row>
    <row r="21" spans="2:20" ht="25.2" customHeight="1">
      <c r="B21" s="317">
        <v>14</v>
      </c>
      <c r="C21" s="324">
        <f t="shared" si="0"/>
        <v>202.70210799630331</v>
      </c>
      <c r="D21" s="324">
        <f t="shared" si="1"/>
        <v>204.11037275007703</v>
      </c>
      <c r="E21" s="329">
        <v>18</v>
      </c>
      <c r="F21" s="330" t="s">
        <v>2399</v>
      </c>
      <c r="G21" s="331">
        <v>623</v>
      </c>
      <c r="H21" s="332">
        <v>620</v>
      </c>
      <c r="I21" s="332">
        <v>950</v>
      </c>
      <c r="J21" s="332">
        <v>957</v>
      </c>
      <c r="K21" s="346">
        <v>957</v>
      </c>
      <c r="L21" s="347" t="s">
        <v>2400</v>
      </c>
      <c r="N21" s="313"/>
      <c r="O21" s="361" t="s">
        <v>2401</v>
      </c>
      <c r="P21" s="362">
        <v>3</v>
      </c>
      <c r="Q21" s="380" t="s">
        <v>2402</v>
      </c>
    </row>
    <row r="22" spans="2:20" ht="25.2" customHeight="1">
      <c r="B22" s="317">
        <v>15</v>
      </c>
      <c r="C22" s="324">
        <f t="shared" si="0"/>
        <v>218.10500374070327</v>
      </c>
      <c r="D22" s="324">
        <f t="shared" si="1"/>
        <v>219.51326849447699</v>
      </c>
      <c r="E22" s="329">
        <v>19</v>
      </c>
      <c r="F22" s="330" t="s">
        <v>2403</v>
      </c>
      <c r="G22" s="331">
        <v>479</v>
      </c>
      <c r="H22" s="332">
        <v>485</v>
      </c>
      <c r="I22" s="332">
        <v>800</v>
      </c>
      <c r="J22" s="332">
        <v>806</v>
      </c>
      <c r="K22" s="346">
        <v>900</v>
      </c>
      <c r="L22" s="347" t="s">
        <v>2404</v>
      </c>
      <c r="N22" s="313"/>
      <c r="O22" s="359"/>
      <c r="P22" s="360"/>
      <c r="Q22" s="360"/>
    </row>
    <row r="23" spans="2:20" ht="25.2" customHeight="1">
      <c r="B23" s="317">
        <v>16</v>
      </c>
      <c r="C23" s="324">
        <f t="shared" si="0"/>
        <v>233.50789948510322</v>
      </c>
      <c r="D23" s="324">
        <f t="shared" si="1"/>
        <v>234.91616423887695</v>
      </c>
      <c r="E23" s="329">
        <v>20</v>
      </c>
      <c r="F23" s="330" t="s">
        <v>2405</v>
      </c>
      <c r="G23" s="331">
        <v>304</v>
      </c>
      <c r="H23" s="332">
        <v>485</v>
      </c>
      <c r="I23" s="332">
        <v>700</v>
      </c>
      <c r="J23" s="332">
        <v>705</v>
      </c>
      <c r="K23" s="346">
        <v>883</v>
      </c>
      <c r="L23" s="347" t="s">
        <v>2406</v>
      </c>
      <c r="N23" s="313"/>
      <c r="O23" s="359"/>
      <c r="P23" s="360"/>
      <c r="Q23" s="360"/>
    </row>
    <row r="24" spans="2:20" ht="25.2" customHeight="1">
      <c r="B24" s="317">
        <v>17</v>
      </c>
      <c r="C24" s="324">
        <f t="shared" si="0"/>
        <v>248.91079522950318</v>
      </c>
      <c r="D24" s="324">
        <f t="shared" si="1"/>
        <v>250.3190599832769</v>
      </c>
      <c r="E24" s="329">
        <v>21</v>
      </c>
      <c r="F24" s="330" t="s">
        <v>2407</v>
      </c>
      <c r="G24" s="331">
        <v>456</v>
      </c>
      <c r="H24" s="332">
        <v>524</v>
      </c>
      <c r="I24" s="332">
        <v>540</v>
      </c>
      <c r="J24" s="332">
        <v>567</v>
      </c>
      <c r="K24" s="346">
        <v>709</v>
      </c>
      <c r="L24" s="347" t="s">
        <v>2408</v>
      </c>
      <c r="N24" s="318"/>
      <c r="O24" s="363"/>
      <c r="P24" s="364"/>
      <c r="Q24" s="364"/>
    </row>
    <row r="25" spans="2:20" ht="25.2" customHeight="1">
      <c r="B25" s="317">
        <v>18</v>
      </c>
      <c r="C25" s="324">
        <f t="shared" si="0"/>
        <v>264.31369097390314</v>
      </c>
      <c r="D25" s="324">
        <f t="shared" si="1"/>
        <v>265.72195572767686</v>
      </c>
      <c r="E25" s="329">
        <v>22</v>
      </c>
      <c r="F25" s="330" t="s">
        <v>626</v>
      </c>
      <c r="G25" s="333">
        <v>98</v>
      </c>
      <c r="H25" s="332">
        <v>98</v>
      </c>
      <c r="I25" s="332">
        <v>108</v>
      </c>
      <c r="J25" s="332">
        <v>109</v>
      </c>
      <c r="K25" s="346">
        <v>109</v>
      </c>
      <c r="L25" s="347" t="s">
        <v>2409</v>
      </c>
      <c r="N25" s="318"/>
      <c r="O25" s="363"/>
      <c r="P25" s="364"/>
      <c r="Q25" s="364"/>
    </row>
    <row r="26" spans="2:20" ht="25.2" customHeight="1">
      <c r="B26" s="317">
        <v>19</v>
      </c>
      <c r="C26" s="324">
        <f t="shared" si="0"/>
        <v>279.71658671830306</v>
      </c>
      <c r="D26" s="324">
        <f t="shared" si="1"/>
        <v>281.12485147207678</v>
      </c>
      <c r="E26" s="329">
        <v>23</v>
      </c>
      <c r="F26" s="330" t="s">
        <v>2410</v>
      </c>
      <c r="G26" s="331">
        <v>505</v>
      </c>
      <c r="H26" s="332">
        <v>505</v>
      </c>
      <c r="I26" s="332">
        <v>903</v>
      </c>
      <c r="J26" s="332">
        <v>909</v>
      </c>
      <c r="K26" s="346">
        <v>909</v>
      </c>
      <c r="L26" s="347" t="s">
        <v>2411</v>
      </c>
      <c r="N26" s="318"/>
      <c r="O26" s="363"/>
      <c r="P26" s="364"/>
      <c r="Q26" s="364"/>
    </row>
    <row r="27" spans="2:20" ht="25.2" customHeight="1">
      <c r="B27" s="317">
        <v>20</v>
      </c>
      <c r="C27" s="324">
        <f t="shared" si="0"/>
        <v>295.11948246270299</v>
      </c>
      <c r="D27" s="324">
        <f t="shared" si="1"/>
        <v>296.52774721647671</v>
      </c>
      <c r="E27" s="329">
        <v>24</v>
      </c>
      <c r="F27" s="330" t="s">
        <v>2412</v>
      </c>
      <c r="G27" s="331">
        <v>830</v>
      </c>
      <c r="H27" s="332">
        <v>830</v>
      </c>
      <c r="I27" s="332">
        <v>1090</v>
      </c>
      <c r="J27" s="332">
        <v>1098</v>
      </c>
      <c r="K27" s="346">
        <v>1098</v>
      </c>
      <c r="L27" s="347" t="s">
        <v>2413</v>
      </c>
      <c r="N27" s="318"/>
      <c r="O27" s="363"/>
      <c r="P27" s="364"/>
      <c r="Q27" s="364"/>
    </row>
    <row r="28" spans="2:20" ht="25.2" customHeight="1">
      <c r="B28" s="317">
        <v>21</v>
      </c>
      <c r="C28" s="324">
        <f t="shared" si="0"/>
        <v>310.52237820710292</v>
      </c>
      <c r="D28" s="324">
        <f t="shared" si="1"/>
        <v>311.93064296087664</v>
      </c>
      <c r="E28" s="329">
        <v>25</v>
      </c>
      <c r="F28" s="330" t="s">
        <v>2414</v>
      </c>
      <c r="G28" s="331">
        <v>870</v>
      </c>
      <c r="H28" s="332">
        <v>870</v>
      </c>
      <c r="I28" s="332">
        <v>1100</v>
      </c>
      <c r="J28" s="332">
        <v>1108</v>
      </c>
      <c r="K28" s="346">
        <v>1208</v>
      </c>
      <c r="L28" s="347" t="s">
        <v>2415</v>
      </c>
      <c r="N28" s="318"/>
      <c r="O28" s="363"/>
      <c r="P28" s="364"/>
      <c r="Q28" s="364"/>
    </row>
    <row r="29" spans="2:20" ht="25.2" customHeight="1">
      <c r="B29" s="317">
        <v>22</v>
      </c>
      <c r="C29" s="324">
        <f t="shared" si="0"/>
        <v>325.92527395150285</v>
      </c>
      <c r="D29" s="324">
        <f t="shared" si="1"/>
        <v>327.33353870527657</v>
      </c>
      <c r="E29" s="329">
        <v>26</v>
      </c>
      <c r="F29" s="330" t="s">
        <v>2416</v>
      </c>
      <c r="G29" s="331">
        <v>781</v>
      </c>
      <c r="H29" s="332">
        <v>781</v>
      </c>
      <c r="I29" s="332">
        <v>1050</v>
      </c>
      <c r="J29" s="332">
        <v>1057</v>
      </c>
      <c r="K29" s="346">
        <v>1057</v>
      </c>
      <c r="L29" s="347" t="s">
        <v>2417</v>
      </c>
      <c r="N29" s="318"/>
      <c r="O29" s="363"/>
      <c r="P29" s="364"/>
      <c r="Q29" s="364"/>
    </row>
    <row r="30" spans="2:20" ht="25.2" customHeight="1">
      <c r="B30" s="317">
        <v>23</v>
      </c>
      <c r="C30" s="324">
        <f t="shared" si="0"/>
        <v>341.32816969590277</v>
      </c>
      <c r="D30" s="324">
        <f t="shared" si="1"/>
        <v>342.73643444967649</v>
      </c>
      <c r="E30" s="329">
        <v>27</v>
      </c>
      <c r="F30" s="330" t="s">
        <v>2418</v>
      </c>
      <c r="G30" s="331">
        <v>657</v>
      </c>
      <c r="H30" s="332">
        <v>657</v>
      </c>
      <c r="I30" s="332">
        <v>950</v>
      </c>
      <c r="J30" s="332">
        <v>957</v>
      </c>
      <c r="K30" s="346">
        <v>957</v>
      </c>
      <c r="L30" s="347" t="s">
        <v>2419</v>
      </c>
      <c r="N30" s="318"/>
      <c r="O30" s="363"/>
      <c r="P30" s="364"/>
      <c r="Q30" s="364"/>
    </row>
    <row r="31" spans="2:20" ht="25.2" customHeight="1">
      <c r="B31" s="317">
        <v>24</v>
      </c>
      <c r="C31" s="324">
        <f t="shared" si="0"/>
        <v>356.7310654403027</v>
      </c>
      <c r="D31" s="324">
        <f t="shared" si="1"/>
        <v>358.13933019407642</v>
      </c>
      <c r="E31" s="329">
        <v>28</v>
      </c>
      <c r="F31" s="330" t="s">
        <v>2420</v>
      </c>
      <c r="G31" s="331">
        <v>505</v>
      </c>
      <c r="H31" s="332">
        <v>505</v>
      </c>
      <c r="I31" s="332">
        <v>800</v>
      </c>
      <c r="J31" s="332">
        <v>806</v>
      </c>
      <c r="K31" s="365">
        <v>910</v>
      </c>
      <c r="L31" s="347" t="s">
        <v>2421</v>
      </c>
      <c r="O31" s="100"/>
    </row>
    <row r="32" spans="2:20" ht="25.2" customHeight="1">
      <c r="B32" s="317">
        <v>25</v>
      </c>
      <c r="C32" s="324">
        <f t="shared" si="0"/>
        <v>372.13396118470263</v>
      </c>
      <c r="D32" s="324">
        <f t="shared" si="1"/>
        <v>373.54222593847635</v>
      </c>
      <c r="E32" s="329">
        <v>29</v>
      </c>
      <c r="F32" s="330" t="s">
        <v>2422</v>
      </c>
      <c r="G32" s="333">
        <v>760</v>
      </c>
      <c r="H32" s="332">
        <v>800</v>
      </c>
      <c r="I32" s="332">
        <v>830</v>
      </c>
      <c r="J32" s="332">
        <v>872</v>
      </c>
      <c r="K32" s="365">
        <v>915</v>
      </c>
      <c r="L32" s="347" t="s">
        <v>2423</v>
      </c>
      <c r="N32" s="313"/>
      <c r="O32" s="359"/>
      <c r="P32" s="359"/>
      <c r="Q32" s="359"/>
    </row>
    <row r="33" spans="2:17" ht="25.2" customHeight="1">
      <c r="B33" s="317">
        <v>26</v>
      </c>
      <c r="C33" s="324">
        <f t="shared" si="0"/>
        <v>387.53685692910256</v>
      </c>
      <c r="D33" s="324">
        <f t="shared" si="1"/>
        <v>388.94512168287628</v>
      </c>
      <c r="E33" s="329">
        <v>30</v>
      </c>
      <c r="F33" s="330" t="s">
        <v>1864</v>
      </c>
      <c r="G33" s="333">
        <v>570</v>
      </c>
      <c r="H33" s="332">
        <v>600</v>
      </c>
      <c r="I33" s="332">
        <v>630</v>
      </c>
      <c r="J33" s="332">
        <v>662</v>
      </c>
      <c r="K33" s="365">
        <v>695</v>
      </c>
      <c r="L33" s="347" t="s">
        <v>2424</v>
      </c>
      <c r="N33" s="313"/>
      <c r="O33" s="359"/>
      <c r="P33" s="359"/>
      <c r="Q33" s="359"/>
    </row>
    <row r="34" spans="2:17" ht="25.2" customHeight="1">
      <c r="B34" s="317">
        <v>27</v>
      </c>
      <c r="C34" s="324">
        <f t="shared" si="0"/>
        <v>402.93975267350248</v>
      </c>
      <c r="D34" s="324">
        <f t="shared" si="1"/>
        <v>404.3480174272762</v>
      </c>
      <c r="E34" s="329">
        <v>31</v>
      </c>
      <c r="F34" s="330" t="s">
        <v>624</v>
      </c>
      <c r="G34" s="333">
        <v>570</v>
      </c>
      <c r="H34" s="332">
        <v>600</v>
      </c>
      <c r="I34" s="332">
        <v>630</v>
      </c>
      <c r="J34" s="332">
        <v>662</v>
      </c>
      <c r="K34" s="365">
        <v>695</v>
      </c>
      <c r="L34" s="347" t="s">
        <v>2425</v>
      </c>
      <c r="N34" s="316"/>
      <c r="O34" s="366"/>
    </row>
    <row r="35" spans="2:17" ht="25.2" customHeight="1">
      <c r="B35" s="317">
        <v>28</v>
      </c>
      <c r="C35" s="324">
        <f t="shared" si="0"/>
        <v>418.34264841790241</v>
      </c>
      <c r="D35" s="324">
        <f t="shared" si="1"/>
        <v>419.75091317167613</v>
      </c>
      <c r="E35" s="329">
        <v>32</v>
      </c>
      <c r="F35" s="330" t="s">
        <v>2755</v>
      </c>
      <c r="G35" s="333">
        <v>67000</v>
      </c>
      <c r="H35" s="335">
        <v>67000</v>
      </c>
      <c r="I35" s="335"/>
      <c r="J35" s="335"/>
      <c r="K35" s="367"/>
      <c r="L35" s="347"/>
      <c r="N35" s="316"/>
      <c r="O35" s="366"/>
    </row>
    <row r="36" spans="2:17" ht="25.2" customHeight="1">
      <c r="B36" s="317">
        <v>29</v>
      </c>
      <c r="C36" s="324">
        <f t="shared" si="0"/>
        <v>433.74554416230234</v>
      </c>
      <c r="D36" s="324">
        <f t="shared" si="1"/>
        <v>435.15380891607606</v>
      </c>
      <c r="E36" s="329">
        <v>33</v>
      </c>
      <c r="F36" s="330" t="s">
        <v>2756</v>
      </c>
      <c r="G36" s="333">
        <v>65000</v>
      </c>
      <c r="H36" s="335">
        <v>65000</v>
      </c>
      <c r="I36" s="335"/>
      <c r="J36" s="335"/>
      <c r="K36" s="367"/>
      <c r="L36" s="347"/>
      <c r="N36" s="316"/>
      <c r="O36" s="366"/>
    </row>
    <row r="37" spans="2:17" ht="25.2" customHeight="1">
      <c r="B37" s="317">
        <v>30</v>
      </c>
      <c r="C37" s="324">
        <f t="shared" si="0"/>
        <v>449.14843990670227</v>
      </c>
      <c r="D37" s="324">
        <f t="shared" si="1"/>
        <v>450.55670466047599</v>
      </c>
      <c r="E37" s="329">
        <v>34</v>
      </c>
      <c r="F37" s="330" t="s">
        <v>2757</v>
      </c>
      <c r="G37" s="333">
        <v>5600</v>
      </c>
      <c r="H37" s="335">
        <v>5600</v>
      </c>
      <c r="I37" s="335"/>
      <c r="J37" s="335"/>
      <c r="K37" s="367"/>
      <c r="L37" s="347"/>
      <c r="N37" s="316"/>
      <c r="O37" s="366"/>
    </row>
    <row r="38" spans="2:17" ht="25.2" customHeight="1">
      <c r="B38" s="317">
        <f>B37+1</f>
        <v>31</v>
      </c>
      <c r="C38" s="324">
        <f>C37+($P$13/$P$19)</f>
        <v>461.99885578488738</v>
      </c>
      <c r="D38" s="324">
        <f>D37+($Q$13/$P$19)</f>
        <v>463.4071205386611</v>
      </c>
      <c r="E38" s="329">
        <v>35</v>
      </c>
      <c r="F38" s="330" t="s">
        <v>2758</v>
      </c>
      <c r="G38" s="333">
        <v>70000</v>
      </c>
      <c r="H38" s="335">
        <v>70000</v>
      </c>
      <c r="I38" s="335"/>
      <c r="J38" s="335"/>
      <c r="K38" s="367"/>
      <c r="L38" s="368"/>
      <c r="M38" s="369"/>
      <c r="N38" s="316"/>
      <c r="O38" s="366"/>
    </row>
    <row r="39" spans="2:17" ht="25.2" customHeight="1">
      <c r="B39" s="317">
        <f t="shared" ref="B39:B102" si="2">B38+1</f>
        <v>32</v>
      </c>
      <c r="C39" s="324">
        <f t="shared" ref="C39:C102" si="3">C38+($P$13/$P$19)</f>
        <v>474.8492716630725</v>
      </c>
      <c r="D39" s="324">
        <f t="shared" ref="D39:D102" si="4">D38+($Q$13/$P$19)</f>
        <v>476.25753641684622</v>
      </c>
      <c r="E39" s="329">
        <v>36</v>
      </c>
      <c r="F39" s="330" t="s">
        <v>2426</v>
      </c>
      <c r="G39" s="331">
        <v>17</v>
      </c>
      <c r="H39" s="332">
        <v>17</v>
      </c>
      <c r="I39" s="332">
        <v>19</v>
      </c>
      <c r="J39" s="332">
        <v>19</v>
      </c>
      <c r="K39" s="365">
        <v>19</v>
      </c>
      <c r="L39" s="347" t="s">
        <v>2427</v>
      </c>
      <c r="M39" s="369"/>
      <c r="N39" s="316"/>
      <c r="O39" s="366"/>
    </row>
    <row r="40" spans="2:17" ht="25.2" customHeight="1">
      <c r="B40" s="317">
        <f t="shared" si="2"/>
        <v>33</v>
      </c>
      <c r="C40" s="324">
        <f t="shared" si="3"/>
        <v>487.69968754125762</v>
      </c>
      <c r="D40" s="324">
        <f t="shared" si="4"/>
        <v>489.10795229503134</v>
      </c>
      <c r="E40" s="329">
        <v>37</v>
      </c>
      <c r="F40" s="330" t="s">
        <v>2428</v>
      </c>
      <c r="G40" s="331">
        <v>66</v>
      </c>
      <c r="H40" s="332">
        <v>66</v>
      </c>
      <c r="I40" s="332">
        <v>73</v>
      </c>
      <c r="J40" s="332">
        <v>73</v>
      </c>
      <c r="K40" s="365">
        <v>73</v>
      </c>
      <c r="L40" s="347" t="s">
        <v>2429</v>
      </c>
      <c r="M40" s="369"/>
      <c r="N40" s="316"/>
      <c r="O40" s="366"/>
    </row>
    <row r="41" spans="2:17" ht="25.2" customHeight="1">
      <c r="B41" s="317">
        <f t="shared" si="2"/>
        <v>34</v>
      </c>
      <c r="C41" s="324">
        <f t="shared" si="3"/>
        <v>500.55010341944273</v>
      </c>
      <c r="D41" s="324">
        <f t="shared" si="4"/>
        <v>501.95836817321646</v>
      </c>
      <c r="E41" s="329">
        <v>38</v>
      </c>
      <c r="F41" s="330" t="s">
        <v>2430</v>
      </c>
      <c r="G41" s="331">
        <v>8.3000000000000007</v>
      </c>
      <c r="H41" s="332">
        <v>8.3000000000000007</v>
      </c>
      <c r="I41" s="332">
        <v>9</v>
      </c>
      <c r="J41" s="332">
        <v>9</v>
      </c>
      <c r="K41" s="365">
        <v>9</v>
      </c>
      <c r="L41" s="347" t="s">
        <v>2431</v>
      </c>
      <c r="M41" s="369"/>
      <c r="N41" s="316"/>
      <c r="O41" s="366"/>
    </row>
    <row r="42" spans="2:17" ht="25.2" customHeight="1">
      <c r="B42" s="317">
        <f t="shared" si="2"/>
        <v>35</v>
      </c>
      <c r="C42" s="324">
        <f t="shared" si="3"/>
        <v>513.40051929762785</v>
      </c>
      <c r="D42" s="324">
        <f t="shared" si="4"/>
        <v>514.80878405140152</v>
      </c>
      <c r="E42" s="329">
        <v>39</v>
      </c>
      <c r="F42" s="330" t="s">
        <v>2432</v>
      </c>
      <c r="G42" s="331">
        <v>10</v>
      </c>
      <c r="H42" s="332">
        <v>10</v>
      </c>
      <c r="I42" s="332">
        <v>11</v>
      </c>
      <c r="J42" s="332">
        <v>11</v>
      </c>
      <c r="K42" s="365">
        <v>11</v>
      </c>
      <c r="L42" s="368" t="s">
        <v>2433</v>
      </c>
      <c r="M42" s="369"/>
      <c r="N42" s="316"/>
      <c r="O42" s="366"/>
    </row>
    <row r="43" spans="2:17" ht="25.2" customHeight="1">
      <c r="B43" s="317">
        <f t="shared" si="2"/>
        <v>36</v>
      </c>
      <c r="C43" s="324">
        <f t="shared" si="3"/>
        <v>526.25093517581297</v>
      </c>
      <c r="D43" s="324">
        <f t="shared" si="4"/>
        <v>527.65919992958663</v>
      </c>
      <c r="E43" s="329">
        <v>40</v>
      </c>
      <c r="F43" s="330" t="s">
        <v>2434</v>
      </c>
      <c r="G43" s="331">
        <v>818</v>
      </c>
      <c r="H43" s="332">
        <v>580</v>
      </c>
      <c r="I43" s="332">
        <v>597</v>
      </c>
      <c r="J43" s="332">
        <v>627</v>
      </c>
      <c r="K43" s="365">
        <v>650</v>
      </c>
      <c r="L43" s="368" t="s">
        <v>2435</v>
      </c>
      <c r="M43" s="369"/>
      <c r="N43" s="316"/>
      <c r="O43" s="366"/>
    </row>
    <row r="44" spans="2:17" ht="21.6" customHeight="1">
      <c r="B44" s="317">
        <f t="shared" si="2"/>
        <v>37</v>
      </c>
      <c r="C44" s="324">
        <f t="shared" si="3"/>
        <v>539.10135105399809</v>
      </c>
      <c r="D44" s="324">
        <f t="shared" si="4"/>
        <v>540.50961580777175</v>
      </c>
      <c r="E44" s="329">
        <v>41</v>
      </c>
      <c r="F44" s="330" t="s">
        <v>2436</v>
      </c>
      <c r="G44" s="331">
        <v>35</v>
      </c>
      <c r="H44" s="332">
        <v>61</v>
      </c>
      <c r="I44" s="332">
        <v>64</v>
      </c>
      <c r="J44" s="332">
        <v>67</v>
      </c>
      <c r="K44" s="365">
        <v>70</v>
      </c>
      <c r="L44" s="368" t="s">
        <v>2437</v>
      </c>
      <c r="M44" s="369"/>
      <c r="N44" s="316"/>
      <c r="O44" s="366"/>
    </row>
    <row r="45" spans="2:17" ht="21.6" customHeight="1">
      <c r="B45" s="317">
        <f t="shared" si="2"/>
        <v>38</v>
      </c>
      <c r="C45" s="324">
        <f t="shared" si="3"/>
        <v>551.9517669321832</v>
      </c>
      <c r="D45" s="324">
        <f t="shared" si="4"/>
        <v>553.36003168595687</v>
      </c>
      <c r="E45" s="329">
        <v>42</v>
      </c>
      <c r="F45" s="326" t="s">
        <v>1833</v>
      </c>
      <c r="G45" s="336"/>
      <c r="H45" s="337"/>
      <c r="I45" s="337"/>
      <c r="J45" s="337"/>
      <c r="K45" s="370"/>
      <c r="L45" s="347"/>
      <c r="M45" s="369"/>
      <c r="N45" s="316"/>
      <c r="O45" s="366"/>
    </row>
    <row r="46" spans="2:17" ht="21.6" customHeight="1">
      <c r="B46" s="317">
        <f t="shared" si="2"/>
        <v>39</v>
      </c>
      <c r="C46" s="324">
        <f t="shared" si="3"/>
        <v>564.80218281036832</v>
      </c>
      <c r="D46" s="324">
        <f t="shared" si="4"/>
        <v>566.21044756414199</v>
      </c>
      <c r="E46" s="329">
        <v>43</v>
      </c>
      <c r="F46" s="330" t="s">
        <v>1833</v>
      </c>
      <c r="G46" s="333">
        <v>67</v>
      </c>
      <c r="H46" s="332">
        <v>70</v>
      </c>
      <c r="I46" s="332">
        <v>90</v>
      </c>
      <c r="J46" s="332">
        <v>100</v>
      </c>
      <c r="K46" s="365">
        <v>100</v>
      </c>
      <c r="L46" s="347" t="s">
        <v>2438</v>
      </c>
      <c r="M46" s="369"/>
      <c r="N46" s="316"/>
      <c r="O46" s="366"/>
    </row>
    <row r="47" spans="2:17" ht="21.6" customHeight="1">
      <c r="B47" s="317">
        <f t="shared" si="2"/>
        <v>40</v>
      </c>
      <c r="C47" s="324">
        <f t="shared" si="3"/>
        <v>577.65259868855344</v>
      </c>
      <c r="D47" s="324">
        <f t="shared" si="4"/>
        <v>579.0608634423271</v>
      </c>
      <c r="E47" s="329">
        <v>44</v>
      </c>
      <c r="F47" s="330" t="s">
        <v>2439</v>
      </c>
      <c r="G47" s="333">
        <v>67</v>
      </c>
      <c r="H47" s="332">
        <v>70</v>
      </c>
      <c r="I47" s="332">
        <v>90</v>
      </c>
      <c r="J47" s="332">
        <v>100</v>
      </c>
      <c r="K47" s="365">
        <v>100</v>
      </c>
      <c r="L47" s="368" t="s">
        <v>2440</v>
      </c>
      <c r="M47" s="369"/>
      <c r="N47" s="316"/>
      <c r="O47" s="366"/>
    </row>
    <row r="48" spans="2:17" ht="21.6" customHeight="1">
      <c r="B48" s="317">
        <f t="shared" si="2"/>
        <v>41</v>
      </c>
      <c r="C48" s="324">
        <f t="shared" si="3"/>
        <v>590.50301456673856</v>
      </c>
      <c r="D48" s="324">
        <f t="shared" si="4"/>
        <v>591.91127932051222</v>
      </c>
      <c r="E48" s="329">
        <v>45</v>
      </c>
      <c r="F48" s="326" t="s">
        <v>2441</v>
      </c>
      <c r="G48" s="336"/>
      <c r="H48" s="337"/>
      <c r="I48" s="337"/>
      <c r="J48" s="337"/>
      <c r="K48" s="370"/>
      <c r="L48" s="371"/>
      <c r="M48" s="369"/>
      <c r="N48" s="316"/>
      <c r="O48" s="366"/>
    </row>
    <row r="49" spans="2:16" ht="21.6" customHeight="1">
      <c r="B49" s="317">
        <f t="shared" si="2"/>
        <v>42</v>
      </c>
      <c r="C49" s="324">
        <f t="shared" si="3"/>
        <v>603.35343044492367</v>
      </c>
      <c r="D49" s="324">
        <f t="shared" si="4"/>
        <v>604.76169519869734</v>
      </c>
      <c r="E49" s="329">
        <v>46</v>
      </c>
      <c r="F49" s="330" t="s">
        <v>2342</v>
      </c>
      <c r="G49" s="337">
        <v>75</v>
      </c>
      <c r="H49" s="338">
        <v>75</v>
      </c>
      <c r="I49" s="372">
        <v>97.5</v>
      </c>
      <c r="J49" s="372">
        <v>97.5</v>
      </c>
      <c r="K49" s="373">
        <v>97.5</v>
      </c>
      <c r="L49" s="371"/>
      <c r="M49" s="369"/>
      <c r="N49" s="316"/>
      <c r="O49" s="366"/>
    </row>
    <row r="50" spans="2:16" ht="21.6" customHeight="1">
      <c r="B50" s="317">
        <f t="shared" si="2"/>
        <v>43</v>
      </c>
      <c r="C50" s="324">
        <f t="shared" si="3"/>
        <v>616.20384632310879</v>
      </c>
      <c r="D50" s="324">
        <f t="shared" si="4"/>
        <v>617.61211107688246</v>
      </c>
      <c r="E50" s="329">
        <v>47</v>
      </c>
      <c r="F50" s="330" t="s">
        <v>2442</v>
      </c>
      <c r="G50" s="337">
        <v>30</v>
      </c>
      <c r="H50" s="338">
        <v>30</v>
      </c>
      <c r="I50" s="372">
        <v>30</v>
      </c>
      <c r="J50" s="372">
        <v>30</v>
      </c>
      <c r="K50" s="373">
        <v>30</v>
      </c>
      <c r="L50" s="371"/>
      <c r="M50" s="369"/>
      <c r="N50" s="316"/>
      <c r="O50" s="366"/>
    </row>
    <row r="51" spans="2:16" ht="21.6" customHeight="1">
      <c r="B51" s="317">
        <f t="shared" si="2"/>
        <v>44</v>
      </c>
      <c r="C51" s="324">
        <f t="shared" si="3"/>
        <v>629.05426220129391</v>
      </c>
      <c r="D51" s="324">
        <f t="shared" si="4"/>
        <v>630.46252695506757</v>
      </c>
      <c r="E51" s="329">
        <v>48</v>
      </c>
      <c r="F51" s="330" t="s">
        <v>2443</v>
      </c>
      <c r="G51" s="337">
        <v>40</v>
      </c>
      <c r="H51" s="338">
        <v>40</v>
      </c>
      <c r="I51" s="372">
        <v>40</v>
      </c>
      <c r="J51" s="372">
        <v>40</v>
      </c>
      <c r="K51" s="373">
        <v>40</v>
      </c>
      <c r="L51" s="368"/>
      <c r="M51" s="369"/>
      <c r="N51" s="316"/>
      <c r="O51" s="366"/>
    </row>
    <row r="52" spans="2:16" ht="21.6" customHeight="1">
      <c r="B52" s="317">
        <f t="shared" si="2"/>
        <v>45</v>
      </c>
      <c r="C52" s="324">
        <f t="shared" si="3"/>
        <v>641.90467807947903</v>
      </c>
      <c r="D52" s="324">
        <f t="shared" si="4"/>
        <v>643.31294283325269</v>
      </c>
      <c r="E52" s="329">
        <v>49</v>
      </c>
      <c r="F52" s="326" t="s">
        <v>2444</v>
      </c>
      <c r="G52" s="336"/>
      <c r="H52" s="337"/>
      <c r="I52" s="337"/>
      <c r="J52" s="337"/>
      <c r="K52" s="370"/>
      <c r="L52" s="371"/>
      <c r="M52" s="369"/>
      <c r="N52" s="316"/>
      <c r="O52" s="366"/>
    </row>
    <row r="53" spans="2:16" ht="21.6" customHeight="1">
      <c r="B53" s="317">
        <f t="shared" si="2"/>
        <v>46</v>
      </c>
      <c r="C53" s="324">
        <f t="shared" si="3"/>
        <v>654.75509395766414</v>
      </c>
      <c r="D53" s="324">
        <f t="shared" si="4"/>
        <v>656.16335871143781</v>
      </c>
      <c r="E53" s="329">
        <v>50</v>
      </c>
      <c r="F53" s="330" t="s">
        <v>1423</v>
      </c>
      <c r="G53" s="339">
        <v>470</v>
      </c>
      <c r="H53" s="338">
        <v>545</v>
      </c>
      <c r="I53" s="338">
        <v>580</v>
      </c>
      <c r="J53" s="338">
        <v>610</v>
      </c>
      <c r="K53" s="374">
        <v>645</v>
      </c>
      <c r="L53" s="371" t="s">
        <v>2445</v>
      </c>
      <c r="M53" s="369"/>
      <c r="N53" s="316"/>
      <c r="O53" s="366"/>
    </row>
    <row r="54" spans="2:16" ht="21.6" customHeight="1">
      <c r="B54" s="317">
        <f t="shared" si="2"/>
        <v>47</v>
      </c>
      <c r="C54" s="324">
        <f t="shared" si="3"/>
        <v>667.60550983584926</v>
      </c>
      <c r="D54" s="324">
        <f t="shared" si="4"/>
        <v>669.01377458962293</v>
      </c>
      <c r="E54" s="329">
        <v>51</v>
      </c>
      <c r="F54" s="330" t="s">
        <v>1424</v>
      </c>
      <c r="G54" s="339">
        <v>425</v>
      </c>
      <c r="H54" s="338">
        <v>515</v>
      </c>
      <c r="I54" s="338">
        <v>550</v>
      </c>
      <c r="J54" s="338">
        <v>580</v>
      </c>
      <c r="K54" s="374">
        <v>615</v>
      </c>
      <c r="L54" s="371" t="s">
        <v>2446</v>
      </c>
      <c r="M54" s="369"/>
      <c r="N54" s="316"/>
      <c r="O54" s="366"/>
    </row>
    <row r="55" spans="2:16" ht="21.6" customHeight="1">
      <c r="B55" s="317">
        <f t="shared" si="2"/>
        <v>48</v>
      </c>
      <c r="C55" s="324">
        <f t="shared" si="3"/>
        <v>680.45592571403438</v>
      </c>
      <c r="D55" s="324">
        <f t="shared" si="4"/>
        <v>681.86419046780804</v>
      </c>
      <c r="E55" s="329">
        <v>52</v>
      </c>
      <c r="F55" s="330" t="s">
        <v>1427</v>
      </c>
      <c r="G55" s="339">
        <v>750</v>
      </c>
      <c r="H55" s="338">
        <v>925</v>
      </c>
      <c r="I55" s="338">
        <v>985</v>
      </c>
      <c r="J55" s="338">
        <v>1035</v>
      </c>
      <c r="K55" s="374">
        <v>1095</v>
      </c>
      <c r="L55" s="371" t="s">
        <v>2447</v>
      </c>
      <c r="M55" s="369"/>
      <c r="N55" s="316"/>
      <c r="O55" s="366"/>
    </row>
    <row r="56" spans="2:16" ht="21.6" customHeight="1">
      <c r="B56" s="317">
        <f t="shared" si="2"/>
        <v>49</v>
      </c>
      <c r="C56" s="324">
        <f t="shared" si="3"/>
        <v>693.3063415922195</v>
      </c>
      <c r="D56" s="324">
        <f t="shared" si="4"/>
        <v>694.71460634599316</v>
      </c>
      <c r="E56" s="329">
        <v>53</v>
      </c>
      <c r="F56" s="330" t="s">
        <v>188</v>
      </c>
      <c r="G56" s="339">
        <v>470</v>
      </c>
      <c r="H56" s="338">
        <v>540</v>
      </c>
      <c r="I56" s="338">
        <v>575</v>
      </c>
      <c r="J56" s="338">
        <v>605</v>
      </c>
      <c r="K56" s="374">
        <v>640</v>
      </c>
      <c r="L56" s="371" t="s">
        <v>2448</v>
      </c>
      <c r="M56" s="369"/>
      <c r="N56" s="316"/>
      <c r="O56" s="366"/>
    </row>
    <row r="57" spans="2:16" ht="21.6" customHeight="1">
      <c r="B57" s="317">
        <f t="shared" si="2"/>
        <v>50</v>
      </c>
      <c r="C57" s="324">
        <f t="shared" si="3"/>
        <v>706.15675747040461</v>
      </c>
      <c r="D57" s="324">
        <f t="shared" si="4"/>
        <v>707.56502222417828</v>
      </c>
      <c r="E57" s="329">
        <v>54</v>
      </c>
      <c r="F57" s="330"/>
      <c r="G57" s="336"/>
      <c r="H57" s="337"/>
      <c r="I57" s="337"/>
      <c r="J57" s="337"/>
      <c r="K57" s="370"/>
      <c r="L57" s="371" t="s">
        <v>2449</v>
      </c>
      <c r="M57" s="369"/>
      <c r="N57" s="316"/>
      <c r="O57" s="366"/>
    </row>
    <row r="58" spans="2:16" ht="25.2" customHeight="1">
      <c r="B58" s="317">
        <f t="shared" si="2"/>
        <v>51</v>
      </c>
      <c r="C58" s="324">
        <f t="shared" si="3"/>
        <v>719.00717334858973</v>
      </c>
      <c r="D58" s="324">
        <f t="shared" si="4"/>
        <v>720.4154381023634</v>
      </c>
      <c r="E58" s="329">
        <v>55</v>
      </c>
      <c r="F58" s="330" t="s">
        <v>14</v>
      </c>
      <c r="G58" s="339">
        <v>400</v>
      </c>
      <c r="H58" s="338">
        <v>490</v>
      </c>
      <c r="I58" s="338">
        <v>520</v>
      </c>
      <c r="J58" s="338">
        <v>545</v>
      </c>
      <c r="K58" s="374">
        <v>575</v>
      </c>
      <c r="L58" s="371" t="s">
        <v>2447</v>
      </c>
      <c r="M58" s="369"/>
      <c r="N58" s="316"/>
      <c r="O58" s="366"/>
    </row>
    <row r="59" spans="2:16" ht="25.2" customHeight="1">
      <c r="B59" s="317">
        <f t="shared" si="2"/>
        <v>52</v>
      </c>
      <c r="C59" s="324">
        <f t="shared" si="3"/>
        <v>731.85758922677485</v>
      </c>
      <c r="D59" s="324">
        <f t="shared" si="4"/>
        <v>733.26585398054851</v>
      </c>
      <c r="E59" s="329">
        <v>56</v>
      </c>
      <c r="F59" s="340" t="s">
        <v>15</v>
      </c>
      <c r="G59" s="339">
        <v>400</v>
      </c>
      <c r="H59" s="327">
        <v>524</v>
      </c>
      <c r="I59" s="327">
        <v>550</v>
      </c>
      <c r="J59" s="327">
        <v>580</v>
      </c>
      <c r="K59" s="375">
        <v>575</v>
      </c>
      <c r="L59" s="371" t="s">
        <v>2446</v>
      </c>
      <c r="M59" s="369" t="s">
        <v>2450</v>
      </c>
      <c r="N59" s="316"/>
      <c r="O59" s="366"/>
      <c r="P59">
        <f>70%*515+30%*545</f>
        <v>524</v>
      </c>
    </row>
    <row r="60" spans="2:16" ht="25.2" customHeight="1">
      <c r="B60" s="317">
        <f t="shared" si="2"/>
        <v>53</v>
      </c>
      <c r="C60" s="324">
        <f t="shared" si="3"/>
        <v>744.70800510495997</v>
      </c>
      <c r="D60" s="324">
        <f t="shared" si="4"/>
        <v>746.11626985873363</v>
      </c>
      <c r="E60" s="329">
        <v>57</v>
      </c>
      <c r="F60" s="340" t="s">
        <v>16</v>
      </c>
      <c r="G60" s="339">
        <v>400</v>
      </c>
      <c r="H60" s="338">
        <v>490</v>
      </c>
      <c r="I60" s="338">
        <v>520</v>
      </c>
      <c r="J60" s="338">
        <v>545</v>
      </c>
      <c r="K60" s="374">
        <v>575</v>
      </c>
      <c r="L60" s="371" t="s">
        <v>2447</v>
      </c>
      <c r="M60" s="369"/>
      <c r="N60" s="316"/>
      <c r="O60" s="376"/>
      <c r="P60">
        <f>70%*550+30%*580</f>
        <v>559</v>
      </c>
    </row>
    <row r="61" spans="2:16" ht="25.2" customHeight="1">
      <c r="B61" s="317">
        <f t="shared" si="2"/>
        <v>54</v>
      </c>
      <c r="C61" s="324">
        <f t="shared" si="3"/>
        <v>757.55842098314508</v>
      </c>
      <c r="D61" s="324">
        <f t="shared" si="4"/>
        <v>758.96668573691875</v>
      </c>
      <c r="E61" s="329">
        <v>58</v>
      </c>
      <c r="F61" s="326" t="s">
        <v>2451</v>
      </c>
      <c r="G61" s="341"/>
      <c r="H61" s="342"/>
      <c r="I61" s="342"/>
      <c r="J61" s="342"/>
      <c r="K61" s="377"/>
      <c r="L61" s="371"/>
      <c r="M61" s="369"/>
      <c r="N61" s="316"/>
      <c r="O61" s="366"/>
      <c r="P61">
        <f>70%*580+30%*610</f>
        <v>589</v>
      </c>
    </row>
    <row r="62" spans="2:16" ht="25.2" customHeight="1">
      <c r="B62" s="317">
        <f t="shared" si="2"/>
        <v>55</v>
      </c>
      <c r="C62" s="324">
        <f t="shared" si="3"/>
        <v>770.4088368613302</v>
      </c>
      <c r="D62" s="324">
        <f t="shared" si="4"/>
        <v>771.81710161510387</v>
      </c>
      <c r="E62" s="329">
        <v>59</v>
      </c>
      <c r="F62" s="340" t="s">
        <v>2452</v>
      </c>
      <c r="G62" s="339">
        <v>2561.8000000000002</v>
      </c>
      <c r="H62" s="338">
        <v>2956.9</v>
      </c>
      <c r="I62" s="338">
        <v>3099</v>
      </c>
      <c r="J62" s="338">
        <v>3168.3</v>
      </c>
      <c r="K62" s="350">
        <v>3164.8</v>
      </c>
      <c r="L62" s="371" t="s">
        <v>2453</v>
      </c>
      <c r="M62" s="369"/>
      <c r="N62" s="316"/>
      <c r="O62" s="366"/>
    </row>
    <row r="63" spans="2:16" ht="15.6">
      <c r="B63" s="317">
        <f t="shared" si="2"/>
        <v>56</v>
      </c>
      <c r="C63" s="324">
        <f t="shared" si="3"/>
        <v>783.25925273951532</v>
      </c>
      <c r="D63" s="324">
        <f t="shared" si="4"/>
        <v>784.66751749328898</v>
      </c>
      <c r="E63" s="329">
        <v>60</v>
      </c>
      <c r="F63" s="340" t="s">
        <v>2454</v>
      </c>
      <c r="G63" s="339">
        <v>3216</v>
      </c>
      <c r="H63" s="338">
        <v>3602</v>
      </c>
      <c r="I63" s="338">
        <v>3962</v>
      </c>
      <c r="J63" s="338">
        <v>3962</v>
      </c>
      <c r="K63" s="374">
        <v>3962</v>
      </c>
      <c r="L63" s="371" t="s">
        <v>2455</v>
      </c>
      <c r="M63" s="369"/>
      <c r="N63" s="316"/>
      <c r="O63" s="366"/>
    </row>
    <row r="64" spans="2:16" ht="15.6">
      <c r="B64" s="317">
        <f t="shared" si="2"/>
        <v>57</v>
      </c>
      <c r="C64" s="324">
        <f t="shared" si="3"/>
        <v>796.10966861770044</v>
      </c>
      <c r="D64" s="324">
        <f t="shared" si="4"/>
        <v>797.5179333714741</v>
      </c>
      <c r="E64" s="329">
        <v>61</v>
      </c>
      <c r="F64" s="330" t="s">
        <v>2456</v>
      </c>
      <c r="G64" s="339">
        <v>2821.5</v>
      </c>
      <c r="H64" s="338">
        <v>3331.2</v>
      </c>
      <c r="I64" s="338">
        <v>3502.9</v>
      </c>
      <c r="J64" s="338">
        <v>3571</v>
      </c>
      <c r="K64" s="374">
        <v>3557.7</v>
      </c>
      <c r="L64" s="371" t="s">
        <v>2457</v>
      </c>
      <c r="M64" s="369"/>
      <c r="N64" s="316"/>
      <c r="O64" s="366"/>
    </row>
    <row r="65" spans="2:16" ht="25.2" customHeight="1">
      <c r="B65" s="317">
        <f t="shared" si="2"/>
        <v>58</v>
      </c>
      <c r="C65" s="324">
        <f t="shared" si="3"/>
        <v>808.96008449588555</v>
      </c>
      <c r="D65" s="324">
        <f t="shared" si="4"/>
        <v>810.36834924965922</v>
      </c>
      <c r="E65" s="329">
        <v>62</v>
      </c>
      <c r="F65" s="340" t="s">
        <v>1472</v>
      </c>
      <c r="G65" s="339">
        <v>1646</v>
      </c>
      <c r="H65" s="338">
        <v>1844</v>
      </c>
      <c r="I65" s="338">
        <v>2028</v>
      </c>
      <c r="J65" s="338">
        <v>2028</v>
      </c>
      <c r="K65" s="374">
        <v>2028</v>
      </c>
      <c r="L65" s="371" t="s">
        <v>2458</v>
      </c>
      <c r="M65" s="369"/>
      <c r="N65" s="316"/>
      <c r="O65" s="366"/>
    </row>
    <row r="66" spans="2:16" ht="25.2" customHeight="1">
      <c r="B66" s="317">
        <f t="shared" si="2"/>
        <v>59</v>
      </c>
      <c r="C66" s="324">
        <f t="shared" si="3"/>
        <v>821.81050037407067</v>
      </c>
      <c r="D66" s="324">
        <f t="shared" si="4"/>
        <v>823.21876512784434</v>
      </c>
      <c r="E66" s="329">
        <v>63</v>
      </c>
      <c r="F66" s="340" t="s">
        <v>2459</v>
      </c>
      <c r="G66" s="339">
        <v>924.1</v>
      </c>
      <c r="H66" s="338">
        <v>1185.5999999999999</v>
      </c>
      <c r="I66" s="338">
        <v>1250.0999999999999</v>
      </c>
      <c r="J66" s="338">
        <v>1278</v>
      </c>
      <c r="K66" s="350">
        <v>1280.4000000000001</v>
      </c>
      <c r="L66" s="371" t="s">
        <v>2460</v>
      </c>
      <c r="M66" s="369"/>
      <c r="N66" s="316"/>
      <c r="O66" s="366"/>
    </row>
    <row r="67" spans="2:16" ht="25.2" customHeight="1">
      <c r="B67" s="317">
        <f t="shared" si="2"/>
        <v>60</v>
      </c>
      <c r="C67" s="324">
        <f t="shared" si="3"/>
        <v>834.66091625225579</v>
      </c>
      <c r="D67" s="324">
        <f t="shared" si="4"/>
        <v>836.06918100602945</v>
      </c>
      <c r="E67" s="329">
        <v>64</v>
      </c>
      <c r="F67" s="340" t="s">
        <v>214</v>
      </c>
      <c r="G67" s="339">
        <v>2638.9</v>
      </c>
      <c r="H67" s="338">
        <v>3292.4</v>
      </c>
      <c r="I67" s="338">
        <v>3475.2</v>
      </c>
      <c r="J67" s="338">
        <v>3535</v>
      </c>
      <c r="K67" s="374">
        <v>3517.9</v>
      </c>
      <c r="L67" s="371" t="s">
        <v>2461</v>
      </c>
      <c r="M67" s="369"/>
      <c r="N67" s="316"/>
      <c r="O67" s="366"/>
    </row>
    <row r="68" spans="2:16" ht="25.2" customHeight="1">
      <c r="B68" s="317">
        <f t="shared" si="2"/>
        <v>61</v>
      </c>
      <c r="C68" s="324">
        <f t="shared" si="3"/>
        <v>847.51133213044091</v>
      </c>
      <c r="D68" s="324">
        <f t="shared" si="4"/>
        <v>848.91959688421457</v>
      </c>
      <c r="E68" s="329">
        <v>65</v>
      </c>
      <c r="F68" s="340" t="s">
        <v>2462</v>
      </c>
      <c r="G68" s="339">
        <v>1131</v>
      </c>
      <c r="H68" s="338">
        <v>1625.8</v>
      </c>
      <c r="I68" s="338">
        <v>1734.8</v>
      </c>
      <c r="J68" s="338">
        <v>1758</v>
      </c>
      <c r="K68" s="374">
        <v>1749.6</v>
      </c>
      <c r="L68" s="371" t="s">
        <v>2453</v>
      </c>
      <c r="M68" s="369"/>
      <c r="N68" s="316"/>
      <c r="O68" s="366"/>
    </row>
    <row r="69" spans="2:16" ht="25.2" customHeight="1">
      <c r="B69" s="317">
        <f t="shared" si="2"/>
        <v>62</v>
      </c>
      <c r="C69" s="324">
        <f t="shared" si="3"/>
        <v>860.36174800862602</v>
      </c>
      <c r="D69" s="324">
        <f t="shared" si="4"/>
        <v>861.77001276239969</v>
      </c>
      <c r="E69" s="329">
        <v>66</v>
      </c>
      <c r="F69" s="340" t="s">
        <v>213</v>
      </c>
      <c r="G69" s="339">
        <v>624</v>
      </c>
      <c r="H69" s="338">
        <v>699</v>
      </c>
      <c r="I69" s="338">
        <v>769</v>
      </c>
      <c r="J69" s="338">
        <v>769</v>
      </c>
      <c r="K69" s="374">
        <v>769</v>
      </c>
      <c r="L69" s="371" t="s">
        <v>2463</v>
      </c>
      <c r="M69" s="397"/>
      <c r="N69" s="316"/>
      <c r="O69" s="366"/>
    </row>
    <row r="70" spans="2:16" ht="25.2" customHeight="1">
      <c r="B70" s="317">
        <f t="shared" si="2"/>
        <v>63</v>
      </c>
      <c r="C70" s="324">
        <f t="shared" si="3"/>
        <v>873.21216388681114</v>
      </c>
      <c r="D70" s="324">
        <f t="shared" si="4"/>
        <v>874.62042864058481</v>
      </c>
      <c r="E70" s="329">
        <v>67</v>
      </c>
      <c r="F70" s="340" t="s">
        <v>2464</v>
      </c>
      <c r="G70" s="339">
        <v>415</v>
      </c>
      <c r="H70" s="338">
        <v>465</v>
      </c>
      <c r="I70" s="338">
        <v>512</v>
      </c>
      <c r="J70" s="338">
        <v>512</v>
      </c>
      <c r="K70" s="374">
        <v>512</v>
      </c>
      <c r="L70" s="371" t="s">
        <v>2465</v>
      </c>
      <c r="M70" s="397"/>
      <c r="N70" s="316"/>
      <c r="O70" s="366"/>
    </row>
    <row r="71" spans="2:16" ht="25.2" customHeight="1">
      <c r="B71" s="317">
        <f t="shared" si="2"/>
        <v>64</v>
      </c>
      <c r="C71" s="324">
        <f t="shared" si="3"/>
        <v>886.06257976499626</v>
      </c>
      <c r="D71" s="324">
        <f t="shared" si="4"/>
        <v>887.47084451876992</v>
      </c>
      <c r="E71" s="329">
        <v>68</v>
      </c>
      <c r="F71" s="340" t="s">
        <v>2466</v>
      </c>
      <c r="G71" s="339">
        <v>422</v>
      </c>
      <c r="H71" s="338">
        <v>473</v>
      </c>
      <c r="I71" s="338">
        <v>520</v>
      </c>
      <c r="J71" s="338">
        <v>520</v>
      </c>
      <c r="K71" s="374">
        <v>520</v>
      </c>
      <c r="L71" s="371" t="s">
        <v>2467</v>
      </c>
      <c r="M71" s="397"/>
      <c r="N71" s="316"/>
      <c r="O71" s="366"/>
    </row>
    <row r="72" spans="2:16" ht="25.2" customHeight="1">
      <c r="B72" s="317">
        <f t="shared" si="2"/>
        <v>65</v>
      </c>
      <c r="C72" s="324">
        <f t="shared" si="3"/>
        <v>898.91299564318138</v>
      </c>
      <c r="D72" s="324">
        <f t="shared" si="4"/>
        <v>900.32126039695504</v>
      </c>
      <c r="E72" s="329">
        <v>69</v>
      </c>
      <c r="F72" s="381" t="s">
        <v>2468</v>
      </c>
      <c r="G72" s="339">
        <v>507.5</v>
      </c>
      <c r="H72" s="338">
        <v>568</v>
      </c>
      <c r="I72" s="338">
        <v>625</v>
      </c>
      <c r="J72" s="338">
        <v>625</v>
      </c>
      <c r="K72" s="374">
        <v>625</v>
      </c>
      <c r="L72" s="371" t="s">
        <v>2469</v>
      </c>
      <c r="M72" s="397"/>
      <c r="N72" s="316"/>
      <c r="O72" s="366"/>
    </row>
    <row r="73" spans="2:16" ht="25.2" customHeight="1">
      <c r="B73" s="317">
        <f t="shared" si="2"/>
        <v>66</v>
      </c>
      <c r="C73" s="324">
        <f t="shared" si="3"/>
        <v>911.76341152136649</v>
      </c>
      <c r="D73" s="324">
        <f t="shared" si="4"/>
        <v>913.17167627514016</v>
      </c>
      <c r="E73" s="329">
        <v>70</v>
      </c>
      <c r="F73" s="340" t="s">
        <v>2470</v>
      </c>
      <c r="G73" s="339">
        <v>521.20000000000005</v>
      </c>
      <c r="H73" s="338">
        <v>619.5</v>
      </c>
      <c r="I73" s="338">
        <v>668.6</v>
      </c>
      <c r="J73" s="338">
        <v>714</v>
      </c>
      <c r="K73" s="374">
        <v>727.6</v>
      </c>
      <c r="L73" s="371" t="s">
        <v>2471</v>
      </c>
      <c r="M73" s="397"/>
      <c r="N73" s="316"/>
      <c r="O73" s="366"/>
    </row>
    <row r="74" spans="2:16" ht="25.2" customHeight="1">
      <c r="B74" s="317">
        <f t="shared" si="2"/>
        <v>67</v>
      </c>
      <c r="C74" s="324">
        <f t="shared" si="3"/>
        <v>924.61382739955161</v>
      </c>
      <c r="D74" s="324">
        <f t="shared" si="4"/>
        <v>926.02209215332527</v>
      </c>
      <c r="E74" s="329">
        <v>71</v>
      </c>
      <c r="F74" s="340" t="s">
        <v>2472</v>
      </c>
      <c r="G74" s="339">
        <v>1646</v>
      </c>
      <c r="H74" s="338">
        <v>1844</v>
      </c>
      <c r="I74" s="338">
        <v>2028</v>
      </c>
      <c r="J74" s="338">
        <v>2028</v>
      </c>
      <c r="K74" s="374">
        <v>2028</v>
      </c>
      <c r="L74" s="371" t="s">
        <v>2473</v>
      </c>
      <c r="M74" s="397"/>
      <c r="N74" s="316"/>
      <c r="O74" s="366"/>
    </row>
    <row r="75" spans="2:16" ht="25.2" customHeight="1">
      <c r="B75" s="317">
        <f t="shared" si="2"/>
        <v>68</v>
      </c>
      <c r="C75" s="324">
        <f t="shared" si="3"/>
        <v>937.46424327773673</v>
      </c>
      <c r="D75" s="324">
        <f t="shared" si="4"/>
        <v>938.87250803151039</v>
      </c>
      <c r="E75" s="329">
        <v>72</v>
      </c>
      <c r="F75" s="340" t="s">
        <v>2474</v>
      </c>
      <c r="G75" s="339">
        <v>357</v>
      </c>
      <c r="H75" s="338">
        <v>400</v>
      </c>
      <c r="I75" s="338">
        <v>440</v>
      </c>
      <c r="J75" s="338">
        <v>440</v>
      </c>
      <c r="K75" s="374">
        <v>440</v>
      </c>
      <c r="L75" s="371" t="s">
        <v>2475</v>
      </c>
      <c r="M75" s="397"/>
      <c r="N75" s="316"/>
      <c r="O75" s="366"/>
    </row>
    <row r="76" spans="2:16" ht="25.2" customHeight="1">
      <c r="B76" s="317">
        <f t="shared" si="2"/>
        <v>69</v>
      </c>
      <c r="C76" s="324">
        <f t="shared" si="3"/>
        <v>950.31465915592185</v>
      </c>
      <c r="D76" s="324">
        <f t="shared" si="4"/>
        <v>951.72292390969551</v>
      </c>
      <c r="E76" s="329">
        <v>73</v>
      </c>
      <c r="F76" s="340" t="s">
        <v>2476</v>
      </c>
      <c r="G76" s="339">
        <v>1498</v>
      </c>
      <c r="H76" s="338">
        <v>1678</v>
      </c>
      <c r="I76" s="338">
        <v>1846</v>
      </c>
      <c r="J76" s="338">
        <v>1846</v>
      </c>
      <c r="K76" s="374">
        <v>1846</v>
      </c>
      <c r="L76" s="371" t="s">
        <v>2477</v>
      </c>
      <c r="M76" s="397"/>
      <c r="N76" s="316"/>
      <c r="O76" s="366"/>
    </row>
    <row r="77" spans="2:16" ht="25.2" customHeight="1">
      <c r="B77" s="317">
        <f t="shared" si="2"/>
        <v>70</v>
      </c>
      <c r="C77" s="324">
        <f t="shared" si="3"/>
        <v>963.16507503410696</v>
      </c>
      <c r="D77" s="324">
        <f t="shared" si="4"/>
        <v>964.57333978788063</v>
      </c>
      <c r="E77" s="329">
        <v>74</v>
      </c>
      <c r="F77" s="340" t="s">
        <v>2478</v>
      </c>
      <c r="G77" s="339">
        <v>860</v>
      </c>
      <c r="H77" s="338">
        <v>963</v>
      </c>
      <c r="I77" s="338">
        <v>1059</v>
      </c>
      <c r="J77" s="338">
        <v>1059</v>
      </c>
      <c r="K77" s="374">
        <v>1059</v>
      </c>
      <c r="L77" s="371" t="s">
        <v>2479</v>
      </c>
      <c r="M77" s="397"/>
      <c r="N77" s="316"/>
      <c r="O77" s="366"/>
    </row>
    <row r="78" spans="2:16" ht="25.2" customHeight="1">
      <c r="B78" s="317">
        <f t="shared" si="2"/>
        <v>71</v>
      </c>
      <c r="C78" s="324">
        <f t="shared" si="3"/>
        <v>976.01549091229208</v>
      </c>
      <c r="D78" s="324">
        <f t="shared" si="4"/>
        <v>977.42375566606574</v>
      </c>
      <c r="E78" s="329">
        <v>75</v>
      </c>
      <c r="F78" s="340" t="s">
        <v>2480</v>
      </c>
      <c r="G78" s="339">
        <v>24171</v>
      </c>
      <c r="H78" s="338">
        <v>27072</v>
      </c>
      <c r="I78" s="338">
        <v>38683</v>
      </c>
      <c r="J78" s="338">
        <v>38683</v>
      </c>
      <c r="K78" s="374">
        <v>38683</v>
      </c>
      <c r="L78" s="371" t="s">
        <v>2481</v>
      </c>
      <c r="M78" s="398"/>
      <c r="N78" s="399" t="s">
        <v>2482</v>
      </c>
      <c r="O78" s="400">
        <f>ROUND(H79+((75-60)*(H78-H79))/(100-60),)</f>
        <v>25320</v>
      </c>
      <c r="P78" s="400">
        <f>ROUND(I79+((75-60)*(I78-I79))/(100-60),)</f>
        <v>33344</v>
      </c>
    </row>
    <row r="79" spans="2:16" ht="25.2" customHeight="1">
      <c r="B79" s="317">
        <f t="shared" si="2"/>
        <v>72</v>
      </c>
      <c r="C79" s="324">
        <f t="shared" si="3"/>
        <v>988.8659067904772</v>
      </c>
      <c r="D79" s="324">
        <f t="shared" si="4"/>
        <v>990.27417154425086</v>
      </c>
      <c r="E79" s="329">
        <v>76</v>
      </c>
      <c r="F79" s="340" t="s">
        <v>2483</v>
      </c>
      <c r="G79" s="339">
        <v>21668</v>
      </c>
      <c r="H79" s="338">
        <v>24268</v>
      </c>
      <c r="I79" s="338">
        <v>30141</v>
      </c>
      <c r="J79" s="338">
        <v>30141</v>
      </c>
      <c r="K79" s="374">
        <v>30141</v>
      </c>
      <c r="L79" s="371" t="s">
        <v>2484</v>
      </c>
      <c r="M79" s="397"/>
      <c r="N79" s="316"/>
      <c r="O79" s="366"/>
    </row>
    <row r="80" spans="2:16" ht="25.2" customHeight="1">
      <c r="B80" s="317">
        <f t="shared" si="2"/>
        <v>73</v>
      </c>
      <c r="C80" s="324">
        <f t="shared" si="3"/>
        <v>1001.7163226686623</v>
      </c>
      <c r="D80" s="324">
        <f t="shared" si="4"/>
        <v>1003.124587422436</v>
      </c>
      <c r="E80" s="329">
        <v>77</v>
      </c>
      <c r="F80" s="340" t="s">
        <v>1416</v>
      </c>
      <c r="G80" s="339">
        <v>2249</v>
      </c>
      <c r="H80" s="338">
        <v>2519</v>
      </c>
      <c r="I80" s="338">
        <v>2771</v>
      </c>
      <c r="J80" s="338">
        <v>2771</v>
      </c>
      <c r="K80" s="374">
        <v>2771</v>
      </c>
      <c r="L80" s="371" t="s">
        <v>2485</v>
      </c>
      <c r="M80" s="397"/>
      <c r="N80" s="316"/>
      <c r="O80" s="366"/>
    </row>
    <row r="81" spans="2:15" ht="25.2" customHeight="1">
      <c r="B81" s="317">
        <f t="shared" si="2"/>
        <v>74</v>
      </c>
      <c r="C81" s="324">
        <f t="shared" si="3"/>
        <v>1014.5667385468474</v>
      </c>
      <c r="D81" s="324">
        <f t="shared" si="4"/>
        <v>1015.9750033006211</v>
      </c>
      <c r="E81" s="329">
        <v>78</v>
      </c>
      <c r="F81" s="340" t="s">
        <v>2486</v>
      </c>
      <c r="G81" s="339">
        <v>2567</v>
      </c>
      <c r="H81" s="338">
        <v>2875</v>
      </c>
      <c r="I81" s="338">
        <v>3163</v>
      </c>
      <c r="J81" s="338">
        <v>3163</v>
      </c>
      <c r="K81" s="374">
        <v>3163</v>
      </c>
      <c r="L81" s="371" t="s">
        <v>2487</v>
      </c>
      <c r="M81" s="397"/>
      <c r="N81" s="316"/>
      <c r="O81" s="366"/>
    </row>
    <row r="82" spans="2:15" ht="25.2" customHeight="1">
      <c r="B82" s="317">
        <f t="shared" si="2"/>
        <v>75</v>
      </c>
      <c r="C82" s="324">
        <f t="shared" si="3"/>
        <v>1027.4171544250325</v>
      </c>
      <c r="D82" s="324">
        <f t="shared" si="4"/>
        <v>1028.8254191788062</v>
      </c>
      <c r="E82" s="329">
        <v>79</v>
      </c>
      <c r="F82" s="340" t="s">
        <v>2488</v>
      </c>
      <c r="G82" s="339">
        <v>1646</v>
      </c>
      <c r="H82" s="338">
        <v>1844</v>
      </c>
      <c r="I82" s="338">
        <v>2028</v>
      </c>
      <c r="J82" s="338">
        <v>2028</v>
      </c>
      <c r="K82" s="374">
        <v>2028</v>
      </c>
      <c r="L82" s="371" t="s">
        <v>2487</v>
      </c>
      <c r="M82" s="397"/>
      <c r="N82" s="316"/>
      <c r="O82" s="366"/>
    </row>
    <row r="83" spans="2:15" ht="25.2" customHeight="1">
      <c r="B83" s="317">
        <f t="shared" si="2"/>
        <v>76</v>
      </c>
      <c r="C83" s="324">
        <f t="shared" si="3"/>
        <v>1040.2675703032176</v>
      </c>
      <c r="D83" s="324">
        <f t="shared" si="4"/>
        <v>1041.6758350569912</v>
      </c>
      <c r="E83" s="329">
        <v>80</v>
      </c>
      <c r="F83" s="340" t="s">
        <v>2489</v>
      </c>
      <c r="G83" s="339">
        <v>1283</v>
      </c>
      <c r="H83" s="338">
        <v>1437</v>
      </c>
      <c r="I83" s="338">
        <v>1581</v>
      </c>
      <c r="J83" s="338">
        <v>1581</v>
      </c>
      <c r="K83" s="374">
        <v>1581</v>
      </c>
      <c r="L83" s="371" t="s">
        <v>2490</v>
      </c>
      <c r="M83" s="397"/>
      <c r="N83" s="316"/>
      <c r="O83" s="366"/>
    </row>
    <row r="84" spans="2:15" ht="25.2" customHeight="1">
      <c r="B84" s="317">
        <f t="shared" si="2"/>
        <v>77</v>
      </c>
      <c r="C84" s="324">
        <f t="shared" si="3"/>
        <v>1053.1179861814026</v>
      </c>
      <c r="D84" s="324">
        <f t="shared" si="4"/>
        <v>1054.5262509351762</v>
      </c>
      <c r="E84" s="329">
        <v>81</v>
      </c>
      <c r="F84" s="340" t="s">
        <v>2491</v>
      </c>
      <c r="G84" s="339">
        <v>1143</v>
      </c>
      <c r="H84" s="338">
        <v>1280</v>
      </c>
      <c r="I84" s="338">
        <v>1408</v>
      </c>
      <c r="J84" s="338">
        <v>1408</v>
      </c>
      <c r="K84" s="374">
        <v>1408</v>
      </c>
      <c r="L84" s="371" t="s">
        <v>2492</v>
      </c>
      <c r="M84" s="397"/>
      <c r="N84" s="316"/>
      <c r="O84" s="366"/>
    </row>
    <row r="85" spans="2:15" ht="25.2" customHeight="1">
      <c r="B85" s="317">
        <f t="shared" si="2"/>
        <v>78</v>
      </c>
      <c r="C85" s="324">
        <f t="shared" si="3"/>
        <v>1065.9684020595876</v>
      </c>
      <c r="D85" s="324">
        <f t="shared" si="4"/>
        <v>1067.3766668133612</v>
      </c>
      <c r="E85" s="329">
        <v>82</v>
      </c>
      <c r="F85" s="340" t="s">
        <v>1482</v>
      </c>
      <c r="G85" s="339">
        <v>1850</v>
      </c>
      <c r="H85" s="338">
        <v>2072</v>
      </c>
      <c r="I85" s="338">
        <v>2279</v>
      </c>
      <c r="J85" s="338">
        <v>2279</v>
      </c>
      <c r="K85" s="374">
        <v>2279</v>
      </c>
      <c r="L85" s="371" t="s">
        <v>2493</v>
      </c>
      <c r="M85" s="397"/>
      <c r="N85" s="316"/>
      <c r="O85" s="366"/>
    </row>
    <row r="86" spans="2:15" ht="25.2" customHeight="1">
      <c r="B86" s="317">
        <f t="shared" si="2"/>
        <v>79</v>
      </c>
      <c r="C86" s="324">
        <f t="shared" si="3"/>
        <v>1078.8188179377726</v>
      </c>
      <c r="D86" s="324">
        <f t="shared" si="4"/>
        <v>1080.2270826915462</v>
      </c>
      <c r="E86" s="329">
        <v>83</v>
      </c>
      <c r="F86" s="340" t="s">
        <v>2494</v>
      </c>
      <c r="G86" s="339">
        <v>1320</v>
      </c>
      <c r="H86" s="338">
        <v>1478</v>
      </c>
      <c r="I86" s="338">
        <v>1626</v>
      </c>
      <c r="J86" s="338">
        <v>1626</v>
      </c>
      <c r="K86" s="374">
        <v>1626</v>
      </c>
      <c r="L86" s="371" t="s">
        <v>2495</v>
      </c>
      <c r="M86" s="397"/>
      <c r="N86" s="316"/>
      <c r="O86" s="366"/>
    </row>
    <row r="87" spans="2:15" ht="25.2" customHeight="1">
      <c r="B87" s="317">
        <f t="shared" si="2"/>
        <v>80</v>
      </c>
      <c r="C87" s="324">
        <f t="shared" si="3"/>
        <v>1091.6692338159576</v>
      </c>
      <c r="D87" s="324">
        <f t="shared" si="4"/>
        <v>1093.0774985697312</v>
      </c>
      <c r="E87" s="329">
        <v>84</v>
      </c>
      <c r="F87" s="340" t="s">
        <v>2496</v>
      </c>
      <c r="G87" s="339">
        <v>842.2</v>
      </c>
      <c r="H87" s="338">
        <v>1237.4000000000001</v>
      </c>
      <c r="I87" s="338">
        <v>1324.9</v>
      </c>
      <c r="J87" s="338">
        <v>1336</v>
      </c>
      <c r="K87" s="374">
        <v>1323.5</v>
      </c>
      <c r="L87" s="371" t="s">
        <v>2495</v>
      </c>
      <c r="M87" s="397"/>
      <c r="N87" s="316"/>
      <c r="O87" s="366"/>
    </row>
    <row r="88" spans="2:15" ht="25.2" customHeight="1">
      <c r="B88" s="317">
        <f t="shared" si="2"/>
        <v>81</v>
      </c>
      <c r="C88" s="324">
        <f t="shared" si="3"/>
        <v>1104.5196496941426</v>
      </c>
      <c r="D88" s="324">
        <f t="shared" si="4"/>
        <v>1105.9279144479162</v>
      </c>
      <c r="E88" s="329">
        <v>85</v>
      </c>
      <c r="F88" s="340" t="s">
        <v>2497</v>
      </c>
      <c r="G88" s="339">
        <v>472.6</v>
      </c>
      <c r="H88" s="338">
        <v>627.6</v>
      </c>
      <c r="I88" s="338">
        <v>667.2</v>
      </c>
      <c r="J88" s="338">
        <v>686</v>
      </c>
      <c r="K88" s="374">
        <v>697.9</v>
      </c>
      <c r="L88" s="371" t="s">
        <v>2498</v>
      </c>
      <c r="M88" s="397"/>
      <c r="N88" s="316"/>
      <c r="O88" s="366"/>
    </row>
    <row r="89" spans="2:15" ht="25.2" customHeight="1">
      <c r="B89" s="317">
        <f t="shared" si="2"/>
        <v>82</v>
      </c>
      <c r="C89" s="324">
        <f t="shared" si="3"/>
        <v>1117.3700655723276</v>
      </c>
      <c r="D89" s="324">
        <f t="shared" si="4"/>
        <v>1118.7783303261012</v>
      </c>
      <c r="E89" s="329">
        <v>86</v>
      </c>
      <c r="F89" s="340" t="s">
        <v>2499</v>
      </c>
      <c r="G89" s="339">
        <v>6</v>
      </c>
      <c r="H89" s="327">
        <v>1142.5999999999999</v>
      </c>
      <c r="I89" s="327">
        <v>1205.7</v>
      </c>
      <c r="J89" s="327">
        <v>1232</v>
      </c>
      <c r="K89" s="375">
        <v>9</v>
      </c>
      <c r="L89" s="371" t="s">
        <v>2500</v>
      </c>
      <c r="M89" s="397"/>
      <c r="N89" s="316"/>
      <c r="O89" s="366"/>
    </row>
    <row r="90" spans="2:15" ht="25.2" customHeight="1">
      <c r="B90" s="317">
        <f t="shared" si="2"/>
        <v>83</v>
      </c>
      <c r="C90" s="324">
        <f t="shared" si="3"/>
        <v>1130.2204814505126</v>
      </c>
      <c r="D90" s="324">
        <f t="shared" si="4"/>
        <v>1131.6287462042862</v>
      </c>
      <c r="E90" s="329">
        <v>87</v>
      </c>
      <c r="F90" s="340" t="s">
        <v>2501</v>
      </c>
      <c r="G90" s="337">
        <v>89.19</v>
      </c>
      <c r="H90" s="372">
        <v>1142.5999999999999</v>
      </c>
      <c r="I90" s="372">
        <v>1205.7</v>
      </c>
      <c r="J90" s="327">
        <v>1232</v>
      </c>
      <c r="K90" s="373">
        <v>1250.0999999999999</v>
      </c>
      <c r="L90" s="371" t="s">
        <v>2500</v>
      </c>
      <c r="M90" s="397"/>
      <c r="N90" s="316"/>
      <c r="O90" s="366"/>
    </row>
    <row r="91" spans="2:15" ht="25.2" customHeight="1">
      <c r="B91" s="317">
        <f t="shared" si="2"/>
        <v>84</v>
      </c>
      <c r="C91" s="324">
        <f t="shared" si="3"/>
        <v>1143.0708973286976</v>
      </c>
      <c r="D91" s="324">
        <f t="shared" si="4"/>
        <v>1144.4791620824712</v>
      </c>
      <c r="E91" s="329">
        <v>88</v>
      </c>
      <c r="F91" s="334" t="s">
        <v>2502</v>
      </c>
      <c r="G91" s="339">
        <v>48</v>
      </c>
      <c r="H91" s="338">
        <v>54</v>
      </c>
      <c r="I91" s="338">
        <v>59</v>
      </c>
      <c r="J91" s="338">
        <v>59</v>
      </c>
      <c r="K91" s="374">
        <v>59</v>
      </c>
      <c r="L91" s="371" t="s">
        <v>2503</v>
      </c>
      <c r="M91" s="397"/>
      <c r="N91" s="316"/>
      <c r="O91" s="366"/>
    </row>
    <row r="92" spans="2:15" ht="25.2" customHeight="1">
      <c r="B92" s="317">
        <f t="shared" si="2"/>
        <v>85</v>
      </c>
      <c r="C92" s="324">
        <f t="shared" si="3"/>
        <v>1155.9213132068826</v>
      </c>
      <c r="D92" s="324">
        <f t="shared" si="4"/>
        <v>1157.3295779606563</v>
      </c>
      <c r="E92" s="329">
        <v>89</v>
      </c>
      <c r="F92" s="382" t="s">
        <v>2504</v>
      </c>
      <c r="G92" s="383">
        <v>470</v>
      </c>
      <c r="H92" s="338">
        <v>540</v>
      </c>
      <c r="I92" s="338">
        <v>575</v>
      </c>
      <c r="J92" s="338">
        <v>605</v>
      </c>
      <c r="K92" s="374">
        <v>640</v>
      </c>
      <c r="L92" s="371" t="s">
        <v>2369</v>
      </c>
      <c r="M92" s="397"/>
      <c r="N92" s="316"/>
      <c r="O92" s="366"/>
    </row>
    <row r="93" spans="2:15" ht="25.2" customHeight="1">
      <c r="B93" s="317">
        <f t="shared" si="2"/>
        <v>86</v>
      </c>
      <c r="C93" s="324">
        <f t="shared" si="3"/>
        <v>1168.7717290850676</v>
      </c>
      <c r="D93" s="324">
        <f t="shared" si="4"/>
        <v>1170.1799938388413</v>
      </c>
      <c r="E93" s="329">
        <v>90</v>
      </c>
      <c r="F93" s="382" t="s">
        <v>2505</v>
      </c>
      <c r="G93" s="383">
        <v>58</v>
      </c>
      <c r="H93" s="338">
        <v>66</v>
      </c>
      <c r="I93" s="338">
        <v>71</v>
      </c>
      <c r="J93" s="338">
        <v>75</v>
      </c>
      <c r="K93" s="374">
        <v>83</v>
      </c>
      <c r="L93" s="371" t="s">
        <v>2506</v>
      </c>
      <c r="M93" s="397"/>
      <c r="N93" s="316"/>
      <c r="O93" s="366"/>
    </row>
    <row r="94" spans="2:15" ht="25.2" customHeight="1">
      <c r="B94" s="317">
        <f t="shared" si="2"/>
        <v>87</v>
      </c>
      <c r="C94" s="324">
        <f t="shared" si="3"/>
        <v>1181.6221449632526</v>
      </c>
      <c r="D94" s="324">
        <f t="shared" si="4"/>
        <v>1183.0304097170263</v>
      </c>
      <c r="E94" s="329">
        <v>91</v>
      </c>
      <c r="F94" s="384" t="s">
        <v>2507</v>
      </c>
      <c r="G94" s="342">
        <v>3059.51</v>
      </c>
      <c r="H94" s="385">
        <v>3427</v>
      </c>
      <c r="I94" s="385">
        <v>3770</v>
      </c>
      <c r="J94" s="385">
        <v>3770</v>
      </c>
      <c r="K94" s="401">
        <v>3770</v>
      </c>
      <c r="L94" s="371" t="s">
        <v>2484</v>
      </c>
      <c r="M94" s="402"/>
      <c r="O94" s="366"/>
    </row>
    <row r="95" spans="2:15" ht="31.2">
      <c r="B95" s="317">
        <f t="shared" si="2"/>
        <v>88</v>
      </c>
      <c r="C95" s="324">
        <f t="shared" si="3"/>
        <v>1194.4725608414376</v>
      </c>
      <c r="D95" s="324">
        <f t="shared" si="4"/>
        <v>1195.8808255952113</v>
      </c>
      <c r="E95" s="329">
        <v>92</v>
      </c>
      <c r="F95" s="330" t="s">
        <v>1860</v>
      </c>
      <c r="G95" s="386">
        <v>456</v>
      </c>
      <c r="H95" s="387">
        <v>456</v>
      </c>
      <c r="I95" s="387">
        <v>540</v>
      </c>
      <c r="J95" s="403">
        <v>567</v>
      </c>
      <c r="K95" s="404">
        <f>K24</f>
        <v>709</v>
      </c>
      <c r="L95" s="405" t="s">
        <v>2408</v>
      </c>
      <c r="M95" s="402"/>
      <c r="O95" s="366"/>
    </row>
    <row r="96" spans="2:15" ht="25.2" customHeight="1">
      <c r="B96" s="317">
        <f t="shared" si="2"/>
        <v>89</v>
      </c>
      <c r="C96" s="324">
        <f t="shared" si="3"/>
        <v>1207.3229767196226</v>
      </c>
      <c r="D96" s="324">
        <f t="shared" si="4"/>
        <v>1208.7312414733963</v>
      </c>
      <c r="E96" s="329">
        <v>93</v>
      </c>
      <c r="F96" s="340" t="s">
        <v>58</v>
      </c>
      <c r="G96" s="337">
        <v>425</v>
      </c>
      <c r="H96" s="338">
        <v>515</v>
      </c>
      <c r="I96" s="338">
        <v>550</v>
      </c>
      <c r="J96" s="338">
        <v>580</v>
      </c>
      <c r="K96" s="374">
        <v>645</v>
      </c>
      <c r="L96" s="371" t="s">
        <v>2508</v>
      </c>
      <c r="M96" s="402"/>
      <c r="O96" s="366"/>
    </row>
    <row r="97" spans="2:15" ht="25.2" customHeight="1">
      <c r="B97" s="317">
        <f t="shared" si="2"/>
        <v>90</v>
      </c>
      <c r="C97" s="324">
        <f t="shared" si="3"/>
        <v>1220.1733925978076</v>
      </c>
      <c r="D97" s="324">
        <f t="shared" si="4"/>
        <v>1221.5816573515813</v>
      </c>
      <c r="E97" s="329">
        <v>94</v>
      </c>
      <c r="F97" s="340" t="s">
        <v>236</v>
      </c>
      <c r="G97" s="337">
        <v>470</v>
      </c>
      <c r="H97" s="338">
        <v>545</v>
      </c>
      <c r="I97" s="338">
        <v>580</v>
      </c>
      <c r="J97" s="338">
        <v>610</v>
      </c>
      <c r="K97" s="374">
        <v>575</v>
      </c>
      <c r="L97" s="371" t="s">
        <v>2445</v>
      </c>
      <c r="M97" s="402"/>
      <c r="O97" s="366"/>
    </row>
    <row r="98" spans="2:15" ht="25.2" customHeight="1">
      <c r="B98" s="317">
        <f t="shared" si="2"/>
        <v>91</v>
      </c>
      <c r="C98" s="324">
        <f t="shared" si="3"/>
        <v>1233.0238084759926</v>
      </c>
      <c r="D98" s="324">
        <f t="shared" si="4"/>
        <v>1234.4320732297663</v>
      </c>
      <c r="E98" s="329">
        <v>95</v>
      </c>
      <c r="F98" s="330" t="s">
        <v>2509</v>
      </c>
      <c r="G98" s="336"/>
      <c r="H98" s="337"/>
      <c r="I98" s="337"/>
      <c r="J98" s="337"/>
      <c r="K98" s="370"/>
      <c r="L98" s="371"/>
      <c r="M98" s="402"/>
      <c r="O98" s="366"/>
    </row>
    <row r="99" spans="2:15" ht="25.2" customHeight="1">
      <c r="B99" s="317">
        <f t="shared" si="2"/>
        <v>92</v>
      </c>
      <c r="C99" s="324">
        <f t="shared" si="3"/>
        <v>1245.8742243541776</v>
      </c>
      <c r="D99" s="324">
        <f t="shared" si="4"/>
        <v>1247.2824891079513</v>
      </c>
      <c r="E99" s="329">
        <v>96</v>
      </c>
      <c r="F99" s="330" t="s">
        <v>2510</v>
      </c>
      <c r="G99" s="388">
        <v>1231.9000000000001</v>
      </c>
      <c r="H99" s="338">
        <v>1380</v>
      </c>
      <c r="I99" s="338">
        <v>1518</v>
      </c>
      <c r="J99" s="338">
        <v>1518</v>
      </c>
      <c r="K99" s="374">
        <v>1518</v>
      </c>
      <c r="L99" s="371" t="s">
        <v>2511</v>
      </c>
      <c r="M99" s="402"/>
      <c r="O99" s="366"/>
    </row>
    <row r="100" spans="2:15" ht="25.2" customHeight="1">
      <c r="B100" s="317">
        <f t="shared" si="2"/>
        <v>93</v>
      </c>
      <c r="C100" s="324">
        <f t="shared" si="3"/>
        <v>1258.7246402323626</v>
      </c>
      <c r="D100" s="324">
        <f t="shared" si="4"/>
        <v>1260.1329049861363</v>
      </c>
      <c r="E100" s="329">
        <v>97</v>
      </c>
      <c r="F100" s="330" t="s">
        <v>2512</v>
      </c>
      <c r="G100" s="388">
        <v>1080.9000000000001</v>
      </c>
      <c r="H100" s="338">
        <v>1205.8</v>
      </c>
      <c r="I100" s="338">
        <v>1293</v>
      </c>
      <c r="J100" s="338">
        <v>1370</v>
      </c>
      <c r="K100" s="374">
        <v>1395.7</v>
      </c>
      <c r="L100" s="371" t="s">
        <v>2511</v>
      </c>
      <c r="M100" s="402"/>
      <c r="O100" s="366"/>
    </row>
    <row r="101" spans="2:15" ht="25.2" customHeight="1">
      <c r="B101" s="317">
        <f t="shared" si="2"/>
        <v>94</v>
      </c>
      <c r="C101" s="324">
        <f t="shared" si="3"/>
        <v>1271.5750561105476</v>
      </c>
      <c r="D101" s="324">
        <f t="shared" si="4"/>
        <v>1272.9833208643213</v>
      </c>
      <c r="E101" s="329">
        <v>98</v>
      </c>
      <c r="F101" s="330" t="s">
        <v>2513</v>
      </c>
      <c r="G101" s="388">
        <f>G99*6</f>
        <v>7391.4000000000005</v>
      </c>
      <c r="H101" s="337"/>
      <c r="I101" s="337"/>
      <c r="J101" s="337"/>
      <c r="K101" s="370"/>
      <c r="L101" s="371"/>
      <c r="M101" s="402"/>
      <c r="O101" s="366"/>
    </row>
    <row r="102" spans="2:15" ht="25.2" customHeight="1">
      <c r="B102" s="317">
        <f t="shared" si="2"/>
        <v>95</v>
      </c>
      <c r="C102" s="324">
        <f t="shared" si="3"/>
        <v>1284.4254719887326</v>
      </c>
      <c r="D102" s="324">
        <f t="shared" si="4"/>
        <v>1285.8337367425063</v>
      </c>
      <c r="E102" s="329">
        <v>99</v>
      </c>
      <c r="F102" s="330" t="s">
        <v>2514</v>
      </c>
      <c r="G102" s="389">
        <v>1126</v>
      </c>
      <c r="H102" s="338">
        <v>1261</v>
      </c>
      <c r="I102" s="338">
        <v>1387</v>
      </c>
      <c r="J102" s="338">
        <v>1387</v>
      </c>
      <c r="K102" s="374">
        <v>1387</v>
      </c>
      <c r="L102" s="371"/>
      <c r="M102" s="402"/>
      <c r="O102" s="366"/>
    </row>
    <row r="103" spans="2:15" ht="25.2" customHeight="1">
      <c r="B103" s="317">
        <f t="shared" ref="B103:B166" si="5">B102+1</f>
        <v>96</v>
      </c>
      <c r="C103" s="324">
        <f t="shared" ref="C103:C166" si="6">C102+($P$13/$P$19)</f>
        <v>1297.2758878669176</v>
      </c>
      <c r="D103" s="324">
        <f t="shared" ref="D103:D166" si="7">D102+($Q$13/$P$19)</f>
        <v>1298.6841526206913</v>
      </c>
      <c r="E103" s="329">
        <v>100</v>
      </c>
      <c r="F103" s="330" t="s">
        <v>2515</v>
      </c>
      <c r="G103" s="389">
        <v>1850</v>
      </c>
      <c r="H103" s="338">
        <v>2072</v>
      </c>
      <c r="I103" s="338">
        <v>2279</v>
      </c>
      <c r="J103" s="338">
        <v>2279</v>
      </c>
      <c r="K103" s="374">
        <v>2279</v>
      </c>
      <c r="L103" s="371"/>
      <c r="M103" s="402"/>
      <c r="O103" s="366"/>
    </row>
    <row r="104" spans="2:15" ht="25.2" customHeight="1">
      <c r="B104" s="317">
        <f t="shared" si="5"/>
        <v>97</v>
      </c>
      <c r="C104" s="324">
        <f t="shared" si="6"/>
        <v>1310.1263037451026</v>
      </c>
      <c r="D104" s="324">
        <f t="shared" si="7"/>
        <v>1311.5345684988763</v>
      </c>
      <c r="E104" s="329">
        <v>101</v>
      </c>
      <c r="F104" s="330" t="s">
        <v>2516</v>
      </c>
      <c r="G104" s="388">
        <v>1917.5</v>
      </c>
      <c r="H104" s="338">
        <v>2532.4</v>
      </c>
      <c r="I104" s="338">
        <v>2685.4</v>
      </c>
      <c r="J104" s="338">
        <v>2731</v>
      </c>
      <c r="K104" s="374">
        <v>2719.6</v>
      </c>
      <c r="L104" s="371" t="s">
        <v>2517</v>
      </c>
      <c r="M104" s="402"/>
      <c r="O104" s="366"/>
    </row>
    <row r="105" spans="2:15" ht="25.2" customHeight="1">
      <c r="B105" s="317">
        <f t="shared" si="5"/>
        <v>98</v>
      </c>
      <c r="C105" s="324">
        <f t="shared" si="6"/>
        <v>1322.9767196232876</v>
      </c>
      <c r="D105" s="324">
        <f t="shared" si="7"/>
        <v>1324.3849843770613</v>
      </c>
      <c r="E105" s="329">
        <v>102</v>
      </c>
      <c r="F105" s="330" t="s">
        <v>2518</v>
      </c>
      <c r="G105" s="388"/>
      <c r="H105" s="337"/>
      <c r="I105" s="337"/>
      <c r="J105" s="337"/>
      <c r="K105" s="370"/>
      <c r="L105" s="371"/>
      <c r="M105" s="397"/>
      <c r="N105" s="316"/>
      <c r="O105" s="366"/>
    </row>
    <row r="106" spans="2:15" ht="25.2" customHeight="1">
      <c r="B106" s="317">
        <f t="shared" si="5"/>
        <v>99</v>
      </c>
      <c r="C106" s="324">
        <f t="shared" si="6"/>
        <v>1335.8271355014726</v>
      </c>
      <c r="D106" s="324">
        <f t="shared" si="7"/>
        <v>1337.2354002552463</v>
      </c>
      <c r="E106" s="329">
        <v>103</v>
      </c>
      <c r="F106" s="330" t="s">
        <v>2519</v>
      </c>
      <c r="G106" s="389">
        <v>803</v>
      </c>
      <c r="H106" s="338">
        <v>899</v>
      </c>
      <c r="I106" s="338">
        <v>989</v>
      </c>
      <c r="J106" s="338">
        <v>989</v>
      </c>
      <c r="K106" s="374">
        <v>989</v>
      </c>
      <c r="L106" s="371" t="s">
        <v>2498</v>
      </c>
      <c r="M106" s="397"/>
      <c r="N106" s="316"/>
      <c r="O106" s="366"/>
    </row>
    <row r="107" spans="2:15" ht="25.2" customHeight="1">
      <c r="B107" s="317">
        <f t="shared" si="5"/>
        <v>100</v>
      </c>
      <c r="C107" s="324">
        <f t="shared" si="6"/>
        <v>1348.6775513796576</v>
      </c>
      <c r="D107" s="324">
        <f t="shared" si="7"/>
        <v>1350.0858161334313</v>
      </c>
      <c r="E107" s="329">
        <v>104</v>
      </c>
      <c r="F107" s="330" t="s">
        <v>2520</v>
      </c>
      <c r="G107" s="389">
        <v>2900</v>
      </c>
      <c r="H107" s="338">
        <v>3248</v>
      </c>
      <c r="I107" s="338">
        <v>3573</v>
      </c>
      <c r="J107" s="338">
        <v>3573</v>
      </c>
      <c r="K107" s="374">
        <v>3573</v>
      </c>
      <c r="L107" s="371" t="s">
        <v>2521</v>
      </c>
      <c r="M107" s="397"/>
      <c r="N107" s="316"/>
      <c r="O107" s="366"/>
    </row>
    <row r="108" spans="2:15" ht="25.2" customHeight="1">
      <c r="B108" s="317">
        <f t="shared" si="5"/>
        <v>101</v>
      </c>
      <c r="C108" s="324">
        <f t="shared" si="6"/>
        <v>1361.5279672578426</v>
      </c>
      <c r="D108" s="324">
        <f t="shared" si="7"/>
        <v>1362.9362320116163</v>
      </c>
      <c r="E108" s="329">
        <v>105</v>
      </c>
      <c r="F108" s="330" t="s">
        <v>2522</v>
      </c>
      <c r="G108" s="339">
        <v>119</v>
      </c>
      <c r="H108" s="338">
        <v>132</v>
      </c>
      <c r="I108" s="338">
        <v>143</v>
      </c>
      <c r="J108" s="338">
        <v>150</v>
      </c>
      <c r="K108" s="374">
        <v>157</v>
      </c>
      <c r="L108" s="371" t="s">
        <v>2523</v>
      </c>
      <c r="M108" s="397"/>
      <c r="N108" s="316"/>
      <c r="O108" s="366"/>
    </row>
    <row r="109" spans="2:15" ht="25.2" customHeight="1">
      <c r="B109" s="317">
        <f t="shared" si="5"/>
        <v>102</v>
      </c>
      <c r="C109" s="324">
        <f t="shared" si="6"/>
        <v>1374.3783831360277</v>
      </c>
      <c r="D109" s="324">
        <f t="shared" si="7"/>
        <v>1375.7866478898013</v>
      </c>
      <c r="E109" s="329">
        <v>106</v>
      </c>
      <c r="F109" s="340" t="s">
        <v>2524</v>
      </c>
      <c r="G109" s="337">
        <v>587</v>
      </c>
      <c r="H109" s="338">
        <v>643</v>
      </c>
      <c r="I109" s="338">
        <v>662</v>
      </c>
      <c r="J109" s="338">
        <v>696</v>
      </c>
      <c r="K109" s="406">
        <v>730</v>
      </c>
      <c r="L109" s="371" t="s">
        <v>2525</v>
      </c>
      <c r="M109" s="397"/>
      <c r="N109" s="316"/>
      <c r="O109" s="366"/>
    </row>
    <row r="110" spans="2:15" ht="25.2" customHeight="1">
      <c r="B110" s="317">
        <f t="shared" si="5"/>
        <v>103</v>
      </c>
      <c r="C110" s="324">
        <f t="shared" si="6"/>
        <v>1387.2287990142127</v>
      </c>
      <c r="D110" s="324">
        <f t="shared" si="7"/>
        <v>1388.6370637679863</v>
      </c>
      <c r="E110" s="329">
        <v>107</v>
      </c>
      <c r="F110" s="340" t="s">
        <v>2526</v>
      </c>
      <c r="G110" s="337">
        <v>96</v>
      </c>
      <c r="H110" s="338">
        <v>101</v>
      </c>
      <c r="I110" s="338">
        <v>108</v>
      </c>
      <c r="J110" s="338">
        <v>112</v>
      </c>
      <c r="K110" s="406">
        <v>101</v>
      </c>
      <c r="L110" s="371" t="s">
        <v>2527</v>
      </c>
      <c r="M110" s="397"/>
      <c r="N110" s="316"/>
      <c r="O110" s="366"/>
    </row>
    <row r="111" spans="2:15" ht="15.6">
      <c r="B111" s="317">
        <f t="shared" si="5"/>
        <v>104</v>
      </c>
      <c r="C111" s="324">
        <f t="shared" si="6"/>
        <v>1400.0792148923977</v>
      </c>
      <c r="D111" s="324">
        <f t="shared" si="7"/>
        <v>1401.4874796461713</v>
      </c>
      <c r="E111" s="329">
        <v>108</v>
      </c>
      <c r="F111" s="330" t="s">
        <v>2528</v>
      </c>
      <c r="G111" s="337">
        <v>98</v>
      </c>
      <c r="H111" s="338">
        <v>98</v>
      </c>
      <c r="I111" s="338">
        <v>108</v>
      </c>
      <c r="J111" s="338">
        <v>109</v>
      </c>
      <c r="K111" s="374">
        <v>108</v>
      </c>
      <c r="L111" s="371" t="s">
        <v>2529</v>
      </c>
      <c r="M111" s="397"/>
      <c r="N111" s="316"/>
      <c r="O111" s="366"/>
    </row>
    <row r="112" spans="2:15" ht="15.6">
      <c r="B112" s="317">
        <f t="shared" si="5"/>
        <v>105</v>
      </c>
      <c r="C112" s="324">
        <f t="shared" si="6"/>
        <v>1412.9296307705827</v>
      </c>
      <c r="D112" s="324">
        <f t="shared" si="7"/>
        <v>1414.3378955243563</v>
      </c>
      <c r="E112" s="329">
        <v>109</v>
      </c>
      <c r="F112" s="330" t="s">
        <v>2530</v>
      </c>
      <c r="G112" s="337">
        <v>73</v>
      </c>
      <c r="H112" s="338">
        <v>73</v>
      </c>
      <c r="I112" s="338">
        <v>80</v>
      </c>
      <c r="J112" s="338">
        <v>81</v>
      </c>
      <c r="K112" s="374">
        <v>80</v>
      </c>
      <c r="L112" s="371" t="s">
        <v>2531</v>
      </c>
      <c r="M112" s="397"/>
      <c r="N112" s="316"/>
      <c r="O112" s="366"/>
    </row>
    <row r="113" spans="2:15" ht="25.2" customHeight="1">
      <c r="B113" s="317">
        <f t="shared" si="5"/>
        <v>106</v>
      </c>
      <c r="C113" s="324">
        <f t="shared" si="6"/>
        <v>1425.7800466487677</v>
      </c>
      <c r="D113" s="324">
        <f t="shared" si="7"/>
        <v>1427.1883114025413</v>
      </c>
      <c r="E113" s="329">
        <v>110</v>
      </c>
      <c r="F113" s="330" t="s">
        <v>133</v>
      </c>
      <c r="G113" s="337">
        <v>540</v>
      </c>
      <c r="H113" s="338">
        <v>625</v>
      </c>
      <c r="I113" s="338">
        <v>665</v>
      </c>
      <c r="J113" s="338">
        <v>700</v>
      </c>
      <c r="K113" s="374">
        <v>740</v>
      </c>
      <c r="L113" s="371" t="s">
        <v>2532</v>
      </c>
      <c r="M113" s="397"/>
      <c r="N113" s="316"/>
      <c r="O113" s="366"/>
    </row>
    <row r="114" spans="2:15" ht="25.2" customHeight="1">
      <c r="B114" s="317">
        <f t="shared" si="5"/>
        <v>107</v>
      </c>
      <c r="C114" s="324">
        <f t="shared" si="6"/>
        <v>1438.6304625269527</v>
      </c>
      <c r="D114" s="324">
        <f t="shared" si="7"/>
        <v>1440.0387272807263</v>
      </c>
      <c r="E114" s="329">
        <v>111</v>
      </c>
      <c r="F114" s="330" t="s">
        <v>2533</v>
      </c>
      <c r="G114" s="337">
        <v>311</v>
      </c>
      <c r="H114" s="337">
        <v>348</v>
      </c>
      <c r="I114" s="337">
        <v>383</v>
      </c>
      <c r="J114" s="337">
        <v>383</v>
      </c>
      <c r="K114" s="370">
        <v>383</v>
      </c>
      <c r="L114" s="371" t="s">
        <v>2534</v>
      </c>
      <c r="M114" s="397"/>
      <c r="N114" s="316"/>
      <c r="O114" s="366"/>
    </row>
    <row r="115" spans="2:15" ht="25.2" customHeight="1">
      <c r="B115" s="317">
        <f t="shared" si="5"/>
        <v>108</v>
      </c>
      <c r="C115" s="324">
        <f t="shared" si="6"/>
        <v>1451.4808784051377</v>
      </c>
      <c r="D115" s="324">
        <f t="shared" si="7"/>
        <v>1452.8891431589113</v>
      </c>
      <c r="E115" s="329">
        <v>112</v>
      </c>
      <c r="F115" s="330" t="s">
        <v>2535</v>
      </c>
      <c r="G115" s="337">
        <v>1080.9000000000001</v>
      </c>
      <c r="H115" s="338">
        <v>1205.8</v>
      </c>
      <c r="I115" s="338">
        <v>1293</v>
      </c>
      <c r="J115" s="338">
        <v>1369.5</v>
      </c>
      <c r="K115" s="406">
        <v>1397.6</v>
      </c>
      <c r="L115" s="371" t="s">
        <v>2536</v>
      </c>
      <c r="M115" s="397"/>
      <c r="N115" s="316"/>
      <c r="O115" s="366"/>
    </row>
    <row r="116" spans="2:15" ht="25.2" customHeight="1">
      <c r="B116" s="317">
        <f t="shared" si="5"/>
        <v>109</v>
      </c>
      <c r="C116" s="324">
        <f t="shared" si="6"/>
        <v>1464.3312942833227</v>
      </c>
      <c r="D116" s="324">
        <f t="shared" si="7"/>
        <v>1465.7395590370963</v>
      </c>
      <c r="E116" s="329">
        <v>113</v>
      </c>
      <c r="F116" s="330" t="s">
        <v>2537</v>
      </c>
      <c r="G116" s="337">
        <v>274</v>
      </c>
      <c r="H116" s="337">
        <v>275</v>
      </c>
      <c r="I116" s="337">
        <v>275</v>
      </c>
      <c r="J116" s="337">
        <v>275</v>
      </c>
      <c r="K116" s="407">
        <v>275</v>
      </c>
      <c r="L116" s="371" t="s">
        <v>2538</v>
      </c>
      <c r="M116" s="397"/>
      <c r="N116" s="316"/>
      <c r="O116" s="366"/>
    </row>
    <row r="117" spans="2:15" ht="15.6">
      <c r="B117" s="317">
        <f t="shared" si="5"/>
        <v>110</v>
      </c>
      <c r="C117" s="324">
        <f t="shared" si="6"/>
        <v>1477.1817101615077</v>
      </c>
      <c r="D117" s="324">
        <f t="shared" si="7"/>
        <v>1478.5899749152813</v>
      </c>
      <c r="E117" s="329">
        <v>114</v>
      </c>
      <c r="F117" s="330" t="s">
        <v>2539</v>
      </c>
      <c r="G117" s="337">
        <v>540</v>
      </c>
      <c r="H117" s="338">
        <v>635</v>
      </c>
      <c r="I117" s="338">
        <v>675</v>
      </c>
      <c r="J117" s="338">
        <v>710</v>
      </c>
      <c r="K117" s="406">
        <v>750</v>
      </c>
      <c r="L117" s="371" t="s">
        <v>2540</v>
      </c>
      <c r="M117" s="397"/>
      <c r="N117" s="316"/>
      <c r="O117" s="366"/>
    </row>
    <row r="118" spans="2:15" ht="25.2" customHeight="1">
      <c r="B118" s="317">
        <f t="shared" si="5"/>
        <v>111</v>
      </c>
      <c r="C118" s="324">
        <f t="shared" si="6"/>
        <v>1490.0321260396927</v>
      </c>
      <c r="D118" s="324">
        <f t="shared" si="7"/>
        <v>1491.4403907934663</v>
      </c>
      <c r="E118" s="329">
        <v>115</v>
      </c>
      <c r="F118" s="330" t="s">
        <v>2541</v>
      </c>
      <c r="G118" s="337">
        <v>2616</v>
      </c>
      <c r="H118" s="390">
        <v>893</v>
      </c>
      <c r="I118" s="390">
        <v>982</v>
      </c>
      <c r="J118" s="390">
        <v>989</v>
      </c>
      <c r="K118" s="406">
        <v>893</v>
      </c>
      <c r="L118" s="371" t="s">
        <v>2542</v>
      </c>
      <c r="M118" s="397"/>
      <c r="N118" s="316"/>
      <c r="O118" s="366"/>
    </row>
    <row r="119" spans="2:15" ht="15.6">
      <c r="B119" s="317">
        <f t="shared" si="5"/>
        <v>112</v>
      </c>
      <c r="C119" s="324">
        <f t="shared" si="6"/>
        <v>1502.8825419178777</v>
      </c>
      <c r="D119" s="324">
        <f t="shared" si="7"/>
        <v>1504.2908066716514</v>
      </c>
      <c r="E119" s="329">
        <v>116</v>
      </c>
      <c r="F119" s="330" t="s">
        <v>2543</v>
      </c>
      <c r="G119" s="337">
        <v>77</v>
      </c>
      <c r="H119" s="338">
        <v>77</v>
      </c>
      <c r="I119" s="338">
        <v>85</v>
      </c>
      <c r="J119" s="338">
        <v>85</v>
      </c>
      <c r="K119" s="406">
        <v>85</v>
      </c>
      <c r="L119" s="371" t="s">
        <v>2544</v>
      </c>
      <c r="M119" s="397"/>
      <c r="N119" s="316"/>
      <c r="O119" s="366"/>
    </row>
    <row r="120" spans="2:15" ht="25.2" customHeight="1">
      <c r="B120" s="317">
        <f t="shared" si="5"/>
        <v>113</v>
      </c>
      <c r="C120" s="324">
        <f t="shared" si="6"/>
        <v>1515.7329577960627</v>
      </c>
      <c r="D120" s="324">
        <f t="shared" si="7"/>
        <v>1517.1412225498364</v>
      </c>
      <c r="E120" s="329">
        <v>117</v>
      </c>
      <c r="F120" s="391" t="s">
        <v>2270</v>
      </c>
      <c r="G120" s="336">
        <v>129</v>
      </c>
      <c r="H120" s="390">
        <v>129</v>
      </c>
      <c r="I120" s="390">
        <v>149</v>
      </c>
      <c r="J120" s="390">
        <v>149</v>
      </c>
      <c r="K120" s="374">
        <v>149</v>
      </c>
      <c r="L120" s="371" t="s">
        <v>2545</v>
      </c>
      <c r="M120" s="397"/>
      <c r="N120" s="316"/>
      <c r="O120" s="366"/>
    </row>
    <row r="121" spans="2:15" ht="25.2" customHeight="1">
      <c r="B121" s="317">
        <f t="shared" si="5"/>
        <v>114</v>
      </c>
      <c r="C121" s="324">
        <f t="shared" si="6"/>
        <v>1528.5833736742477</v>
      </c>
      <c r="D121" s="324">
        <f t="shared" si="7"/>
        <v>1529.9916384280214</v>
      </c>
      <c r="E121" s="329">
        <v>118</v>
      </c>
      <c r="F121" s="391" t="s">
        <v>2271</v>
      </c>
      <c r="G121" s="336">
        <v>191</v>
      </c>
      <c r="H121" s="390">
        <v>206</v>
      </c>
      <c r="I121" s="390">
        <v>230</v>
      </c>
      <c r="J121" s="390">
        <v>242</v>
      </c>
      <c r="K121" s="374">
        <v>250</v>
      </c>
      <c r="L121" s="371" t="s">
        <v>2546</v>
      </c>
      <c r="M121" s="397"/>
      <c r="N121" s="316"/>
      <c r="O121" s="366"/>
    </row>
    <row r="122" spans="2:15" ht="25.2" customHeight="1">
      <c r="B122" s="317">
        <f t="shared" si="5"/>
        <v>115</v>
      </c>
      <c r="C122" s="324">
        <f t="shared" si="6"/>
        <v>1541.4337895524327</v>
      </c>
      <c r="D122" s="324">
        <f t="shared" si="7"/>
        <v>1542.8420543062064</v>
      </c>
      <c r="E122" s="329">
        <v>119</v>
      </c>
      <c r="F122" s="391" t="s">
        <v>2547</v>
      </c>
      <c r="G122" s="336">
        <v>191</v>
      </c>
      <c r="H122" s="327">
        <v>71</v>
      </c>
      <c r="I122" s="327">
        <v>72</v>
      </c>
      <c r="J122" s="327">
        <v>76</v>
      </c>
      <c r="K122" s="408">
        <v>79</v>
      </c>
      <c r="L122" s="371" t="s">
        <v>2548</v>
      </c>
      <c r="M122" s="397"/>
      <c r="N122" s="316"/>
      <c r="O122" s="366"/>
    </row>
    <row r="123" spans="2:15" ht="25.2" customHeight="1">
      <c r="B123" s="317">
        <f t="shared" si="5"/>
        <v>116</v>
      </c>
      <c r="C123" s="324">
        <f t="shared" si="6"/>
        <v>1554.2842054306177</v>
      </c>
      <c r="D123" s="324">
        <f t="shared" si="7"/>
        <v>1555.6924701843914</v>
      </c>
      <c r="E123" s="329">
        <v>120</v>
      </c>
      <c r="F123" s="391" t="s">
        <v>404</v>
      </c>
      <c r="G123" s="336">
        <v>191</v>
      </c>
      <c r="H123" s="390">
        <v>590</v>
      </c>
      <c r="I123" s="390">
        <v>596</v>
      </c>
      <c r="J123" s="390">
        <v>626</v>
      </c>
      <c r="K123" s="409">
        <v>650</v>
      </c>
      <c r="L123" s="371" t="s">
        <v>2549</v>
      </c>
      <c r="M123" s="397"/>
      <c r="N123" s="316"/>
      <c r="O123" s="366"/>
    </row>
    <row r="124" spans="2:15" ht="25.2" customHeight="1">
      <c r="B124" s="317">
        <f t="shared" si="5"/>
        <v>117</v>
      </c>
      <c r="C124" s="324">
        <f t="shared" si="6"/>
        <v>1567.1346213088027</v>
      </c>
      <c r="D124" s="324">
        <f t="shared" si="7"/>
        <v>1568.5428860625764</v>
      </c>
      <c r="E124" s="319"/>
      <c r="F124" s="392" t="s">
        <v>2550</v>
      </c>
      <c r="G124" s="392"/>
      <c r="H124" s="393">
        <v>750</v>
      </c>
      <c r="I124" s="393">
        <v>850</v>
      </c>
      <c r="J124" s="393">
        <v>893</v>
      </c>
      <c r="K124" s="410">
        <v>935</v>
      </c>
      <c r="L124" s="405" t="s">
        <v>2551</v>
      </c>
      <c r="M124" s="397"/>
      <c r="N124" s="316"/>
      <c r="O124" s="366"/>
    </row>
    <row r="125" spans="2:15" ht="25.2" customHeight="1">
      <c r="B125" s="317">
        <f t="shared" si="5"/>
        <v>118</v>
      </c>
      <c r="C125" s="324">
        <f t="shared" si="6"/>
        <v>1579.9850371869877</v>
      </c>
      <c r="D125" s="324">
        <f t="shared" si="7"/>
        <v>1581.3933019407614</v>
      </c>
      <c r="E125" s="319"/>
      <c r="F125" s="392" t="s">
        <v>1605</v>
      </c>
      <c r="G125" s="392"/>
      <c r="H125" s="394">
        <v>267</v>
      </c>
      <c r="I125" s="394"/>
      <c r="J125" s="393">
        <v>285</v>
      </c>
      <c r="K125" s="411">
        <v>267</v>
      </c>
      <c r="L125" s="412"/>
      <c r="M125" s="397"/>
      <c r="N125" s="316"/>
      <c r="O125" s="366"/>
    </row>
    <row r="126" spans="2:15" ht="25.2" customHeight="1">
      <c r="B126" s="317">
        <f t="shared" si="5"/>
        <v>119</v>
      </c>
      <c r="C126" s="324">
        <f t="shared" si="6"/>
        <v>1592.8354530651727</v>
      </c>
      <c r="D126" s="324">
        <f t="shared" si="7"/>
        <v>1594.2437178189464</v>
      </c>
      <c r="E126" s="319"/>
      <c r="F126" s="395" t="s">
        <v>1606</v>
      </c>
      <c r="G126" s="392"/>
      <c r="H126" s="394">
        <v>195</v>
      </c>
      <c r="I126" s="394"/>
      <c r="J126" s="394"/>
      <c r="K126" s="413"/>
      <c r="L126" s="412"/>
      <c r="M126" s="397"/>
      <c r="N126" s="316"/>
      <c r="O126" s="366"/>
    </row>
    <row r="127" spans="2:15" ht="25.2" customHeight="1">
      <c r="B127" s="317">
        <f t="shared" si="5"/>
        <v>120</v>
      </c>
      <c r="C127" s="324">
        <f t="shared" si="6"/>
        <v>1605.6858689433577</v>
      </c>
      <c r="D127" s="324">
        <f t="shared" si="7"/>
        <v>1607.0941336971314</v>
      </c>
      <c r="E127" s="319"/>
      <c r="F127" s="396" t="s">
        <v>1607</v>
      </c>
      <c r="G127" s="392"/>
      <c r="H127" s="394">
        <v>123</v>
      </c>
      <c r="I127" s="394"/>
      <c r="J127" s="394"/>
      <c r="K127" s="413"/>
      <c r="L127" s="412"/>
      <c r="M127" s="397"/>
      <c r="N127" s="316"/>
      <c r="O127" s="366"/>
    </row>
    <row r="128" spans="2:15" ht="25.2" customHeight="1">
      <c r="B128" s="317">
        <f t="shared" si="5"/>
        <v>121</v>
      </c>
      <c r="C128" s="324">
        <f t="shared" si="6"/>
        <v>1618.5362848215427</v>
      </c>
      <c r="D128" s="324">
        <f t="shared" si="7"/>
        <v>1619.9445495753164</v>
      </c>
      <c r="E128" s="319"/>
      <c r="F128" s="392" t="s">
        <v>2552</v>
      </c>
      <c r="G128" s="392"/>
      <c r="H128" s="394">
        <v>22</v>
      </c>
      <c r="I128" s="394"/>
      <c r="J128" s="394"/>
      <c r="K128" s="413"/>
      <c r="L128" s="412"/>
      <c r="M128" s="397"/>
      <c r="N128" s="316"/>
      <c r="O128" s="366"/>
    </row>
    <row r="129" spans="2:15" ht="25.2" customHeight="1">
      <c r="B129" s="317">
        <f t="shared" si="5"/>
        <v>122</v>
      </c>
      <c r="C129" s="324">
        <f t="shared" si="6"/>
        <v>1631.3867006997277</v>
      </c>
      <c r="D129" s="324">
        <f t="shared" si="7"/>
        <v>1632.7949654535014</v>
      </c>
      <c r="E129" s="319"/>
      <c r="F129" s="392" t="s">
        <v>2553</v>
      </c>
      <c r="G129" s="392"/>
      <c r="H129" s="414">
        <f>29/(0.6*0.2*0.2)</f>
        <v>1208.3333333333333</v>
      </c>
      <c r="I129" s="414">
        <f>32/(0.6*0.2*0.2)</f>
        <v>1333.3333333333333</v>
      </c>
      <c r="J129" s="414">
        <f>32/(0.6*0.2*0.2)</f>
        <v>1333.3333333333333</v>
      </c>
      <c r="K129" s="417">
        <f>32/(0.6*0.2*0.2)</f>
        <v>1333.3333333333333</v>
      </c>
      <c r="M129" s="397"/>
      <c r="N129" s="316"/>
      <c r="O129" s="366"/>
    </row>
    <row r="130" spans="2:15" ht="25.2" customHeight="1">
      <c r="B130" s="317">
        <f t="shared" si="5"/>
        <v>123</v>
      </c>
      <c r="C130" s="324">
        <f t="shared" si="6"/>
        <v>1644.2371165779127</v>
      </c>
      <c r="D130" s="324">
        <f t="shared" si="7"/>
        <v>1645.6453813316864</v>
      </c>
      <c r="E130" s="319"/>
      <c r="F130" s="392"/>
      <c r="G130" s="392"/>
      <c r="H130" s="415"/>
      <c r="I130" s="415"/>
      <c r="J130" s="415"/>
      <c r="K130" s="415"/>
      <c r="M130" s="397"/>
      <c r="N130" s="316"/>
      <c r="O130" s="366"/>
    </row>
    <row r="131" spans="2:15" ht="25.2" customHeight="1">
      <c r="B131" s="317">
        <f t="shared" si="5"/>
        <v>124</v>
      </c>
      <c r="C131" s="324">
        <f t="shared" si="6"/>
        <v>1657.0875324560977</v>
      </c>
      <c r="D131" s="324">
        <f t="shared" si="7"/>
        <v>1658.4957972098714</v>
      </c>
      <c r="E131" s="319"/>
      <c r="F131" s="392"/>
      <c r="G131" s="392"/>
      <c r="H131" s="415"/>
      <c r="I131" s="415"/>
      <c r="J131" s="415"/>
      <c r="K131" s="415"/>
      <c r="M131" s="397"/>
      <c r="N131" s="316"/>
      <c r="O131" s="366"/>
    </row>
    <row r="132" spans="2:15" ht="25.2" customHeight="1">
      <c r="B132" s="317">
        <f t="shared" si="5"/>
        <v>125</v>
      </c>
      <c r="C132" s="324">
        <f t="shared" si="6"/>
        <v>1669.9379483342827</v>
      </c>
      <c r="D132" s="324">
        <f t="shared" si="7"/>
        <v>1671.3462130880564</v>
      </c>
      <c r="E132" s="319"/>
      <c r="F132" s="392"/>
      <c r="G132" s="392"/>
      <c r="H132" s="415"/>
      <c r="I132" s="415"/>
      <c r="J132" s="415"/>
      <c r="K132" s="415"/>
      <c r="M132" s="397"/>
      <c r="N132" s="316"/>
      <c r="O132" s="366"/>
    </row>
    <row r="133" spans="2:15" ht="25.2" customHeight="1">
      <c r="B133" s="317">
        <f t="shared" si="5"/>
        <v>126</v>
      </c>
      <c r="C133" s="324">
        <f t="shared" si="6"/>
        <v>1682.7883642124677</v>
      </c>
      <c r="D133" s="324">
        <f t="shared" si="7"/>
        <v>1684.1966289662414</v>
      </c>
      <c r="E133" s="319"/>
      <c r="F133" s="392"/>
      <c r="G133" s="392"/>
      <c r="H133" s="415"/>
      <c r="I133" s="415"/>
      <c r="J133" s="415"/>
      <c r="K133" s="415"/>
      <c r="M133" s="397"/>
      <c r="N133" s="316"/>
      <c r="O133" s="366"/>
    </row>
    <row r="134" spans="2:15" ht="25.2" customHeight="1">
      <c r="B134" s="317">
        <f t="shared" si="5"/>
        <v>127</v>
      </c>
      <c r="C134" s="324">
        <f t="shared" si="6"/>
        <v>1695.6387800906527</v>
      </c>
      <c r="D134" s="324">
        <f t="shared" si="7"/>
        <v>1697.0470448444264</v>
      </c>
      <c r="E134" s="319"/>
      <c r="F134" s="392"/>
      <c r="G134" s="392"/>
      <c r="H134" s="415"/>
      <c r="I134" s="415"/>
      <c r="J134" s="415"/>
      <c r="K134" s="415"/>
      <c r="M134" s="397"/>
      <c r="N134" s="316"/>
      <c r="O134" s="366"/>
    </row>
    <row r="135" spans="2:15" ht="25.2" customHeight="1">
      <c r="B135" s="317">
        <f t="shared" si="5"/>
        <v>128</v>
      </c>
      <c r="C135" s="324">
        <f t="shared" si="6"/>
        <v>1708.4891959688377</v>
      </c>
      <c r="D135" s="324">
        <f t="shared" si="7"/>
        <v>1709.8974607226114</v>
      </c>
      <c r="E135" s="319"/>
      <c r="F135" s="392"/>
      <c r="G135" s="392"/>
      <c r="H135" s="415"/>
      <c r="I135" s="415"/>
      <c r="J135" s="415"/>
      <c r="K135" s="415"/>
      <c r="M135" s="397"/>
      <c r="N135" s="316"/>
      <c r="O135" s="366"/>
    </row>
    <row r="136" spans="2:15" ht="25.2" customHeight="1">
      <c r="B136" s="317">
        <f t="shared" si="5"/>
        <v>129</v>
      </c>
      <c r="C136" s="324">
        <f t="shared" si="6"/>
        <v>1721.3396118470228</v>
      </c>
      <c r="D136" s="324">
        <f t="shared" si="7"/>
        <v>1722.7478766007964</v>
      </c>
      <c r="E136" s="319"/>
      <c r="F136" s="392"/>
      <c r="G136" s="392"/>
      <c r="H136" s="415"/>
      <c r="I136" s="415"/>
      <c r="J136" s="415"/>
      <c r="K136" s="415"/>
      <c r="M136" s="397"/>
      <c r="N136" s="316"/>
      <c r="O136" s="366"/>
    </row>
    <row r="137" spans="2:15" ht="25.2" customHeight="1">
      <c r="B137" s="317">
        <f t="shared" si="5"/>
        <v>130</v>
      </c>
      <c r="C137" s="324">
        <f t="shared" si="6"/>
        <v>1734.1900277252078</v>
      </c>
      <c r="D137" s="324">
        <f t="shared" si="7"/>
        <v>1735.5982924789814</v>
      </c>
      <c r="E137" s="319"/>
      <c r="F137" s="392"/>
      <c r="G137" s="392"/>
      <c r="H137" s="415"/>
      <c r="I137" s="415"/>
      <c r="J137" s="415"/>
      <c r="K137" s="415"/>
      <c r="M137" s="397"/>
      <c r="N137" s="316"/>
      <c r="O137" s="366"/>
    </row>
    <row r="138" spans="2:15" ht="25.2" customHeight="1">
      <c r="B138" s="317">
        <f t="shared" si="5"/>
        <v>131</v>
      </c>
      <c r="C138" s="324">
        <f t="shared" si="6"/>
        <v>1747.0404436033928</v>
      </c>
      <c r="D138" s="324">
        <f t="shared" si="7"/>
        <v>1748.4487083571664</v>
      </c>
      <c r="E138" s="319"/>
      <c r="F138" s="392"/>
      <c r="G138" s="392"/>
      <c r="H138" s="415"/>
      <c r="I138" s="415"/>
      <c r="J138" s="415"/>
      <c r="K138" s="415"/>
      <c r="M138" s="397"/>
      <c r="N138" s="316"/>
      <c r="O138" s="366"/>
    </row>
    <row r="139" spans="2:15" ht="25.2" customHeight="1">
      <c r="B139" s="317">
        <f t="shared" si="5"/>
        <v>132</v>
      </c>
      <c r="C139" s="324">
        <f t="shared" si="6"/>
        <v>1759.8908594815778</v>
      </c>
      <c r="D139" s="324">
        <f t="shared" si="7"/>
        <v>1761.2991242353514</v>
      </c>
      <c r="E139" s="319"/>
      <c r="F139" s="392"/>
      <c r="G139" s="392"/>
      <c r="H139" s="415"/>
      <c r="I139" s="415"/>
      <c r="J139" s="415"/>
      <c r="K139" s="415"/>
      <c r="M139" s="397"/>
      <c r="N139" s="316"/>
      <c r="O139" s="366"/>
    </row>
    <row r="140" spans="2:15" ht="25.2" customHeight="1">
      <c r="B140" s="317">
        <f t="shared" si="5"/>
        <v>133</v>
      </c>
      <c r="C140" s="324">
        <f t="shared" si="6"/>
        <v>1772.7412753597628</v>
      </c>
      <c r="D140" s="324">
        <f t="shared" si="7"/>
        <v>1774.1495401135364</v>
      </c>
      <c r="E140" s="319"/>
      <c r="F140" s="392"/>
      <c r="G140" s="392"/>
      <c r="H140" s="415"/>
      <c r="I140" s="415"/>
      <c r="J140" s="415"/>
      <c r="K140" s="415"/>
      <c r="M140" s="397"/>
      <c r="N140" s="316"/>
      <c r="O140" s="366"/>
    </row>
    <row r="141" spans="2:15" ht="25.2" customHeight="1">
      <c r="B141" s="317">
        <f t="shared" si="5"/>
        <v>134</v>
      </c>
      <c r="C141" s="324">
        <f t="shared" si="6"/>
        <v>1785.5916912379478</v>
      </c>
      <c r="D141" s="324">
        <f t="shared" si="7"/>
        <v>1786.9999559917214</v>
      </c>
      <c r="E141" s="319"/>
      <c r="F141" s="392"/>
      <c r="G141" s="392"/>
      <c r="H141" s="415"/>
      <c r="I141" s="415"/>
      <c r="J141" s="415"/>
      <c r="K141" s="415"/>
      <c r="M141" s="397"/>
      <c r="N141" s="316"/>
      <c r="O141" s="366"/>
    </row>
    <row r="142" spans="2:15" ht="25.2" customHeight="1">
      <c r="B142" s="317">
        <f t="shared" si="5"/>
        <v>135</v>
      </c>
      <c r="C142" s="324">
        <f t="shared" si="6"/>
        <v>1798.4421071161328</v>
      </c>
      <c r="D142" s="324">
        <f t="shared" si="7"/>
        <v>1799.8503718699064</v>
      </c>
      <c r="E142" s="319"/>
      <c r="F142" s="392"/>
      <c r="G142" s="392"/>
      <c r="H142" s="415"/>
      <c r="I142" s="415"/>
      <c r="J142" s="415"/>
      <c r="K142" s="415"/>
      <c r="M142" s="397"/>
      <c r="N142" s="316"/>
      <c r="O142" s="366"/>
    </row>
    <row r="143" spans="2:15" ht="25.2" customHeight="1">
      <c r="B143" s="317">
        <f t="shared" si="5"/>
        <v>136</v>
      </c>
      <c r="C143" s="324">
        <f t="shared" si="6"/>
        <v>1811.2925229943178</v>
      </c>
      <c r="D143" s="324">
        <f t="shared" si="7"/>
        <v>1812.7007877480914</v>
      </c>
      <c r="E143" s="319"/>
      <c r="F143" s="392"/>
      <c r="G143" s="392"/>
      <c r="H143" s="415"/>
      <c r="I143" s="415"/>
      <c r="J143" s="415"/>
      <c r="K143" s="415"/>
      <c r="M143" s="397"/>
      <c r="N143" s="316"/>
      <c r="O143" s="366"/>
    </row>
    <row r="144" spans="2:15" ht="25.2" customHeight="1">
      <c r="B144" s="317">
        <f t="shared" si="5"/>
        <v>137</v>
      </c>
      <c r="C144" s="324">
        <f t="shared" si="6"/>
        <v>1824.1429388725028</v>
      </c>
      <c r="D144" s="324">
        <f t="shared" si="7"/>
        <v>1825.5512036262764</v>
      </c>
      <c r="E144" s="319"/>
      <c r="F144" s="392"/>
      <c r="G144" s="392"/>
      <c r="H144" s="415"/>
      <c r="I144" s="415"/>
      <c r="J144" s="415"/>
      <c r="K144" s="415"/>
      <c r="M144" s="397"/>
      <c r="N144" s="316"/>
      <c r="O144" s="366"/>
    </row>
    <row r="145" spans="2:15" ht="25.2" customHeight="1">
      <c r="B145" s="317">
        <f t="shared" si="5"/>
        <v>138</v>
      </c>
      <c r="C145" s="324">
        <f t="shared" si="6"/>
        <v>1836.9933547506878</v>
      </c>
      <c r="D145" s="324">
        <f t="shared" si="7"/>
        <v>1838.4016195044615</v>
      </c>
      <c r="E145" s="319"/>
      <c r="F145" s="392"/>
      <c r="G145" s="392"/>
      <c r="H145" s="415"/>
      <c r="I145" s="415"/>
      <c r="J145" s="415"/>
      <c r="K145" s="415"/>
      <c r="M145" s="397"/>
      <c r="N145" s="316"/>
      <c r="O145" s="366"/>
    </row>
    <row r="146" spans="2:15" ht="25.2" customHeight="1">
      <c r="B146" s="317">
        <f t="shared" si="5"/>
        <v>139</v>
      </c>
      <c r="C146" s="324">
        <f t="shared" si="6"/>
        <v>1849.8437706288728</v>
      </c>
      <c r="D146" s="324">
        <f t="shared" si="7"/>
        <v>1851.2520353826465</v>
      </c>
      <c r="E146" s="319"/>
      <c r="F146" s="392"/>
      <c r="G146" s="392"/>
      <c r="H146" s="415"/>
      <c r="I146" s="415"/>
      <c r="J146" s="415"/>
      <c r="K146" s="415"/>
      <c r="M146" s="397"/>
      <c r="N146" s="316"/>
      <c r="O146" s="366"/>
    </row>
    <row r="147" spans="2:15" ht="25.2" customHeight="1">
      <c r="B147" s="317">
        <f t="shared" si="5"/>
        <v>140</v>
      </c>
      <c r="C147" s="324">
        <f t="shared" si="6"/>
        <v>1862.6941865070578</v>
      </c>
      <c r="D147" s="324">
        <f t="shared" si="7"/>
        <v>1864.1024512608315</v>
      </c>
      <c r="E147" s="319"/>
      <c r="F147" s="392"/>
      <c r="G147" s="392"/>
      <c r="H147" s="415"/>
      <c r="I147" s="415"/>
      <c r="J147" s="415"/>
      <c r="K147" s="415"/>
      <c r="M147" s="397"/>
      <c r="N147" s="316"/>
      <c r="O147" s="366"/>
    </row>
    <row r="148" spans="2:15" ht="25.2" customHeight="1">
      <c r="B148" s="317">
        <f t="shared" si="5"/>
        <v>141</v>
      </c>
      <c r="C148" s="324">
        <f t="shared" si="6"/>
        <v>1875.5446023852428</v>
      </c>
      <c r="D148" s="324">
        <f t="shared" si="7"/>
        <v>1876.9528671390165</v>
      </c>
      <c r="E148" s="319"/>
      <c r="F148" s="392"/>
      <c r="G148" s="392"/>
      <c r="H148" s="415"/>
      <c r="I148" s="415"/>
      <c r="J148" s="415"/>
      <c r="K148" s="415"/>
      <c r="M148" s="397"/>
      <c r="N148" s="316"/>
      <c r="O148" s="366"/>
    </row>
    <row r="149" spans="2:15" ht="25.2" customHeight="1">
      <c r="B149" s="317">
        <f t="shared" si="5"/>
        <v>142</v>
      </c>
      <c r="C149" s="324">
        <f t="shared" si="6"/>
        <v>1888.3950182634278</v>
      </c>
      <c r="D149" s="324">
        <f t="shared" si="7"/>
        <v>1889.8032830172015</v>
      </c>
      <c r="E149" s="319"/>
      <c r="F149" s="392"/>
      <c r="G149" s="392"/>
      <c r="H149" s="415"/>
      <c r="I149" s="415"/>
      <c r="J149" s="415"/>
      <c r="K149" s="415"/>
      <c r="M149" s="397"/>
      <c r="N149" s="316"/>
      <c r="O149" s="366"/>
    </row>
    <row r="150" spans="2:15" ht="25.2" customHeight="1">
      <c r="B150" s="317">
        <f t="shared" si="5"/>
        <v>143</v>
      </c>
      <c r="C150" s="324">
        <f t="shared" si="6"/>
        <v>1901.2454341416128</v>
      </c>
      <c r="D150" s="324">
        <f t="shared" si="7"/>
        <v>1902.6536988953865</v>
      </c>
      <c r="E150" s="319"/>
      <c r="F150" s="392"/>
      <c r="G150" s="392"/>
      <c r="H150" s="415"/>
      <c r="I150" s="415"/>
      <c r="J150" s="415"/>
      <c r="K150" s="415"/>
      <c r="M150" s="397"/>
      <c r="N150" s="316"/>
      <c r="O150" s="366"/>
    </row>
    <row r="151" spans="2:15" ht="25.2" customHeight="1">
      <c r="B151" s="317">
        <f t="shared" si="5"/>
        <v>144</v>
      </c>
      <c r="C151" s="324">
        <f t="shared" si="6"/>
        <v>1914.0958500197978</v>
      </c>
      <c r="D151" s="324">
        <f t="shared" si="7"/>
        <v>1915.5041147735715</v>
      </c>
      <c r="E151" s="319"/>
      <c r="F151" s="392"/>
      <c r="G151" s="392"/>
      <c r="H151" s="415"/>
      <c r="I151" s="415"/>
      <c r="J151" s="415"/>
      <c r="K151" s="415"/>
      <c r="M151" s="397"/>
      <c r="N151" s="316"/>
      <c r="O151" s="366"/>
    </row>
    <row r="152" spans="2:15" ht="25.2" customHeight="1">
      <c r="B152" s="317">
        <f t="shared" si="5"/>
        <v>145</v>
      </c>
      <c r="C152" s="324">
        <f t="shared" si="6"/>
        <v>1926.9462658979828</v>
      </c>
      <c r="D152" s="324">
        <f t="shared" si="7"/>
        <v>1928.3545306517565</v>
      </c>
      <c r="E152" s="319"/>
      <c r="F152" s="392"/>
      <c r="G152" s="392"/>
      <c r="H152" s="415"/>
      <c r="I152" s="415"/>
      <c r="J152" s="415"/>
      <c r="K152" s="415"/>
      <c r="M152" s="397"/>
      <c r="N152" s="316"/>
      <c r="O152" s="366"/>
    </row>
    <row r="153" spans="2:15" ht="25.2" customHeight="1">
      <c r="B153" s="317">
        <f t="shared" si="5"/>
        <v>146</v>
      </c>
      <c r="C153" s="324">
        <f t="shared" si="6"/>
        <v>1939.7966817761678</v>
      </c>
      <c r="D153" s="324">
        <f t="shared" si="7"/>
        <v>1941.2049465299415</v>
      </c>
      <c r="E153" s="319"/>
      <c r="F153" s="392"/>
      <c r="G153" s="392"/>
      <c r="H153" s="415"/>
      <c r="I153" s="415"/>
      <c r="J153" s="415"/>
      <c r="K153" s="415"/>
      <c r="M153" s="397"/>
      <c r="N153" s="316"/>
      <c r="O153" s="366"/>
    </row>
    <row r="154" spans="2:15" ht="25.2" customHeight="1">
      <c r="B154" s="317">
        <f t="shared" si="5"/>
        <v>147</v>
      </c>
      <c r="C154" s="324">
        <f t="shared" si="6"/>
        <v>1952.6470976543528</v>
      </c>
      <c r="D154" s="324">
        <f t="shared" si="7"/>
        <v>1954.0553624081265</v>
      </c>
      <c r="E154" s="319"/>
      <c r="F154" s="392"/>
      <c r="G154" s="392"/>
      <c r="H154" s="415"/>
      <c r="I154" s="415"/>
      <c r="J154" s="415"/>
      <c r="K154" s="415"/>
      <c r="M154" s="397"/>
      <c r="N154" s="316"/>
      <c r="O154" s="366"/>
    </row>
    <row r="155" spans="2:15" ht="25.2" customHeight="1">
      <c r="B155" s="317">
        <f t="shared" si="5"/>
        <v>148</v>
      </c>
      <c r="C155" s="324">
        <f t="shared" si="6"/>
        <v>1965.4975135325378</v>
      </c>
      <c r="D155" s="324">
        <f t="shared" si="7"/>
        <v>1966.9057782863115</v>
      </c>
      <c r="E155" s="319"/>
      <c r="F155" s="392"/>
      <c r="G155" s="392"/>
      <c r="H155" s="415"/>
      <c r="I155" s="415"/>
      <c r="J155" s="415"/>
      <c r="K155" s="415"/>
      <c r="M155" s="397"/>
      <c r="N155" s="316"/>
      <c r="O155" s="366"/>
    </row>
    <row r="156" spans="2:15" ht="25.2" customHeight="1">
      <c r="B156" s="317">
        <f t="shared" si="5"/>
        <v>149</v>
      </c>
      <c r="C156" s="324">
        <f t="shared" si="6"/>
        <v>1978.3479294107228</v>
      </c>
      <c r="D156" s="324">
        <f t="shared" si="7"/>
        <v>1979.7561941644965</v>
      </c>
      <c r="E156" s="319"/>
      <c r="F156" s="392"/>
      <c r="G156" s="392"/>
      <c r="H156" s="415"/>
      <c r="I156" s="415"/>
      <c r="J156" s="415"/>
      <c r="K156" s="415"/>
      <c r="M156" s="397"/>
      <c r="N156" s="316"/>
      <c r="O156" s="366"/>
    </row>
    <row r="157" spans="2:15" ht="25.2" customHeight="1">
      <c r="B157" s="317">
        <f t="shared" si="5"/>
        <v>150</v>
      </c>
      <c r="C157" s="324">
        <f t="shared" si="6"/>
        <v>1991.1983452889078</v>
      </c>
      <c r="D157" s="324">
        <f t="shared" si="7"/>
        <v>1992.6066100426815</v>
      </c>
      <c r="E157" s="319"/>
      <c r="F157" s="392"/>
      <c r="G157" s="392"/>
      <c r="H157" s="415"/>
      <c r="I157" s="415"/>
      <c r="J157" s="415"/>
      <c r="K157" s="415"/>
      <c r="M157" s="397"/>
      <c r="N157" s="316"/>
      <c r="O157" s="366"/>
    </row>
    <row r="158" spans="2:15" ht="25.2" customHeight="1">
      <c r="B158" s="317">
        <f t="shared" si="5"/>
        <v>151</v>
      </c>
      <c r="C158" s="324">
        <f t="shared" si="6"/>
        <v>2004.0487611670928</v>
      </c>
      <c r="D158" s="324">
        <f t="shared" si="7"/>
        <v>2005.4570259208665</v>
      </c>
      <c r="E158" s="319"/>
      <c r="F158" s="392"/>
      <c r="G158" s="392"/>
      <c r="H158" s="415"/>
      <c r="I158" s="415"/>
      <c r="J158" s="415"/>
      <c r="K158" s="415"/>
      <c r="M158" s="397"/>
      <c r="N158" s="316"/>
      <c r="O158" s="366"/>
    </row>
    <row r="159" spans="2:15" ht="25.2" customHeight="1">
      <c r="B159" s="317">
        <f t="shared" si="5"/>
        <v>152</v>
      </c>
      <c r="C159" s="324">
        <f t="shared" si="6"/>
        <v>2016.8991770452778</v>
      </c>
      <c r="D159" s="324">
        <f t="shared" si="7"/>
        <v>2018.3074417990515</v>
      </c>
      <c r="E159" s="319"/>
      <c r="F159" s="392"/>
      <c r="G159" s="392"/>
      <c r="H159" s="415"/>
      <c r="I159" s="415"/>
      <c r="J159" s="415"/>
      <c r="K159" s="415"/>
      <c r="M159" s="397"/>
      <c r="N159" s="316"/>
      <c r="O159" s="366"/>
    </row>
    <row r="160" spans="2:15" ht="25.2" customHeight="1">
      <c r="B160" s="317">
        <f t="shared" si="5"/>
        <v>153</v>
      </c>
      <c r="C160" s="324">
        <f t="shared" si="6"/>
        <v>2029.7495929234628</v>
      </c>
      <c r="D160" s="324">
        <f t="shared" si="7"/>
        <v>2031.1578576772365</v>
      </c>
      <c r="E160" s="319"/>
      <c r="F160" s="392"/>
      <c r="G160" s="392"/>
      <c r="H160" s="415"/>
      <c r="I160" s="415"/>
      <c r="J160" s="415"/>
      <c r="K160" s="415"/>
      <c r="M160" s="397"/>
      <c r="N160" s="316"/>
      <c r="O160" s="366"/>
    </row>
    <row r="161" spans="2:15" ht="25.2" customHeight="1">
      <c r="B161" s="317">
        <f t="shared" si="5"/>
        <v>154</v>
      </c>
      <c r="C161" s="324">
        <f t="shared" si="6"/>
        <v>2042.6000088016478</v>
      </c>
      <c r="D161" s="324">
        <f t="shared" si="7"/>
        <v>2044.0082735554215</v>
      </c>
      <c r="E161" s="319"/>
      <c r="F161" s="392"/>
      <c r="G161" s="392"/>
      <c r="H161" s="415"/>
      <c r="I161" s="415"/>
      <c r="J161" s="415"/>
      <c r="K161" s="415"/>
      <c r="M161" s="397"/>
      <c r="N161" s="316"/>
      <c r="O161" s="366"/>
    </row>
    <row r="162" spans="2:15" ht="25.2" customHeight="1">
      <c r="B162" s="317">
        <f t="shared" si="5"/>
        <v>155</v>
      </c>
      <c r="C162" s="324">
        <f t="shared" si="6"/>
        <v>2055.4504246798328</v>
      </c>
      <c r="D162" s="324">
        <f t="shared" si="7"/>
        <v>2056.8586894336067</v>
      </c>
      <c r="E162" s="319"/>
      <c r="F162" s="392"/>
      <c r="G162" s="392"/>
      <c r="H162" s="415"/>
      <c r="I162" s="415"/>
      <c r="J162" s="415"/>
      <c r="K162" s="415"/>
      <c r="M162" s="397"/>
      <c r="N162" s="316"/>
      <c r="O162" s="366"/>
    </row>
    <row r="163" spans="2:15" ht="25.2" customHeight="1">
      <c r="B163" s="317">
        <f t="shared" si="5"/>
        <v>156</v>
      </c>
      <c r="C163" s="324">
        <f t="shared" si="6"/>
        <v>2068.3008405580181</v>
      </c>
      <c r="D163" s="324">
        <f t="shared" si="7"/>
        <v>2069.709105311792</v>
      </c>
      <c r="E163" s="319"/>
      <c r="F163" s="392"/>
      <c r="G163" s="392"/>
      <c r="H163" s="415"/>
      <c r="I163" s="415"/>
      <c r="J163" s="415"/>
      <c r="K163" s="415"/>
      <c r="M163" s="397"/>
      <c r="N163" s="316"/>
      <c r="O163" s="366"/>
    </row>
    <row r="164" spans="2:15" ht="25.2" customHeight="1">
      <c r="B164" s="317">
        <f t="shared" si="5"/>
        <v>157</v>
      </c>
      <c r="C164" s="324">
        <f t="shared" si="6"/>
        <v>2081.1512564362033</v>
      </c>
      <c r="D164" s="324">
        <f t="shared" si="7"/>
        <v>2082.5595211899772</v>
      </c>
      <c r="E164" s="319"/>
      <c r="F164" s="392"/>
      <c r="G164" s="392"/>
      <c r="H164" s="415"/>
      <c r="I164" s="415"/>
      <c r="J164" s="415"/>
      <c r="K164" s="415"/>
      <c r="M164" s="397"/>
      <c r="N164" s="316"/>
      <c r="O164" s="366"/>
    </row>
    <row r="165" spans="2:15" ht="25.2" customHeight="1">
      <c r="B165" s="317">
        <f t="shared" si="5"/>
        <v>158</v>
      </c>
      <c r="C165" s="324">
        <f t="shared" si="6"/>
        <v>2094.0016723143885</v>
      </c>
      <c r="D165" s="324">
        <f t="shared" si="7"/>
        <v>2095.4099370681624</v>
      </c>
      <c r="E165" s="319"/>
      <c r="F165" s="392"/>
      <c r="G165" s="392"/>
      <c r="H165" s="415"/>
      <c r="I165" s="415"/>
      <c r="J165" s="415"/>
      <c r="K165" s="415"/>
      <c r="M165" s="397"/>
      <c r="N165" s="316"/>
      <c r="O165" s="366"/>
    </row>
    <row r="166" spans="2:15" ht="25.2" customHeight="1">
      <c r="B166" s="317">
        <f t="shared" si="5"/>
        <v>159</v>
      </c>
      <c r="C166" s="324">
        <f t="shared" si="6"/>
        <v>2106.8520881925738</v>
      </c>
      <c r="D166" s="324">
        <f t="shared" si="7"/>
        <v>2108.2603529463477</v>
      </c>
      <c r="E166" s="319"/>
      <c r="F166" s="392"/>
      <c r="G166" s="392"/>
      <c r="H166" s="415"/>
      <c r="I166" s="415"/>
      <c r="J166" s="415"/>
      <c r="K166" s="415"/>
      <c r="M166" s="397"/>
      <c r="N166" s="316"/>
      <c r="O166" s="366"/>
    </row>
    <row r="167" spans="2:15" ht="25.2" customHeight="1">
      <c r="B167" s="317">
        <f t="shared" ref="B167:B230" si="8">B166+1</f>
        <v>160</v>
      </c>
      <c r="C167" s="324">
        <f t="shared" ref="C167:C230" si="9">C166+($P$13/$P$19)</f>
        <v>2119.702504070759</v>
      </c>
      <c r="D167" s="324">
        <f t="shared" ref="D167:D230" si="10">D166+($Q$13/$P$19)</f>
        <v>2121.1107688245329</v>
      </c>
      <c r="E167" s="319"/>
      <c r="F167" s="392"/>
      <c r="G167" s="392"/>
      <c r="H167" s="415"/>
      <c r="I167" s="415"/>
      <c r="J167" s="415"/>
      <c r="K167" s="415"/>
      <c r="M167" s="397"/>
      <c r="N167" s="316"/>
      <c r="O167" s="366"/>
    </row>
    <row r="168" spans="2:15" ht="25.2" customHeight="1">
      <c r="B168" s="317">
        <f t="shared" si="8"/>
        <v>161</v>
      </c>
      <c r="C168" s="324">
        <f t="shared" si="9"/>
        <v>2132.5529199489442</v>
      </c>
      <c r="D168" s="324">
        <f t="shared" si="10"/>
        <v>2133.9611847027181</v>
      </c>
      <c r="E168" s="319"/>
      <c r="F168" s="392"/>
      <c r="G168" s="392"/>
      <c r="H168" s="415"/>
      <c r="I168" s="415"/>
      <c r="J168" s="415"/>
      <c r="K168" s="415"/>
      <c r="M168" s="397"/>
      <c r="N168" s="316"/>
      <c r="O168" s="366"/>
    </row>
    <row r="169" spans="2:15" ht="25.2" customHeight="1">
      <c r="B169" s="317">
        <f t="shared" si="8"/>
        <v>162</v>
      </c>
      <c r="C169" s="324">
        <f t="shared" si="9"/>
        <v>2145.4033358271295</v>
      </c>
      <c r="D169" s="324">
        <f t="shared" si="10"/>
        <v>2146.8116005809034</v>
      </c>
      <c r="E169" s="319"/>
      <c r="F169" s="392"/>
      <c r="G169" s="392"/>
      <c r="H169" s="415"/>
      <c r="I169" s="415"/>
      <c r="J169" s="415"/>
      <c r="K169" s="415"/>
      <c r="M169" s="397"/>
      <c r="N169" s="316"/>
      <c r="O169" s="366"/>
    </row>
    <row r="170" spans="2:15" ht="25.2" customHeight="1">
      <c r="B170" s="317">
        <f t="shared" si="8"/>
        <v>163</v>
      </c>
      <c r="C170" s="324">
        <f t="shared" si="9"/>
        <v>2158.2537517053147</v>
      </c>
      <c r="D170" s="324">
        <f t="shared" si="10"/>
        <v>2159.6620164590886</v>
      </c>
      <c r="E170" s="319"/>
      <c r="F170" s="392"/>
      <c r="G170" s="392"/>
      <c r="H170" s="415"/>
      <c r="I170" s="415"/>
      <c r="J170" s="415"/>
      <c r="K170" s="415"/>
    </row>
    <row r="171" spans="2:15" ht="25.2" customHeight="1">
      <c r="B171" s="317">
        <f t="shared" si="8"/>
        <v>164</v>
      </c>
      <c r="C171" s="324">
        <f t="shared" si="9"/>
        <v>2171.1041675834999</v>
      </c>
      <c r="D171" s="324">
        <f t="shared" si="10"/>
        <v>2172.5124323372738</v>
      </c>
      <c r="E171" s="319"/>
      <c r="F171" s="392"/>
      <c r="G171" s="392"/>
      <c r="H171" s="415"/>
      <c r="I171" s="415"/>
      <c r="J171" s="415"/>
      <c r="K171" s="415"/>
    </row>
    <row r="172" spans="2:15" ht="25.2" customHeight="1">
      <c r="B172" s="317">
        <f t="shared" si="8"/>
        <v>165</v>
      </c>
      <c r="C172" s="324">
        <f t="shared" si="9"/>
        <v>2183.9545834616852</v>
      </c>
      <c r="D172" s="324">
        <f t="shared" si="10"/>
        <v>2185.3628482154591</v>
      </c>
      <c r="E172" s="319"/>
      <c r="F172" s="392"/>
      <c r="G172" s="392"/>
      <c r="H172" s="415"/>
      <c r="I172" s="415"/>
      <c r="J172" s="415"/>
      <c r="K172" s="415"/>
    </row>
    <row r="173" spans="2:15" ht="25.2" customHeight="1">
      <c r="B173" s="317">
        <f t="shared" si="8"/>
        <v>166</v>
      </c>
      <c r="C173" s="324">
        <f t="shared" si="9"/>
        <v>2196.8049993398704</v>
      </c>
      <c r="D173" s="324">
        <f t="shared" si="10"/>
        <v>2198.2132640936443</v>
      </c>
      <c r="E173" s="319"/>
      <c r="F173" s="392"/>
      <c r="G173" s="392"/>
      <c r="H173" s="415"/>
      <c r="I173" s="415"/>
      <c r="J173" s="415"/>
      <c r="K173" s="415"/>
    </row>
    <row r="174" spans="2:15" ht="25.2" customHeight="1">
      <c r="B174" s="317">
        <f t="shared" si="8"/>
        <v>167</v>
      </c>
      <c r="C174" s="324">
        <f t="shared" si="9"/>
        <v>2209.6554152180556</v>
      </c>
      <c r="D174" s="324">
        <f t="shared" si="10"/>
        <v>2211.0636799718295</v>
      </c>
      <c r="E174" s="319"/>
      <c r="F174" s="392"/>
      <c r="G174" s="392"/>
      <c r="H174" s="415"/>
      <c r="I174" s="415"/>
      <c r="J174" s="415"/>
      <c r="K174" s="415"/>
    </row>
    <row r="175" spans="2:15" ht="25.2" customHeight="1">
      <c r="B175" s="317">
        <f t="shared" si="8"/>
        <v>168</v>
      </c>
      <c r="C175" s="324">
        <f t="shared" si="9"/>
        <v>2222.5058310962409</v>
      </c>
      <c r="D175" s="324">
        <f t="shared" si="10"/>
        <v>2223.9140958500147</v>
      </c>
      <c r="E175" s="319"/>
      <c r="F175" s="392"/>
      <c r="G175" s="392"/>
      <c r="H175" s="415"/>
      <c r="I175" s="415"/>
      <c r="J175" s="415"/>
      <c r="K175" s="415"/>
    </row>
    <row r="176" spans="2:15" ht="25.2" customHeight="1">
      <c r="B176" s="317">
        <f t="shared" si="8"/>
        <v>169</v>
      </c>
      <c r="C176" s="324">
        <f t="shared" si="9"/>
        <v>2235.3562469744261</v>
      </c>
      <c r="D176" s="324">
        <f t="shared" si="10"/>
        <v>2236.7645117282</v>
      </c>
      <c r="E176" s="319"/>
      <c r="F176" s="392"/>
      <c r="G176" s="392"/>
      <c r="H176" s="415"/>
      <c r="I176" s="415"/>
      <c r="J176" s="415"/>
      <c r="K176" s="415"/>
    </row>
    <row r="177" spans="2:11" ht="25.2" customHeight="1">
      <c r="B177" s="317">
        <f t="shared" si="8"/>
        <v>170</v>
      </c>
      <c r="C177" s="324">
        <f t="shared" si="9"/>
        <v>2248.2066628526113</v>
      </c>
      <c r="D177" s="324">
        <f t="shared" si="10"/>
        <v>2249.6149276063852</v>
      </c>
      <c r="E177" s="319"/>
      <c r="F177" s="392"/>
      <c r="G177" s="392"/>
      <c r="H177" s="415"/>
      <c r="I177" s="415"/>
      <c r="J177" s="415"/>
      <c r="K177" s="415"/>
    </row>
    <row r="178" spans="2:11" ht="25.2" customHeight="1">
      <c r="B178" s="317">
        <f t="shared" si="8"/>
        <v>171</v>
      </c>
      <c r="C178" s="324">
        <f t="shared" si="9"/>
        <v>2261.0570787307965</v>
      </c>
      <c r="D178" s="324">
        <f t="shared" si="10"/>
        <v>2262.4653434845704</v>
      </c>
      <c r="E178" s="319"/>
      <c r="F178" s="392"/>
      <c r="G178" s="392"/>
      <c r="H178" s="415"/>
      <c r="I178" s="415"/>
      <c r="J178" s="415"/>
      <c r="K178" s="415"/>
    </row>
    <row r="179" spans="2:11" ht="25.2" customHeight="1">
      <c r="B179" s="317">
        <f t="shared" si="8"/>
        <v>172</v>
      </c>
      <c r="C179" s="324">
        <f t="shared" si="9"/>
        <v>2273.9074946089818</v>
      </c>
      <c r="D179" s="324">
        <f t="shared" si="10"/>
        <v>2275.3157593627557</v>
      </c>
      <c r="E179" s="319"/>
      <c r="F179" s="392"/>
      <c r="G179" s="392"/>
      <c r="H179" s="415"/>
      <c r="I179" s="415"/>
      <c r="J179" s="415"/>
      <c r="K179" s="415"/>
    </row>
    <row r="180" spans="2:11" ht="25.2" customHeight="1">
      <c r="B180" s="317">
        <f t="shared" si="8"/>
        <v>173</v>
      </c>
      <c r="C180" s="324">
        <f t="shared" si="9"/>
        <v>2286.757910487167</v>
      </c>
      <c r="D180" s="324">
        <f t="shared" si="10"/>
        <v>2288.1661752409409</v>
      </c>
      <c r="E180" s="319"/>
      <c r="F180" s="392"/>
      <c r="G180" s="392"/>
      <c r="H180" s="416"/>
      <c r="I180" s="416"/>
      <c r="J180" s="416"/>
      <c r="K180" s="416"/>
    </row>
    <row r="181" spans="2:11" ht="25.2" customHeight="1">
      <c r="B181" s="317">
        <f t="shared" si="8"/>
        <v>174</v>
      </c>
      <c r="C181" s="324">
        <f t="shared" si="9"/>
        <v>2299.6083263653522</v>
      </c>
      <c r="D181" s="324">
        <f t="shared" si="10"/>
        <v>2301.0165911191261</v>
      </c>
      <c r="E181" s="319"/>
      <c r="F181" s="392"/>
      <c r="G181" s="392"/>
      <c r="H181" s="416"/>
      <c r="I181" s="416"/>
      <c r="J181" s="416"/>
      <c r="K181" s="416"/>
    </row>
    <row r="182" spans="2:11" ht="25.2" customHeight="1">
      <c r="B182" s="317">
        <f t="shared" si="8"/>
        <v>175</v>
      </c>
      <c r="C182" s="324">
        <f t="shared" si="9"/>
        <v>2312.4587422435375</v>
      </c>
      <c r="D182" s="324">
        <f t="shared" si="10"/>
        <v>2313.8670069973114</v>
      </c>
      <c r="E182" s="319"/>
      <c r="F182" s="392"/>
      <c r="G182" s="392"/>
      <c r="H182" s="416"/>
      <c r="I182" s="416"/>
      <c r="J182" s="416"/>
      <c r="K182" s="416"/>
    </row>
    <row r="183" spans="2:11" ht="25.2" customHeight="1">
      <c r="B183" s="317">
        <f t="shared" si="8"/>
        <v>176</v>
      </c>
      <c r="C183" s="324">
        <f t="shared" si="9"/>
        <v>2325.3091581217227</v>
      </c>
      <c r="D183" s="324">
        <f t="shared" si="10"/>
        <v>2326.7174228754966</v>
      </c>
      <c r="E183" s="319"/>
      <c r="F183" s="392"/>
      <c r="G183" s="392"/>
      <c r="H183" s="416"/>
      <c r="I183" s="416"/>
      <c r="J183" s="416"/>
      <c r="K183" s="416"/>
    </row>
    <row r="184" spans="2:11" ht="25.2" customHeight="1">
      <c r="B184" s="317">
        <f t="shared" si="8"/>
        <v>177</v>
      </c>
      <c r="C184" s="324">
        <f t="shared" si="9"/>
        <v>2338.1595739999079</v>
      </c>
      <c r="D184" s="324">
        <f t="shared" si="10"/>
        <v>2339.5678387536818</v>
      </c>
      <c r="E184" s="319"/>
      <c r="F184" s="392"/>
      <c r="G184" s="392"/>
      <c r="H184" s="416"/>
      <c r="I184" s="416"/>
      <c r="J184" s="416"/>
      <c r="K184" s="416"/>
    </row>
    <row r="185" spans="2:11" ht="25.2" customHeight="1">
      <c r="B185" s="317">
        <f t="shared" si="8"/>
        <v>178</v>
      </c>
      <c r="C185" s="324">
        <f t="shared" si="9"/>
        <v>2351.0099898780932</v>
      </c>
      <c r="D185" s="324">
        <f t="shared" si="10"/>
        <v>2352.4182546318671</v>
      </c>
      <c r="E185" s="319"/>
      <c r="F185" s="392"/>
      <c r="G185" s="392"/>
      <c r="H185" s="416"/>
      <c r="I185" s="416"/>
      <c r="J185" s="416"/>
      <c r="K185" s="416"/>
    </row>
    <row r="186" spans="2:11" ht="25.2" customHeight="1">
      <c r="B186" s="317">
        <f t="shared" si="8"/>
        <v>179</v>
      </c>
      <c r="C186" s="324">
        <f t="shared" si="9"/>
        <v>2363.8604057562784</v>
      </c>
      <c r="D186" s="324">
        <f t="shared" si="10"/>
        <v>2365.2686705100523</v>
      </c>
      <c r="E186" s="319"/>
      <c r="F186" s="392"/>
      <c r="G186" s="392"/>
      <c r="H186" s="416"/>
      <c r="I186" s="416"/>
      <c r="J186" s="416"/>
      <c r="K186" s="416"/>
    </row>
    <row r="187" spans="2:11" ht="25.2" customHeight="1">
      <c r="B187" s="317">
        <f t="shared" si="8"/>
        <v>180</v>
      </c>
      <c r="C187" s="324">
        <f t="shared" si="9"/>
        <v>2376.7108216344636</v>
      </c>
      <c r="D187" s="324">
        <f t="shared" si="10"/>
        <v>2378.1190863882375</v>
      </c>
      <c r="E187" s="319"/>
      <c r="F187" s="392"/>
      <c r="G187" s="392"/>
      <c r="H187" s="416"/>
      <c r="I187" s="416"/>
      <c r="J187" s="416"/>
      <c r="K187" s="416"/>
    </row>
    <row r="188" spans="2:11" ht="25.2" customHeight="1">
      <c r="B188" s="317">
        <f t="shared" si="8"/>
        <v>181</v>
      </c>
      <c r="C188" s="324">
        <f t="shared" si="9"/>
        <v>2389.5612375126489</v>
      </c>
      <c r="D188" s="324">
        <f t="shared" si="10"/>
        <v>2390.9695022664228</v>
      </c>
      <c r="E188" s="319"/>
      <c r="F188" s="392"/>
      <c r="G188" s="392"/>
      <c r="H188" s="416"/>
      <c r="I188" s="416"/>
      <c r="J188" s="416"/>
      <c r="K188" s="416"/>
    </row>
    <row r="189" spans="2:11" ht="25.2" customHeight="1">
      <c r="B189" s="317">
        <f t="shared" si="8"/>
        <v>182</v>
      </c>
      <c r="C189" s="324">
        <f t="shared" si="9"/>
        <v>2402.4116533908341</v>
      </c>
      <c r="D189" s="324">
        <f t="shared" si="10"/>
        <v>2403.819918144608</v>
      </c>
      <c r="E189" s="319"/>
      <c r="F189" s="392"/>
      <c r="G189" s="392"/>
      <c r="H189" s="416"/>
      <c r="I189" s="416"/>
      <c r="J189" s="416"/>
      <c r="K189" s="416"/>
    </row>
    <row r="190" spans="2:11" ht="25.2" customHeight="1">
      <c r="B190" s="317">
        <f t="shared" si="8"/>
        <v>183</v>
      </c>
      <c r="C190" s="324">
        <f t="shared" si="9"/>
        <v>2415.2620692690193</v>
      </c>
      <c r="D190" s="324">
        <f t="shared" si="10"/>
        <v>2416.6703340227932</v>
      </c>
      <c r="E190" s="319"/>
      <c r="F190" s="392"/>
      <c r="G190" s="392"/>
      <c r="H190" s="416"/>
      <c r="I190" s="416"/>
      <c r="J190" s="416"/>
      <c r="K190" s="416"/>
    </row>
    <row r="191" spans="2:11" ht="25.2" customHeight="1">
      <c r="B191" s="317">
        <f t="shared" si="8"/>
        <v>184</v>
      </c>
      <c r="C191" s="324">
        <f t="shared" si="9"/>
        <v>2428.1124851472046</v>
      </c>
      <c r="D191" s="324">
        <f t="shared" si="10"/>
        <v>2429.5207499009784</v>
      </c>
      <c r="E191" s="319"/>
      <c r="F191" s="392"/>
      <c r="G191" s="392"/>
      <c r="H191" s="416"/>
      <c r="I191" s="416"/>
      <c r="J191" s="416"/>
      <c r="K191" s="416"/>
    </row>
    <row r="192" spans="2:11" ht="25.2" customHeight="1">
      <c r="B192" s="317">
        <f t="shared" si="8"/>
        <v>185</v>
      </c>
      <c r="C192" s="324">
        <f t="shared" si="9"/>
        <v>2440.9629010253898</v>
      </c>
      <c r="D192" s="324">
        <f t="shared" si="10"/>
        <v>2442.3711657791637</v>
      </c>
      <c r="E192" s="319"/>
      <c r="F192" s="392"/>
      <c r="G192" s="392"/>
      <c r="H192" s="416"/>
      <c r="I192" s="416"/>
      <c r="J192" s="416"/>
      <c r="K192" s="416"/>
    </row>
    <row r="193" spans="2:11" ht="25.2" customHeight="1">
      <c r="B193" s="317">
        <f t="shared" si="8"/>
        <v>186</v>
      </c>
      <c r="C193" s="324">
        <f t="shared" si="9"/>
        <v>2453.813316903575</v>
      </c>
      <c r="D193" s="324">
        <f t="shared" si="10"/>
        <v>2455.2215816573489</v>
      </c>
      <c r="E193" s="319"/>
      <c r="F193" s="392"/>
      <c r="G193" s="392"/>
      <c r="H193" s="416"/>
      <c r="I193" s="416"/>
      <c r="J193" s="416"/>
      <c r="K193" s="416"/>
    </row>
    <row r="194" spans="2:11" ht="25.2" customHeight="1">
      <c r="B194" s="317">
        <f t="shared" si="8"/>
        <v>187</v>
      </c>
      <c r="C194" s="324">
        <f t="shared" si="9"/>
        <v>2466.6637327817602</v>
      </c>
      <c r="D194" s="324">
        <f t="shared" si="10"/>
        <v>2468.0719975355341</v>
      </c>
      <c r="E194" s="319"/>
      <c r="F194" s="392"/>
      <c r="G194" s="392"/>
      <c r="H194" s="416"/>
      <c r="I194" s="416"/>
      <c r="J194" s="416"/>
      <c r="K194" s="416"/>
    </row>
    <row r="195" spans="2:11" ht="25.2" customHeight="1">
      <c r="B195" s="317">
        <f t="shared" si="8"/>
        <v>188</v>
      </c>
      <c r="C195" s="324">
        <f t="shared" si="9"/>
        <v>2479.5141486599455</v>
      </c>
      <c r="D195" s="324">
        <f t="shared" si="10"/>
        <v>2480.9224134137194</v>
      </c>
      <c r="E195" s="319"/>
      <c r="F195" s="392"/>
      <c r="G195" s="392"/>
      <c r="H195" s="416"/>
      <c r="I195" s="416"/>
      <c r="J195" s="416"/>
      <c r="K195" s="416"/>
    </row>
    <row r="196" spans="2:11" ht="25.2" customHeight="1">
      <c r="B196" s="317">
        <f t="shared" si="8"/>
        <v>189</v>
      </c>
      <c r="C196" s="324">
        <f t="shared" si="9"/>
        <v>2492.3645645381307</v>
      </c>
      <c r="D196" s="324">
        <f t="shared" si="10"/>
        <v>2493.7728292919046</v>
      </c>
      <c r="E196" s="319"/>
      <c r="F196" s="392"/>
      <c r="G196" s="392"/>
      <c r="H196" s="416"/>
      <c r="I196" s="416"/>
      <c r="J196" s="416"/>
      <c r="K196" s="416"/>
    </row>
    <row r="197" spans="2:11" ht="25.2" customHeight="1">
      <c r="B197" s="317">
        <f t="shared" si="8"/>
        <v>190</v>
      </c>
      <c r="C197" s="324">
        <f t="shared" si="9"/>
        <v>2505.2149804163159</v>
      </c>
      <c r="D197" s="324">
        <f t="shared" si="10"/>
        <v>2506.6232451700898</v>
      </c>
      <c r="E197" s="319"/>
      <c r="F197" s="392"/>
      <c r="G197" s="392"/>
      <c r="H197" s="416"/>
      <c r="I197" s="416"/>
      <c r="J197" s="416"/>
      <c r="K197" s="416"/>
    </row>
    <row r="198" spans="2:11" ht="25.2" customHeight="1">
      <c r="B198" s="317">
        <f t="shared" si="8"/>
        <v>191</v>
      </c>
      <c r="C198" s="324">
        <f t="shared" si="9"/>
        <v>2518.0653962945012</v>
      </c>
      <c r="D198" s="324">
        <f t="shared" si="10"/>
        <v>2519.4736610482751</v>
      </c>
      <c r="E198" s="319"/>
      <c r="F198" s="392"/>
      <c r="G198" s="392"/>
      <c r="H198" s="416"/>
      <c r="I198" s="416"/>
      <c r="J198" s="416"/>
      <c r="K198" s="416"/>
    </row>
    <row r="199" spans="2:11" ht="25.2" customHeight="1">
      <c r="B199" s="317">
        <f t="shared" si="8"/>
        <v>192</v>
      </c>
      <c r="C199" s="324">
        <f t="shared" si="9"/>
        <v>2530.9158121726864</v>
      </c>
      <c r="D199" s="324">
        <f t="shared" si="10"/>
        <v>2532.3240769264603</v>
      </c>
      <c r="E199" s="319"/>
      <c r="F199" s="392"/>
      <c r="G199" s="392"/>
      <c r="H199" s="416"/>
      <c r="I199" s="416"/>
      <c r="J199" s="416"/>
      <c r="K199" s="416"/>
    </row>
    <row r="200" spans="2:11" ht="25.2" customHeight="1">
      <c r="B200" s="317">
        <f t="shared" si="8"/>
        <v>193</v>
      </c>
      <c r="C200" s="324">
        <f t="shared" si="9"/>
        <v>2543.7662280508716</v>
      </c>
      <c r="D200" s="324">
        <f t="shared" si="10"/>
        <v>2545.1744928046455</v>
      </c>
      <c r="E200" s="319"/>
      <c r="F200" s="392"/>
      <c r="G200" s="392"/>
      <c r="H200" s="416"/>
      <c r="I200" s="416"/>
      <c r="J200" s="416"/>
      <c r="K200" s="416"/>
    </row>
    <row r="201" spans="2:11" ht="25.2" customHeight="1">
      <c r="B201" s="317">
        <f t="shared" si="8"/>
        <v>194</v>
      </c>
      <c r="C201" s="324">
        <f t="shared" si="9"/>
        <v>2556.6166439290569</v>
      </c>
      <c r="D201" s="324">
        <f t="shared" si="10"/>
        <v>2558.0249086828308</v>
      </c>
      <c r="E201" s="319"/>
      <c r="F201" s="392"/>
      <c r="G201" s="392"/>
      <c r="H201" s="416"/>
      <c r="I201" s="416"/>
      <c r="J201" s="416"/>
      <c r="K201" s="416"/>
    </row>
    <row r="202" spans="2:11" ht="25.2" customHeight="1">
      <c r="B202" s="317">
        <f t="shared" si="8"/>
        <v>195</v>
      </c>
      <c r="C202" s="324">
        <f t="shared" si="9"/>
        <v>2569.4670598072421</v>
      </c>
      <c r="D202" s="324">
        <f t="shared" si="10"/>
        <v>2570.875324561016</v>
      </c>
      <c r="E202" s="319"/>
      <c r="F202" s="392"/>
      <c r="G202" s="392"/>
      <c r="H202" s="416"/>
      <c r="I202" s="416"/>
      <c r="J202" s="416"/>
      <c r="K202" s="416"/>
    </row>
    <row r="203" spans="2:11" ht="25.2" customHeight="1">
      <c r="B203" s="317">
        <f t="shared" si="8"/>
        <v>196</v>
      </c>
      <c r="C203" s="324">
        <f t="shared" si="9"/>
        <v>2582.3174756854273</v>
      </c>
      <c r="D203" s="324">
        <f t="shared" si="10"/>
        <v>2583.7257404392012</v>
      </c>
      <c r="E203" s="319"/>
      <c r="F203" s="392"/>
      <c r="G203" s="392"/>
      <c r="H203" s="416"/>
      <c r="I203" s="416"/>
      <c r="J203" s="416"/>
      <c r="K203" s="416"/>
    </row>
    <row r="204" spans="2:11" ht="25.2" customHeight="1">
      <c r="B204" s="317">
        <f t="shared" si="8"/>
        <v>197</v>
      </c>
      <c r="C204" s="324">
        <f t="shared" si="9"/>
        <v>2595.1678915636126</v>
      </c>
      <c r="D204" s="324">
        <f t="shared" si="10"/>
        <v>2596.5761563173864</v>
      </c>
      <c r="E204" s="319"/>
      <c r="F204" s="392"/>
      <c r="G204" s="392"/>
      <c r="H204" s="416"/>
      <c r="I204" s="416"/>
      <c r="J204" s="416"/>
      <c r="K204" s="416"/>
    </row>
    <row r="205" spans="2:11" ht="25.2" customHeight="1">
      <c r="B205" s="317">
        <f t="shared" si="8"/>
        <v>198</v>
      </c>
      <c r="C205" s="324">
        <f t="shared" si="9"/>
        <v>2608.0183074417978</v>
      </c>
      <c r="D205" s="324">
        <f t="shared" si="10"/>
        <v>2609.4265721955717</v>
      </c>
      <c r="E205" s="319"/>
      <c r="F205" s="392"/>
      <c r="G205" s="392"/>
      <c r="H205" s="416"/>
      <c r="I205" s="416"/>
      <c r="J205" s="416"/>
      <c r="K205" s="416"/>
    </row>
    <row r="206" spans="2:11" ht="25.2" customHeight="1">
      <c r="B206" s="317">
        <f t="shared" si="8"/>
        <v>199</v>
      </c>
      <c r="C206" s="324">
        <f t="shared" si="9"/>
        <v>2620.868723319983</v>
      </c>
      <c r="D206" s="324">
        <f t="shared" si="10"/>
        <v>2622.2769880737569</v>
      </c>
      <c r="E206" s="319"/>
      <c r="F206" s="392"/>
      <c r="G206" s="392"/>
      <c r="H206" s="416"/>
      <c r="I206" s="416"/>
      <c r="J206" s="416"/>
      <c r="K206" s="416"/>
    </row>
    <row r="207" spans="2:11" ht="25.2" customHeight="1">
      <c r="B207" s="317">
        <f t="shared" si="8"/>
        <v>200</v>
      </c>
      <c r="C207" s="324">
        <f t="shared" si="9"/>
        <v>2633.7191391981683</v>
      </c>
      <c r="D207" s="324">
        <f t="shared" si="10"/>
        <v>2635.1274039519421</v>
      </c>
      <c r="E207" s="319"/>
      <c r="F207" s="392"/>
      <c r="G207" s="392"/>
      <c r="H207" s="416"/>
      <c r="I207" s="416"/>
      <c r="J207" s="416"/>
      <c r="K207" s="416"/>
    </row>
    <row r="208" spans="2:11" ht="25.2" customHeight="1">
      <c r="B208" s="317">
        <f t="shared" si="8"/>
        <v>201</v>
      </c>
      <c r="C208" s="324">
        <f t="shared" si="9"/>
        <v>2646.5695550763535</v>
      </c>
      <c r="D208" s="324">
        <f t="shared" si="10"/>
        <v>2647.9778198301274</v>
      </c>
      <c r="E208" s="319"/>
      <c r="F208" s="392"/>
      <c r="G208" s="392"/>
      <c r="H208" s="416"/>
      <c r="I208" s="416"/>
      <c r="J208" s="416"/>
      <c r="K208" s="416"/>
    </row>
    <row r="209" spans="2:11" ht="25.2" customHeight="1">
      <c r="B209" s="317">
        <f t="shared" si="8"/>
        <v>202</v>
      </c>
      <c r="C209" s="324">
        <f t="shared" si="9"/>
        <v>2659.4199709545387</v>
      </c>
      <c r="D209" s="324">
        <f t="shared" si="10"/>
        <v>2660.8282357083126</v>
      </c>
      <c r="E209" s="319"/>
      <c r="F209" s="392"/>
      <c r="G209" s="392"/>
      <c r="H209" s="416"/>
      <c r="I209" s="416"/>
      <c r="J209" s="416"/>
      <c r="K209" s="416"/>
    </row>
    <row r="210" spans="2:11" ht="25.2" customHeight="1">
      <c r="B210" s="317">
        <f t="shared" si="8"/>
        <v>203</v>
      </c>
      <c r="C210" s="324">
        <f t="shared" si="9"/>
        <v>2672.2703868327239</v>
      </c>
      <c r="D210" s="324">
        <f t="shared" si="10"/>
        <v>2673.6786515864978</v>
      </c>
      <c r="E210" s="319"/>
      <c r="F210" s="392"/>
      <c r="G210" s="392"/>
      <c r="H210" s="416"/>
      <c r="I210" s="416"/>
      <c r="J210" s="416"/>
      <c r="K210" s="416"/>
    </row>
    <row r="211" spans="2:11" ht="25.2" customHeight="1">
      <c r="B211" s="317">
        <f t="shared" si="8"/>
        <v>204</v>
      </c>
      <c r="C211" s="324">
        <f t="shared" si="9"/>
        <v>2685.1208027109092</v>
      </c>
      <c r="D211" s="324">
        <f t="shared" si="10"/>
        <v>2686.5290674646831</v>
      </c>
      <c r="E211" s="319"/>
      <c r="F211" s="392"/>
      <c r="G211" s="392"/>
      <c r="H211" s="416"/>
      <c r="I211" s="416"/>
      <c r="J211" s="416"/>
      <c r="K211" s="416"/>
    </row>
    <row r="212" spans="2:11" ht="25.2" customHeight="1">
      <c r="B212" s="317">
        <f t="shared" si="8"/>
        <v>205</v>
      </c>
      <c r="C212" s="324">
        <f t="shared" si="9"/>
        <v>2697.9712185890944</v>
      </c>
      <c r="D212" s="324">
        <f t="shared" si="10"/>
        <v>2699.3794833428683</v>
      </c>
      <c r="E212" s="319"/>
      <c r="F212" s="392"/>
      <c r="G212" s="392"/>
      <c r="H212" s="416"/>
      <c r="I212" s="416"/>
      <c r="J212" s="416"/>
      <c r="K212" s="416"/>
    </row>
    <row r="213" spans="2:11" ht="25.2" customHeight="1">
      <c r="B213" s="317">
        <f t="shared" si="8"/>
        <v>206</v>
      </c>
      <c r="C213" s="324">
        <f t="shared" si="9"/>
        <v>2710.8216344672796</v>
      </c>
      <c r="D213" s="324">
        <f t="shared" si="10"/>
        <v>2712.2298992210535</v>
      </c>
      <c r="E213" s="319"/>
      <c r="F213" s="392"/>
      <c r="G213" s="392"/>
      <c r="H213" s="416"/>
      <c r="I213" s="416"/>
      <c r="J213" s="416"/>
      <c r="K213" s="416"/>
    </row>
    <row r="214" spans="2:11" ht="25.2" customHeight="1">
      <c r="B214" s="317">
        <f t="shared" si="8"/>
        <v>207</v>
      </c>
      <c r="C214" s="324">
        <f t="shared" si="9"/>
        <v>2723.6720503454649</v>
      </c>
      <c r="D214" s="324">
        <f t="shared" si="10"/>
        <v>2725.0803150992388</v>
      </c>
      <c r="E214" s="319"/>
      <c r="F214" s="392"/>
      <c r="G214" s="392"/>
      <c r="H214" s="416"/>
      <c r="I214" s="416"/>
      <c r="J214" s="416"/>
      <c r="K214" s="416"/>
    </row>
    <row r="215" spans="2:11" ht="25.2" customHeight="1">
      <c r="B215" s="317">
        <f t="shared" si="8"/>
        <v>208</v>
      </c>
      <c r="C215" s="324">
        <f t="shared" si="9"/>
        <v>2736.5224662236501</v>
      </c>
      <c r="D215" s="324">
        <f t="shared" si="10"/>
        <v>2737.930730977424</v>
      </c>
      <c r="E215" s="319"/>
      <c r="F215" s="392"/>
      <c r="G215" s="392"/>
      <c r="H215" s="416"/>
      <c r="I215" s="416"/>
      <c r="J215" s="416"/>
      <c r="K215" s="416"/>
    </row>
    <row r="216" spans="2:11" ht="25.2" customHeight="1">
      <c r="B216" s="317">
        <f t="shared" si="8"/>
        <v>209</v>
      </c>
      <c r="C216" s="324">
        <f t="shared" si="9"/>
        <v>2749.3728821018353</v>
      </c>
      <c r="D216" s="324">
        <f t="shared" si="10"/>
        <v>2750.7811468556092</v>
      </c>
      <c r="E216" s="319"/>
      <c r="F216" s="392"/>
      <c r="G216" s="392"/>
      <c r="H216" s="416"/>
      <c r="I216" s="416"/>
      <c r="J216" s="416"/>
      <c r="K216" s="416"/>
    </row>
    <row r="217" spans="2:11" ht="25.2" customHeight="1">
      <c r="B217" s="317">
        <f t="shared" si="8"/>
        <v>210</v>
      </c>
      <c r="C217" s="324">
        <f t="shared" si="9"/>
        <v>2762.2232979800206</v>
      </c>
      <c r="D217" s="324">
        <f t="shared" si="10"/>
        <v>2763.6315627337945</v>
      </c>
      <c r="E217" s="319"/>
      <c r="F217" s="392"/>
      <c r="G217" s="392"/>
      <c r="H217" s="416"/>
      <c r="I217" s="416"/>
      <c r="J217" s="416"/>
      <c r="K217" s="416"/>
    </row>
    <row r="218" spans="2:11" ht="25.2" customHeight="1">
      <c r="B218" s="317">
        <f t="shared" si="8"/>
        <v>211</v>
      </c>
      <c r="C218" s="324">
        <f t="shared" si="9"/>
        <v>2775.0737138582058</v>
      </c>
      <c r="D218" s="324">
        <f t="shared" si="10"/>
        <v>2776.4819786119797</v>
      </c>
      <c r="E218" s="319"/>
      <c r="F218" s="392"/>
      <c r="G218" s="392"/>
      <c r="H218" s="416"/>
      <c r="I218" s="416"/>
      <c r="J218" s="416"/>
      <c r="K218" s="416"/>
    </row>
    <row r="219" spans="2:11" ht="25.2" customHeight="1">
      <c r="B219" s="317">
        <f t="shared" si="8"/>
        <v>212</v>
      </c>
      <c r="C219" s="324">
        <f t="shared" si="9"/>
        <v>2787.924129736391</v>
      </c>
      <c r="D219" s="324">
        <f t="shared" si="10"/>
        <v>2789.3323944901649</v>
      </c>
      <c r="E219" s="319"/>
      <c r="F219" s="392"/>
      <c r="G219" s="392"/>
      <c r="H219" s="416"/>
      <c r="I219" s="416"/>
      <c r="J219" s="416"/>
      <c r="K219" s="416"/>
    </row>
    <row r="220" spans="2:11" ht="25.2" customHeight="1">
      <c r="B220" s="317">
        <f t="shared" si="8"/>
        <v>213</v>
      </c>
      <c r="C220" s="324">
        <f t="shared" si="9"/>
        <v>2800.7745456145763</v>
      </c>
      <c r="D220" s="324">
        <f t="shared" si="10"/>
        <v>2802.1828103683501</v>
      </c>
      <c r="E220" s="319"/>
      <c r="F220" s="392"/>
      <c r="G220" s="392"/>
      <c r="H220" s="416"/>
      <c r="I220" s="416"/>
      <c r="J220" s="416"/>
      <c r="K220" s="416"/>
    </row>
    <row r="221" spans="2:11" ht="25.2" customHeight="1">
      <c r="B221" s="317">
        <f t="shared" si="8"/>
        <v>214</v>
      </c>
      <c r="C221" s="324">
        <f t="shared" si="9"/>
        <v>2813.6249614927615</v>
      </c>
      <c r="D221" s="324">
        <f t="shared" si="10"/>
        <v>2815.0332262465354</v>
      </c>
      <c r="E221" s="319"/>
      <c r="F221" s="392"/>
      <c r="G221" s="392"/>
      <c r="H221" s="416"/>
      <c r="I221" s="416"/>
      <c r="J221" s="416"/>
      <c r="K221" s="416"/>
    </row>
    <row r="222" spans="2:11" ht="25.2" customHeight="1">
      <c r="B222" s="317">
        <f t="shared" si="8"/>
        <v>215</v>
      </c>
      <c r="C222" s="324">
        <f t="shared" si="9"/>
        <v>2826.4753773709467</v>
      </c>
      <c r="D222" s="324">
        <f t="shared" si="10"/>
        <v>2827.8836421247206</v>
      </c>
      <c r="E222" s="319"/>
      <c r="F222" s="392"/>
      <c r="G222" s="392"/>
      <c r="H222" s="416"/>
      <c r="I222" s="416"/>
      <c r="J222" s="416"/>
      <c r="K222" s="416"/>
    </row>
    <row r="223" spans="2:11" ht="25.2" customHeight="1">
      <c r="B223" s="317">
        <f t="shared" si="8"/>
        <v>216</v>
      </c>
      <c r="C223" s="324">
        <f t="shared" si="9"/>
        <v>2839.3257932491319</v>
      </c>
      <c r="D223" s="324">
        <f t="shared" si="10"/>
        <v>2840.7340580029058</v>
      </c>
      <c r="E223" s="319"/>
    </row>
    <row r="224" spans="2:11" ht="25.2" customHeight="1">
      <c r="B224" s="317">
        <f t="shared" si="8"/>
        <v>217</v>
      </c>
      <c r="C224" s="324">
        <f t="shared" si="9"/>
        <v>2852.1762091273172</v>
      </c>
      <c r="D224" s="324">
        <f t="shared" si="10"/>
        <v>2853.5844738810911</v>
      </c>
      <c r="E224" s="319"/>
    </row>
    <row r="225" spans="2:5" ht="25.2" customHeight="1">
      <c r="B225" s="317">
        <f t="shared" si="8"/>
        <v>218</v>
      </c>
      <c r="C225" s="324">
        <f t="shared" si="9"/>
        <v>2865.0266250055024</v>
      </c>
      <c r="D225" s="324">
        <f t="shared" si="10"/>
        <v>2866.4348897592763</v>
      </c>
      <c r="E225" s="319"/>
    </row>
    <row r="226" spans="2:5" ht="25.2" customHeight="1">
      <c r="B226" s="317">
        <f t="shared" si="8"/>
        <v>219</v>
      </c>
      <c r="C226" s="324">
        <f t="shared" si="9"/>
        <v>2877.8770408836876</v>
      </c>
      <c r="D226" s="324">
        <f t="shared" si="10"/>
        <v>2879.2853056374615</v>
      </c>
      <c r="E226" s="319"/>
    </row>
    <row r="227" spans="2:5" ht="25.2" customHeight="1">
      <c r="B227" s="317">
        <f t="shared" si="8"/>
        <v>220</v>
      </c>
      <c r="C227" s="324">
        <f t="shared" si="9"/>
        <v>2890.7274567618729</v>
      </c>
      <c r="D227" s="324">
        <f t="shared" si="10"/>
        <v>2892.1357215156468</v>
      </c>
      <c r="E227" s="319"/>
    </row>
    <row r="228" spans="2:5" ht="25.2" customHeight="1">
      <c r="B228" s="317">
        <f t="shared" si="8"/>
        <v>221</v>
      </c>
      <c r="C228" s="324">
        <f t="shared" si="9"/>
        <v>2903.5778726400581</v>
      </c>
      <c r="D228" s="324">
        <f t="shared" si="10"/>
        <v>2904.986137393832</v>
      </c>
      <c r="E228" s="319"/>
    </row>
    <row r="229" spans="2:5" ht="25.2" customHeight="1">
      <c r="B229" s="317">
        <f t="shared" si="8"/>
        <v>222</v>
      </c>
      <c r="C229" s="324">
        <f t="shared" si="9"/>
        <v>2916.4282885182433</v>
      </c>
      <c r="D229" s="324">
        <f t="shared" si="10"/>
        <v>2917.8365532720172</v>
      </c>
      <c r="E229" s="319"/>
    </row>
    <row r="230" spans="2:5" ht="25.2" customHeight="1">
      <c r="B230" s="317">
        <f t="shared" si="8"/>
        <v>223</v>
      </c>
      <c r="C230" s="324">
        <f t="shared" si="9"/>
        <v>2929.2787043964286</v>
      </c>
      <c r="D230" s="324">
        <f t="shared" si="10"/>
        <v>2930.6869691502025</v>
      </c>
      <c r="E230" s="319"/>
    </row>
    <row r="231" spans="2:5" ht="25.2" customHeight="1">
      <c r="B231" s="317">
        <f t="shared" ref="B231:B294" si="11">B230+1</f>
        <v>224</v>
      </c>
      <c r="C231" s="324">
        <f t="shared" ref="C231:C294" si="12">C230+($P$13/$P$19)</f>
        <v>2942.1291202746138</v>
      </c>
      <c r="D231" s="324">
        <f t="shared" ref="D231:D294" si="13">D230+($Q$13/$P$19)</f>
        <v>2943.5373850283877</v>
      </c>
      <c r="E231" s="319"/>
    </row>
    <row r="232" spans="2:5" ht="25.2" customHeight="1">
      <c r="B232" s="317">
        <f t="shared" si="11"/>
        <v>225</v>
      </c>
      <c r="C232" s="324">
        <f t="shared" si="12"/>
        <v>2954.979536152799</v>
      </c>
      <c r="D232" s="324">
        <f t="shared" si="13"/>
        <v>2956.3878009065729</v>
      </c>
      <c r="E232" s="319"/>
    </row>
    <row r="233" spans="2:5" ht="25.2" customHeight="1">
      <c r="B233" s="317">
        <f t="shared" si="11"/>
        <v>226</v>
      </c>
      <c r="C233" s="324">
        <f t="shared" si="12"/>
        <v>2967.8299520309843</v>
      </c>
      <c r="D233" s="324">
        <f t="shared" si="13"/>
        <v>2969.2382167847582</v>
      </c>
      <c r="E233" s="319"/>
    </row>
    <row r="234" spans="2:5" ht="25.2" customHeight="1">
      <c r="B234" s="317">
        <f t="shared" si="11"/>
        <v>227</v>
      </c>
      <c r="C234" s="324">
        <f t="shared" si="12"/>
        <v>2980.6803679091695</v>
      </c>
      <c r="D234" s="324">
        <f t="shared" si="13"/>
        <v>2982.0886326629434</v>
      </c>
      <c r="E234" s="319"/>
    </row>
    <row r="235" spans="2:5" ht="25.2" customHeight="1">
      <c r="B235" s="317">
        <f t="shared" si="11"/>
        <v>228</v>
      </c>
      <c r="C235" s="324">
        <f t="shared" si="12"/>
        <v>2993.5307837873547</v>
      </c>
      <c r="D235" s="324">
        <f t="shared" si="13"/>
        <v>2994.9390485411286</v>
      </c>
      <c r="E235" s="319"/>
    </row>
    <row r="236" spans="2:5" ht="25.2" customHeight="1">
      <c r="B236" s="317">
        <f t="shared" si="11"/>
        <v>229</v>
      </c>
      <c r="C236" s="324">
        <f t="shared" si="12"/>
        <v>3006.38119966554</v>
      </c>
      <c r="D236" s="324">
        <f t="shared" si="13"/>
        <v>3007.7894644193138</v>
      </c>
      <c r="E236" s="319"/>
    </row>
    <row r="237" spans="2:5" ht="25.2" customHeight="1">
      <c r="B237" s="317">
        <f t="shared" si="11"/>
        <v>230</v>
      </c>
      <c r="C237" s="324">
        <f t="shared" si="12"/>
        <v>3019.2316155437252</v>
      </c>
      <c r="D237" s="324">
        <f t="shared" si="13"/>
        <v>3020.6398802974991</v>
      </c>
      <c r="E237" s="319"/>
    </row>
    <row r="238" spans="2:5" ht="25.2" customHeight="1">
      <c r="B238" s="317">
        <f t="shared" si="11"/>
        <v>231</v>
      </c>
      <c r="C238" s="324">
        <f t="shared" si="12"/>
        <v>3032.0820314219104</v>
      </c>
      <c r="D238" s="324">
        <f t="shared" si="13"/>
        <v>3033.4902961756843</v>
      </c>
      <c r="E238" s="319"/>
    </row>
    <row r="239" spans="2:5" ht="25.2" customHeight="1">
      <c r="B239" s="317">
        <f t="shared" si="11"/>
        <v>232</v>
      </c>
      <c r="C239" s="324">
        <f t="shared" si="12"/>
        <v>3044.9324473000956</v>
      </c>
      <c r="D239" s="324">
        <f t="shared" si="13"/>
        <v>3046.3407120538695</v>
      </c>
      <c r="E239" s="319"/>
    </row>
    <row r="240" spans="2:5" ht="25.2" customHeight="1">
      <c r="B240" s="317">
        <f t="shared" si="11"/>
        <v>233</v>
      </c>
      <c r="C240" s="324">
        <f t="shared" si="12"/>
        <v>3057.7828631782809</v>
      </c>
      <c r="D240" s="324">
        <f t="shared" si="13"/>
        <v>3059.1911279320548</v>
      </c>
      <c r="E240" s="319"/>
    </row>
    <row r="241" spans="2:5" ht="25.2" customHeight="1">
      <c r="B241" s="317">
        <f t="shared" si="11"/>
        <v>234</v>
      </c>
      <c r="C241" s="324">
        <f t="shared" si="12"/>
        <v>3070.6332790564661</v>
      </c>
      <c r="D241" s="324">
        <f t="shared" si="13"/>
        <v>3072.04154381024</v>
      </c>
      <c r="E241" s="319"/>
    </row>
    <row r="242" spans="2:5" ht="25.2" customHeight="1">
      <c r="B242" s="317">
        <f t="shared" si="11"/>
        <v>235</v>
      </c>
      <c r="C242" s="324">
        <f t="shared" si="12"/>
        <v>3083.4836949346513</v>
      </c>
      <c r="D242" s="324">
        <f t="shared" si="13"/>
        <v>3084.8919596884252</v>
      </c>
      <c r="E242" s="319"/>
    </row>
    <row r="243" spans="2:5" ht="25.2" customHeight="1">
      <c r="B243" s="317">
        <f t="shared" si="11"/>
        <v>236</v>
      </c>
      <c r="C243" s="324">
        <f t="shared" si="12"/>
        <v>3096.3341108128366</v>
      </c>
      <c r="D243" s="324">
        <f t="shared" si="13"/>
        <v>3097.7423755666105</v>
      </c>
      <c r="E243" s="319"/>
    </row>
    <row r="244" spans="2:5" ht="25.2" customHeight="1">
      <c r="B244" s="317">
        <f t="shared" si="11"/>
        <v>237</v>
      </c>
      <c r="C244" s="324">
        <f t="shared" si="12"/>
        <v>3109.1845266910218</v>
      </c>
      <c r="D244" s="324">
        <f t="shared" si="13"/>
        <v>3110.5927914447957</v>
      </c>
      <c r="E244" s="319"/>
    </row>
    <row r="245" spans="2:5" ht="25.2" customHeight="1">
      <c r="B245" s="317">
        <f t="shared" si="11"/>
        <v>238</v>
      </c>
      <c r="C245" s="324">
        <f t="shared" si="12"/>
        <v>3122.034942569207</v>
      </c>
      <c r="D245" s="324">
        <f t="shared" si="13"/>
        <v>3123.4432073229809</v>
      </c>
      <c r="E245" s="319"/>
    </row>
    <row r="246" spans="2:5" ht="25.2" customHeight="1">
      <c r="B246" s="317">
        <f t="shared" si="11"/>
        <v>239</v>
      </c>
      <c r="C246" s="324">
        <f t="shared" si="12"/>
        <v>3134.8853584473923</v>
      </c>
      <c r="D246" s="324">
        <f t="shared" si="13"/>
        <v>3136.2936232011662</v>
      </c>
      <c r="E246" s="319"/>
    </row>
    <row r="247" spans="2:5" ht="25.2" customHeight="1">
      <c r="B247" s="317">
        <f t="shared" si="11"/>
        <v>240</v>
      </c>
      <c r="C247" s="324">
        <f t="shared" si="12"/>
        <v>3147.7357743255775</v>
      </c>
      <c r="D247" s="324">
        <f t="shared" si="13"/>
        <v>3149.1440390793514</v>
      </c>
      <c r="E247" s="319"/>
    </row>
    <row r="248" spans="2:5" ht="25.2" customHeight="1">
      <c r="B248" s="317">
        <f t="shared" si="11"/>
        <v>241</v>
      </c>
      <c r="C248" s="324">
        <f t="shared" si="12"/>
        <v>3160.5861902037627</v>
      </c>
      <c r="D248" s="324">
        <f t="shared" si="13"/>
        <v>3161.9944549575366</v>
      </c>
      <c r="E248" s="319"/>
    </row>
    <row r="249" spans="2:5" ht="25.2" customHeight="1">
      <c r="B249" s="317">
        <f t="shared" si="11"/>
        <v>242</v>
      </c>
      <c r="C249" s="324">
        <f t="shared" si="12"/>
        <v>3173.436606081948</v>
      </c>
      <c r="D249" s="324">
        <f t="shared" si="13"/>
        <v>3174.8448708357218</v>
      </c>
      <c r="E249" s="319"/>
    </row>
    <row r="250" spans="2:5" ht="25.2" customHeight="1">
      <c r="B250" s="317">
        <f t="shared" si="11"/>
        <v>243</v>
      </c>
      <c r="C250" s="324">
        <f t="shared" si="12"/>
        <v>3186.2870219601332</v>
      </c>
      <c r="D250" s="324">
        <f t="shared" si="13"/>
        <v>3187.6952867139071</v>
      </c>
      <c r="E250" s="319"/>
    </row>
    <row r="251" spans="2:5" ht="25.2" customHeight="1">
      <c r="B251" s="317">
        <f t="shared" si="11"/>
        <v>244</v>
      </c>
      <c r="C251" s="324">
        <f t="shared" si="12"/>
        <v>3199.1374378383184</v>
      </c>
      <c r="D251" s="324">
        <f t="shared" si="13"/>
        <v>3200.5457025920923</v>
      </c>
      <c r="E251" s="319"/>
    </row>
    <row r="252" spans="2:5" ht="25.2" customHeight="1">
      <c r="B252" s="317">
        <f t="shared" si="11"/>
        <v>245</v>
      </c>
      <c r="C252" s="324">
        <f t="shared" si="12"/>
        <v>3211.9878537165037</v>
      </c>
      <c r="D252" s="324">
        <f t="shared" si="13"/>
        <v>3213.3961184702775</v>
      </c>
      <c r="E252" s="319"/>
    </row>
    <row r="253" spans="2:5" ht="25.2" customHeight="1">
      <c r="B253" s="317">
        <f t="shared" si="11"/>
        <v>246</v>
      </c>
      <c r="C253" s="324">
        <f t="shared" si="12"/>
        <v>3224.8382695946889</v>
      </c>
      <c r="D253" s="324">
        <f t="shared" si="13"/>
        <v>3226.2465343484628</v>
      </c>
      <c r="E253" s="319"/>
    </row>
    <row r="254" spans="2:5" ht="25.2" customHeight="1">
      <c r="B254" s="317">
        <f t="shared" si="11"/>
        <v>247</v>
      </c>
      <c r="C254" s="324">
        <f t="shared" si="12"/>
        <v>3237.6886854728741</v>
      </c>
      <c r="D254" s="324">
        <f t="shared" si="13"/>
        <v>3239.096950226648</v>
      </c>
      <c r="E254" s="319"/>
    </row>
    <row r="255" spans="2:5" ht="25.2" customHeight="1">
      <c r="B255" s="317">
        <f t="shared" si="11"/>
        <v>248</v>
      </c>
      <c r="C255" s="324">
        <f t="shared" si="12"/>
        <v>3250.5391013510593</v>
      </c>
      <c r="D255" s="324">
        <f t="shared" si="13"/>
        <v>3251.9473661048332</v>
      </c>
      <c r="E255" s="319"/>
    </row>
    <row r="256" spans="2:5" ht="25.2" customHeight="1">
      <c r="B256" s="317">
        <f t="shared" si="11"/>
        <v>249</v>
      </c>
      <c r="C256" s="324">
        <f t="shared" si="12"/>
        <v>3263.3895172292446</v>
      </c>
      <c r="D256" s="324">
        <f t="shared" si="13"/>
        <v>3264.7977819830185</v>
      </c>
      <c r="E256" s="319"/>
    </row>
    <row r="257" spans="2:5" ht="25.2" customHeight="1">
      <c r="B257" s="317">
        <f t="shared" si="11"/>
        <v>250</v>
      </c>
      <c r="C257" s="324">
        <f t="shared" si="12"/>
        <v>3276.2399331074298</v>
      </c>
      <c r="D257" s="324">
        <f t="shared" si="13"/>
        <v>3277.6481978612037</v>
      </c>
      <c r="E257" s="319"/>
    </row>
    <row r="258" spans="2:5" ht="25.2" customHeight="1">
      <c r="B258" s="317">
        <f t="shared" si="11"/>
        <v>251</v>
      </c>
      <c r="C258" s="324">
        <f t="shared" si="12"/>
        <v>3289.090348985615</v>
      </c>
      <c r="D258" s="324">
        <f t="shared" si="13"/>
        <v>3290.4986137393889</v>
      </c>
      <c r="E258" s="319"/>
    </row>
    <row r="259" spans="2:5" ht="25.2" customHeight="1">
      <c r="B259" s="317">
        <f t="shared" si="11"/>
        <v>252</v>
      </c>
      <c r="C259" s="324">
        <f t="shared" si="12"/>
        <v>3301.9407648638003</v>
      </c>
      <c r="D259" s="324">
        <f t="shared" si="13"/>
        <v>3303.3490296175742</v>
      </c>
      <c r="E259" s="319"/>
    </row>
    <row r="260" spans="2:5" ht="25.2" customHeight="1">
      <c r="B260" s="317">
        <f t="shared" si="11"/>
        <v>253</v>
      </c>
      <c r="C260" s="324">
        <f t="shared" si="12"/>
        <v>3314.7911807419855</v>
      </c>
      <c r="D260" s="324">
        <f t="shared" si="13"/>
        <v>3316.1994454957594</v>
      </c>
      <c r="E260" s="319"/>
    </row>
    <row r="261" spans="2:5" ht="25.2" customHeight="1">
      <c r="B261" s="317">
        <f t="shared" si="11"/>
        <v>254</v>
      </c>
      <c r="C261" s="324">
        <f t="shared" si="12"/>
        <v>3327.6415966201707</v>
      </c>
      <c r="D261" s="324">
        <f t="shared" si="13"/>
        <v>3329.0498613739446</v>
      </c>
      <c r="E261" s="319"/>
    </row>
    <row r="262" spans="2:5" ht="25.2" customHeight="1">
      <c r="B262" s="317">
        <f t="shared" si="11"/>
        <v>255</v>
      </c>
      <c r="C262" s="324">
        <f t="shared" si="12"/>
        <v>3340.492012498356</v>
      </c>
      <c r="D262" s="324">
        <f t="shared" si="13"/>
        <v>3341.9002772521299</v>
      </c>
      <c r="E262" s="319"/>
    </row>
    <row r="263" spans="2:5" ht="25.2" customHeight="1">
      <c r="B263" s="317">
        <f t="shared" si="11"/>
        <v>256</v>
      </c>
      <c r="C263" s="324">
        <f t="shared" si="12"/>
        <v>3353.3424283765412</v>
      </c>
      <c r="D263" s="324">
        <f t="shared" si="13"/>
        <v>3354.7506931303151</v>
      </c>
      <c r="E263" s="319"/>
    </row>
    <row r="264" spans="2:5" ht="25.2" customHeight="1">
      <c r="B264" s="317">
        <f t="shared" si="11"/>
        <v>257</v>
      </c>
      <c r="C264" s="324">
        <f t="shared" si="12"/>
        <v>3366.1928442547264</v>
      </c>
      <c r="D264" s="324">
        <f t="shared" si="13"/>
        <v>3367.6011090085003</v>
      </c>
      <c r="E264" s="319"/>
    </row>
    <row r="265" spans="2:5" ht="25.2" customHeight="1">
      <c r="B265" s="317">
        <f t="shared" si="11"/>
        <v>258</v>
      </c>
      <c r="C265" s="324">
        <f t="shared" si="12"/>
        <v>3379.0432601329117</v>
      </c>
      <c r="D265" s="324">
        <f t="shared" si="13"/>
        <v>3380.4515248866855</v>
      </c>
      <c r="E265" s="319"/>
    </row>
    <row r="266" spans="2:5" ht="25.2" customHeight="1">
      <c r="B266" s="317">
        <f t="shared" si="11"/>
        <v>259</v>
      </c>
      <c r="C266" s="324">
        <f t="shared" si="12"/>
        <v>3391.8936760110969</v>
      </c>
      <c r="D266" s="324">
        <f t="shared" si="13"/>
        <v>3393.3019407648708</v>
      </c>
      <c r="E266" s="319"/>
    </row>
    <row r="267" spans="2:5" ht="25.2" customHeight="1">
      <c r="B267" s="317">
        <f t="shared" si="11"/>
        <v>260</v>
      </c>
      <c r="C267" s="324">
        <f t="shared" si="12"/>
        <v>3404.7440918892821</v>
      </c>
      <c r="D267" s="324">
        <f t="shared" si="13"/>
        <v>3406.152356643056</v>
      </c>
      <c r="E267" s="319"/>
    </row>
    <row r="268" spans="2:5" ht="25.2" customHeight="1">
      <c r="B268" s="317">
        <f t="shared" si="11"/>
        <v>261</v>
      </c>
      <c r="C268" s="324">
        <f t="shared" si="12"/>
        <v>3417.5945077674673</v>
      </c>
      <c r="D268" s="324">
        <f t="shared" si="13"/>
        <v>3419.0027725212412</v>
      </c>
      <c r="E268" s="319"/>
    </row>
    <row r="269" spans="2:5" ht="25.2" customHeight="1">
      <c r="B269" s="317">
        <f t="shared" si="11"/>
        <v>262</v>
      </c>
      <c r="C269" s="324">
        <f t="shared" si="12"/>
        <v>3430.4449236456526</v>
      </c>
      <c r="D269" s="324">
        <f t="shared" si="13"/>
        <v>3431.8531883994265</v>
      </c>
      <c r="E269" s="319"/>
    </row>
    <row r="270" spans="2:5" ht="25.2" customHeight="1">
      <c r="B270" s="317">
        <f t="shared" si="11"/>
        <v>263</v>
      </c>
      <c r="C270" s="324">
        <f t="shared" si="12"/>
        <v>3443.2953395238378</v>
      </c>
      <c r="D270" s="324">
        <f t="shared" si="13"/>
        <v>3444.7036042776117</v>
      </c>
      <c r="E270" s="319"/>
    </row>
    <row r="271" spans="2:5" ht="25.2" customHeight="1">
      <c r="B271" s="317">
        <f t="shared" si="11"/>
        <v>264</v>
      </c>
      <c r="C271" s="324">
        <f t="shared" si="12"/>
        <v>3456.145755402023</v>
      </c>
      <c r="D271" s="324">
        <f t="shared" si="13"/>
        <v>3457.5540201557969</v>
      </c>
      <c r="E271" s="319"/>
    </row>
    <row r="272" spans="2:5" ht="25.2" customHeight="1">
      <c r="B272" s="317">
        <f t="shared" si="11"/>
        <v>265</v>
      </c>
      <c r="C272" s="324">
        <f t="shared" si="12"/>
        <v>3468.9961712802083</v>
      </c>
      <c r="D272" s="324">
        <f t="shared" si="13"/>
        <v>3470.4044360339822</v>
      </c>
      <c r="E272" s="319"/>
    </row>
    <row r="273" spans="2:5" ht="25.2" customHeight="1">
      <c r="B273" s="317">
        <f t="shared" si="11"/>
        <v>266</v>
      </c>
      <c r="C273" s="324">
        <f t="shared" si="12"/>
        <v>3481.8465871583935</v>
      </c>
      <c r="D273" s="324">
        <f t="shared" si="13"/>
        <v>3483.2548519121674</v>
      </c>
      <c r="E273" s="319"/>
    </row>
    <row r="274" spans="2:5" ht="25.2" customHeight="1">
      <c r="B274" s="317">
        <f t="shared" si="11"/>
        <v>267</v>
      </c>
      <c r="C274" s="324">
        <f t="shared" si="12"/>
        <v>3494.6970030365787</v>
      </c>
      <c r="D274" s="324">
        <f t="shared" si="13"/>
        <v>3496.1052677903526</v>
      </c>
      <c r="E274" s="319"/>
    </row>
    <row r="275" spans="2:5" ht="25.2" customHeight="1">
      <c r="B275" s="317">
        <f t="shared" si="11"/>
        <v>268</v>
      </c>
      <c r="C275" s="324">
        <f t="shared" si="12"/>
        <v>3507.547418914764</v>
      </c>
      <c r="D275" s="324">
        <f t="shared" si="13"/>
        <v>3508.9556836685379</v>
      </c>
      <c r="E275" s="319"/>
    </row>
    <row r="276" spans="2:5" ht="25.2" customHeight="1">
      <c r="B276" s="317">
        <f t="shared" si="11"/>
        <v>269</v>
      </c>
      <c r="C276" s="324">
        <f t="shared" si="12"/>
        <v>3520.3978347929492</v>
      </c>
      <c r="D276" s="324">
        <f t="shared" si="13"/>
        <v>3521.8060995467231</v>
      </c>
      <c r="E276" s="319"/>
    </row>
    <row r="277" spans="2:5" ht="25.2" customHeight="1">
      <c r="B277" s="317">
        <f t="shared" si="11"/>
        <v>270</v>
      </c>
      <c r="C277" s="324">
        <f t="shared" si="12"/>
        <v>3533.2482506711344</v>
      </c>
      <c r="D277" s="324">
        <f t="shared" si="13"/>
        <v>3534.6565154249083</v>
      </c>
      <c r="E277" s="319"/>
    </row>
    <row r="278" spans="2:5" ht="25.2" customHeight="1">
      <c r="B278" s="317">
        <f t="shared" si="11"/>
        <v>271</v>
      </c>
      <c r="C278" s="324">
        <f t="shared" si="12"/>
        <v>3546.0986665493197</v>
      </c>
      <c r="D278" s="324">
        <f t="shared" si="13"/>
        <v>3547.5069313030936</v>
      </c>
      <c r="E278" s="319"/>
    </row>
    <row r="279" spans="2:5" ht="25.2" customHeight="1">
      <c r="B279" s="317">
        <f t="shared" si="11"/>
        <v>272</v>
      </c>
      <c r="C279" s="324">
        <f t="shared" si="12"/>
        <v>3558.9490824275049</v>
      </c>
      <c r="D279" s="324">
        <f t="shared" si="13"/>
        <v>3560.3573471812788</v>
      </c>
      <c r="E279" s="319"/>
    </row>
    <row r="280" spans="2:5" ht="25.2" customHeight="1">
      <c r="B280" s="317">
        <f t="shared" si="11"/>
        <v>273</v>
      </c>
      <c r="C280" s="324">
        <f t="shared" si="12"/>
        <v>3571.7994983056901</v>
      </c>
      <c r="D280" s="324">
        <f t="shared" si="13"/>
        <v>3573.207763059464</v>
      </c>
      <c r="E280" s="319"/>
    </row>
    <row r="281" spans="2:5" ht="25.2" customHeight="1">
      <c r="B281" s="317">
        <f t="shared" si="11"/>
        <v>274</v>
      </c>
      <c r="C281" s="324">
        <f t="shared" si="12"/>
        <v>3584.6499141838754</v>
      </c>
      <c r="D281" s="324">
        <f t="shared" si="13"/>
        <v>3586.0581789376492</v>
      </c>
      <c r="E281" s="319"/>
    </row>
    <row r="282" spans="2:5" ht="25.2" customHeight="1">
      <c r="B282" s="317">
        <f t="shared" si="11"/>
        <v>275</v>
      </c>
      <c r="C282" s="324">
        <f t="shared" si="12"/>
        <v>3597.5003300620606</v>
      </c>
      <c r="D282" s="324">
        <f t="shared" si="13"/>
        <v>3598.9085948158345</v>
      </c>
      <c r="E282" s="319"/>
    </row>
    <row r="283" spans="2:5" ht="25.2" customHeight="1">
      <c r="B283" s="317">
        <f t="shared" si="11"/>
        <v>276</v>
      </c>
      <c r="C283" s="324">
        <f t="shared" si="12"/>
        <v>3610.3507459402458</v>
      </c>
      <c r="D283" s="324">
        <f t="shared" si="13"/>
        <v>3611.7590106940197</v>
      </c>
      <c r="E283" s="319"/>
    </row>
    <row r="284" spans="2:5" ht="25.2" customHeight="1">
      <c r="B284" s="317">
        <f t="shared" si="11"/>
        <v>277</v>
      </c>
      <c r="C284" s="324">
        <f t="shared" si="12"/>
        <v>3623.201161818431</v>
      </c>
      <c r="D284" s="324">
        <f t="shared" si="13"/>
        <v>3624.6094265722049</v>
      </c>
      <c r="E284" s="319"/>
    </row>
    <row r="285" spans="2:5" ht="25.2" customHeight="1">
      <c r="B285" s="317">
        <f t="shared" si="11"/>
        <v>278</v>
      </c>
      <c r="C285" s="324">
        <f t="shared" si="12"/>
        <v>3636.0515776966163</v>
      </c>
      <c r="D285" s="324">
        <f t="shared" si="13"/>
        <v>3637.4598424503902</v>
      </c>
      <c r="E285" s="319"/>
    </row>
    <row r="286" spans="2:5" ht="25.2" customHeight="1">
      <c r="B286" s="317">
        <f t="shared" si="11"/>
        <v>279</v>
      </c>
      <c r="C286" s="324">
        <f t="shared" si="12"/>
        <v>3648.9019935748015</v>
      </c>
      <c r="D286" s="324">
        <f t="shared" si="13"/>
        <v>3650.3102583285754</v>
      </c>
      <c r="E286" s="319"/>
    </row>
    <row r="287" spans="2:5" ht="25.2" customHeight="1">
      <c r="B287" s="317">
        <f t="shared" si="11"/>
        <v>280</v>
      </c>
      <c r="C287" s="324">
        <f t="shared" si="12"/>
        <v>3661.7524094529867</v>
      </c>
      <c r="D287" s="324">
        <f t="shared" si="13"/>
        <v>3663.1606742067606</v>
      </c>
      <c r="E287" s="319"/>
    </row>
    <row r="288" spans="2:5" ht="25.2" customHeight="1">
      <c r="B288" s="317">
        <f t="shared" si="11"/>
        <v>281</v>
      </c>
      <c r="C288" s="324">
        <f t="shared" si="12"/>
        <v>3674.602825331172</v>
      </c>
      <c r="D288" s="324">
        <f t="shared" si="13"/>
        <v>3676.0110900849459</v>
      </c>
      <c r="E288" s="319"/>
    </row>
    <row r="289" spans="2:5" ht="25.2" customHeight="1">
      <c r="B289" s="317">
        <f t="shared" si="11"/>
        <v>282</v>
      </c>
      <c r="C289" s="324">
        <f t="shared" si="12"/>
        <v>3687.4532412093572</v>
      </c>
      <c r="D289" s="324">
        <f t="shared" si="13"/>
        <v>3688.8615059631311</v>
      </c>
      <c r="E289" s="319"/>
    </row>
    <row r="290" spans="2:5" ht="25.2" customHeight="1">
      <c r="B290" s="317">
        <f t="shared" si="11"/>
        <v>283</v>
      </c>
      <c r="C290" s="324">
        <f t="shared" si="12"/>
        <v>3700.3036570875424</v>
      </c>
      <c r="D290" s="324">
        <f t="shared" si="13"/>
        <v>3701.7119218413163</v>
      </c>
      <c r="E290" s="319"/>
    </row>
    <row r="291" spans="2:5" ht="25.2" customHeight="1">
      <c r="B291" s="317">
        <f t="shared" si="11"/>
        <v>284</v>
      </c>
      <c r="C291" s="324">
        <f t="shared" si="12"/>
        <v>3713.1540729657277</v>
      </c>
      <c r="D291" s="324">
        <f t="shared" si="13"/>
        <v>3714.5623377195016</v>
      </c>
      <c r="E291" s="319"/>
    </row>
    <row r="292" spans="2:5" ht="25.2" customHeight="1">
      <c r="B292" s="317">
        <f t="shared" si="11"/>
        <v>285</v>
      </c>
      <c r="C292" s="324">
        <f t="shared" si="12"/>
        <v>3726.0044888439129</v>
      </c>
      <c r="D292" s="324">
        <f t="shared" si="13"/>
        <v>3727.4127535976868</v>
      </c>
      <c r="E292" s="319"/>
    </row>
    <row r="293" spans="2:5" ht="25.2" customHeight="1">
      <c r="B293" s="317">
        <f t="shared" si="11"/>
        <v>286</v>
      </c>
      <c r="C293" s="324">
        <f t="shared" si="12"/>
        <v>3738.8549047220981</v>
      </c>
      <c r="D293" s="324">
        <f t="shared" si="13"/>
        <v>3740.263169475872</v>
      </c>
      <c r="E293" s="319"/>
    </row>
    <row r="294" spans="2:5" ht="25.2" customHeight="1">
      <c r="B294" s="317">
        <f t="shared" si="11"/>
        <v>287</v>
      </c>
      <c r="C294" s="324">
        <f t="shared" si="12"/>
        <v>3751.7053206002834</v>
      </c>
      <c r="D294" s="324">
        <f t="shared" si="13"/>
        <v>3753.1135853540572</v>
      </c>
      <c r="E294" s="319"/>
    </row>
    <row r="295" spans="2:5" ht="25.2" customHeight="1">
      <c r="B295" s="317">
        <f t="shared" ref="B295:B358" si="14">B294+1</f>
        <v>288</v>
      </c>
      <c r="C295" s="324">
        <f t="shared" ref="C295:C358" si="15">C294+($P$13/$P$19)</f>
        <v>3764.5557364784686</v>
      </c>
      <c r="D295" s="324">
        <f t="shared" ref="D295:D358" si="16">D294+($Q$13/$P$19)</f>
        <v>3765.9640012322425</v>
      </c>
      <c r="E295" s="319"/>
    </row>
    <row r="296" spans="2:5" ht="25.2" customHeight="1">
      <c r="B296" s="317">
        <f t="shared" si="14"/>
        <v>289</v>
      </c>
      <c r="C296" s="324">
        <f t="shared" si="15"/>
        <v>3777.4061523566538</v>
      </c>
      <c r="D296" s="324">
        <f t="shared" si="16"/>
        <v>3778.8144171104277</v>
      </c>
      <c r="E296" s="319"/>
    </row>
    <row r="297" spans="2:5" ht="25.2" customHeight="1">
      <c r="B297" s="317">
        <f t="shared" si="14"/>
        <v>290</v>
      </c>
      <c r="C297" s="324">
        <f t="shared" si="15"/>
        <v>3790.2565682348391</v>
      </c>
      <c r="D297" s="324">
        <f t="shared" si="16"/>
        <v>3791.6648329886129</v>
      </c>
      <c r="E297" s="319"/>
    </row>
    <row r="298" spans="2:5" ht="25.2" customHeight="1">
      <c r="B298" s="317">
        <f t="shared" si="14"/>
        <v>291</v>
      </c>
      <c r="C298" s="324">
        <f t="shared" si="15"/>
        <v>3803.1069841130243</v>
      </c>
      <c r="D298" s="324">
        <f t="shared" si="16"/>
        <v>3804.5152488667982</v>
      </c>
      <c r="E298" s="319"/>
    </row>
    <row r="299" spans="2:5" ht="25.2" customHeight="1">
      <c r="B299" s="317">
        <f t="shared" si="14"/>
        <v>292</v>
      </c>
      <c r="C299" s="324">
        <f t="shared" si="15"/>
        <v>3815.9573999912095</v>
      </c>
      <c r="D299" s="324">
        <f t="shared" si="16"/>
        <v>3817.3656647449834</v>
      </c>
      <c r="E299" s="319"/>
    </row>
    <row r="300" spans="2:5" ht="25.2" customHeight="1">
      <c r="B300" s="317">
        <f t="shared" si="14"/>
        <v>293</v>
      </c>
      <c r="C300" s="324">
        <f t="shared" si="15"/>
        <v>3828.8078158693947</v>
      </c>
      <c r="D300" s="324">
        <f t="shared" si="16"/>
        <v>3830.2160806231686</v>
      </c>
      <c r="E300" s="319"/>
    </row>
    <row r="301" spans="2:5" ht="25.2" customHeight="1">
      <c r="B301" s="317">
        <f t="shared" si="14"/>
        <v>294</v>
      </c>
      <c r="C301" s="324">
        <f t="shared" si="15"/>
        <v>3841.65823174758</v>
      </c>
      <c r="D301" s="324">
        <f t="shared" si="16"/>
        <v>3843.0664965013539</v>
      </c>
      <c r="E301" s="319"/>
    </row>
    <row r="302" spans="2:5" ht="25.2" customHeight="1">
      <c r="B302" s="317">
        <f t="shared" si="14"/>
        <v>295</v>
      </c>
      <c r="C302" s="324">
        <f t="shared" si="15"/>
        <v>3854.5086476257652</v>
      </c>
      <c r="D302" s="324">
        <f t="shared" si="16"/>
        <v>3855.9169123795391</v>
      </c>
      <c r="E302" s="319"/>
    </row>
    <row r="303" spans="2:5" ht="25.2" customHeight="1">
      <c r="B303" s="317">
        <f t="shared" si="14"/>
        <v>296</v>
      </c>
      <c r="C303" s="324">
        <f t="shared" si="15"/>
        <v>3867.3590635039504</v>
      </c>
      <c r="D303" s="324">
        <f t="shared" si="16"/>
        <v>3868.7673282577243</v>
      </c>
      <c r="E303" s="319"/>
    </row>
    <row r="304" spans="2:5" ht="25.2" customHeight="1">
      <c r="B304" s="317">
        <f t="shared" si="14"/>
        <v>297</v>
      </c>
      <c r="C304" s="324">
        <f t="shared" si="15"/>
        <v>3880.2094793821357</v>
      </c>
      <c r="D304" s="324">
        <f t="shared" si="16"/>
        <v>3881.6177441359096</v>
      </c>
      <c r="E304" s="319"/>
    </row>
    <row r="305" spans="2:5" ht="25.2" customHeight="1">
      <c r="B305" s="317">
        <f t="shared" si="14"/>
        <v>298</v>
      </c>
      <c r="C305" s="324">
        <f t="shared" si="15"/>
        <v>3893.0598952603209</v>
      </c>
      <c r="D305" s="324">
        <f t="shared" si="16"/>
        <v>3894.4681600140948</v>
      </c>
      <c r="E305" s="319"/>
    </row>
    <row r="306" spans="2:5" ht="25.2" customHeight="1">
      <c r="B306" s="317">
        <f t="shared" si="14"/>
        <v>299</v>
      </c>
      <c r="C306" s="324">
        <f t="shared" si="15"/>
        <v>3905.9103111385061</v>
      </c>
      <c r="D306" s="324">
        <f t="shared" si="16"/>
        <v>3907.31857589228</v>
      </c>
      <c r="E306" s="319"/>
    </row>
    <row r="307" spans="2:5" ht="25.2" customHeight="1">
      <c r="B307" s="317">
        <f t="shared" si="14"/>
        <v>300</v>
      </c>
      <c r="C307" s="324">
        <f t="shared" si="15"/>
        <v>3918.7607270166914</v>
      </c>
      <c r="D307" s="324">
        <f t="shared" si="16"/>
        <v>3920.1689917704653</v>
      </c>
      <c r="E307" s="319"/>
    </row>
    <row r="308" spans="2:5" ht="25.2" customHeight="1">
      <c r="B308" s="317">
        <f t="shared" si="14"/>
        <v>301</v>
      </c>
      <c r="C308" s="324">
        <f t="shared" si="15"/>
        <v>3931.6111428948766</v>
      </c>
      <c r="D308" s="324">
        <f t="shared" si="16"/>
        <v>3933.0194076486505</v>
      </c>
      <c r="E308" s="319"/>
    </row>
    <row r="309" spans="2:5" ht="25.2" customHeight="1">
      <c r="B309" s="317">
        <f t="shared" si="14"/>
        <v>302</v>
      </c>
      <c r="C309" s="324">
        <f t="shared" si="15"/>
        <v>3944.4615587730618</v>
      </c>
      <c r="D309" s="324">
        <f t="shared" si="16"/>
        <v>3945.8698235268357</v>
      </c>
      <c r="E309" s="319"/>
    </row>
    <row r="310" spans="2:5" ht="25.2" customHeight="1">
      <c r="B310" s="317">
        <f t="shared" si="14"/>
        <v>303</v>
      </c>
      <c r="C310" s="324">
        <f t="shared" si="15"/>
        <v>3957.3119746512471</v>
      </c>
      <c r="D310" s="324">
        <f t="shared" si="16"/>
        <v>3958.7202394050209</v>
      </c>
      <c r="E310" s="319"/>
    </row>
    <row r="311" spans="2:5" ht="25.2" customHeight="1">
      <c r="B311" s="317">
        <f t="shared" si="14"/>
        <v>304</v>
      </c>
      <c r="C311" s="324">
        <f t="shared" si="15"/>
        <v>3970.1623905294323</v>
      </c>
      <c r="D311" s="324">
        <f t="shared" si="16"/>
        <v>3971.5706552832062</v>
      </c>
      <c r="E311" s="319"/>
    </row>
    <row r="312" spans="2:5" ht="25.2" customHeight="1">
      <c r="B312" s="317">
        <f t="shared" si="14"/>
        <v>305</v>
      </c>
      <c r="C312" s="324">
        <f t="shared" si="15"/>
        <v>3983.0128064076175</v>
      </c>
      <c r="D312" s="324">
        <f t="shared" si="16"/>
        <v>3984.4210711613914</v>
      </c>
      <c r="E312" s="319"/>
    </row>
    <row r="313" spans="2:5" ht="25.2" customHeight="1">
      <c r="B313" s="317">
        <f t="shared" si="14"/>
        <v>306</v>
      </c>
      <c r="C313" s="324">
        <f t="shared" si="15"/>
        <v>3995.8632222858027</v>
      </c>
      <c r="D313" s="324">
        <f t="shared" si="16"/>
        <v>3997.2714870395766</v>
      </c>
      <c r="E313" s="319"/>
    </row>
    <row r="314" spans="2:5" ht="25.2" customHeight="1">
      <c r="B314" s="317">
        <f t="shared" si="14"/>
        <v>307</v>
      </c>
      <c r="C314" s="324">
        <f t="shared" si="15"/>
        <v>4008.713638163988</v>
      </c>
      <c r="D314" s="324">
        <f t="shared" si="16"/>
        <v>4010.1219029177619</v>
      </c>
      <c r="E314" s="319"/>
    </row>
    <row r="315" spans="2:5" ht="25.2" customHeight="1">
      <c r="B315" s="317">
        <f t="shared" si="14"/>
        <v>308</v>
      </c>
      <c r="C315" s="324">
        <f t="shared" si="15"/>
        <v>4021.5640540421732</v>
      </c>
      <c r="D315" s="324">
        <f t="shared" si="16"/>
        <v>4022.9723187959471</v>
      </c>
      <c r="E315" s="319"/>
    </row>
    <row r="316" spans="2:5" ht="25.2" customHeight="1">
      <c r="B316" s="317">
        <f t="shared" si="14"/>
        <v>309</v>
      </c>
      <c r="C316" s="324">
        <f t="shared" si="15"/>
        <v>4034.4144699203584</v>
      </c>
      <c r="D316" s="324">
        <f t="shared" si="16"/>
        <v>4035.8227346741323</v>
      </c>
      <c r="E316" s="319"/>
    </row>
    <row r="317" spans="2:5" ht="25.2" customHeight="1">
      <c r="B317" s="317">
        <f t="shared" si="14"/>
        <v>310</v>
      </c>
      <c r="C317" s="324">
        <f t="shared" si="15"/>
        <v>4047.2648857985437</v>
      </c>
      <c r="D317" s="324">
        <f t="shared" si="16"/>
        <v>4048.6731505523176</v>
      </c>
      <c r="E317" s="319"/>
    </row>
    <row r="318" spans="2:5" ht="25.2" customHeight="1">
      <c r="B318" s="317">
        <f t="shared" si="14"/>
        <v>311</v>
      </c>
      <c r="C318" s="324">
        <f t="shared" si="15"/>
        <v>4060.1153016767289</v>
      </c>
      <c r="D318" s="324">
        <f t="shared" si="16"/>
        <v>4061.5235664305028</v>
      </c>
      <c r="E318" s="319"/>
    </row>
    <row r="319" spans="2:5" ht="25.2" customHeight="1">
      <c r="B319" s="317">
        <f t="shared" si="14"/>
        <v>312</v>
      </c>
      <c r="C319" s="324">
        <f t="shared" si="15"/>
        <v>4072.9657175549141</v>
      </c>
      <c r="D319" s="324">
        <f t="shared" si="16"/>
        <v>4074.373982308688</v>
      </c>
      <c r="E319" s="319"/>
    </row>
    <row r="320" spans="2:5" ht="25.2" customHeight="1">
      <c r="B320" s="317">
        <f t="shared" si="14"/>
        <v>313</v>
      </c>
      <c r="C320" s="324">
        <f t="shared" si="15"/>
        <v>4085.8161334330994</v>
      </c>
      <c r="D320" s="324">
        <f t="shared" si="16"/>
        <v>4087.2243981868733</v>
      </c>
      <c r="E320" s="319"/>
    </row>
    <row r="321" spans="2:5" ht="25.2" customHeight="1">
      <c r="B321" s="317">
        <f t="shared" si="14"/>
        <v>314</v>
      </c>
      <c r="C321" s="324">
        <f t="shared" si="15"/>
        <v>4098.6665493112841</v>
      </c>
      <c r="D321" s="324">
        <f t="shared" si="16"/>
        <v>4100.0748140650585</v>
      </c>
      <c r="E321" s="319"/>
    </row>
    <row r="322" spans="2:5" ht="25.2" customHeight="1">
      <c r="B322" s="317">
        <f t="shared" si="14"/>
        <v>315</v>
      </c>
      <c r="C322" s="324">
        <f t="shared" si="15"/>
        <v>4111.5169651894694</v>
      </c>
      <c r="D322" s="324">
        <f t="shared" si="16"/>
        <v>4112.9252299432437</v>
      </c>
      <c r="E322" s="319"/>
    </row>
    <row r="323" spans="2:5" ht="25.2" customHeight="1">
      <c r="B323" s="317">
        <f t="shared" si="14"/>
        <v>316</v>
      </c>
      <c r="C323" s="324">
        <f t="shared" si="15"/>
        <v>4124.3673810676546</v>
      </c>
      <c r="D323" s="324">
        <f t="shared" si="16"/>
        <v>4125.775645821429</v>
      </c>
      <c r="E323" s="319"/>
    </row>
    <row r="324" spans="2:5" ht="25.2" customHeight="1">
      <c r="B324" s="317">
        <f t="shared" si="14"/>
        <v>317</v>
      </c>
      <c r="C324" s="324">
        <f t="shared" si="15"/>
        <v>4137.2177969458398</v>
      </c>
      <c r="D324" s="324">
        <f t="shared" si="16"/>
        <v>4138.6260616996142</v>
      </c>
      <c r="E324" s="319"/>
    </row>
    <row r="325" spans="2:5" ht="25.2" customHeight="1">
      <c r="B325" s="317">
        <f t="shared" si="14"/>
        <v>318</v>
      </c>
      <c r="C325" s="324">
        <f t="shared" si="15"/>
        <v>4150.0682128240251</v>
      </c>
      <c r="D325" s="324">
        <f t="shared" si="16"/>
        <v>4151.4764775777994</v>
      </c>
      <c r="E325" s="319"/>
    </row>
    <row r="326" spans="2:5" ht="25.2" customHeight="1">
      <c r="B326" s="317">
        <f t="shared" si="14"/>
        <v>319</v>
      </c>
      <c r="C326" s="324">
        <f t="shared" si="15"/>
        <v>4162.9186287022103</v>
      </c>
      <c r="D326" s="324">
        <f t="shared" si="16"/>
        <v>4164.3268934559846</v>
      </c>
      <c r="E326" s="319"/>
    </row>
    <row r="327" spans="2:5" ht="25.2" customHeight="1">
      <c r="B327" s="317">
        <f t="shared" si="14"/>
        <v>320</v>
      </c>
      <c r="C327" s="324">
        <f t="shared" si="15"/>
        <v>4175.7690445803955</v>
      </c>
      <c r="D327" s="324">
        <f t="shared" si="16"/>
        <v>4177.1773093341699</v>
      </c>
      <c r="E327" s="319"/>
    </row>
    <row r="328" spans="2:5" ht="25.2" customHeight="1">
      <c r="B328" s="317">
        <f t="shared" si="14"/>
        <v>321</v>
      </c>
      <c r="C328" s="324">
        <f t="shared" si="15"/>
        <v>4188.6194604585808</v>
      </c>
      <c r="D328" s="324">
        <f t="shared" si="16"/>
        <v>4190.0277252123551</v>
      </c>
      <c r="E328" s="319"/>
    </row>
    <row r="329" spans="2:5" ht="25.2" customHeight="1">
      <c r="B329" s="317">
        <f t="shared" si="14"/>
        <v>322</v>
      </c>
      <c r="C329" s="324">
        <f t="shared" si="15"/>
        <v>4201.469876336766</v>
      </c>
      <c r="D329" s="324">
        <f t="shared" si="16"/>
        <v>4202.8781410905403</v>
      </c>
      <c r="E329" s="319"/>
    </row>
    <row r="330" spans="2:5" ht="25.2" customHeight="1">
      <c r="B330" s="317">
        <f t="shared" si="14"/>
        <v>323</v>
      </c>
      <c r="C330" s="324">
        <f t="shared" si="15"/>
        <v>4214.3202922149512</v>
      </c>
      <c r="D330" s="324">
        <f t="shared" si="16"/>
        <v>4215.7285569687256</v>
      </c>
      <c r="E330" s="319"/>
    </row>
    <row r="331" spans="2:5" ht="25.2" customHeight="1">
      <c r="B331" s="317">
        <f t="shared" si="14"/>
        <v>324</v>
      </c>
      <c r="C331" s="324">
        <f t="shared" si="15"/>
        <v>4227.1707080931365</v>
      </c>
      <c r="D331" s="324">
        <f t="shared" si="16"/>
        <v>4228.5789728469108</v>
      </c>
      <c r="E331" s="319"/>
    </row>
    <row r="332" spans="2:5" ht="25.2" customHeight="1">
      <c r="B332" s="317">
        <f t="shared" si="14"/>
        <v>325</v>
      </c>
      <c r="C332" s="324">
        <f t="shared" si="15"/>
        <v>4240.0211239713217</v>
      </c>
      <c r="D332" s="324">
        <f t="shared" si="16"/>
        <v>4241.429388725096</v>
      </c>
      <c r="E332" s="319"/>
    </row>
    <row r="333" spans="2:5" ht="25.2" customHeight="1">
      <c r="B333" s="317">
        <f t="shared" si="14"/>
        <v>326</v>
      </c>
      <c r="C333" s="324">
        <f t="shared" si="15"/>
        <v>4252.8715398495069</v>
      </c>
      <c r="D333" s="324">
        <f t="shared" si="16"/>
        <v>4254.2798046032813</v>
      </c>
      <c r="E333" s="319"/>
    </row>
    <row r="334" spans="2:5" ht="25.2" customHeight="1">
      <c r="B334" s="317">
        <f t="shared" si="14"/>
        <v>327</v>
      </c>
      <c r="C334" s="324">
        <f t="shared" si="15"/>
        <v>4265.7219557276921</v>
      </c>
      <c r="D334" s="324">
        <f t="shared" si="16"/>
        <v>4267.1302204814665</v>
      </c>
      <c r="E334" s="319"/>
    </row>
    <row r="335" spans="2:5" ht="25.2" customHeight="1">
      <c r="B335" s="317">
        <f t="shared" si="14"/>
        <v>328</v>
      </c>
      <c r="C335" s="324">
        <f t="shared" si="15"/>
        <v>4278.5723716058774</v>
      </c>
      <c r="D335" s="324">
        <f t="shared" si="16"/>
        <v>4279.9806363596517</v>
      </c>
      <c r="E335" s="319"/>
    </row>
    <row r="336" spans="2:5" ht="25.2" customHeight="1">
      <c r="B336" s="317">
        <f t="shared" si="14"/>
        <v>329</v>
      </c>
      <c r="C336" s="324">
        <f t="shared" si="15"/>
        <v>4291.4227874840626</v>
      </c>
      <c r="D336" s="324">
        <f t="shared" si="16"/>
        <v>4292.831052237837</v>
      </c>
      <c r="E336" s="319"/>
    </row>
    <row r="337" spans="2:5" ht="25.2" customHeight="1">
      <c r="B337" s="317">
        <f t="shared" si="14"/>
        <v>330</v>
      </c>
      <c r="C337" s="324">
        <f t="shared" si="15"/>
        <v>4304.2732033622478</v>
      </c>
      <c r="D337" s="324">
        <f t="shared" si="16"/>
        <v>4305.6814681160222</v>
      </c>
      <c r="E337" s="319"/>
    </row>
    <row r="338" spans="2:5" ht="25.2" customHeight="1">
      <c r="B338" s="317">
        <f t="shared" si="14"/>
        <v>331</v>
      </c>
      <c r="C338" s="324">
        <f t="shared" si="15"/>
        <v>4317.1236192404331</v>
      </c>
      <c r="D338" s="324">
        <f t="shared" si="16"/>
        <v>4318.5318839942074</v>
      </c>
      <c r="E338" s="319"/>
    </row>
    <row r="339" spans="2:5" ht="25.2" customHeight="1">
      <c r="B339" s="317">
        <f t="shared" si="14"/>
        <v>332</v>
      </c>
      <c r="C339" s="324">
        <f t="shared" si="15"/>
        <v>4329.9740351186183</v>
      </c>
      <c r="D339" s="324">
        <f t="shared" si="16"/>
        <v>4331.3822998723927</v>
      </c>
      <c r="E339" s="319"/>
    </row>
    <row r="340" spans="2:5" ht="25.2" customHeight="1">
      <c r="B340" s="317">
        <f t="shared" si="14"/>
        <v>333</v>
      </c>
      <c r="C340" s="324">
        <f t="shared" si="15"/>
        <v>4342.8244509968035</v>
      </c>
      <c r="D340" s="324">
        <f t="shared" si="16"/>
        <v>4344.2327157505779</v>
      </c>
      <c r="E340" s="319"/>
    </row>
    <row r="341" spans="2:5" ht="25.2" customHeight="1">
      <c r="B341" s="317">
        <f t="shared" si="14"/>
        <v>334</v>
      </c>
      <c r="C341" s="324">
        <f t="shared" si="15"/>
        <v>4355.6748668749888</v>
      </c>
      <c r="D341" s="324">
        <f t="shared" si="16"/>
        <v>4357.0831316287631</v>
      </c>
      <c r="E341" s="319"/>
    </row>
    <row r="342" spans="2:5" ht="25.2" customHeight="1">
      <c r="B342" s="317">
        <f t="shared" si="14"/>
        <v>335</v>
      </c>
      <c r="C342" s="324">
        <f t="shared" si="15"/>
        <v>4368.525282753174</v>
      </c>
      <c r="D342" s="324">
        <f t="shared" si="16"/>
        <v>4369.9335475069483</v>
      </c>
      <c r="E342" s="319"/>
    </row>
    <row r="343" spans="2:5" ht="25.2" customHeight="1">
      <c r="B343" s="317">
        <f t="shared" si="14"/>
        <v>336</v>
      </c>
      <c r="C343" s="324">
        <f t="shared" si="15"/>
        <v>4381.3756986313592</v>
      </c>
      <c r="D343" s="324">
        <f t="shared" si="16"/>
        <v>4382.7839633851336</v>
      </c>
      <c r="E343" s="319"/>
    </row>
    <row r="344" spans="2:5" ht="25.2" customHeight="1">
      <c r="B344" s="317">
        <f t="shared" si="14"/>
        <v>337</v>
      </c>
      <c r="C344" s="324">
        <f t="shared" si="15"/>
        <v>4394.2261145095445</v>
      </c>
      <c r="D344" s="324">
        <f t="shared" si="16"/>
        <v>4395.6343792633188</v>
      </c>
      <c r="E344" s="319"/>
    </row>
    <row r="345" spans="2:5" ht="25.2" customHeight="1">
      <c r="B345" s="317">
        <f t="shared" si="14"/>
        <v>338</v>
      </c>
      <c r="C345" s="324">
        <f t="shared" si="15"/>
        <v>4407.0765303877297</v>
      </c>
      <c r="D345" s="324">
        <f t="shared" si="16"/>
        <v>4408.484795141504</v>
      </c>
      <c r="E345" s="319"/>
    </row>
    <row r="346" spans="2:5" ht="25.2" customHeight="1">
      <c r="B346" s="317">
        <f t="shared" si="14"/>
        <v>339</v>
      </c>
      <c r="C346" s="324">
        <f t="shared" si="15"/>
        <v>4419.9269462659149</v>
      </c>
      <c r="D346" s="324">
        <f t="shared" si="16"/>
        <v>4421.3352110196893</v>
      </c>
      <c r="E346" s="319"/>
    </row>
    <row r="347" spans="2:5" ht="25.2" customHeight="1">
      <c r="B347" s="317">
        <f t="shared" si="14"/>
        <v>340</v>
      </c>
      <c r="C347" s="324">
        <f t="shared" si="15"/>
        <v>4432.7773621441002</v>
      </c>
      <c r="D347" s="324">
        <f t="shared" si="16"/>
        <v>4434.1856268978745</v>
      </c>
      <c r="E347" s="319"/>
    </row>
    <row r="348" spans="2:5" ht="25.2" customHeight="1">
      <c r="B348" s="317">
        <f t="shared" si="14"/>
        <v>341</v>
      </c>
      <c r="C348" s="324">
        <f t="shared" si="15"/>
        <v>4445.6277780222854</v>
      </c>
      <c r="D348" s="324">
        <f t="shared" si="16"/>
        <v>4447.0360427760597</v>
      </c>
      <c r="E348" s="319"/>
    </row>
    <row r="349" spans="2:5" ht="25.2" customHeight="1">
      <c r="B349" s="317">
        <f t="shared" si="14"/>
        <v>342</v>
      </c>
      <c r="C349" s="324">
        <f t="shared" si="15"/>
        <v>4458.4781939004706</v>
      </c>
      <c r="D349" s="324">
        <f t="shared" si="16"/>
        <v>4459.886458654245</v>
      </c>
      <c r="E349" s="319"/>
    </row>
    <row r="350" spans="2:5" ht="25.2" customHeight="1">
      <c r="B350" s="317">
        <f t="shared" si="14"/>
        <v>343</v>
      </c>
      <c r="C350" s="324">
        <f t="shared" si="15"/>
        <v>4471.3286097786558</v>
      </c>
      <c r="D350" s="324">
        <f t="shared" si="16"/>
        <v>4472.7368745324302</v>
      </c>
      <c r="E350" s="319"/>
    </row>
    <row r="351" spans="2:5" ht="25.2" customHeight="1">
      <c r="B351" s="317">
        <f t="shared" si="14"/>
        <v>344</v>
      </c>
      <c r="C351" s="324">
        <f t="shared" si="15"/>
        <v>4484.1790256568411</v>
      </c>
      <c r="D351" s="324">
        <f t="shared" si="16"/>
        <v>4485.5872904106154</v>
      </c>
      <c r="E351" s="319"/>
    </row>
    <row r="352" spans="2:5" ht="25.2" customHeight="1">
      <c r="B352" s="317">
        <f t="shared" si="14"/>
        <v>345</v>
      </c>
      <c r="C352" s="324">
        <f t="shared" si="15"/>
        <v>4497.0294415350263</v>
      </c>
      <c r="D352" s="324">
        <f t="shared" si="16"/>
        <v>4498.4377062888007</v>
      </c>
      <c r="E352" s="319"/>
    </row>
    <row r="353" spans="2:5" ht="25.2" customHeight="1">
      <c r="B353" s="317">
        <f t="shared" si="14"/>
        <v>346</v>
      </c>
      <c r="C353" s="324">
        <f t="shared" si="15"/>
        <v>4509.8798574132115</v>
      </c>
      <c r="D353" s="324">
        <f t="shared" si="16"/>
        <v>4511.2881221669859</v>
      </c>
      <c r="E353" s="319"/>
    </row>
    <row r="354" spans="2:5" ht="25.2" customHeight="1">
      <c r="B354" s="317">
        <f t="shared" si="14"/>
        <v>347</v>
      </c>
      <c r="C354" s="324">
        <f t="shared" si="15"/>
        <v>4522.7302732913968</v>
      </c>
      <c r="D354" s="324">
        <f t="shared" si="16"/>
        <v>4524.1385380451711</v>
      </c>
      <c r="E354" s="319"/>
    </row>
    <row r="355" spans="2:5" ht="25.2" customHeight="1">
      <c r="B355" s="317">
        <f t="shared" si="14"/>
        <v>348</v>
      </c>
      <c r="C355" s="324">
        <f t="shared" si="15"/>
        <v>4535.580689169582</v>
      </c>
      <c r="D355" s="324">
        <f t="shared" si="16"/>
        <v>4536.9889539233563</v>
      </c>
      <c r="E355" s="319"/>
    </row>
    <row r="356" spans="2:5" ht="25.2" customHeight="1">
      <c r="B356" s="317">
        <f t="shared" si="14"/>
        <v>349</v>
      </c>
      <c r="C356" s="324">
        <f t="shared" si="15"/>
        <v>4548.4311050477672</v>
      </c>
      <c r="D356" s="324">
        <f t="shared" si="16"/>
        <v>4549.8393698015416</v>
      </c>
      <c r="E356" s="319"/>
    </row>
    <row r="357" spans="2:5" ht="25.2" customHeight="1">
      <c r="B357" s="317">
        <f t="shared" si="14"/>
        <v>350</v>
      </c>
      <c r="C357" s="324">
        <f t="shared" si="15"/>
        <v>4561.2815209259525</v>
      </c>
      <c r="D357" s="324">
        <f t="shared" si="16"/>
        <v>4562.6897856797268</v>
      </c>
      <c r="E357" s="319"/>
    </row>
    <row r="358" spans="2:5" ht="25.2" customHeight="1">
      <c r="B358" s="317">
        <f t="shared" si="14"/>
        <v>351</v>
      </c>
      <c r="C358" s="324">
        <f t="shared" si="15"/>
        <v>4574.1319368041377</v>
      </c>
      <c r="D358" s="324">
        <f t="shared" si="16"/>
        <v>4575.540201557912</v>
      </c>
      <c r="E358" s="319"/>
    </row>
    <row r="359" spans="2:5" ht="25.2" customHeight="1">
      <c r="B359" s="317">
        <f t="shared" ref="B359:B422" si="17">B358+1</f>
        <v>352</v>
      </c>
      <c r="C359" s="324">
        <f t="shared" ref="C359:C422" si="18">C358+($P$13/$P$19)</f>
        <v>4586.9823526823229</v>
      </c>
      <c r="D359" s="324">
        <f t="shared" ref="D359:D422" si="19">D358+($Q$13/$P$19)</f>
        <v>4588.3906174360973</v>
      </c>
      <c r="E359" s="319"/>
    </row>
    <row r="360" spans="2:5" ht="25.2" customHeight="1">
      <c r="B360" s="317">
        <f t="shared" si="17"/>
        <v>353</v>
      </c>
      <c r="C360" s="324">
        <f t="shared" si="18"/>
        <v>4599.8327685605082</v>
      </c>
      <c r="D360" s="324">
        <f t="shared" si="19"/>
        <v>4601.2410333142825</v>
      </c>
      <c r="E360" s="319"/>
    </row>
    <row r="361" spans="2:5" ht="25.2" customHeight="1">
      <c r="B361" s="317">
        <f t="shared" si="17"/>
        <v>354</v>
      </c>
      <c r="C361" s="324">
        <f t="shared" si="18"/>
        <v>4612.6831844386934</v>
      </c>
      <c r="D361" s="324">
        <f t="shared" si="19"/>
        <v>4614.0914491924677</v>
      </c>
      <c r="E361" s="319"/>
    </row>
    <row r="362" spans="2:5" ht="25.2" customHeight="1">
      <c r="B362" s="317">
        <f t="shared" si="17"/>
        <v>355</v>
      </c>
      <c r="C362" s="324">
        <f t="shared" si="18"/>
        <v>4625.5336003168786</v>
      </c>
      <c r="D362" s="324">
        <f t="shared" si="19"/>
        <v>4626.941865070653</v>
      </c>
      <c r="E362" s="319"/>
    </row>
    <row r="363" spans="2:5" ht="25.2" customHeight="1">
      <c r="B363" s="317">
        <f t="shared" si="17"/>
        <v>356</v>
      </c>
      <c r="C363" s="324">
        <f t="shared" si="18"/>
        <v>4638.3840161950639</v>
      </c>
      <c r="D363" s="324">
        <f t="shared" si="19"/>
        <v>4639.7922809488382</v>
      </c>
      <c r="E363" s="319"/>
    </row>
    <row r="364" spans="2:5" ht="25.2" customHeight="1">
      <c r="B364" s="317">
        <f t="shared" si="17"/>
        <v>357</v>
      </c>
      <c r="C364" s="324">
        <f t="shared" si="18"/>
        <v>4651.2344320732491</v>
      </c>
      <c r="D364" s="324">
        <f t="shared" si="19"/>
        <v>4652.6426968270234</v>
      </c>
      <c r="E364" s="319"/>
    </row>
    <row r="365" spans="2:5" ht="25.2" customHeight="1">
      <c r="B365" s="317">
        <f t="shared" si="17"/>
        <v>358</v>
      </c>
      <c r="C365" s="324">
        <f t="shared" si="18"/>
        <v>4664.0848479514343</v>
      </c>
      <c r="D365" s="324">
        <f t="shared" si="19"/>
        <v>4665.4931127052087</v>
      </c>
      <c r="E365" s="319"/>
    </row>
    <row r="366" spans="2:5" ht="25.2" customHeight="1">
      <c r="B366" s="317">
        <f t="shared" si="17"/>
        <v>359</v>
      </c>
      <c r="C366" s="324">
        <f t="shared" si="18"/>
        <v>4676.9352638296195</v>
      </c>
      <c r="D366" s="324">
        <f t="shared" si="19"/>
        <v>4678.3435285833939</v>
      </c>
      <c r="E366" s="319"/>
    </row>
    <row r="367" spans="2:5" ht="25.2" customHeight="1">
      <c r="B367" s="317">
        <f t="shared" si="17"/>
        <v>360</v>
      </c>
      <c r="C367" s="324">
        <f t="shared" si="18"/>
        <v>4689.7856797078048</v>
      </c>
      <c r="D367" s="324">
        <f t="shared" si="19"/>
        <v>4691.1939444615791</v>
      </c>
      <c r="E367" s="319"/>
    </row>
    <row r="368" spans="2:5" ht="25.2" customHeight="1">
      <c r="B368" s="317">
        <f t="shared" si="17"/>
        <v>361</v>
      </c>
      <c r="C368" s="324">
        <f t="shared" si="18"/>
        <v>4702.63609558599</v>
      </c>
      <c r="D368" s="324">
        <f t="shared" si="19"/>
        <v>4704.0443603397644</v>
      </c>
      <c r="E368" s="319"/>
    </row>
    <row r="369" spans="2:5" ht="25.2" customHeight="1">
      <c r="B369" s="317">
        <f t="shared" si="17"/>
        <v>362</v>
      </c>
      <c r="C369" s="324">
        <f t="shared" si="18"/>
        <v>4715.4865114641752</v>
      </c>
      <c r="D369" s="324">
        <f t="shared" si="19"/>
        <v>4716.8947762179496</v>
      </c>
      <c r="E369" s="319"/>
    </row>
    <row r="370" spans="2:5" ht="25.2" customHeight="1">
      <c r="B370" s="317">
        <f t="shared" si="17"/>
        <v>363</v>
      </c>
      <c r="C370" s="324">
        <f t="shared" si="18"/>
        <v>4728.3369273423605</v>
      </c>
      <c r="D370" s="324">
        <f t="shared" si="19"/>
        <v>4729.7451920961348</v>
      </c>
      <c r="E370" s="319"/>
    </row>
    <row r="371" spans="2:5" ht="25.2" customHeight="1">
      <c r="B371" s="317">
        <f t="shared" si="17"/>
        <v>364</v>
      </c>
      <c r="C371" s="324">
        <f t="shared" si="18"/>
        <v>4741.1873432205457</v>
      </c>
      <c r="D371" s="324">
        <f t="shared" si="19"/>
        <v>4742.59560797432</v>
      </c>
      <c r="E371" s="319"/>
    </row>
    <row r="372" spans="2:5" ht="25.2" customHeight="1">
      <c r="B372" s="317">
        <f t="shared" si="17"/>
        <v>365</v>
      </c>
      <c r="C372" s="324">
        <f t="shared" si="18"/>
        <v>4754.0377590987309</v>
      </c>
      <c r="D372" s="324">
        <f t="shared" si="19"/>
        <v>4755.4460238525053</v>
      </c>
      <c r="E372" s="319"/>
    </row>
    <row r="373" spans="2:5" ht="25.2" customHeight="1">
      <c r="B373" s="317">
        <f t="shared" si="17"/>
        <v>366</v>
      </c>
      <c r="C373" s="324">
        <f t="shared" si="18"/>
        <v>4766.8881749769162</v>
      </c>
      <c r="D373" s="324">
        <f t="shared" si="19"/>
        <v>4768.2964397306905</v>
      </c>
      <c r="E373" s="319"/>
    </row>
    <row r="374" spans="2:5" ht="25.2" customHeight="1">
      <c r="B374" s="317">
        <f t="shared" si="17"/>
        <v>367</v>
      </c>
      <c r="C374" s="324">
        <f t="shared" si="18"/>
        <v>4779.7385908551014</v>
      </c>
      <c r="D374" s="324">
        <f t="shared" si="19"/>
        <v>4781.1468556088757</v>
      </c>
      <c r="E374" s="319"/>
    </row>
    <row r="375" spans="2:5" ht="25.2" customHeight="1">
      <c r="B375" s="317">
        <f t="shared" si="17"/>
        <v>368</v>
      </c>
      <c r="C375" s="324">
        <f t="shared" si="18"/>
        <v>4792.5890067332866</v>
      </c>
      <c r="D375" s="324">
        <f t="shared" si="19"/>
        <v>4793.997271487061</v>
      </c>
      <c r="E375" s="319"/>
    </row>
    <row r="376" spans="2:5" ht="25.2" customHeight="1">
      <c r="B376" s="317">
        <f t="shared" si="17"/>
        <v>369</v>
      </c>
      <c r="C376" s="324">
        <f t="shared" si="18"/>
        <v>4805.4394226114719</v>
      </c>
      <c r="D376" s="324">
        <f t="shared" si="19"/>
        <v>4806.8476873652462</v>
      </c>
      <c r="E376" s="319"/>
    </row>
    <row r="377" spans="2:5" ht="25.2" customHeight="1">
      <c r="B377" s="317">
        <f t="shared" si="17"/>
        <v>370</v>
      </c>
      <c r="C377" s="324">
        <f t="shared" si="18"/>
        <v>4818.2898384896571</v>
      </c>
      <c r="D377" s="324">
        <f t="shared" si="19"/>
        <v>4819.6981032434314</v>
      </c>
      <c r="E377" s="319"/>
    </row>
    <row r="378" spans="2:5" ht="25.2" customHeight="1">
      <c r="B378" s="317">
        <f t="shared" si="17"/>
        <v>371</v>
      </c>
      <c r="C378" s="324">
        <f t="shared" si="18"/>
        <v>4831.1402543678423</v>
      </c>
      <c r="D378" s="324">
        <f t="shared" si="19"/>
        <v>4832.5485191216167</v>
      </c>
      <c r="E378" s="319"/>
    </row>
    <row r="379" spans="2:5" ht="25.2" customHeight="1">
      <c r="B379" s="317">
        <f t="shared" si="17"/>
        <v>372</v>
      </c>
      <c r="C379" s="324">
        <f t="shared" si="18"/>
        <v>4843.9906702460275</v>
      </c>
      <c r="D379" s="324">
        <f t="shared" si="19"/>
        <v>4845.3989349998019</v>
      </c>
      <c r="E379" s="319"/>
    </row>
    <row r="380" spans="2:5" ht="25.2" customHeight="1">
      <c r="B380" s="317">
        <f t="shared" si="17"/>
        <v>373</v>
      </c>
      <c r="C380" s="324">
        <f t="shared" si="18"/>
        <v>4856.8410861242128</v>
      </c>
      <c r="D380" s="324">
        <f t="shared" si="19"/>
        <v>4858.2493508779871</v>
      </c>
      <c r="E380" s="319"/>
    </row>
    <row r="381" spans="2:5" ht="25.2" customHeight="1">
      <c r="B381" s="317">
        <f t="shared" si="17"/>
        <v>374</v>
      </c>
      <c r="C381" s="324">
        <f t="shared" si="18"/>
        <v>4869.691502002398</v>
      </c>
      <c r="D381" s="324">
        <f t="shared" si="19"/>
        <v>4871.0997667561724</v>
      </c>
      <c r="E381" s="319"/>
    </row>
    <row r="382" spans="2:5" ht="25.2" customHeight="1">
      <c r="B382" s="317">
        <f t="shared" si="17"/>
        <v>375</v>
      </c>
      <c r="C382" s="324">
        <f t="shared" si="18"/>
        <v>4882.5419178805832</v>
      </c>
      <c r="D382" s="324">
        <f t="shared" si="19"/>
        <v>4883.9501826343576</v>
      </c>
      <c r="E382" s="319"/>
    </row>
    <row r="383" spans="2:5" ht="25.2" customHeight="1">
      <c r="B383" s="317">
        <f t="shared" si="17"/>
        <v>376</v>
      </c>
      <c r="C383" s="324">
        <f t="shared" si="18"/>
        <v>4895.3923337587685</v>
      </c>
      <c r="D383" s="324">
        <f t="shared" si="19"/>
        <v>4896.8005985125428</v>
      </c>
      <c r="E383" s="319"/>
    </row>
    <row r="384" spans="2:5" ht="25.2" customHeight="1">
      <c r="B384" s="317">
        <f t="shared" si="17"/>
        <v>377</v>
      </c>
      <c r="C384" s="324">
        <f t="shared" si="18"/>
        <v>4908.2427496369537</v>
      </c>
      <c r="D384" s="324">
        <f t="shared" si="19"/>
        <v>4909.6510143907281</v>
      </c>
      <c r="E384" s="319"/>
    </row>
    <row r="385" spans="2:5" ht="25.2" customHeight="1">
      <c r="B385" s="317">
        <f t="shared" si="17"/>
        <v>378</v>
      </c>
      <c r="C385" s="324">
        <f t="shared" si="18"/>
        <v>4921.0931655151389</v>
      </c>
      <c r="D385" s="324">
        <f t="shared" si="19"/>
        <v>4922.5014302689133</v>
      </c>
      <c r="E385" s="319"/>
    </row>
    <row r="386" spans="2:5" ht="25.2" customHeight="1">
      <c r="B386" s="317">
        <f t="shared" si="17"/>
        <v>379</v>
      </c>
      <c r="C386" s="324">
        <f t="shared" si="18"/>
        <v>4933.9435813933242</v>
      </c>
      <c r="D386" s="324">
        <f t="shared" si="19"/>
        <v>4935.3518461470985</v>
      </c>
      <c r="E386" s="319"/>
    </row>
    <row r="387" spans="2:5" ht="25.2" customHeight="1">
      <c r="B387" s="317">
        <f t="shared" si="17"/>
        <v>380</v>
      </c>
      <c r="C387" s="324">
        <f t="shared" si="18"/>
        <v>4946.7939972715094</v>
      </c>
      <c r="D387" s="324">
        <f t="shared" si="19"/>
        <v>4948.2022620252837</v>
      </c>
      <c r="E387" s="319"/>
    </row>
    <row r="388" spans="2:5" ht="25.2" customHeight="1">
      <c r="B388" s="317">
        <f t="shared" si="17"/>
        <v>381</v>
      </c>
      <c r="C388" s="324">
        <f t="shared" si="18"/>
        <v>4959.6444131496946</v>
      </c>
      <c r="D388" s="324">
        <f t="shared" si="19"/>
        <v>4961.052677903469</v>
      </c>
      <c r="E388" s="319"/>
    </row>
    <row r="389" spans="2:5" ht="25.2" customHeight="1">
      <c r="B389" s="317">
        <f t="shared" si="17"/>
        <v>382</v>
      </c>
      <c r="C389" s="324">
        <f t="shared" si="18"/>
        <v>4972.4948290278799</v>
      </c>
      <c r="D389" s="324">
        <f t="shared" si="19"/>
        <v>4973.9030937816542</v>
      </c>
      <c r="E389" s="319"/>
    </row>
    <row r="390" spans="2:5" ht="25.2" customHeight="1">
      <c r="B390" s="317">
        <f t="shared" si="17"/>
        <v>383</v>
      </c>
      <c r="C390" s="324">
        <f t="shared" si="18"/>
        <v>4985.3452449060651</v>
      </c>
      <c r="D390" s="324">
        <f t="shared" si="19"/>
        <v>4986.7535096598394</v>
      </c>
      <c r="E390" s="319"/>
    </row>
    <row r="391" spans="2:5" ht="25.2" customHeight="1">
      <c r="B391" s="317">
        <f t="shared" si="17"/>
        <v>384</v>
      </c>
      <c r="C391" s="324">
        <f t="shared" si="18"/>
        <v>4998.1956607842503</v>
      </c>
      <c r="D391" s="324">
        <f t="shared" si="19"/>
        <v>4999.6039255380247</v>
      </c>
      <c r="E391" s="319"/>
    </row>
    <row r="392" spans="2:5" ht="25.2" customHeight="1">
      <c r="B392" s="317">
        <f t="shared" si="17"/>
        <v>385</v>
      </c>
      <c r="C392" s="324">
        <f t="shared" si="18"/>
        <v>5011.0460766624356</v>
      </c>
      <c r="D392" s="324">
        <f t="shared" si="19"/>
        <v>5012.4543414162099</v>
      </c>
      <c r="E392" s="319"/>
    </row>
    <row r="393" spans="2:5" ht="25.2" customHeight="1">
      <c r="B393" s="317">
        <f t="shared" si="17"/>
        <v>386</v>
      </c>
      <c r="C393" s="324">
        <f t="shared" si="18"/>
        <v>5023.8964925406208</v>
      </c>
      <c r="D393" s="324">
        <f t="shared" si="19"/>
        <v>5025.3047572943951</v>
      </c>
      <c r="E393" s="319"/>
    </row>
    <row r="394" spans="2:5" ht="25.2" customHeight="1">
      <c r="B394" s="317">
        <f t="shared" si="17"/>
        <v>387</v>
      </c>
      <c r="C394" s="324">
        <f t="shared" si="18"/>
        <v>5036.746908418806</v>
      </c>
      <c r="D394" s="324">
        <f t="shared" si="19"/>
        <v>5038.1551731725804</v>
      </c>
      <c r="E394" s="319"/>
    </row>
    <row r="395" spans="2:5" ht="25.2" customHeight="1">
      <c r="B395" s="317">
        <f t="shared" si="17"/>
        <v>388</v>
      </c>
      <c r="C395" s="324">
        <f t="shared" si="18"/>
        <v>5049.5973242969912</v>
      </c>
      <c r="D395" s="324">
        <f t="shared" si="19"/>
        <v>5051.0055890507656</v>
      </c>
      <c r="E395" s="319"/>
    </row>
    <row r="396" spans="2:5" ht="25.2" customHeight="1">
      <c r="B396" s="317">
        <f t="shared" si="17"/>
        <v>389</v>
      </c>
      <c r="C396" s="324">
        <f t="shared" si="18"/>
        <v>5062.4477401751765</v>
      </c>
      <c r="D396" s="324">
        <f t="shared" si="19"/>
        <v>5063.8560049289508</v>
      </c>
      <c r="E396" s="319"/>
    </row>
    <row r="397" spans="2:5" ht="25.2" customHeight="1">
      <c r="B397" s="317">
        <f t="shared" si="17"/>
        <v>390</v>
      </c>
      <c r="C397" s="324">
        <f t="shared" si="18"/>
        <v>5075.2981560533617</v>
      </c>
      <c r="D397" s="324">
        <f t="shared" si="19"/>
        <v>5076.7064208071361</v>
      </c>
      <c r="E397" s="319"/>
    </row>
    <row r="398" spans="2:5" ht="25.2" customHeight="1">
      <c r="B398" s="317">
        <f t="shared" si="17"/>
        <v>391</v>
      </c>
      <c r="C398" s="324">
        <f t="shared" si="18"/>
        <v>5088.1485719315469</v>
      </c>
      <c r="D398" s="324">
        <f t="shared" si="19"/>
        <v>5089.5568366853213</v>
      </c>
      <c r="E398" s="319"/>
    </row>
    <row r="399" spans="2:5" ht="25.2" customHeight="1">
      <c r="B399" s="317">
        <f t="shared" si="17"/>
        <v>392</v>
      </c>
      <c r="C399" s="324">
        <f t="shared" si="18"/>
        <v>5100.9989878097322</v>
      </c>
      <c r="D399" s="324">
        <f t="shared" si="19"/>
        <v>5102.4072525635065</v>
      </c>
      <c r="E399" s="319"/>
    </row>
    <row r="400" spans="2:5" ht="25.2" customHeight="1">
      <c r="B400" s="317">
        <f t="shared" si="17"/>
        <v>393</v>
      </c>
      <c r="C400" s="324">
        <f t="shared" si="18"/>
        <v>5113.8494036879174</v>
      </c>
      <c r="D400" s="324">
        <f t="shared" si="19"/>
        <v>5115.2576684416917</v>
      </c>
      <c r="E400" s="319"/>
    </row>
    <row r="401" spans="2:5" ht="25.2" customHeight="1">
      <c r="B401" s="317">
        <f t="shared" si="17"/>
        <v>394</v>
      </c>
      <c r="C401" s="324">
        <f t="shared" si="18"/>
        <v>5126.6998195661026</v>
      </c>
      <c r="D401" s="324">
        <f t="shared" si="19"/>
        <v>5128.108084319877</v>
      </c>
      <c r="E401" s="319"/>
    </row>
    <row r="402" spans="2:5" ht="25.2" customHeight="1">
      <c r="B402" s="317">
        <f t="shared" si="17"/>
        <v>395</v>
      </c>
      <c r="C402" s="324">
        <f t="shared" si="18"/>
        <v>5139.5502354442879</v>
      </c>
      <c r="D402" s="324">
        <f t="shared" si="19"/>
        <v>5140.9585001980622</v>
      </c>
      <c r="E402" s="319"/>
    </row>
    <row r="403" spans="2:5" ht="25.2" customHeight="1">
      <c r="B403" s="317">
        <f t="shared" si="17"/>
        <v>396</v>
      </c>
      <c r="C403" s="324">
        <f t="shared" si="18"/>
        <v>5152.4006513224731</v>
      </c>
      <c r="D403" s="324">
        <f t="shared" si="19"/>
        <v>5153.8089160762474</v>
      </c>
      <c r="E403" s="319"/>
    </row>
    <row r="404" spans="2:5" ht="25.2" customHeight="1">
      <c r="B404" s="317">
        <f t="shared" si="17"/>
        <v>397</v>
      </c>
      <c r="C404" s="324">
        <f t="shared" si="18"/>
        <v>5165.2510672006583</v>
      </c>
      <c r="D404" s="324">
        <f t="shared" si="19"/>
        <v>5166.6593319544327</v>
      </c>
      <c r="E404" s="319"/>
    </row>
    <row r="405" spans="2:5" ht="25.2" customHeight="1">
      <c r="B405" s="317">
        <f t="shared" si="17"/>
        <v>398</v>
      </c>
      <c r="C405" s="324">
        <f t="shared" si="18"/>
        <v>5178.1014830788436</v>
      </c>
      <c r="D405" s="324">
        <f t="shared" si="19"/>
        <v>5179.5097478326179</v>
      </c>
      <c r="E405" s="319"/>
    </row>
    <row r="406" spans="2:5" ht="25.2" customHeight="1">
      <c r="B406" s="317">
        <f t="shared" si="17"/>
        <v>399</v>
      </c>
      <c r="C406" s="324">
        <f t="shared" si="18"/>
        <v>5190.9518989570288</v>
      </c>
      <c r="D406" s="324">
        <f t="shared" si="19"/>
        <v>5192.3601637108031</v>
      </c>
      <c r="E406" s="319"/>
    </row>
    <row r="407" spans="2:5" ht="25.2" customHeight="1">
      <c r="B407" s="317">
        <f t="shared" si="17"/>
        <v>400</v>
      </c>
      <c r="C407" s="324">
        <f t="shared" si="18"/>
        <v>5203.802314835214</v>
      </c>
      <c r="D407" s="324">
        <f t="shared" si="19"/>
        <v>5205.2105795889884</v>
      </c>
      <c r="E407" s="319"/>
    </row>
    <row r="408" spans="2:5" ht="25.2" customHeight="1">
      <c r="B408" s="317">
        <f t="shared" si="17"/>
        <v>401</v>
      </c>
      <c r="C408" s="324">
        <f t="shared" si="18"/>
        <v>5216.6527307133993</v>
      </c>
      <c r="D408" s="324">
        <f t="shared" si="19"/>
        <v>5218.0609954671736</v>
      </c>
      <c r="E408" s="319"/>
    </row>
    <row r="409" spans="2:5" ht="25.2" customHeight="1">
      <c r="B409" s="317">
        <f t="shared" si="17"/>
        <v>402</v>
      </c>
      <c r="C409" s="324">
        <f t="shared" si="18"/>
        <v>5229.5031465915845</v>
      </c>
      <c r="D409" s="324">
        <f t="shared" si="19"/>
        <v>5230.9114113453588</v>
      </c>
      <c r="E409" s="319"/>
    </row>
    <row r="410" spans="2:5" ht="25.2" customHeight="1">
      <c r="B410" s="317">
        <f t="shared" si="17"/>
        <v>403</v>
      </c>
      <c r="C410" s="324">
        <f t="shared" si="18"/>
        <v>5242.3535624697697</v>
      </c>
      <c r="D410" s="324">
        <f t="shared" si="19"/>
        <v>5243.7618272235441</v>
      </c>
      <c r="E410" s="319"/>
    </row>
    <row r="411" spans="2:5" ht="25.2" customHeight="1">
      <c r="B411" s="317">
        <f t="shared" si="17"/>
        <v>404</v>
      </c>
      <c r="C411" s="324">
        <f t="shared" si="18"/>
        <v>5255.2039783479549</v>
      </c>
      <c r="D411" s="324">
        <f t="shared" si="19"/>
        <v>5256.6122431017293</v>
      </c>
      <c r="E411" s="319"/>
    </row>
    <row r="412" spans="2:5" ht="25.2" customHeight="1">
      <c r="B412" s="317">
        <f t="shared" si="17"/>
        <v>405</v>
      </c>
      <c r="C412" s="324">
        <f t="shared" si="18"/>
        <v>5268.0543942261402</v>
      </c>
      <c r="D412" s="324">
        <f t="shared" si="19"/>
        <v>5269.4626589799145</v>
      </c>
      <c r="E412" s="319"/>
    </row>
    <row r="413" spans="2:5" ht="25.2" customHeight="1">
      <c r="B413" s="317">
        <f t="shared" si="17"/>
        <v>406</v>
      </c>
      <c r="C413" s="324">
        <f t="shared" si="18"/>
        <v>5280.9048101043254</v>
      </c>
      <c r="D413" s="324">
        <f t="shared" si="19"/>
        <v>5282.3130748580998</v>
      </c>
      <c r="E413" s="319"/>
    </row>
    <row r="414" spans="2:5" ht="25.2" customHeight="1">
      <c r="B414" s="317">
        <f t="shared" si="17"/>
        <v>407</v>
      </c>
      <c r="C414" s="324">
        <f t="shared" si="18"/>
        <v>5293.7552259825106</v>
      </c>
      <c r="D414" s="324">
        <f t="shared" si="19"/>
        <v>5295.163490736285</v>
      </c>
      <c r="E414" s="319"/>
    </row>
    <row r="415" spans="2:5" ht="25.2" customHeight="1">
      <c r="B415" s="317">
        <f t="shared" si="17"/>
        <v>408</v>
      </c>
      <c r="C415" s="324">
        <f t="shared" si="18"/>
        <v>5306.6056418606959</v>
      </c>
      <c r="D415" s="324">
        <f t="shared" si="19"/>
        <v>5308.0139066144702</v>
      </c>
      <c r="E415" s="319"/>
    </row>
    <row r="416" spans="2:5" ht="25.2" customHeight="1">
      <c r="B416" s="317">
        <f t="shared" si="17"/>
        <v>409</v>
      </c>
      <c r="C416" s="324">
        <f t="shared" si="18"/>
        <v>5319.4560577388811</v>
      </c>
      <c r="D416" s="324">
        <f t="shared" si="19"/>
        <v>5320.8643224926554</v>
      </c>
      <c r="E416" s="319"/>
    </row>
    <row r="417" spans="2:5" ht="25.2" customHeight="1">
      <c r="B417" s="317">
        <f t="shared" si="17"/>
        <v>410</v>
      </c>
      <c r="C417" s="324">
        <f t="shared" si="18"/>
        <v>5332.3064736170663</v>
      </c>
      <c r="D417" s="324">
        <f t="shared" si="19"/>
        <v>5333.7147383708407</v>
      </c>
      <c r="E417" s="319"/>
    </row>
    <row r="418" spans="2:5" ht="25.2" customHeight="1">
      <c r="B418" s="317">
        <f t="shared" si="17"/>
        <v>411</v>
      </c>
      <c r="C418" s="324">
        <f t="shared" si="18"/>
        <v>5345.1568894952516</v>
      </c>
      <c r="D418" s="324">
        <f t="shared" si="19"/>
        <v>5346.5651542490259</v>
      </c>
      <c r="E418" s="319"/>
    </row>
    <row r="419" spans="2:5" ht="25.2" customHeight="1">
      <c r="B419" s="317">
        <f t="shared" si="17"/>
        <v>412</v>
      </c>
      <c r="C419" s="324">
        <f t="shared" si="18"/>
        <v>5358.0073053734368</v>
      </c>
      <c r="D419" s="324">
        <f t="shared" si="19"/>
        <v>5359.4155701272111</v>
      </c>
      <c r="E419" s="319"/>
    </row>
    <row r="420" spans="2:5" ht="25.2" customHeight="1">
      <c r="B420" s="317">
        <f t="shared" si="17"/>
        <v>413</v>
      </c>
      <c r="C420" s="324">
        <f t="shared" si="18"/>
        <v>5370.857721251622</v>
      </c>
      <c r="D420" s="324">
        <f t="shared" si="19"/>
        <v>5372.2659860053964</v>
      </c>
      <c r="E420" s="319"/>
    </row>
    <row r="421" spans="2:5" ht="25.2" customHeight="1">
      <c r="B421" s="317">
        <f t="shared" si="17"/>
        <v>414</v>
      </c>
      <c r="C421" s="324">
        <f t="shared" si="18"/>
        <v>5383.7081371298073</v>
      </c>
      <c r="D421" s="324">
        <f t="shared" si="19"/>
        <v>5385.1164018835816</v>
      </c>
      <c r="E421" s="319"/>
    </row>
    <row r="422" spans="2:5" ht="25.2" customHeight="1">
      <c r="B422" s="317">
        <f t="shared" si="17"/>
        <v>415</v>
      </c>
      <c r="C422" s="324">
        <f t="shared" si="18"/>
        <v>5396.5585530079925</v>
      </c>
      <c r="D422" s="324">
        <f t="shared" si="19"/>
        <v>5397.9668177617668</v>
      </c>
      <c r="E422" s="319"/>
    </row>
    <row r="423" spans="2:5" ht="25.2" customHeight="1">
      <c r="B423" s="317">
        <f t="shared" ref="B423:B486" si="20">B422+1</f>
        <v>416</v>
      </c>
      <c r="C423" s="324">
        <f t="shared" ref="C423:C486" si="21">C422+($P$13/$P$19)</f>
        <v>5409.4089688861777</v>
      </c>
      <c r="D423" s="324">
        <f t="shared" ref="D423:D486" si="22">D422+($Q$13/$P$19)</f>
        <v>5410.8172336399521</v>
      </c>
      <c r="E423" s="319"/>
    </row>
    <row r="424" spans="2:5" ht="25.2" customHeight="1">
      <c r="B424" s="317">
        <f t="shared" si="20"/>
        <v>417</v>
      </c>
      <c r="C424" s="324">
        <f t="shared" si="21"/>
        <v>5422.2593847643629</v>
      </c>
      <c r="D424" s="324">
        <f t="shared" si="22"/>
        <v>5423.6676495181373</v>
      </c>
      <c r="E424" s="319"/>
    </row>
    <row r="425" spans="2:5" ht="25.2" customHeight="1">
      <c r="B425" s="317">
        <f t="shared" si="20"/>
        <v>418</v>
      </c>
      <c r="C425" s="324">
        <f t="shared" si="21"/>
        <v>5435.1098006425482</v>
      </c>
      <c r="D425" s="324">
        <f t="shared" si="22"/>
        <v>5436.5180653963225</v>
      </c>
      <c r="E425" s="319"/>
    </row>
    <row r="426" spans="2:5" ht="25.2" customHeight="1">
      <c r="B426" s="317">
        <f t="shared" si="20"/>
        <v>419</v>
      </c>
      <c r="C426" s="324">
        <f t="shared" si="21"/>
        <v>5447.9602165207334</v>
      </c>
      <c r="D426" s="324">
        <f t="shared" si="22"/>
        <v>5449.3684812745078</v>
      </c>
      <c r="E426" s="319"/>
    </row>
    <row r="427" spans="2:5" ht="25.2" customHeight="1">
      <c r="B427" s="317">
        <f t="shared" si="20"/>
        <v>420</v>
      </c>
      <c r="C427" s="324">
        <f t="shared" si="21"/>
        <v>5460.8106323989186</v>
      </c>
      <c r="D427" s="324">
        <f t="shared" si="22"/>
        <v>5462.218897152693</v>
      </c>
      <c r="E427" s="319"/>
    </row>
    <row r="428" spans="2:5" ht="25.2" customHeight="1">
      <c r="B428" s="317">
        <f t="shared" si="20"/>
        <v>421</v>
      </c>
      <c r="C428" s="324">
        <f t="shared" si="21"/>
        <v>5473.6610482771039</v>
      </c>
      <c r="D428" s="324">
        <f t="shared" si="22"/>
        <v>5475.0693130308782</v>
      </c>
      <c r="E428" s="319"/>
    </row>
    <row r="429" spans="2:5" ht="25.2" customHeight="1">
      <c r="B429" s="317">
        <f t="shared" si="20"/>
        <v>422</v>
      </c>
      <c r="C429" s="324">
        <f t="shared" si="21"/>
        <v>5486.5114641552891</v>
      </c>
      <c r="D429" s="324">
        <f t="shared" si="22"/>
        <v>5487.9197289090635</v>
      </c>
      <c r="E429" s="319"/>
    </row>
    <row r="430" spans="2:5" ht="25.2" customHeight="1">
      <c r="B430" s="317">
        <f t="shared" si="20"/>
        <v>423</v>
      </c>
      <c r="C430" s="324">
        <f t="shared" si="21"/>
        <v>5499.3618800334743</v>
      </c>
      <c r="D430" s="324">
        <f t="shared" si="22"/>
        <v>5500.7701447872487</v>
      </c>
      <c r="E430" s="319"/>
    </row>
    <row r="431" spans="2:5" ht="25.2" customHeight="1">
      <c r="B431" s="317">
        <f t="shared" si="20"/>
        <v>424</v>
      </c>
      <c r="C431" s="324">
        <f t="shared" si="21"/>
        <v>5512.2122959116596</v>
      </c>
      <c r="D431" s="324">
        <f t="shared" si="22"/>
        <v>5513.6205606654339</v>
      </c>
      <c r="E431" s="319"/>
    </row>
    <row r="432" spans="2:5" ht="25.2" customHeight="1">
      <c r="B432" s="317">
        <f t="shared" si="20"/>
        <v>425</v>
      </c>
      <c r="C432" s="324">
        <f t="shared" si="21"/>
        <v>5525.0627117898448</v>
      </c>
      <c r="D432" s="324">
        <f t="shared" si="22"/>
        <v>5526.4709765436191</v>
      </c>
      <c r="E432" s="319"/>
    </row>
    <row r="433" spans="2:5" ht="25.2" customHeight="1">
      <c r="B433" s="317">
        <f t="shared" si="20"/>
        <v>426</v>
      </c>
      <c r="C433" s="324">
        <f t="shared" si="21"/>
        <v>5537.91312766803</v>
      </c>
      <c r="D433" s="324">
        <f t="shared" si="22"/>
        <v>5539.3213924218044</v>
      </c>
      <c r="E433" s="319"/>
    </row>
    <row r="434" spans="2:5" ht="25.2" customHeight="1">
      <c r="B434" s="317">
        <f t="shared" si="20"/>
        <v>427</v>
      </c>
      <c r="C434" s="324">
        <f t="shared" si="21"/>
        <v>5550.7635435462153</v>
      </c>
      <c r="D434" s="324">
        <f t="shared" si="22"/>
        <v>5552.1718082999896</v>
      </c>
      <c r="E434" s="319"/>
    </row>
    <row r="435" spans="2:5" ht="25.2" customHeight="1">
      <c r="B435" s="317">
        <f t="shared" si="20"/>
        <v>428</v>
      </c>
      <c r="C435" s="324">
        <f t="shared" si="21"/>
        <v>5563.6139594244005</v>
      </c>
      <c r="D435" s="324">
        <f t="shared" si="22"/>
        <v>5565.0222241781748</v>
      </c>
      <c r="E435" s="319"/>
    </row>
    <row r="436" spans="2:5" ht="25.2" customHeight="1">
      <c r="B436" s="317">
        <f t="shared" si="20"/>
        <v>429</v>
      </c>
      <c r="C436" s="324">
        <f t="shared" si="21"/>
        <v>5576.4643753025857</v>
      </c>
      <c r="D436" s="324">
        <f t="shared" si="22"/>
        <v>5577.8726400563601</v>
      </c>
      <c r="E436" s="319"/>
    </row>
    <row r="437" spans="2:5" ht="25.2" customHeight="1">
      <c r="B437" s="317">
        <f t="shared" si="20"/>
        <v>430</v>
      </c>
      <c r="C437" s="324">
        <f t="shared" si="21"/>
        <v>5589.314791180771</v>
      </c>
      <c r="D437" s="324">
        <f t="shared" si="22"/>
        <v>5590.7230559345453</v>
      </c>
      <c r="E437" s="319"/>
    </row>
    <row r="438" spans="2:5" ht="25.2" customHeight="1">
      <c r="B438" s="317">
        <f t="shared" si="20"/>
        <v>431</v>
      </c>
      <c r="C438" s="324">
        <f t="shared" si="21"/>
        <v>5602.1652070589562</v>
      </c>
      <c r="D438" s="324">
        <f t="shared" si="22"/>
        <v>5603.5734718127305</v>
      </c>
      <c r="E438" s="319"/>
    </row>
    <row r="439" spans="2:5" ht="25.2" customHeight="1">
      <c r="B439" s="317">
        <f t="shared" si="20"/>
        <v>432</v>
      </c>
      <c r="C439" s="324">
        <f t="shared" si="21"/>
        <v>5615.0156229371414</v>
      </c>
      <c r="D439" s="324">
        <f t="shared" si="22"/>
        <v>5616.4238876909158</v>
      </c>
      <c r="E439" s="319"/>
    </row>
    <row r="440" spans="2:5" ht="25.2" customHeight="1">
      <c r="B440" s="317">
        <f t="shared" si="20"/>
        <v>433</v>
      </c>
      <c r="C440" s="324">
        <f t="shared" si="21"/>
        <v>5627.8660388153266</v>
      </c>
      <c r="D440" s="324">
        <f t="shared" si="22"/>
        <v>5629.274303569101</v>
      </c>
      <c r="E440" s="319"/>
    </row>
    <row r="441" spans="2:5" ht="25.2" customHeight="1">
      <c r="B441" s="317">
        <f t="shared" si="20"/>
        <v>434</v>
      </c>
      <c r="C441" s="324">
        <f t="shared" si="21"/>
        <v>5640.7164546935119</v>
      </c>
      <c r="D441" s="324">
        <f t="shared" si="22"/>
        <v>5642.1247194472862</v>
      </c>
      <c r="E441" s="319"/>
    </row>
    <row r="442" spans="2:5" ht="25.2" customHeight="1">
      <c r="B442" s="317">
        <f t="shared" si="20"/>
        <v>435</v>
      </c>
      <c r="C442" s="324">
        <f t="shared" si="21"/>
        <v>5653.5668705716971</v>
      </c>
      <c r="D442" s="324">
        <f t="shared" si="22"/>
        <v>5654.9751353254715</v>
      </c>
      <c r="E442" s="319"/>
    </row>
    <row r="443" spans="2:5" ht="25.2" customHeight="1">
      <c r="B443" s="317">
        <f t="shared" si="20"/>
        <v>436</v>
      </c>
      <c r="C443" s="324">
        <f t="shared" si="21"/>
        <v>5666.4172864498823</v>
      </c>
      <c r="D443" s="324">
        <f t="shared" si="22"/>
        <v>5667.8255512036567</v>
      </c>
      <c r="E443" s="319"/>
    </row>
    <row r="444" spans="2:5" ht="25.2" customHeight="1">
      <c r="B444" s="317">
        <f t="shared" si="20"/>
        <v>437</v>
      </c>
      <c r="C444" s="324">
        <f t="shared" si="21"/>
        <v>5679.2677023280676</v>
      </c>
      <c r="D444" s="324">
        <f t="shared" si="22"/>
        <v>5680.6759670818419</v>
      </c>
      <c r="E444" s="319"/>
    </row>
    <row r="445" spans="2:5" ht="25.2" customHeight="1">
      <c r="B445" s="317">
        <f t="shared" si="20"/>
        <v>438</v>
      </c>
      <c r="C445" s="324">
        <f t="shared" si="21"/>
        <v>5692.1181182062528</v>
      </c>
      <c r="D445" s="324">
        <f t="shared" si="22"/>
        <v>5693.5263829600271</v>
      </c>
      <c r="E445" s="319"/>
    </row>
    <row r="446" spans="2:5" ht="25.2" customHeight="1">
      <c r="B446" s="317">
        <f t="shared" si="20"/>
        <v>439</v>
      </c>
      <c r="C446" s="324">
        <f t="shared" si="21"/>
        <v>5704.968534084438</v>
      </c>
      <c r="D446" s="324">
        <f t="shared" si="22"/>
        <v>5706.3767988382124</v>
      </c>
      <c r="E446" s="319"/>
    </row>
    <row r="447" spans="2:5" ht="25.2" customHeight="1">
      <c r="B447" s="317">
        <f t="shared" si="20"/>
        <v>440</v>
      </c>
      <c r="C447" s="324">
        <f t="shared" si="21"/>
        <v>5717.8189499626233</v>
      </c>
      <c r="D447" s="324">
        <f t="shared" si="22"/>
        <v>5719.2272147163976</v>
      </c>
      <c r="E447" s="319"/>
    </row>
    <row r="448" spans="2:5" ht="25.2" customHeight="1">
      <c r="B448" s="317">
        <f t="shared" si="20"/>
        <v>441</v>
      </c>
      <c r="C448" s="324">
        <f t="shared" si="21"/>
        <v>5730.6693658408085</v>
      </c>
      <c r="D448" s="324">
        <f t="shared" si="22"/>
        <v>5732.0776305945828</v>
      </c>
      <c r="E448" s="319"/>
    </row>
    <row r="449" spans="2:5" ht="25.2" customHeight="1">
      <c r="B449" s="317">
        <f t="shared" si="20"/>
        <v>442</v>
      </c>
      <c r="C449" s="324">
        <f t="shared" si="21"/>
        <v>5743.5197817189937</v>
      </c>
      <c r="D449" s="324">
        <f t="shared" si="22"/>
        <v>5744.9280464727681</v>
      </c>
      <c r="E449" s="319"/>
    </row>
    <row r="450" spans="2:5" ht="25.2" customHeight="1">
      <c r="B450" s="317">
        <f t="shared" si="20"/>
        <v>443</v>
      </c>
      <c r="C450" s="324">
        <f t="shared" si="21"/>
        <v>5756.370197597179</v>
      </c>
      <c r="D450" s="324">
        <f t="shared" si="22"/>
        <v>5757.7784623509533</v>
      </c>
      <c r="E450" s="319"/>
    </row>
    <row r="451" spans="2:5" ht="25.2" customHeight="1">
      <c r="B451" s="317">
        <f t="shared" si="20"/>
        <v>444</v>
      </c>
      <c r="C451" s="324">
        <f t="shared" si="21"/>
        <v>5769.2206134753642</v>
      </c>
      <c r="D451" s="324">
        <f t="shared" si="22"/>
        <v>5770.6288782291385</v>
      </c>
      <c r="E451" s="319"/>
    </row>
    <row r="452" spans="2:5" ht="25.2" customHeight="1">
      <c r="B452" s="317">
        <f t="shared" si="20"/>
        <v>445</v>
      </c>
      <c r="C452" s="324">
        <f t="shared" si="21"/>
        <v>5782.0710293535494</v>
      </c>
      <c r="D452" s="324">
        <f t="shared" si="22"/>
        <v>5783.4792941073238</v>
      </c>
      <c r="E452" s="319"/>
    </row>
    <row r="453" spans="2:5" ht="25.2" customHeight="1">
      <c r="B453" s="317">
        <f t="shared" si="20"/>
        <v>446</v>
      </c>
      <c r="C453" s="324">
        <f t="shared" si="21"/>
        <v>5794.9214452317347</v>
      </c>
      <c r="D453" s="324">
        <f t="shared" si="22"/>
        <v>5796.329709985509</v>
      </c>
      <c r="E453" s="319"/>
    </row>
    <row r="454" spans="2:5" ht="25.2" customHeight="1">
      <c r="B454" s="317">
        <f t="shared" si="20"/>
        <v>447</v>
      </c>
      <c r="C454" s="324">
        <f t="shared" si="21"/>
        <v>5807.7718611099199</v>
      </c>
      <c r="D454" s="324">
        <f t="shared" si="22"/>
        <v>5809.1801258636942</v>
      </c>
      <c r="E454" s="319"/>
    </row>
    <row r="455" spans="2:5" ht="25.2" customHeight="1">
      <c r="B455" s="317">
        <f t="shared" si="20"/>
        <v>448</v>
      </c>
      <c r="C455" s="324">
        <f t="shared" si="21"/>
        <v>5820.6222769881051</v>
      </c>
      <c r="D455" s="324">
        <f t="shared" si="22"/>
        <v>5822.0305417418795</v>
      </c>
      <c r="E455" s="319"/>
    </row>
    <row r="456" spans="2:5" ht="25.2" customHeight="1">
      <c r="B456" s="317">
        <f t="shared" si="20"/>
        <v>449</v>
      </c>
      <c r="C456" s="324">
        <f t="shared" si="21"/>
        <v>5833.4726928662903</v>
      </c>
      <c r="D456" s="324">
        <f t="shared" si="22"/>
        <v>5834.8809576200647</v>
      </c>
      <c r="E456" s="319"/>
    </row>
    <row r="457" spans="2:5" ht="25.2" customHeight="1">
      <c r="B457" s="317">
        <f t="shared" si="20"/>
        <v>450</v>
      </c>
      <c r="C457" s="324">
        <f t="shared" si="21"/>
        <v>5846.3231087444756</v>
      </c>
      <c r="D457" s="324">
        <f t="shared" si="22"/>
        <v>5847.7313734982499</v>
      </c>
      <c r="E457" s="319"/>
    </row>
    <row r="458" spans="2:5" ht="25.2" customHeight="1">
      <c r="B458" s="317">
        <f t="shared" si="20"/>
        <v>451</v>
      </c>
      <c r="C458" s="324">
        <f t="shared" si="21"/>
        <v>5859.1735246226608</v>
      </c>
      <c r="D458" s="324">
        <f t="shared" si="22"/>
        <v>5860.5817893764352</v>
      </c>
      <c r="E458" s="319"/>
    </row>
    <row r="459" spans="2:5" ht="25.2" customHeight="1">
      <c r="B459" s="317">
        <f t="shared" si="20"/>
        <v>452</v>
      </c>
      <c r="C459" s="324">
        <f t="shared" si="21"/>
        <v>5872.023940500846</v>
      </c>
      <c r="D459" s="324">
        <f t="shared" si="22"/>
        <v>5873.4322052546204</v>
      </c>
      <c r="E459" s="319"/>
    </row>
    <row r="460" spans="2:5" ht="25.2" customHeight="1">
      <c r="B460" s="317">
        <f t="shared" si="20"/>
        <v>453</v>
      </c>
      <c r="C460" s="324">
        <f t="shared" si="21"/>
        <v>5884.8743563790313</v>
      </c>
      <c r="D460" s="324">
        <f t="shared" si="22"/>
        <v>5886.2826211328056</v>
      </c>
      <c r="E460" s="319"/>
    </row>
    <row r="461" spans="2:5" ht="25.2" customHeight="1">
      <c r="B461" s="317">
        <f t="shared" si="20"/>
        <v>454</v>
      </c>
      <c r="C461" s="324">
        <f t="shared" si="21"/>
        <v>5897.7247722572165</v>
      </c>
      <c r="D461" s="324">
        <f t="shared" si="22"/>
        <v>5899.1330370109908</v>
      </c>
      <c r="E461" s="319"/>
    </row>
    <row r="462" spans="2:5" ht="25.2" customHeight="1">
      <c r="B462" s="317">
        <f t="shared" si="20"/>
        <v>455</v>
      </c>
      <c r="C462" s="324">
        <f t="shared" si="21"/>
        <v>5910.5751881354017</v>
      </c>
      <c r="D462" s="324">
        <f t="shared" si="22"/>
        <v>5911.9834528891761</v>
      </c>
      <c r="E462" s="319"/>
    </row>
    <row r="463" spans="2:5" ht="25.2" customHeight="1">
      <c r="B463" s="317">
        <f t="shared" si="20"/>
        <v>456</v>
      </c>
      <c r="C463" s="324">
        <f t="shared" si="21"/>
        <v>5923.425604013587</v>
      </c>
      <c r="D463" s="324">
        <f t="shared" si="22"/>
        <v>5924.8338687673613</v>
      </c>
      <c r="E463" s="319"/>
    </row>
    <row r="464" spans="2:5" ht="25.2" customHeight="1">
      <c r="B464" s="317">
        <f t="shared" si="20"/>
        <v>457</v>
      </c>
      <c r="C464" s="324">
        <f t="shared" si="21"/>
        <v>5936.2760198917722</v>
      </c>
      <c r="D464" s="324">
        <f t="shared" si="22"/>
        <v>5937.6842846455465</v>
      </c>
      <c r="E464" s="319"/>
    </row>
    <row r="465" spans="2:5" ht="25.2" customHeight="1">
      <c r="B465" s="317">
        <f t="shared" si="20"/>
        <v>458</v>
      </c>
      <c r="C465" s="324">
        <f t="shared" si="21"/>
        <v>5949.1264357699574</v>
      </c>
      <c r="D465" s="324">
        <f t="shared" si="22"/>
        <v>5950.5347005237318</v>
      </c>
      <c r="E465" s="319"/>
    </row>
    <row r="466" spans="2:5" ht="25.2" customHeight="1">
      <c r="B466" s="317">
        <f t="shared" si="20"/>
        <v>459</v>
      </c>
      <c r="C466" s="324">
        <f t="shared" si="21"/>
        <v>5961.9768516481427</v>
      </c>
      <c r="D466" s="324">
        <f t="shared" si="22"/>
        <v>5963.385116401917</v>
      </c>
      <c r="E466" s="319"/>
    </row>
    <row r="467" spans="2:5" ht="25.2" customHeight="1">
      <c r="B467" s="317">
        <f t="shared" si="20"/>
        <v>460</v>
      </c>
      <c r="C467" s="324">
        <f t="shared" si="21"/>
        <v>5974.8272675263279</v>
      </c>
      <c r="D467" s="324">
        <f t="shared" si="22"/>
        <v>5976.2355322801022</v>
      </c>
      <c r="E467" s="319"/>
    </row>
    <row r="468" spans="2:5" ht="25.2" customHeight="1">
      <c r="B468" s="317">
        <f t="shared" si="20"/>
        <v>461</v>
      </c>
      <c r="C468" s="324">
        <f t="shared" si="21"/>
        <v>5987.6776834045131</v>
      </c>
      <c r="D468" s="324">
        <f t="shared" si="22"/>
        <v>5989.0859481582875</v>
      </c>
      <c r="E468" s="319"/>
    </row>
    <row r="469" spans="2:5" ht="25.2" customHeight="1">
      <c r="B469" s="317">
        <f t="shared" si="20"/>
        <v>462</v>
      </c>
      <c r="C469" s="324">
        <f t="shared" si="21"/>
        <v>6000.5280992826983</v>
      </c>
      <c r="D469" s="324">
        <f t="shared" si="22"/>
        <v>6001.9363640364727</v>
      </c>
      <c r="E469" s="319"/>
    </row>
    <row r="470" spans="2:5" ht="25.2" customHeight="1">
      <c r="B470" s="317">
        <f t="shared" si="20"/>
        <v>463</v>
      </c>
      <c r="C470" s="324">
        <f t="shared" si="21"/>
        <v>6013.3785151608836</v>
      </c>
      <c r="D470" s="324">
        <f t="shared" si="22"/>
        <v>6014.7867799146579</v>
      </c>
      <c r="E470" s="319"/>
    </row>
    <row r="471" spans="2:5" ht="25.2" customHeight="1">
      <c r="B471" s="317">
        <f t="shared" si="20"/>
        <v>464</v>
      </c>
      <c r="C471" s="324">
        <f t="shared" si="21"/>
        <v>6026.2289310390688</v>
      </c>
      <c r="D471" s="324">
        <f t="shared" si="22"/>
        <v>6027.6371957928432</v>
      </c>
      <c r="E471" s="319"/>
    </row>
    <row r="472" spans="2:5" ht="25.2" customHeight="1">
      <c r="B472" s="317">
        <f t="shared" si="20"/>
        <v>465</v>
      </c>
      <c r="C472" s="324">
        <f t="shared" si="21"/>
        <v>6039.079346917254</v>
      </c>
      <c r="D472" s="324">
        <f t="shared" si="22"/>
        <v>6040.4876116710284</v>
      </c>
      <c r="E472" s="319"/>
    </row>
    <row r="473" spans="2:5" ht="25.2" customHeight="1">
      <c r="B473" s="317">
        <f t="shared" si="20"/>
        <v>466</v>
      </c>
      <c r="C473" s="324">
        <f t="shared" si="21"/>
        <v>6051.9297627954393</v>
      </c>
      <c r="D473" s="324">
        <f t="shared" si="22"/>
        <v>6053.3380275492136</v>
      </c>
      <c r="E473" s="319"/>
    </row>
    <row r="474" spans="2:5" ht="25.2" customHeight="1">
      <c r="B474" s="317">
        <f t="shared" si="20"/>
        <v>467</v>
      </c>
      <c r="C474" s="324">
        <f t="shared" si="21"/>
        <v>6064.7801786736245</v>
      </c>
      <c r="D474" s="324">
        <f t="shared" si="22"/>
        <v>6066.1884434273989</v>
      </c>
      <c r="E474" s="319"/>
    </row>
    <row r="475" spans="2:5" ht="25.2" customHeight="1">
      <c r="B475" s="317">
        <f t="shared" si="20"/>
        <v>468</v>
      </c>
      <c r="C475" s="324">
        <f t="shared" si="21"/>
        <v>6077.6305945518097</v>
      </c>
      <c r="D475" s="324">
        <f t="shared" si="22"/>
        <v>6079.0388593055841</v>
      </c>
      <c r="E475" s="319"/>
    </row>
    <row r="476" spans="2:5" ht="25.2" customHeight="1">
      <c r="B476" s="317">
        <f t="shared" si="20"/>
        <v>469</v>
      </c>
      <c r="C476" s="324">
        <f t="shared" si="21"/>
        <v>6090.481010429995</v>
      </c>
      <c r="D476" s="324">
        <f t="shared" si="22"/>
        <v>6091.8892751837693</v>
      </c>
      <c r="E476" s="319"/>
    </row>
    <row r="477" spans="2:5" ht="25.2" customHeight="1">
      <c r="B477" s="317">
        <f t="shared" si="20"/>
        <v>470</v>
      </c>
      <c r="C477" s="324">
        <f t="shared" si="21"/>
        <v>6103.3314263081802</v>
      </c>
      <c r="D477" s="324">
        <f t="shared" si="22"/>
        <v>6104.7396910619545</v>
      </c>
      <c r="E477" s="319"/>
    </row>
    <row r="478" spans="2:5" ht="25.2" customHeight="1">
      <c r="B478" s="317">
        <f t="shared" si="20"/>
        <v>471</v>
      </c>
      <c r="C478" s="324">
        <f t="shared" si="21"/>
        <v>6116.1818421863654</v>
      </c>
      <c r="D478" s="324">
        <f t="shared" si="22"/>
        <v>6117.5901069401398</v>
      </c>
      <c r="E478" s="319"/>
    </row>
    <row r="479" spans="2:5" ht="25.2" customHeight="1">
      <c r="B479" s="317">
        <f t="shared" si="20"/>
        <v>472</v>
      </c>
      <c r="C479" s="324">
        <f t="shared" si="21"/>
        <v>6129.0322580645507</v>
      </c>
      <c r="D479" s="324">
        <f t="shared" si="22"/>
        <v>6130.440522818325</v>
      </c>
      <c r="E479" s="319"/>
    </row>
    <row r="480" spans="2:5" ht="25.2" customHeight="1">
      <c r="B480" s="317">
        <f t="shared" si="20"/>
        <v>473</v>
      </c>
      <c r="C480" s="324">
        <f t="shared" si="21"/>
        <v>6141.8826739427359</v>
      </c>
      <c r="D480" s="324">
        <f t="shared" si="22"/>
        <v>6143.2909386965102</v>
      </c>
      <c r="E480" s="319"/>
    </row>
    <row r="481" spans="2:5" ht="25.2" customHeight="1">
      <c r="B481" s="317">
        <f t="shared" si="20"/>
        <v>474</v>
      </c>
      <c r="C481" s="324">
        <f t="shared" si="21"/>
        <v>6154.7330898209211</v>
      </c>
      <c r="D481" s="324">
        <f t="shared" si="22"/>
        <v>6156.1413545746955</v>
      </c>
      <c r="E481" s="319"/>
    </row>
    <row r="482" spans="2:5" ht="25.2" customHeight="1">
      <c r="B482" s="317">
        <f t="shared" si="20"/>
        <v>475</v>
      </c>
      <c r="C482" s="324">
        <f t="shared" si="21"/>
        <v>6167.5835056991064</v>
      </c>
      <c r="D482" s="324">
        <f t="shared" si="22"/>
        <v>6168.9917704528807</v>
      </c>
      <c r="E482" s="319"/>
    </row>
    <row r="483" spans="2:5" ht="25.2" customHeight="1">
      <c r="B483" s="317">
        <f t="shared" si="20"/>
        <v>476</v>
      </c>
      <c r="C483" s="324">
        <f t="shared" si="21"/>
        <v>6180.4339215772916</v>
      </c>
      <c r="D483" s="324">
        <f t="shared" si="22"/>
        <v>6181.8421863310659</v>
      </c>
      <c r="E483" s="319"/>
    </row>
    <row r="484" spans="2:5" ht="25.2" customHeight="1">
      <c r="B484" s="317">
        <f t="shared" si="20"/>
        <v>477</v>
      </c>
      <c r="C484" s="324">
        <f t="shared" si="21"/>
        <v>6193.2843374554768</v>
      </c>
      <c r="D484" s="324">
        <f t="shared" si="22"/>
        <v>6194.6926022092512</v>
      </c>
      <c r="E484" s="319"/>
    </row>
    <row r="485" spans="2:5" ht="25.2" customHeight="1">
      <c r="B485" s="317">
        <f t="shared" si="20"/>
        <v>478</v>
      </c>
      <c r="C485" s="324">
        <f t="shared" si="21"/>
        <v>6206.134753333662</v>
      </c>
      <c r="D485" s="324">
        <f t="shared" si="22"/>
        <v>6207.5430180874364</v>
      </c>
      <c r="E485" s="319"/>
    </row>
    <row r="486" spans="2:5" ht="25.2" customHeight="1">
      <c r="B486" s="317">
        <f t="shared" si="20"/>
        <v>479</v>
      </c>
      <c r="C486" s="324">
        <f t="shared" si="21"/>
        <v>6218.9851692118473</v>
      </c>
      <c r="D486" s="324">
        <f t="shared" si="22"/>
        <v>6220.3934339656216</v>
      </c>
      <c r="E486" s="319"/>
    </row>
    <row r="487" spans="2:5" ht="25.2" customHeight="1">
      <c r="B487" s="317">
        <f t="shared" ref="B487:B507" si="23">B486+1</f>
        <v>480</v>
      </c>
      <c r="C487" s="324">
        <f t="shared" ref="C487:C507" si="24">C486+($P$13/$P$19)</f>
        <v>6231.8355850900325</v>
      </c>
      <c r="D487" s="324">
        <f t="shared" ref="D487:D507" si="25">D486+($Q$13/$P$19)</f>
        <v>6233.2438498438069</v>
      </c>
      <c r="E487" s="319"/>
    </row>
    <row r="488" spans="2:5" ht="25.2" customHeight="1">
      <c r="B488" s="317">
        <f t="shared" si="23"/>
        <v>481</v>
      </c>
      <c r="C488" s="324">
        <f t="shared" si="24"/>
        <v>6244.6860009682177</v>
      </c>
      <c r="D488" s="324">
        <f t="shared" si="25"/>
        <v>6246.0942657219921</v>
      </c>
      <c r="E488" s="319"/>
    </row>
    <row r="489" spans="2:5" ht="25.2" customHeight="1">
      <c r="B489" s="317">
        <f t="shared" si="23"/>
        <v>482</v>
      </c>
      <c r="C489" s="324">
        <f t="shared" si="24"/>
        <v>6257.536416846403</v>
      </c>
      <c r="D489" s="324">
        <f t="shared" si="25"/>
        <v>6258.9446816001773</v>
      </c>
      <c r="E489" s="319"/>
    </row>
    <row r="490" spans="2:5" ht="25.2" customHeight="1">
      <c r="B490" s="317">
        <f t="shared" si="23"/>
        <v>483</v>
      </c>
      <c r="C490" s="324">
        <f t="shared" si="24"/>
        <v>6270.3868327245882</v>
      </c>
      <c r="D490" s="324">
        <f t="shared" si="25"/>
        <v>6271.7950974783625</v>
      </c>
      <c r="E490" s="319"/>
    </row>
    <row r="491" spans="2:5" ht="25.2" customHeight="1">
      <c r="B491" s="317">
        <f t="shared" si="23"/>
        <v>484</v>
      </c>
      <c r="C491" s="324">
        <f t="shared" si="24"/>
        <v>6283.2372486027734</v>
      </c>
      <c r="D491" s="324">
        <f t="shared" si="25"/>
        <v>6284.6455133565478</v>
      </c>
      <c r="E491" s="319"/>
    </row>
    <row r="492" spans="2:5" ht="25.2" customHeight="1">
      <c r="B492" s="317">
        <f t="shared" si="23"/>
        <v>485</v>
      </c>
      <c r="C492" s="324">
        <f t="shared" si="24"/>
        <v>6296.0876644809587</v>
      </c>
      <c r="D492" s="324">
        <f t="shared" si="25"/>
        <v>6297.495929234733</v>
      </c>
      <c r="E492" s="319"/>
    </row>
    <row r="493" spans="2:5" ht="25.2" customHeight="1">
      <c r="B493" s="317">
        <f t="shared" si="23"/>
        <v>486</v>
      </c>
      <c r="C493" s="324">
        <f t="shared" si="24"/>
        <v>6308.9380803591439</v>
      </c>
      <c r="D493" s="324">
        <f t="shared" si="25"/>
        <v>6310.3463451129182</v>
      </c>
      <c r="E493" s="319"/>
    </row>
    <row r="494" spans="2:5" ht="25.2" customHeight="1">
      <c r="B494" s="317">
        <f t="shared" si="23"/>
        <v>487</v>
      </c>
      <c r="C494" s="324">
        <f t="shared" si="24"/>
        <v>6321.7884962373291</v>
      </c>
      <c r="D494" s="324">
        <f t="shared" si="25"/>
        <v>6323.1967609911035</v>
      </c>
      <c r="E494" s="319"/>
    </row>
    <row r="495" spans="2:5" ht="25.2" customHeight="1">
      <c r="B495" s="317">
        <f t="shared" si="23"/>
        <v>488</v>
      </c>
      <c r="C495" s="324">
        <f t="shared" si="24"/>
        <v>6334.6389121155144</v>
      </c>
      <c r="D495" s="324">
        <f t="shared" si="25"/>
        <v>6336.0471768692887</v>
      </c>
      <c r="E495" s="319"/>
    </row>
    <row r="496" spans="2:5" ht="25.2" customHeight="1">
      <c r="B496" s="317">
        <f t="shared" si="23"/>
        <v>489</v>
      </c>
      <c r="C496" s="324">
        <f t="shared" si="24"/>
        <v>6347.4893279936996</v>
      </c>
      <c r="D496" s="324">
        <f t="shared" si="25"/>
        <v>6348.8975927474739</v>
      </c>
      <c r="E496" s="319"/>
    </row>
    <row r="497" spans="2:5" ht="25.2" customHeight="1">
      <c r="B497" s="317">
        <f t="shared" si="23"/>
        <v>490</v>
      </c>
      <c r="C497" s="324">
        <f t="shared" si="24"/>
        <v>6360.3397438718848</v>
      </c>
      <c r="D497" s="324">
        <f t="shared" si="25"/>
        <v>6361.7480086256592</v>
      </c>
      <c r="E497" s="319"/>
    </row>
    <row r="498" spans="2:5" ht="25.2" customHeight="1">
      <c r="B498" s="317">
        <f t="shared" si="23"/>
        <v>491</v>
      </c>
      <c r="C498" s="324">
        <f t="shared" si="24"/>
        <v>6373.1901597500701</v>
      </c>
      <c r="D498" s="324">
        <f t="shared" si="25"/>
        <v>6374.5984245038444</v>
      </c>
      <c r="E498" s="319"/>
    </row>
    <row r="499" spans="2:5" ht="25.2" customHeight="1">
      <c r="B499" s="317">
        <f t="shared" si="23"/>
        <v>492</v>
      </c>
      <c r="C499" s="324">
        <f t="shared" si="24"/>
        <v>6386.0405756282553</v>
      </c>
      <c r="D499" s="324">
        <f t="shared" si="25"/>
        <v>6387.4488403820296</v>
      </c>
      <c r="E499" s="319"/>
    </row>
    <row r="500" spans="2:5" ht="25.2" customHeight="1">
      <c r="B500" s="317">
        <f t="shared" si="23"/>
        <v>493</v>
      </c>
      <c r="C500" s="324">
        <f t="shared" si="24"/>
        <v>6398.8909915064405</v>
      </c>
      <c r="D500" s="324">
        <f t="shared" si="25"/>
        <v>6400.2992562602149</v>
      </c>
      <c r="E500" s="319"/>
    </row>
    <row r="501" spans="2:5" ht="25.2" customHeight="1">
      <c r="B501" s="317">
        <f t="shared" si="23"/>
        <v>494</v>
      </c>
      <c r="C501" s="324">
        <f t="shared" si="24"/>
        <v>6411.7414073846257</v>
      </c>
      <c r="D501" s="324">
        <f t="shared" si="25"/>
        <v>6413.1496721384001</v>
      </c>
      <c r="E501" s="319"/>
    </row>
    <row r="502" spans="2:5" ht="25.2" customHeight="1">
      <c r="B502" s="317">
        <f t="shared" si="23"/>
        <v>495</v>
      </c>
      <c r="C502" s="324">
        <f t="shared" si="24"/>
        <v>6424.591823262811</v>
      </c>
      <c r="D502" s="324">
        <f t="shared" si="25"/>
        <v>6426.0000880165853</v>
      </c>
      <c r="E502" s="319"/>
    </row>
    <row r="503" spans="2:5" ht="25.2" customHeight="1">
      <c r="B503" s="317">
        <f t="shared" si="23"/>
        <v>496</v>
      </c>
      <c r="C503" s="324">
        <f t="shared" si="24"/>
        <v>6437.4422391409962</v>
      </c>
      <c r="D503" s="324">
        <f t="shared" si="25"/>
        <v>6438.8505038947706</v>
      </c>
      <c r="E503" s="319"/>
    </row>
    <row r="504" spans="2:5" ht="25.2" customHeight="1">
      <c r="B504" s="317">
        <f t="shared" si="23"/>
        <v>497</v>
      </c>
      <c r="C504" s="324">
        <f t="shared" si="24"/>
        <v>6450.2926550191814</v>
      </c>
      <c r="D504" s="324">
        <f t="shared" si="25"/>
        <v>6451.7009197729558</v>
      </c>
      <c r="E504" s="319"/>
    </row>
    <row r="505" spans="2:5" ht="25.2" customHeight="1">
      <c r="B505" s="317">
        <f t="shared" si="23"/>
        <v>498</v>
      </c>
      <c r="C505" s="324">
        <f t="shared" si="24"/>
        <v>6463.1430708973667</v>
      </c>
      <c r="D505" s="324">
        <f t="shared" si="25"/>
        <v>6464.551335651141</v>
      </c>
      <c r="E505" s="319"/>
    </row>
    <row r="506" spans="2:5" ht="25.2" customHeight="1">
      <c r="B506" s="317">
        <f t="shared" si="23"/>
        <v>499</v>
      </c>
      <c r="C506" s="324">
        <f t="shared" si="24"/>
        <v>6475.9934867755519</v>
      </c>
      <c r="D506" s="324">
        <f t="shared" si="25"/>
        <v>6477.4017515293262</v>
      </c>
      <c r="E506" s="319"/>
    </row>
    <row r="507" spans="2:5" ht="25.2" customHeight="1">
      <c r="B507" s="317">
        <f t="shared" si="23"/>
        <v>500</v>
      </c>
      <c r="C507" s="324">
        <f t="shared" si="24"/>
        <v>6488.8439026537371</v>
      </c>
      <c r="D507" s="324">
        <f t="shared" si="25"/>
        <v>6490.2521674075115</v>
      </c>
      <c r="E507" s="319"/>
    </row>
  </sheetData>
  <sheetProtection password="83A3" sheet="1" objects="1" scenarios="1" selectLockedCells="1" selectUnlockedCells="1"/>
  <mergeCells count="10">
    <mergeCell ref="R3:R4"/>
    <mergeCell ref="S3:S4"/>
    <mergeCell ref="T3:T4"/>
    <mergeCell ref="B1:D1"/>
    <mergeCell ref="F1:H1"/>
    <mergeCell ref="N15:Q15"/>
    <mergeCell ref="N3:N6"/>
    <mergeCell ref="O3:O6"/>
    <mergeCell ref="P3:P6"/>
    <mergeCell ref="Q3:Q6"/>
  </mergeCells>
  <printOptions horizontalCentered="1" headings="1"/>
  <pageMargins left="0.39370078740157499" right="0.196850393700787" top="0.39370078740157499" bottom="0.196850393700787" header="9.8425196850393706E-2" footer="9.8425196850393706E-2"/>
  <pageSetup paperSize="9" orientation="portrait"/>
  <headerFooter alignWithMargins="0">
    <oddHeader>&amp;CPage &amp;P of &amp;N</oddHead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7" tint="-0.249977111117893"/>
  </sheetPr>
  <dimension ref="A1:J400"/>
  <sheetViews>
    <sheetView view="pageBreakPreview" topLeftCell="A274" workbookViewId="0">
      <selection activeCell="D274" sqref="D274"/>
    </sheetView>
  </sheetViews>
  <sheetFormatPr defaultColWidth="9.109375" defaultRowHeight="14.4"/>
  <cols>
    <col min="1" max="1" width="6.88671875" style="222" customWidth="1"/>
    <col min="2" max="2" width="11.44140625" style="223" customWidth="1"/>
    <col min="3" max="3" width="7.88671875" style="224" customWidth="1"/>
    <col min="4" max="4" width="41.88671875" style="224" customWidth="1"/>
    <col min="5" max="5" width="10.44140625" style="224" customWidth="1"/>
    <col min="6" max="6" width="6.109375" style="224" customWidth="1"/>
    <col min="7" max="7" width="12.44140625" style="225" customWidth="1"/>
    <col min="8" max="8" width="14" style="224" customWidth="1"/>
    <col min="9" max="16384" width="9.109375" style="224"/>
  </cols>
  <sheetData>
    <row r="1" spans="1:7" ht="28.2" customHeight="1">
      <c r="A1" s="3907" t="s">
        <v>2554</v>
      </c>
      <c r="B1" s="3907"/>
      <c r="C1" s="3907"/>
      <c r="D1" s="3907"/>
      <c r="E1" s="3907"/>
      <c r="F1" s="3907"/>
      <c r="G1" s="3907"/>
    </row>
    <row r="2" spans="1:7" s="220" customFormat="1" ht="30" customHeight="1">
      <c r="A2" s="3908" t="s">
        <v>1</v>
      </c>
      <c r="B2" s="3908"/>
      <c r="C2" s="3908"/>
      <c r="D2" s="3909" t="str">
        <f>'Input Data'!E1</f>
        <v xml:space="preserve">BT Renewal from Balabadraipally to Danamma Thanda of Gundumal Mandal in Narayanpet District </v>
      </c>
      <c r="E2" s="3910"/>
      <c r="F2" s="3910"/>
      <c r="G2" s="3910"/>
    </row>
    <row r="3" spans="1:7">
      <c r="A3" s="226" t="s">
        <v>2</v>
      </c>
      <c r="B3" s="3911" t="s">
        <v>3</v>
      </c>
      <c r="C3" s="3911"/>
      <c r="D3" s="226" t="s">
        <v>4</v>
      </c>
      <c r="E3" s="227" t="s">
        <v>5</v>
      </c>
      <c r="F3" s="227" t="s">
        <v>6</v>
      </c>
      <c r="G3" s="228" t="s">
        <v>7</v>
      </c>
    </row>
    <row r="4" spans="1:7" s="221" customFormat="1" ht="93.9" customHeight="1">
      <c r="A4" s="229">
        <v>1</v>
      </c>
      <c r="B4" s="3912" t="s">
        <v>2555</v>
      </c>
      <c r="C4" s="3912"/>
      <c r="D4" s="3912"/>
      <c r="E4" s="3912"/>
      <c r="F4" s="3912"/>
      <c r="G4" s="3912"/>
    </row>
    <row r="5" spans="1:7" s="221" customFormat="1" ht="18" customHeight="1">
      <c r="A5" s="230"/>
      <c r="B5" s="3913" t="s">
        <v>33</v>
      </c>
      <c r="C5" s="3913"/>
      <c r="D5" s="232" t="s">
        <v>34</v>
      </c>
      <c r="E5" s="233"/>
      <c r="F5" s="233"/>
      <c r="G5" s="234"/>
    </row>
    <row r="6" spans="1:7" s="221" customFormat="1" ht="18" customHeight="1">
      <c r="A6" s="230"/>
      <c r="B6" s="231" t="s">
        <v>893</v>
      </c>
      <c r="C6" s="231"/>
      <c r="D6" s="235" t="s">
        <v>2556</v>
      </c>
      <c r="E6" s="233"/>
      <c r="F6" s="233"/>
      <c r="G6" s="234"/>
    </row>
    <row r="7" spans="1:7" s="221" customFormat="1" ht="18" customHeight="1">
      <c r="A7" s="230"/>
      <c r="B7" s="3913" t="s">
        <v>35</v>
      </c>
      <c r="C7" s="3913"/>
      <c r="D7" s="3913"/>
      <c r="E7" s="233"/>
      <c r="F7" s="233"/>
      <c r="G7" s="234"/>
    </row>
    <row r="8" spans="1:7" s="221" customFormat="1" ht="18" customHeight="1">
      <c r="A8" s="230"/>
      <c r="B8" s="236" t="s">
        <v>36</v>
      </c>
      <c r="C8" s="232" t="s">
        <v>37</v>
      </c>
      <c r="D8" s="237"/>
      <c r="E8" s="233"/>
      <c r="F8" s="233"/>
      <c r="G8" s="234"/>
    </row>
    <row r="9" spans="1:7" s="221" customFormat="1" ht="18" customHeight="1">
      <c r="A9" s="230"/>
      <c r="B9" s="238">
        <v>0.32</v>
      </c>
      <c r="C9" s="238" t="s">
        <v>38</v>
      </c>
      <c r="D9" s="239" t="s">
        <v>14</v>
      </c>
      <c r="E9" s="238">
        <f>'SSR-rates'!K58</f>
        <v>575</v>
      </c>
      <c r="F9" s="226" t="s">
        <v>38</v>
      </c>
      <c r="G9" s="240">
        <f>ROUND(B9*E9,2)</f>
        <v>184</v>
      </c>
    </row>
    <row r="10" spans="1:7" s="221" customFormat="1" ht="18" customHeight="1">
      <c r="A10" s="230"/>
      <c r="B10" s="238">
        <v>8</v>
      </c>
      <c r="C10" s="238" t="s">
        <v>38</v>
      </c>
      <c r="D10" s="239" t="s">
        <v>16</v>
      </c>
      <c r="E10" s="238">
        <f>'SSR-rates'!K60</f>
        <v>575</v>
      </c>
      <c r="F10" s="226" t="s">
        <v>38</v>
      </c>
      <c r="G10" s="240">
        <f>ROUND(B10*E10,2)</f>
        <v>4600</v>
      </c>
    </row>
    <row r="11" spans="1:7" ht="18" customHeight="1">
      <c r="A11" s="236"/>
      <c r="B11" s="241">
        <f>'Input Data'!$D$23</f>
        <v>0</v>
      </c>
      <c r="C11" s="238"/>
      <c r="D11" s="237" t="s">
        <v>17</v>
      </c>
      <c r="E11" s="238">
        <f>SUM(G9:G10)</f>
        <v>4784</v>
      </c>
      <c r="F11" s="226"/>
      <c r="G11" s="240">
        <f>B11*E11</f>
        <v>0</v>
      </c>
    </row>
    <row r="12" spans="1:7" s="221" customFormat="1" ht="18" customHeight="1">
      <c r="A12" s="230"/>
      <c r="B12" s="236" t="s">
        <v>39</v>
      </c>
      <c r="C12" s="232" t="s">
        <v>40</v>
      </c>
      <c r="D12" s="239"/>
      <c r="E12" s="238"/>
      <c r="F12" s="226"/>
      <c r="G12" s="242">
        <f>SUM(G9:G11)</f>
        <v>4784</v>
      </c>
    </row>
    <row r="13" spans="1:7" s="221" customFormat="1" ht="28.8">
      <c r="A13" s="230"/>
      <c r="B13" s="243">
        <v>6</v>
      </c>
      <c r="C13" s="238" t="s">
        <v>41</v>
      </c>
      <c r="D13" s="244" t="s">
        <v>42</v>
      </c>
      <c r="E13" s="243">
        <f>'SSR-rates'!$K$64</f>
        <v>3557.7</v>
      </c>
      <c r="F13" s="243" t="s">
        <v>41</v>
      </c>
      <c r="G13" s="245">
        <f>ROUND(B13*E13,2)</f>
        <v>21346.2</v>
      </c>
    </row>
    <row r="14" spans="1:7" s="221" customFormat="1" ht="18" customHeight="1">
      <c r="A14" s="230"/>
      <c r="B14" s="238" t="s">
        <v>27</v>
      </c>
      <c r="C14" s="3914" t="s">
        <v>2557</v>
      </c>
      <c r="D14" s="3914"/>
      <c r="E14" s="238"/>
      <c r="F14" s="238"/>
      <c r="G14" s="247"/>
    </row>
    <row r="15" spans="1:7" s="221" customFormat="1" ht="18" customHeight="1">
      <c r="A15" s="248"/>
      <c r="B15" s="249">
        <f>'Input Data'!$D$24</f>
        <v>0.13614999999999999</v>
      </c>
      <c r="C15" s="232" t="str">
        <f>"Over head charges &amp; CP "&amp;'Input Data'!$D$24*100&amp;"%  on (A) + (B)"</f>
        <v>Over head charges &amp; CP 13.615%  on (A) + (B)</v>
      </c>
      <c r="D15" s="237"/>
      <c r="E15" s="250">
        <f>G13+G12</f>
        <v>26130.2</v>
      </c>
      <c r="F15" s="237"/>
      <c r="G15" s="240">
        <f>E15*B15</f>
        <v>3557.62673</v>
      </c>
    </row>
    <row r="16" spans="1:7" s="221" customFormat="1" ht="18" customHeight="1">
      <c r="A16" s="248"/>
      <c r="B16" s="251">
        <f>'Input Data'!$E$24</f>
        <v>0</v>
      </c>
      <c r="C16" s="252" t="s">
        <v>1093</v>
      </c>
      <c r="D16" s="237"/>
      <c r="E16" s="250">
        <f>E15+G15</f>
        <v>29687.826730000001</v>
      </c>
      <c r="F16" s="237"/>
      <c r="G16" s="240">
        <f>E16*B16</f>
        <v>0</v>
      </c>
    </row>
    <row r="17" spans="1:7" s="221" customFormat="1" ht="18" customHeight="1">
      <c r="A17" s="248"/>
      <c r="B17" s="236" t="s">
        <v>45</v>
      </c>
      <c r="C17" s="232" t="s">
        <v>46</v>
      </c>
      <c r="D17" s="237"/>
      <c r="E17" s="237"/>
      <c r="F17" s="237"/>
      <c r="G17" s="242">
        <f>G12+G13+G15+G16</f>
        <v>29687.826730000001</v>
      </c>
    </row>
    <row r="18" spans="1:7" s="221" customFormat="1" ht="18" customHeight="1">
      <c r="A18" s="230"/>
      <c r="B18" s="226"/>
      <c r="C18" s="239"/>
      <c r="D18" s="232" t="s">
        <v>2558</v>
      </c>
      <c r="E18" s="239"/>
      <c r="F18" s="239"/>
      <c r="G18" s="242">
        <f>SUM(G17:G17)</f>
        <v>29687.826730000001</v>
      </c>
    </row>
    <row r="19" spans="1:7" s="221" customFormat="1" ht="18" customHeight="1">
      <c r="A19" s="248"/>
      <c r="B19" s="226"/>
      <c r="C19" s="237"/>
      <c r="D19" s="237" t="s">
        <v>50</v>
      </c>
      <c r="E19" s="226"/>
      <c r="F19" s="226"/>
      <c r="G19" s="240">
        <f>G18/240</f>
        <v>123.69927804166667</v>
      </c>
    </row>
    <row r="20" spans="1:7" s="221" customFormat="1" ht="18" customHeight="1">
      <c r="A20" s="248"/>
      <c r="B20" s="226"/>
      <c r="C20" s="237"/>
      <c r="D20" s="237" t="s">
        <v>52</v>
      </c>
      <c r="E20" s="237"/>
      <c r="F20" s="237"/>
      <c r="G20" s="253">
        <f>G19</f>
        <v>123.69927804166667</v>
      </c>
    </row>
    <row r="21" spans="1:7" s="221" customFormat="1">
      <c r="A21" s="248"/>
      <c r="B21" s="226"/>
      <c r="C21" s="237"/>
      <c r="D21" s="237"/>
      <c r="E21" s="237"/>
      <c r="F21" s="237"/>
      <c r="G21" s="254" t="s">
        <v>53</v>
      </c>
    </row>
    <row r="22" spans="1:7" s="221" customFormat="1">
      <c r="A22" s="230"/>
      <c r="B22" s="231" t="s">
        <v>895</v>
      </c>
      <c r="C22" s="231"/>
      <c r="D22" s="235" t="s">
        <v>2559</v>
      </c>
      <c r="E22" s="233"/>
      <c r="F22" s="233"/>
      <c r="G22" s="234"/>
    </row>
    <row r="23" spans="1:7" s="221" customFormat="1">
      <c r="A23" s="230"/>
      <c r="B23" s="3913" t="s">
        <v>2560</v>
      </c>
      <c r="C23" s="3913"/>
      <c r="D23" s="3913"/>
      <c r="E23" s="233"/>
      <c r="F23" s="233"/>
      <c r="G23" s="234"/>
    </row>
    <row r="24" spans="1:7" s="221" customFormat="1">
      <c r="A24" s="230"/>
      <c r="B24" s="236" t="s">
        <v>36</v>
      </c>
      <c r="C24" s="232" t="s">
        <v>37</v>
      </c>
      <c r="D24" s="237"/>
      <c r="E24" s="233"/>
      <c r="F24" s="233"/>
      <c r="G24" s="234"/>
    </row>
    <row r="25" spans="1:7" s="221" customFormat="1">
      <c r="A25" s="230"/>
      <c r="B25" s="238">
        <v>0.32</v>
      </c>
      <c r="C25" s="238" t="s">
        <v>38</v>
      </c>
      <c r="D25" s="239" t="s">
        <v>14</v>
      </c>
      <c r="E25" s="238">
        <f>+E9</f>
        <v>575</v>
      </c>
      <c r="F25" s="226" t="s">
        <v>38</v>
      </c>
      <c r="G25" s="240">
        <f>ROUND(B25*E25,2)</f>
        <v>184</v>
      </c>
    </row>
    <row r="26" spans="1:7" s="221" customFormat="1">
      <c r="A26" s="230"/>
      <c r="B26" s="238">
        <v>8</v>
      </c>
      <c r="C26" s="238" t="s">
        <v>38</v>
      </c>
      <c r="D26" s="239" t="s">
        <v>16</v>
      </c>
      <c r="E26" s="238">
        <f>+E10</f>
        <v>575</v>
      </c>
      <c r="F26" s="226" t="s">
        <v>38</v>
      </c>
      <c r="G26" s="240">
        <f>ROUND(B26*E26,2)</f>
        <v>4600</v>
      </c>
    </row>
    <row r="27" spans="1:7">
      <c r="A27" s="236"/>
      <c r="B27" s="241">
        <f>'Input Data'!$D$23</f>
        <v>0</v>
      </c>
      <c r="C27" s="238"/>
      <c r="D27" s="237" t="s">
        <v>17</v>
      </c>
      <c r="E27" s="238">
        <f>SUM(G25:G26)</f>
        <v>4784</v>
      </c>
      <c r="F27" s="226"/>
      <c r="G27" s="240">
        <f>B27*E27</f>
        <v>0</v>
      </c>
    </row>
    <row r="28" spans="1:7" s="221" customFormat="1">
      <c r="A28" s="230"/>
      <c r="B28" s="238"/>
      <c r="C28" s="255"/>
      <c r="D28" s="239"/>
      <c r="E28" s="238"/>
      <c r="F28" s="226"/>
      <c r="G28" s="242">
        <f>SUM(G25:G27)</f>
        <v>4784</v>
      </c>
    </row>
    <row r="29" spans="1:7" s="221" customFormat="1">
      <c r="A29" s="230"/>
      <c r="B29" s="236" t="s">
        <v>39</v>
      </c>
      <c r="C29" s="232" t="s">
        <v>40</v>
      </c>
      <c r="D29" s="237"/>
      <c r="E29" s="239"/>
      <c r="F29" s="239"/>
      <c r="G29" s="247"/>
    </row>
    <row r="30" spans="1:7" s="221" customFormat="1" ht="28.8">
      <c r="A30" s="230"/>
      <c r="B30" s="243">
        <v>6</v>
      </c>
      <c r="C30" s="238" t="s">
        <v>41</v>
      </c>
      <c r="D30" s="244" t="s">
        <v>42</v>
      </c>
      <c r="E30" s="243">
        <f>'SSR-rates'!$K$64</f>
        <v>3557.7</v>
      </c>
      <c r="F30" s="243" t="s">
        <v>41</v>
      </c>
      <c r="G30" s="245">
        <f>ROUND(B30*E30,2)</f>
        <v>21346.2</v>
      </c>
    </row>
    <row r="31" spans="1:7" s="221" customFormat="1">
      <c r="A31" s="230"/>
      <c r="B31" s="238" t="s">
        <v>27</v>
      </c>
      <c r="C31" s="3914" t="s">
        <v>2557</v>
      </c>
      <c r="D31" s="3914"/>
      <c r="E31" s="238"/>
      <c r="F31" s="238"/>
      <c r="G31" s="247"/>
    </row>
    <row r="32" spans="1:7" s="221" customFormat="1">
      <c r="A32" s="248"/>
      <c r="B32" s="249">
        <f>'Input Data'!$D$24</f>
        <v>0.13614999999999999</v>
      </c>
      <c r="C32" s="232" t="str">
        <f>"Over head charges &amp; CP "&amp;'Input Data'!$D$24*100&amp;"%  on (A) + (B)"</f>
        <v>Over head charges &amp; CP 13.615%  on (A) + (B)</v>
      </c>
      <c r="D32" s="237"/>
      <c r="E32" s="250">
        <f>G30+G28</f>
        <v>26130.2</v>
      </c>
      <c r="F32" s="237"/>
      <c r="G32" s="240">
        <f>E32*B32</f>
        <v>3557.62673</v>
      </c>
    </row>
    <row r="33" spans="1:7" s="221" customFormat="1">
      <c r="A33" s="248"/>
      <c r="B33" s="236" t="s">
        <v>45</v>
      </c>
      <c r="C33" s="232" t="s">
        <v>46</v>
      </c>
      <c r="D33" s="237"/>
      <c r="E33" s="237"/>
      <c r="F33" s="237"/>
      <c r="G33" s="242">
        <f>G28+G30+G32</f>
        <v>29687.826730000001</v>
      </c>
    </row>
    <row r="34" spans="1:7" s="221" customFormat="1">
      <c r="A34" s="230"/>
      <c r="B34" s="226"/>
      <c r="C34" s="239"/>
      <c r="D34" s="232" t="s">
        <v>2561</v>
      </c>
      <c r="E34" s="239"/>
      <c r="F34" s="239"/>
      <c r="G34" s="242">
        <f>SUM(G33:G33)</f>
        <v>29687.826730000001</v>
      </c>
    </row>
    <row r="35" spans="1:7" s="221" customFormat="1">
      <c r="A35" s="248"/>
      <c r="B35" s="226"/>
      <c r="C35" s="237"/>
      <c r="D35" s="237" t="s">
        <v>50</v>
      </c>
      <c r="E35" s="226"/>
      <c r="F35" s="226"/>
      <c r="G35" s="240">
        <f>G34/210</f>
        <v>141.37060347619047</v>
      </c>
    </row>
    <row r="36" spans="1:7" s="221" customFormat="1">
      <c r="A36" s="248"/>
      <c r="B36" s="226"/>
      <c r="C36" s="237"/>
      <c r="D36" s="237" t="s">
        <v>52</v>
      </c>
      <c r="E36" s="237"/>
      <c r="F36" s="237"/>
      <c r="G36" s="253">
        <f>G35</f>
        <v>141.37060347619047</v>
      </c>
    </row>
    <row r="37" spans="1:7" s="221" customFormat="1">
      <c r="A37" s="248"/>
      <c r="B37" s="226"/>
      <c r="C37" s="237"/>
      <c r="D37" s="237"/>
      <c r="E37" s="237"/>
      <c r="F37" s="237"/>
      <c r="G37" s="254" t="s">
        <v>53</v>
      </c>
    </row>
    <row r="38" spans="1:7" s="221" customFormat="1">
      <c r="A38" s="230"/>
      <c r="B38" s="231" t="s">
        <v>897</v>
      </c>
      <c r="C38" s="231"/>
      <c r="D38" s="235" t="s">
        <v>2562</v>
      </c>
      <c r="E38" s="233"/>
      <c r="F38" s="233"/>
      <c r="G38" s="234"/>
    </row>
    <row r="39" spans="1:7" s="221" customFormat="1">
      <c r="A39" s="230"/>
      <c r="B39" s="3913" t="s">
        <v>1264</v>
      </c>
      <c r="C39" s="3913"/>
      <c r="D39" s="3913"/>
      <c r="E39" s="233"/>
      <c r="F39" s="233"/>
      <c r="G39" s="234"/>
    </row>
    <row r="40" spans="1:7" s="221" customFormat="1">
      <c r="A40" s="230"/>
      <c r="B40" s="236" t="s">
        <v>36</v>
      </c>
      <c r="C40" s="232" t="s">
        <v>37</v>
      </c>
      <c r="D40" s="237"/>
      <c r="E40" s="233"/>
      <c r="F40" s="233"/>
      <c r="G40" s="234"/>
    </row>
    <row r="41" spans="1:7" s="221" customFormat="1">
      <c r="A41" s="230"/>
      <c r="B41" s="256">
        <v>0.4</v>
      </c>
      <c r="C41" s="238" t="s">
        <v>38</v>
      </c>
      <c r="D41" s="239" t="s">
        <v>14</v>
      </c>
      <c r="E41" s="238">
        <f>+E25</f>
        <v>575</v>
      </c>
      <c r="F41" s="226" t="s">
        <v>38</v>
      </c>
      <c r="G41" s="240">
        <f>ROUND(B41*E41,2)</f>
        <v>230</v>
      </c>
    </row>
    <row r="42" spans="1:7" s="221" customFormat="1">
      <c r="A42" s="230"/>
      <c r="B42" s="256">
        <v>10</v>
      </c>
      <c r="C42" s="238" t="s">
        <v>38</v>
      </c>
      <c r="D42" s="239" t="s">
        <v>16</v>
      </c>
      <c r="E42" s="238">
        <f>+E26</f>
        <v>575</v>
      </c>
      <c r="F42" s="226" t="s">
        <v>38</v>
      </c>
      <c r="G42" s="240">
        <f>ROUND(B42*E42,2)</f>
        <v>5750</v>
      </c>
    </row>
    <row r="43" spans="1:7">
      <c r="A43" s="236"/>
      <c r="B43" s="241">
        <f>'Input Data'!$D$23</f>
        <v>0</v>
      </c>
      <c r="C43" s="255"/>
      <c r="D43" s="237" t="s">
        <v>17</v>
      </c>
      <c r="E43" s="238">
        <f>SUM(G41:G42)</f>
        <v>5980</v>
      </c>
      <c r="F43" s="226"/>
      <c r="G43" s="240">
        <f>B43*E43</f>
        <v>0</v>
      </c>
    </row>
    <row r="44" spans="1:7" s="221" customFormat="1">
      <c r="A44" s="230"/>
      <c r="B44" s="238"/>
      <c r="C44" s="255"/>
      <c r="D44" s="239"/>
      <c r="E44" s="238"/>
      <c r="F44" s="226"/>
      <c r="G44" s="242">
        <f>SUM(G41:G43)</f>
        <v>5980</v>
      </c>
    </row>
    <row r="45" spans="1:7" s="221" customFormat="1">
      <c r="A45" s="230"/>
      <c r="B45" s="236" t="s">
        <v>39</v>
      </c>
      <c r="C45" s="232" t="s">
        <v>40</v>
      </c>
      <c r="D45" s="237"/>
      <c r="E45" s="239"/>
      <c r="F45" s="239"/>
      <c r="G45" s="247"/>
    </row>
    <row r="46" spans="1:7" s="221" customFormat="1" ht="28.8">
      <c r="A46" s="230"/>
      <c r="B46" s="243">
        <v>6</v>
      </c>
      <c r="C46" s="238" t="s">
        <v>41</v>
      </c>
      <c r="D46" s="244" t="s">
        <v>42</v>
      </c>
      <c r="E46" s="243">
        <f>'SSR-rates'!$K$64</f>
        <v>3557.7</v>
      </c>
      <c r="F46" s="243" t="s">
        <v>41</v>
      </c>
      <c r="G46" s="245">
        <f>ROUND(B46*E46,2)</f>
        <v>21346.2</v>
      </c>
    </row>
    <row r="47" spans="1:7" s="221" customFormat="1">
      <c r="A47" s="230"/>
      <c r="B47" s="238" t="s">
        <v>27</v>
      </c>
      <c r="C47" s="3914" t="s">
        <v>2557</v>
      </c>
      <c r="D47" s="3914"/>
      <c r="E47" s="238"/>
      <c r="F47" s="238"/>
      <c r="G47" s="247"/>
    </row>
    <row r="48" spans="1:7" s="221" customFormat="1">
      <c r="A48" s="248"/>
      <c r="B48" s="249">
        <f>'Input Data'!$D$24</f>
        <v>0.13614999999999999</v>
      </c>
      <c r="C48" s="232" t="str">
        <f>"Over head charges &amp; CP "&amp;'Input Data'!$D$24*100&amp;"%  on (A) + (B)"</f>
        <v>Over head charges &amp; CP 13.615%  on (A) + (B)</v>
      </c>
      <c r="D48" s="237"/>
      <c r="E48" s="250">
        <f>G46+G44</f>
        <v>27326.2</v>
      </c>
      <c r="F48" s="237"/>
      <c r="G48" s="240">
        <f>E48*B48</f>
        <v>3720.4621299999999</v>
      </c>
    </row>
    <row r="49" spans="1:7" s="221" customFormat="1">
      <c r="A49" s="248"/>
      <c r="B49" s="236" t="s">
        <v>45</v>
      </c>
      <c r="C49" s="232" t="s">
        <v>46</v>
      </c>
      <c r="D49" s="237"/>
      <c r="E49" s="237"/>
      <c r="F49" s="237"/>
      <c r="G49" s="242">
        <f>G44+G46+G48</f>
        <v>31046.662130000001</v>
      </c>
    </row>
    <row r="50" spans="1:7" s="221" customFormat="1">
      <c r="A50" s="230"/>
      <c r="B50" s="226"/>
      <c r="C50" s="239"/>
      <c r="D50" s="232" t="s">
        <v>2561</v>
      </c>
      <c r="E50" s="239"/>
      <c r="F50" s="239"/>
      <c r="G50" s="242">
        <f>SUM(G49:G49)</f>
        <v>31046.662130000001</v>
      </c>
    </row>
    <row r="51" spans="1:7" s="221" customFormat="1">
      <c r="A51" s="248"/>
      <c r="B51" s="226"/>
      <c r="C51" s="237"/>
      <c r="D51" s="237" t="s">
        <v>50</v>
      </c>
      <c r="E51" s="226"/>
      <c r="F51" s="226"/>
      <c r="G51" s="240">
        <f>G50/180</f>
        <v>172.4814562777778</v>
      </c>
    </row>
    <row r="52" spans="1:7" s="221" customFormat="1">
      <c r="A52" s="230"/>
      <c r="B52" s="236"/>
      <c r="C52" s="230"/>
      <c r="D52" s="230"/>
      <c r="E52" s="230"/>
      <c r="F52" s="230"/>
      <c r="G52" s="257">
        <f>SUM(G51:G51)</f>
        <v>172.4814562777778</v>
      </c>
    </row>
    <row r="53" spans="1:7" s="221" customFormat="1">
      <c r="A53" s="248"/>
      <c r="B53" s="226"/>
      <c r="C53" s="237"/>
      <c r="D53" s="237" t="s">
        <v>52</v>
      </c>
      <c r="E53" s="237"/>
      <c r="F53" s="237"/>
      <c r="G53" s="253">
        <f>ROUND(G52,2)</f>
        <v>172.48</v>
      </c>
    </row>
    <row r="54" spans="1:7" s="221" customFormat="1">
      <c r="A54" s="248"/>
      <c r="B54" s="226"/>
      <c r="C54" s="237"/>
      <c r="D54" s="237"/>
      <c r="E54" s="237"/>
      <c r="F54" s="237"/>
      <c r="G54" s="254" t="s">
        <v>53</v>
      </c>
    </row>
    <row r="55" spans="1:7" s="221" customFormat="1" ht="33.75" customHeight="1">
      <c r="A55" s="229">
        <f>A4+1</f>
        <v>2</v>
      </c>
      <c r="B55" s="3912" t="s">
        <v>1182</v>
      </c>
      <c r="C55" s="3912"/>
      <c r="D55" s="3912"/>
      <c r="E55" s="3912"/>
      <c r="F55" s="3912"/>
      <c r="G55" s="3912"/>
    </row>
    <row r="56" spans="1:7" s="221" customFormat="1">
      <c r="A56" s="230"/>
      <c r="B56" s="3913" t="s">
        <v>33</v>
      </c>
      <c r="C56" s="3913"/>
      <c r="D56" s="232"/>
      <c r="E56" s="233"/>
      <c r="F56" s="233"/>
      <c r="G56" s="234"/>
    </row>
    <row r="57" spans="1:7" s="221" customFormat="1">
      <c r="A57" s="230"/>
      <c r="B57" s="3913" t="s">
        <v>2563</v>
      </c>
      <c r="C57" s="3913"/>
      <c r="D57" s="3913"/>
      <c r="E57" s="233"/>
      <c r="F57" s="233"/>
      <c r="G57" s="234"/>
    </row>
    <row r="58" spans="1:7" s="221" customFormat="1">
      <c r="A58" s="230"/>
      <c r="B58" s="236" t="s">
        <v>36</v>
      </c>
      <c r="C58" s="232" t="s">
        <v>37</v>
      </c>
      <c r="D58" s="237"/>
      <c r="E58" s="233"/>
      <c r="F58" s="233"/>
      <c r="G58" s="234"/>
    </row>
    <row r="59" spans="1:7" s="221" customFormat="1">
      <c r="A59" s="230"/>
      <c r="B59" s="238">
        <v>0.01</v>
      </c>
      <c r="C59" s="238" t="s">
        <v>38</v>
      </c>
      <c r="D59" s="239" t="s">
        <v>14</v>
      </c>
      <c r="E59" s="238">
        <f>+E78</f>
        <v>575</v>
      </c>
      <c r="F59" s="226" t="s">
        <v>38</v>
      </c>
      <c r="G59" s="240">
        <f>ROUND(B59*E59,2)</f>
        <v>5.75</v>
      </c>
    </row>
    <row r="60" spans="1:7" s="221" customFormat="1">
      <c r="A60" s="230"/>
      <c r="B60" s="238">
        <v>0.3</v>
      </c>
      <c r="C60" s="238" t="s">
        <v>38</v>
      </c>
      <c r="D60" s="239" t="s">
        <v>59</v>
      </c>
      <c r="E60" s="238">
        <f>+E10</f>
        <v>575</v>
      </c>
      <c r="F60" s="226" t="s">
        <v>38</v>
      </c>
      <c r="G60" s="240">
        <f>ROUND(B60*E60,2)</f>
        <v>172.5</v>
      </c>
    </row>
    <row r="61" spans="1:7">
      <c r="A61" s="236"/>
      <c r="B61" s="241">
        <f>'Input Data'!$D$23</f>
        <v>0</v>
      </c>
      <c r="C61" s="238"/>
      <c r="D61" s="237" t="s">
        <v>17</v>
      </c>
      <c r="E61" s="238">
        <f>SUM(G59:G60)</f>
        <v>178.25</v>
      </c>
      <c r="F61" s="226"/>
      <c r="G61" s="240">
        <f>B61*E61</f>
        <v>0</v>
      </c>
    </row>
    <row r="62" spans="1:7" s="221" customFormat="1">
      <c r="A62" s="230"/>
      <c r="B62" s="238"/>
      <c r="C62" s="255"/>
      <c r="D62" s="239"/>
      <c r="E62" s="238"/>
      <c r="F62" s="226"/>
      <c r="G62" s="242">
        <f>SUM(G59:G61)</f>
        <v>178.25</v>
      </c>
    </row>
    <row r="63" spans="1:7">
      <c r="A63" s="258"/>
      <c r="B63" s="236" t="s">
        <v>39</v>
      </c>
      <c r="C63" s="259" t="s">
        <v>61</v>
      </c>
      <c r="D63" s="237"/>
      <c r="E63" s="238"/>
      <c r="F63" s="238"/>
      <c r="G63" s="250"/>
    </row>
    <row r="64" spans="1:7">
      <c r="A64" s="258"/>
      <c r="B64" s="226">
        <v>1.2</v>
      </c>
      <c r="C64" s="226" t="s">
        <v>31</v>
      </c>
      <c r="D64" s="260" t="s">
        <v>2564</v>
      </c>
      <c r="E64" s="238">
        <f>+lead!$J$32</f>
        <v>759.07604629670379</v>
      </c>
      <c r="F64" s="238" t="s">
        <v>31</v>
      </c>
      <c r="G64" s="250">
        <f>ROUND(B64*E64,2)</f>
        <v>910.89</v>
      </c>
    </row>
    <row r="65" spans="1:8">
      <c r="A65" s="258"/>
      <c r="B65" s="238"/>
      <c r="C65" s="255"/>
      <c r="D65" s="250" t="s">
        <v>60</v>
      </c>
      <c r="E65" s="238"/>
      <c r="F65" s="238"/>
      <c r="G65" s="259">
        <f>SUM(G64:G64)</f>
        <v>910.89</v>
      </c>
    </row>
    <row r="66" spans="1:8" s="221" customFormat="1">
      <c r="A66" s="230"/>
      <c r="B66" s="238" t="s">
        <v>27</v>
      </c>
      <c r="C66" s="3914" t="s">
        <v>2557</v>
      </c>
      <c r="D66" s="3914"/>
      <c r="E66" s="238"/>
      <c r="F66" s="238"/>
      <c r="G66" s="247"/>
    </row>
    <row r="67" spans="1:8" s="221" customFormat="1">
      <c r="A67" s="248"/>
      <c r="B67" s="249">
        <f>'Input Data'!$D$24</f>
        <v>0.13614999999999999</v>
      </c>
      <c r="C67" s="232" t="str">
        <f>"Over head charges &amp; CP "&amp;'Input Data'!$D$24*100&amp;"%  on (A) + (B)"</f>
        <v>Over head charges &amp; CP 13.615%  on (A) + (B)</v>
      </c>
      <c r="D67" s="237"/>
      <c r="E67" s="250">
        <f>+G65+G62</f>
        <v>1089.1399999999999</v>
      </c>
      <c r="F67" s="237"/>
      <c r="G67" s="240">
        <f>E67*B67</f>
        <v>148.28641099999999</v>
      </c>
    </row>
    <row r="68" spans="1:8" s="221" customFormat="1">
      <c r="A68" s="248"/>
      <c r="B68" s="236" t="s">
        <v>45</v>
      </c>
      <c r="C68" s="232" t="s">
        <v>46</v>
      </c>
      <c r="D68" s="237"/>
      <c r="E68" s="237"/>
      <c r="F68" s="237"/>
      <c r="G68" s="242">
        <f>+E67+G67</f>
        <v>1237.4264109999999</v>
      </c>
    </row>
    <row r="69" spans="1:8" s="221" customFormat="1">
      <c r="A69" s="230"/>
      <c r="B69" s="226"/>
      <c r="C69" s="239"/>
      <c r="D69" s="232" t="s">
        <v>1637</v>
      </c>
      <c r="E69" s="239"/>
      <c r="F69" s="239"/>
      <c r="G69" s="242">
        <f>SUM(G68:G68)</f>
        <v>1237.4264109999999</v>
      </c>
    </row>
    <row r="70" spans="1:8" s="221" customFormat="1">
      <c r="A70" s="248"/>
      <c r="B70" s="226"/>
      <c r="C70" s="237"/>
      <c r="D70" s="237" t="s">
        <v>50</v>
      </c>
      <c r="E70" s="226"/>
      <c r="F70" s="226"/>
      <c r="G70" s="240">
        <f>G69</f>
        <v>1237.4264109999999</v>
      </c>
    </row>
    <row r="71" spans="1:8" s="221" customFormat="1">
      <c r="A71" s="230"/>
      <c r="B71" s="236"/>
      <c r="C71" s="230"/>
      <c r="D71" s="230"/>
      <c r="E71" s="230"/>
      <c r="F71" s="230"/>
      <c r="G71" s="257">
        <f>SUM(G70:G70)</f>
        <v>1237.4264109999999</v>
      </c>
    </row>
    <row r="72" spans="1:8" s="221" customFormat="1">
      <c r="A72" s="248"/>
      <c r="B72" s="226"/>
      <c r="C72" s="237"/>
      <c r="D72" s="237" t="s">
        <v>52</v>
      </c>
      <c r="E72" s="237"/>
      <c r="F72" s="237"/>
      <c r="G72" s="253">
        <f>ROUND(G71,2)</f>
        <v>1237.43</v>
      </c>
    </row>
    <row r="73" spans="1:8" s="221" customFormat="1">
      <c r="A73" s="248"/>
      <c r="B73" s="226"/>
      <c r="C73" s="237"/>
      <c r="D73" s="237"/>
      <c r="E73" s="237"/>
      <c r="F73" s="237"/>
      <c r="G73" s="254" t="s">
        <v>53</v>
      </c>
    </row>
    <row r="74" spans="1:8" ht="114" customHeight="1">
      <c r="A74" s="229">
        <v>3</v>
      </c>
      <c r="B74" s="3912" t="s">
        <v>1185</v>
      </c>
      <c r="C74" s="3912"/>
      <c r="D74" s="3912"/>
      <c r="E74" s="3912"/>
      <c r="F74" s="3912"/>
      <c r="G74" s="3912"/>
    </row>
    <row r="75" spans="1:8">
      <c r="A75" s="258"/>
      <c r="B75" s="238" t="s">
        <v>10</v>
      </c>
      <c r="C75" s="237"/>
      <c r="D75" s="232" t="s">
        <v>55</v>
      </c>
      <c r="E75" s="237"/>
      <c r="F75" s="237"/>
      <c r="G75" s="237"/>
    </row>
    <row r="76" spans="1:8">
      <c r="A76" s="258"/>
      <c r="B76" s="226"/>
      <c r="C76" s="237"/>
      <c r="D76" s="250" t="s">
        <v>56</v>
      </c>
      <c r="E76" s="237"/>
      <c r="F76" s="237"/>
      <c r="G76" s="237"/>
    </row>
    <row r="77" spans="1:8">
      <c r="A77" s="258"/>
      <c r="B77" s="236" t="s">
        <v>36</v>
      </c>
      <c r="C77" s="259" t="s">
        <v>37</v>
      </c>
      <c r="D77" s="237"/>
      <c r="E77" s="237"/>
      <c r="F77" s="237"/>
      <c r="G77" s="237"/>
    </row>
    <row r="78" spans="1:8">
      <c r="A78" s="258"/>
      <c r="B78" s="238">
        <v>0.86</v>
      </c>
      <c r="C78" s="226" t="s">
        <v>57</v>
      </c>
      <c r="D78" s="250" t="s">
        <v>14</v>
      </c>
      <c r="E78" s="238">
        <f>'SSR-rates'!$K$58</f>
        <v>575</v>
      </c>
      <c r="F78" s="226" t="s">
        <v>38</v>
      </c>
      <c r="G78" s="250">
        <f>ROUND(B78*E78,2)</f>
        <v>494.5</v>
      </c>
      <c r="H78" s="261"/>
    </row>
    <row r="79" spans="1:8">
      <c r="A79" s="258"/>
      <c r="B79" s="238">
        <v>1.5</v>
      </c>
      <c r="C79" s="226" t="s">
        <v>57</v>
      </c>
      <c r="D79" s="250" t="s">
        <v>58</v>
      </c>
      <c r="E79" s="238">
        <f>'SSR-rates'!$K$54</f>
        <v>615</v>
      </c>
      <c r="F79" s="226" t="s">
        <v>38</v>
      </c>
      <c r="G79" s="250">
        <f>ROUND(B79*E79,2)</f>
        <v>922.5</v>
      </c>
    </row>
    <row r="80" spans="1:8">
      <c r="A80" s="258"/>
      <c r="B80" s="238">
        <v>20</v>
      </c>
      <c r="C80" s="226" t="s">
        <v>57</v>
      </c>
      <c r="D80" s="250" t="s">
        <v>59</v>
      </c>
      <c r="E80" s="238">
        <f>'SSR-rates'!$K$60</f>
        <v>575</v>
      </c>
      <c r="F80" s="226" t="s">
        <v>38</v>
      </c>
      <c r="G80" s="250">
        <f>ROUND(B80*E80,2)</f>
        <v>11500</v>
      </c>
    </row>
    <row r="81" spans="1:7">
      <c r="A81" s="236"/>
      <c r="B81" s="241">
        <f>'Input Data'!$D$23</f>
        <v>0</v>
      </c>
      <c r="C81" s="255"/>
      <c r="D81" s="237" t="s">
        <v>17</v>
      </c>
      <c r="E81" s="238">
        <f>SUM(G78:G80)</f>
        <v>12917</v>
      </c>
      <c r="F81" s="226"/>
      <c r="G81" s="250">
        <f>B81*E81</f>
        <v>0</v>
      </c>
    </row>
    <row r="82" spans="1:7">
      <c r="A82" s="258"/>
      <c r="B82" s="238"/>
      <c r="C82" s="237"/>
      <c r="D82" s="250" t="s">
        <v>60</v>
      </c>
      <c r="E82" s="238"/>
      <c r="F82" s="238"/>
      <c r="G82" s="250">
        <f>SUM(G78:G81)</f>
        <v>12917</v>
      </c>
    </row>
    <row r="83" spans="1:7">
      <c r="A83" s="258"/>
      <c r="B83" s="236" t="s">
        <v>39</v>
      </c>
      <c r="C83" s="259" t="s">
        <v>61</v>
      </c>
      <c r="D83" s="237"/>
      <c r="E83" s="238"/>
      <c r="F83" s="238"/>
      <c r="G83" s="250"/>
    </row>
    <row r="84" spans="1:7">
      <c r="A84" s="258"/>
      <c r="B84" s="238">
        <v>8.1</v>
      </c>
      <c r="C84" s="226" t="s">
        <v>31</v>
      </c>
      <c r="D84" s="250" t="s">
        <v>62</v>
      </c>
      <c r="E84" s="238">
        <f>lead!$J$14</f>
        <v>1732.2187651278443</v>
      </c>
      <c r="F84" s="238" t="s">
        <v>31</v>
      </c>
      <c r="G84" s="250">
        <f t="shared" ref="G84:G89" si="0">ROUND(B84*E84,2)</f>
        <v>14030.97</v>
      </c>
    </row>
    <row r="85" spans="1:7">
      <c r="A85" s="258"/>
      <c r="B85" s="238">
        <v>4.05</v>
      </c>
      <c r="C85" s="226" t="s">
        <v>31</v>
      </c>
      <c r="D85" s="237" t="s">
        <v>63</v>
      </c>
      <c r="E85" s="238">
        <f>lead!$J$16</f>
        <v>2031.2187651278443</v>
      </c>
      <c r="F85" s="238" t="s">
        <v>31</v>
      </c>
      <c r="G85" s="250">
        <f t="shared" si="0"/>
        <v>8226.44</v>
      </c>
    </row>
    <row r="86" spans="1:7">
      <c r="A86" s="258"/>
      <c r="B86" s="238">
        <v>1.35</v>
      </c>
      <c r="C86" s="226" t="s">
        <v>31</v>
      </c>
      <c r="D86" s="237" t="s">
        <v>64</v>
      </c>
      <c r="E86" s="238">
        <f>lead!$J$18</f>
        <v>1780.2187651278443</v>
      </c>
      <c r="F86" s="238" t="s">
        <v>31</v>
      </c>
      <c r="G86" s="250">
        <f t="shared" si="0"/>
        <v>2403.3000000000002</v>
      </c>
    </row>
    <row r="87" spans="1:7" ht="28.8">
      <c r="A87" s="258"/>
      <c r="B87" s="238">
        <f>6.75/2</f>
        <v>3.375</v>
      </c>
      <c r="C87" s="226" t="s">
        <v>31</v>
      </c>
      <c r="D87" s="260" t="s">
        <v>1442</v>
      </c>
      <c r="E87" s="243">
        <f>lead!$J$31</f>
        <v>1850.9213132068826</v>
      </c>
      <c r="F87" s="238" t="s">
        <v>31</v>
      </c>
      <c r="G87" s="240">
        <f t="shared" si="0"/>
        <v>6246.86</v>
      </c>
    </row>
    <row r="88" spans="1:7">
      <c r="A88" s="258"/>
      <c r="B88" s="238">
        <f>6.75/2</f>
        <v>3.375</v>
      </c>
      <c r="C88" s="226" t="s">
        <v>31</v>
      </c>
      <c r="D88" s="260" t="s">
        <v>1443</v>
      </c>
      <c r="E88" s="243">
        <f>lead!$J$33</f>
        <v>1473.2187651278443</v>
      </c>
      <c r="F88" s="238" t="s">
        <v>31</v>
      </c>
      <c r="G88" s="240">
        <f t="shared" si="0"/>
        <v>4972.1099999999997</v>
      </c>
    </row>
    <row r="89" spans="1:7">
      <c r="A89" s="258"/>
      <c r="B89" s="238">
        <v>4.13</v>
      </c>
      <c r="C89" s="226" t="s">
        <v>66</v>
      </c>
      <c r="D89" s="250" t="s">
        <v>67</v>
      </c>
      <c r="E89" s="238">
        <f>+lead!$J$36</f>
        <v>5000</v>
      </c>
      <c r="F89" s="238" t="s">
        <v>66</v>
      </c>
      <c r="G89" s="250">
        <f t="shared" si="0"/>
        <v>20650</v>
      </c>
    </row>
    <row r="90" spans="1:7">
      <c r="A90" s="258"/>
      <c r="B90" s="238"/>
      <c r="C90" s="255"/>
      <c r="D90" s="250" t="s">
        <v>60</v>
      </c>
      <c r="E90" s="238"/>
      <c r="F90" s="238"/>
      <c r="G90" s="250">
        <f>SUM(G84:G89)</f>
        <v>56529.68</v>
      </c>
    </row>
    <row r="91" spans="1:7">
      <c r="A91" s="258"/>
      <c r="B91" s="236" t="s">
        <v>94</v>
      </c>
      <c r="C91" s="259" t="s">
        <v>40</v>
      </c>
      <c r="D91" s="237"/>
      <c r="E91" s="238"/>
      <c r="F91" s="238"/>
      <c r="G91" s="250"/>
    </row>
    <row r="92" spans="1:7">
      <c r="A92" s="258"/>
      <c r="B92" s="238">
        <v>6</v>
      </c>
      <c r="C92" s="226" t="s">
        <v>41</v>
      </c>
      <c r="D92" s="250" t="s">
        <v>68</v>
      </c>
      <c r="E92" s="238">
        <f>'SSR-rates'!$K$88</f>
        <v>697.9</v>
      </c>
      <c r="F92" s="238" t="s">
        <v>41</v>
      </c>
      <c r="G92" s="250">
        <f>ROUND(B92*E92,2)</f>
        <v>4187.3999999999996</v>
      </c>
    </row>
    <row r="93" spans="1:7">
      <c r="A93" s="258"/>
      <c r="B93" s="238">
        <v>6</v>
      </c>
      <c r="C93" s="226" t="s">
        <v>41</v>
      </c>
      <c r="D93" s="250" t="s">
        <v>69</v>
      </c>
      <c r="E93" s="238">
        <f>'SSR-rates'!$K$87</f>
        <v>1323.5</v>
      </c>
      <c r="F93" s="238" t="s">
        <v>41</v>
      </c>
      <c r="G93" s="250">
        <f>ROUND(B93*E93,2)</f>
        <v>7941</v>
      </c>
    </row>
    <row r="94" spans="1:7">
      <c r="A94" s="258"/>
      <c r="B94" s="238"/>
      <c r="C94" s="238"/>
      <c r="D94" s="250" t="s">
        <v>60</v>
      </c>
      <c r="E94" s="238"/>
      <c r="F94" s="238"/>
      <c r="G94" s="250">
        <f>SUM(G92:G93)</f>
        <v>12128.4</v>
      </c>
    </row>
    <row r="95" spans="1:7">
      <c r="A95" s="236"/>
      <c r="B95" s="236" t="s">
        <v>45</v>
      </c>
      <c r="C95" s="232" t="s">
        <v>95</v>
      </c>
      <c r="D95" s="237"/>
      <c r="E95" s="239"/>
      <c r="F95" s="239"/>
      <c r="G95" s="259"/>
    </row>
    <row r="96" spans="1:7">
      <c r="A96" s="236"/>
      <c r="B96" s="262">
        <v>0.04</v>
      </c>
      <c r="C96" s="238"/>
      <c r="D96" s="250" t="s">
        <v>146</v>
      </c>
      <c r="E96" s="239"/>
      <c r="F96" s="239"/>
      <c r="G96" s="250">
        <f>ROUND((G82+G90+G94)*B96,2)</f>
        <v>3263</v>
      </c>
    </row>
    <row r="97" spans="1:8">
      <c r="A97" s="236"/>
      <c r="B97" s="236" t="s">
        <v>47</v>
      </c>
      <c r="C97" s="232" t="s">
        <v>1092</v>
      </c>
      <c r="D97" s="237"/>
      <c r="E97" s="239"/>
      <c r="F97" s="239"/>
      <c r="G97" s="259"/>
    </row>
    <row r="98" spans="1:8">
      <c r="A98" s="236"/>
      <c r="B98" s="249">
        <f>'Input Data'!$D$24</f>
        <v>0.13614999999999999</v>
      </c>
      <c r="C98" s="3913" t="str">
        <f>"Over head charges &amp; CP "&amp;'Input Data'!$D$24*100&amp;"%  on (A) + (B) +(C) +(D)"</f>
        <v>Over head charges &amp; CP 13.615%  on (A) + (B) +(C) +(D)</v>
      </c>
      <c r="D98" s="3913"/>
      <c r="E98" s="255">
        <f>G96+G94+G90+G82</f>
        <v>84838.080000000002</v>
      </c>
      <c r="F98" s="239"/>
      <c r="G98" s="250">
        <f>E98*B98</f>
        <v>11550.704592</v>
      </c>
    </row>
    <row r="99" spans="1:8">
      <c r="A99" s="236"/>
      <c r="B99" s="251">
        <f>'Input Data'!$E$24</f>
        <v>0</v>
      </c>
      <c r="C99" s="252" t="s">
        <v>1093</v>
      </c>
      <c r="D99" s="231"/>
      <c r="E99" s="255">
        <f>E98+G98</f>
        <v>96388.784591999996</v>
      </c>
      <c r="F99" s="239"/>
      <c r="G99" s="250">
        <f>E99*B99</f>
        <v>0</v>
      </c>
    </row>
    <row r="100" spans="1:8">
      <c r="A100" s="236"/>
      <c r="B100" s="236" t="s">
        <v>76</v>
      </c>
      <c r="C100" s="232" t="s">
        <v>89</v>
      </c>
      <c r="D100" s="237"/>
      <c r="E100" s="239"/>
      <c r="F100" s="239"/>
      <c r="G100" s="259">
        <f>G82+G90+G94+G98+G96+G99</f>
        <v>96388.784591999982</v>
      </c>
    </row>
    <row r="101" spans="1:8">
      <c r="A101" s="258"/>
      <c r="B101" s="238"/>
      <c r="C101" s="239"/>
      <c r="D101" s="259" t="s">
        <v>1555</v>
      </c>
      <c r="E101" s="238"/>
      <c r="F101" s="238"/>
      <c r="G101" s="259">
        <f>SUM(G100:G100)</f>
        <v>96388.784591999982</v>
      </c>
    </row>
    <row r="102" spans="1:8">
      <c r="A102" s="258"/>
      <c r="B102" s="238"/>
      <c r="C102" s="239"/>
      <c r="D102" s="250" t="s">
        <v>81</v>
      </c>
      <c r="E102" s="238"/>
      <c r="F102" s="238"/>
      <c r="G102" s="250">
        <f>ROUND(G101/15,2)</f>
        <v>6425.92</v>
      </c>
    </row>
    <row r="103" spans="1:8">
      <c r="A103" s="258"/>
      <c r="B103" s="226"/>
      <c r="C103" s="237"/>
      <c r="D103" s="250" t="s">
        <v>52</v>
      </c>
      <c r="E103" s="238"/>
      <c r="F103" s="238"/>
      <c r="G103" s="263">
        <f>ROUND(G102,2)</f>
        <v>6425.92</v>
      </c>
    </row>
    <row r="104" spans="1:8">
      <c r="A104" s="258"/>
      <c r="B104" s="226"/>
      <c r="C104" s="237"/>
      <c r="D104" s="250"/>
      <c r="E104" s="238"/>
      <c r="F104" s="238"/>
      <c r="G104" s="242" t="s">
        <v>53</v>
      </c>
    </row>
    <row r="105" spans="1:8" ht="77.099999999999994" customHeight="1">
      <c r="A105" s="229">
        <f>A74+1</f>
        <v>4</v>
      </c>
      <c r="B105" s="3912" t="s">
        <v>2565</v>
      </c>
      <c r="C105" s="3912"/>
      <c r="D105" s="3912"/>
      <c r="E105" s="3912"/>
      <c r="F105" s="3912"/>
      <c r="G105" s="3912"/>
    </row>
    <row r="106" spans="1:8">
      <c r="A106" s="258"/>
      <c r="B106" s="238" t="s">
        <v>102</v>
      </c>
      <c r="C106" s="237"/>
      <c r="D106" s="232" t="s">
        <v>103</v>
      </c>
      <c r="E106" s="237"/>
      <c r="F106" s="237"/>
      <c r="G106" s="237"/>
    </row>
    <row r="107" spans="1:8">
      <c r="A107" s="258"/>
      <c r="B107" s="226"/>
      <c r="C107" s="237"/>
      <c r="D107" s="250" t="s">
        <v>104</v>
      </c>
      <c r="E107" s="237"/>
      <c r="F107" s="237"/>
      <c r="G107" s="237"/>
    </row>
    <row r="108" spans="1:8">
      <c r="A108" s="258"/>
      <c r="B108" s="226"/>
      <c r="C108" s="237"/>
      <c r="D108" s="263" t="s">
        <v>105</v>
      </c>
      <c r="E108" s="237"/>
      <c r="F108" s="237"/>
      <c r="G108" s="237"/>
    </row>
    <row r="109" spans="1:8">
      <c r="A109" s="258"/>
      <c r="B109" s="236" t="s">
        <v>36</v>
      </c>
      <c r="C109" s="259" t="s">
        <v>37</v>
      </c>
      <c r="D109" s="237"/>
      <c r="E109" s="237"/>
      <c r="F109" s="237"/>
      <c r="G109" s="237"/>
    </row>
    <row r="110" spans="1:8">
      <c r="A110" s="258"/>
      <c r="B110" s="238">
        <v>0.18</v>
      </c>
      <c r="C110" s="226" t="s">
        <v>106</v>
      </c>
      <c r="D110" s="250" t="s">
        <v>14</v>
      </c>
      <c r="E110" s="238">
        <f>'SSR-rates'!$K$58</f>
        <v>575</v>
      </c>
      <c r="F110" s="226" t="s">
        <v>38</v>
      </c>
      <c r="G110" s="240">
        <f>ROUND(B110*E110,2)</f>
        <v>103.5</v>
      </c>
      <c r="H110" s="261"/>
    </row>
    <row r="111" spans="1:8">
      <c r="A111" s="258"/>
      <c r="B111" s="238">
        <v>0.5</v>
      </c>
      <c r="C111" s="226" t="s">
        <v>106</v>
      </c>
      <c r="D111" s="250" t="s">
        <v>58</v>
      </c>
      <c r="E111" s="238">
        <f>'SSR-rates'!$K$54</f>
        <v>615</v>
      </c>
      <c r="F111" s="226" t="s">
        <v>38</v>
      </c>
      <c r="G111" s="240">
        <f t="shared" ref="G111:G112" si="1">ROUND(B111*E111,2)</f>
        <v>307.5</v>
      </c>
    </row>
    <row r="112" spans="1:8">
      <c r="A112" s="258"/>
      <c r="B112" s="238">
        <v>4</v>
      </c>
      <c r="C112" s="226" t="s">
        <v>106</v>
      </c>
      <c r="D112" s="250" t="s">
        <v>59</v>
      </c>
      <c r="E112" s="238">
        <f>'SSR-rates'!$K$60</f>
        <v>575</v>
      </c>
      <c r="F112" s="226" t="s">
        <v>38</v>
      </c>
      <c r="G112" s="240">
        <f t="shared" si="1"/>
        <v>2300</v>
      </c>
    </row>
    <row r="113" spans="1:7">
      <c r="A113" s="236"/>
      <c r="B113" s="241">
        <f>'Input Data'!$D$23</f>
        <v>0</v>
      </c>
      <c r="C113" s="255"/>
      <c r="D113" s="237" t="s">
        <v>17</v>
      </c>
      <c r="E113" s="238">
        <f>SUM(G110:G112)</f>
        <v>2711</v>
      </c>
      <c r="F113" s="226"/>
      <c r="G113" s="240">
        <f>B113*E113</f>
        <v>0</v>
      </c>
    </row>
    <row r="114" spans="1:7">
      <c r="A114" s="258"/>
      <c r="B114" s="238"/>
      <c r="C114" s="237"/>
      <c r="D114" s="250" t="s">
        <v>60</v>
      </c>
      <c r="E114" s="238"/>
      <c r="F114" s="238"/>
      <c r="G114" s="242">
        <f>SUM(G110:G113)</f>
        <v>2711</v>
      </c>
    </row>
    <row r="115" spans="1:7">
      <c r="A115" s="258"/>
      <c r="B115" s="236" t="s">
        <v>39</v>
      </c>
      <c r="C115" s="259" t="s">
        <v>61</v>
      </c>
      <c r="D115" s="237"/>
      <c r="E115" s="238"/>
      <c r="F115" s="238"/>
      <c r="G115" s="240"/>
    </row>
    <row r="116" spans="1:7" ht="28.8">
      <c r="A116" s="237"/>
      <c r="B116" s="226">
        <f>0.07/2</f>
        <v>3.5000000000000003E-2</v>
      </c>
      <c r="C116" s="238" t="s">
        <v>31</v>
      </c>
      <c r="D116" s="260" t="s">
        <v>1442</v>
      </c>
      <c r="E116" s="243">
        <f>lead!$J$31</f>
        <v>1850.9213132068826</v>
      </c>
      <c r="F116" s="238" t="s">
        <v>31</v>
      </c>
      <c r="G116" s="240">
        <f>ROUND(B116*E116,2)</f>
        <v>64.78</v>
      </c>
    </row>
    <row r="117" spans="1:7">
      <c r="A117" s="237"/>
      <c r="B117" s="226">
        <f>0.07/2</f>
        <v>3.5000000000000003E-2</v>
      </c>
      <c r="C117" s="238" t="s">
        <v>31</v>
      </c>
      <c r="D117" s="260" t="s">
        <v>1443</v>
      </c>
      <c r="E117" s="243">
        <f>lead!$J$33</f>
        <v>1473.2187651278443</v>
      </c>
      <c r="F117" s="238" t="s">
        <v>31</v>
      </c>
      <c r="G117" s="240">
        <f>ROUND(B117*E117,2)</f>
        <v>51.56</v>
      </c>
    </row>
    <row r="118" spans="1:7">
      <c r="A118" s="237"/>
      <c r="B118" s="226">
        <v>0.05</v>
      </c>
      <c r="C118" s="238" t="s">
        <v>66</v>
      </c>
      <c r="D118" s="237" t="s">
        <v>67</v>
      </c>
      <c r="E118" s="238">
        <f>+lead!$J$36</f>
        <v>5000</v>
      </c>
      <c r="F118" s="250" t="s">
        <v>66</v>
      </c>
      <c r="G118" s="240">
        <f t="shared" ref="G118:G120" si="2">ROUND(B118*E118,2)</f>
        <v>250</v>
      </c>
    </row>
    <row r="119" spans="1:7">
      <c r="A119" s="258"/>
      <c r="B119" s="238">
        <v>12.5</v>
      </c>
      <c r="C119" s="226" t="s">
        <v>107</v>
      </c>
      <c r="D119" s="250" t="s">
        <v>108</v>
      </c>
      <c r="E119" s="238">
        <f>+lead!J44</f>
        <v>11424.926958148131</v>
      </c>
      <c r="F119" s="238" t="s">
        <v>107</v>
      </c>
      <c r="G119" s="240">
        <f t="shared" si="2"/>
        <v>142811.59</v>
      </c>
    </row>
    <row r="120" spans="1:7">
      <c r="A120" s="258"/>
      <c r="B120" s="238">
        <v>4</v>
      </c>
      <c r="C120" s="226" t="s">
        <v>106</v>
      </c>
      <c r="D120" s="250" t="s">
        <v>108</v>
      </c>
      <c r="E120" s="238">
        <f>+lead!J52</f>
        <v>1252.68</v>
      </c>
      <c r="F120" s="238" t="s">
        <v>241</v>
      </c>
      <c r="G120" s="240">
        <f t="shared" si="2"/>
        <v>5010.72</v>
      </c>
    </row>
    <row r="121" spans="1:7">
      <c r="A121" s="258"/>
      <c r="B121" s="238"/>
      <c r="C121" s="255"/>
      <c r="D121" s="250" t="s">
        <v>60</v>
      </c>
      <c r="E121" s="238"/>
      <c r="F121" s="238"/>
      <c r="G121" s="242">
        <f>SUM(G116:G120)</f>
        <v>148188.65</v>
      </c>
    </row>
    <row r="122" spans="1:7">
      <c r="A122" s="236"/>
      <c r="B122" s="236" t="s">
        <v>27</v>
      </c>
      <c r="C122" s="232" t="s">
        <v>1092</v>
      </c>
      <c r="D122" s="237"/>
      <c r="E122" s="239"/>
      <c r="F122" s="239"/>
      <c r="G122" s="264"/>
    </row>
    <row r="123" spans="1:7">
      <c r="A123" s="236"/>
      <c r="B123" s="249">
        <f>'Input Data'!$D$24</f>
        <v>0.13614999999999999</v>
      </c>
      <c r="C123" s="255"/>
      <c r="D123" s="250" t="str">
        <f>"Over head charges "&amp;'Input Data'!$D$24*100&amp;"%  on (A) + (B)"</f>
        <v>Over head charges 13.615%  on (A) + (B)</v>
      </c>
      <c r="E123" s="255">
        <f>G121+G114</f>
        <v>150899.65</v>
      </c>
      <c r="F123" s="239"/>
      <c r="G123" s="240">
        <f>E123*B123</f>
        <v>20544.987347499999</v>
      </c>
    </row>
    <row r="124" spans="1:7">
      <c r="A124" s="236"/>
      <c r="B124" s="251">
        <f>'Input Data'!$E$24</f>
        <v>0</v>
      </c>
      <c r="C124" s="252" t="s">
        <v>1093</v>
      </c>
      <c r="D124" s="250"/>
      <c r="E124" s="255">
        <f>E123+G123</f>
        <v>171444.63734749999</v>
      </c>
      <c r="F124" s="239"/>
      <c r="G124" s="240">
        <f>E124*B124</f>
        <v>0</v>
      </c>
    </row>
    <row r="125" spans="1:7">
      <c r="A125" s="236"/>
      <c r="B125" s="236" t="s">
        <v>45</v>
      </c>
      <c r="C125" s="232" t="s">
        <v>46</v>
      </c>
      <c r="D125" s="237"/>
      <c r="E125" s="239"/>
      <c r="F125" s="239"/>
      <c r="G125" s="242">
        <f>G114+G121+G123+G124</f>
        <v>171444.63734749999</v>
      </c>
    </row>
    <row r="126" spans="1:7">
      <c r="A126" s="258"/>
      <c r="B126" s="238"/>
      <c r="C126" s="239"/>
      <c r="D126" s="259" t="s">
        <v>2566</v>
      </c>
      <c r="E126" s="238"/>
      <c r="F126" s="238"/>
      <c r="G126" s="242">
        <f>SUM(G125:G125)</f>
        <v>171444.63734749999</v>
      </c>
    </row>
    <row r="127" spans="1:7">
      <c r="A127" s="258"/>
      <c r="B127" s="238"/>
      <c r="C127" s="239"/>
      <c r="D127" s="250" t="s">
        <v>111</v>
      </c>
      <c r="E127" s="238"/>
      <c r="F127" s="238"/>
      <c r="G127" s="240">
        <f>ROUND(G126/12.5,2)</f>
        <v>13715.57</v>
      </c>
    </row>
    <row r="128" spans="1:7">
      <c r="A128" s="258"/>
      <c r="B128" s="226"/>
      <c r="C128" s="237"/>
      <c r="D128" s="250" t="s">
        <v>52</v>
      </c>
      <c r="E128" s="238"/>
      <c r="F128" s="238"/>
      <c r="G128" s="253">
        <f>ROUND(G127,2)</f>
        <v>13715.57</v>
      </c>
    </row>
    <row r="129" spans="1:8">
      <c r="A129" s="258"/>
      <c r="B129" s="226"/>
      <c r="C129" s="237"/>
      <c r="D129" s="250"/>
      <c r="E129" s="238"/>
      <c r="F129" s="238"/>
      <c r="G129" s="242" t="s">
        <v>112</v>
      </c>
    </row>
    <row r="130" spans="1:8">
      <c r="A130" s="258"/>
      <c r="B130" s="226"/>
      <c r="C130" s="237"/>
      <c r="D130" s="250"/>
      <c r="E130" s="238"/>
      <c r="F130" s="238"/>
      <c r="G130" s="242"/>
    </row>
    <row r="131" spans="1:8" ht="90.9" customHeight="1">
      <c r="A131" s="265">
        <f>A105+1</f>
        <v>5</v>
      </c>
      <c r="B131" s="3912" t="s">
        <v>2567</v>
      </c>
      <c r="C131" s="3912"/>
      <c r="D131" s="3912"/>
      <c r="E131" s="3912"/>
      <c r="F131" s="3912"/>
      <c r="G131" s="3912"/>
    </row>
    <row r="132" spans="1:8">
      <c r="A132" s="258"/>
      <c r="B132" s="238" t="s">
        <v>102</v>
      </c>
      <c r="C132" s="237"/>
      <c r="D132" s="232" t="s">
        <v>2568</v>
      </c>
      <c r="E132" s="237"/>
      <c r="F132" s="237"/>
      <c r="G132" s="237"/>
    </row>
    <row r="133" spans="1:8">
      <c r="A133" s="258"/>
      <c r="B133" s="226"/>
      <c r="C133" s="237"/>
      <c r="D133" s="250" t="s">
        <v>104</v>
      </c>
      <c r="E133" s="237"/>
      <c r="F133" s="237"/>
      <c r="G133" s="237"/>
    </row>
    <row r="134" spans="1:8">
      <c r="A134" s="258"/>
      <c r="B134" s="226"/>
      <c r="C134" s="237"/>
      <c r="D134" s="263" t="s">
        <v>2569</v>
      </c>
      <c r="E134" s="237"/>
      <c r="F134" s="237"/>
      <c r="G134" s="237"/>
    </row>
    <row r="135" spans="1:8">
      <c r="A135" s="258"/>
      <c r="B135" s="236" t="s">
        <v>36</v>
      </c>
      <c r="C135" s="259" t="s">
        <v>37</v>
      </c>
      <c r="D135" s="237"/>
      <c r="E135" s="237"/>
      <c r="F135" s="237"/>
      <c r="G135" s="237"/>
    </row>
    <row r="136" spans="1:8">
      <c r="A136" s="258"/>
      <c r="B136" s="238">
        <v>0.08</v>
      </c>
      <c r="C136" s="226" t="s">
        <v>106</v>
      </c>
      <c r="D136" s="250" t="s">
        <v>14</v>
      </c>
      <c r="E136" s="238">
        <f>'SSR-rates'!$K$58</f>
        <v>575</v>
      </c>
      <c r="F136" s="226" t="s">
        <v>38</v>
      </c>
      <c r="G136" s="240">
        <f>ROUND(B136*E136,2)</f>
        <v>46</v>
      </c>
      <c r="H136" s="261"/>
    </row>
    <row r="137" spans="1:8">
      <c r="A137" s="258"/>
      <c r="B137" s="238">
        <v>0.25</v>
      </c>
      <c r="C137" s="226" t="s">
        <v>106</v>
      </c>
      <c r="D137" s="250" t="s">
        <v>58</v>
      </c>
      <c r="E137" s="238">
        <f>'SSR-rates'!$K$54</f>
        <v>615</v>
      </c>
      <c r="F137" s="226" t="s">
        <v>38</v>
      </c>
      <c r="G137" s="240">
        <f>ROUND(B137*E137,2)</f>
        <v>153.75</v>
      </c>
    </row>
    <row r="138" spans="1:8">
      <c r="A138" s="258"/>
      <c r="B138" s="238">
        <v>2</v>
      </c>
      <c r="C138" s="226" t="s">
        <v>106</v>
      </c>
      <c r="D138" s="250" t="s">
        <v>59</v>
      </c>
      <c r="E138" s="238">
        <f>'SSR-rates'!$K$60</f>
        <v>575</v>
      </c>
      <c r="F138" s="226" t="s">
        <v>38</v>
      </c>
      <c r="G138" s="240">
        <f>ROUND(B138*E138,2)</f>
        <v>1150</v>
      </c>
    </row>
    <row r="139" spans="1:8">
      <c r="A139" s="236"/>
      <c r="B139" s="241">
        <f>'Input Data'!$D$23</f>
        <v>0</v>
      </c>
      <c r="C139" s="255"/>
      <c r="D139" s="237" t="s">
        <v>17</v>
      </c>
      <c r="E139" s="238">
        <f>SUM(G136:G138)</f>
        <v>1349.75</v>
      </c>
      <c r="F139" s="226"/>
      <c r="G139" s="240">
        <f>B139*E139</f>
        <v>0</v>
      </c>
    </row>
    <row r="140" spans="1:8">
      <c r="A140" s="258"/>
      <c r="B140" s="238"/>
      <c r="C140" s="237"/>
      <c r="D140" s="250" t="s">
        <v>60</v>
      </c>
      <c r="E140" s="238"/>
      <c r="F140" s="238"/>
      <c r="G140" s="242">
        <f>SUM(G136:G139)</f>
        <v>1349.75</v>
      </c>
    </row>
    <row r="141" spans="1:8">
      <c r="A141" s="258"/>
      <c r="B141" s="236" t="s">
        <v>39</v>
      </c>
      <c r="C141" s="259" t="s">
        <v>61</v>
      </c>
      <c r="D141" s="237"/>
      <c r="E141" s="238"/>
      <c r="F141" s="238"/>
      <c r="G141" s="240"/>
    </row>
    <row r="142" spans="1:8" ht="28.8">
      <c r="A142" s="258"/>
      <c r="B142" s="226">
        <f>0.03/2</f>
        <v>1.4999999999999999E-2</v>
      </c>
      <c r="C142" s="238" t="s">
        <v>31</v>
      </c>
      <c r="D142" s="260" t="s">
        <v>1442</v>
      </c>
      <c r="E142" s="243">
        <f>lead!$J$31</f>
        <v>1850.9213132068826</v>
      </c>
      <c r="F142" s="238" t="s">
        <v>31</v>
      </c>
      <c r="G142" s="240">
        <f>ROUND(B142*E142,2)</f>
        <v>27.76</v>
      </c>
    </row>
    <row r="143" spans="1:8">
      <c r="A143" s="258"/>
      <c r="B143" s="226">
        <f>0.03/2</f>
        <v>1.4999999999999999E-2</v>
      </c>
      <c r="C143" s="238" t="s">
        <v>31</v>
      </c>
      <c r="D143" s="260" t="s">
        <v>1443</v>
      </c>
      <c r="E143" s="243">
        <f>lead!$J$33</f>
        <v>1473.2187651278443</v>
      </c>
      <c r="F143" s="238" t="s">
        <v>31</v>
      </c>
      <c r="G143" s="240">
        <f>ROUND(B143*E143,2)</f>
        <v>22.1</v>
      </c>
    </row>
    <row r="144" spans="1:8">
      <c r="A144" s="258"/>
      <c r="B144" s="226">
        <v>0.04</v>
      </c>
      <c r="C144" s="238" t="s">
        <v>66</v>
      </c>
      <c r="D144" s="237" t="s">
        <v>67</v>
      </c>
      <c r="E144" s="238">
        <f>+lead!$J$36</f>
        <v>5000</v>
      </c>
      <c r="F144" s="226" t="s">
        <v>38</v>
      </c>
      <c r="G144" s="240">
        <f t="shared" ref="G144:G146" si="3">ROUND(B144*E144,2)</f>
        <v>200</v>
      </c>
    </row>
    <row r="145" spans="1:7">
      <c r="A145" s="258"/>
      <c r="B145" s="238">
        <v>12.5</v>
      </c>
      <c r="C145" s="226" t="s">
        <v>107</v>
      </c>
      <c r="D145" s="250" t="s">
        <v>2570</v>
      </c>
      <c r="E145" s="238">
        <f>+lead!J45</f>
        <v>8673.7167015798968</v>
      </c>
      <c r="F145" s="238" t="s">
        <v>107</v>
      </c>
      <c r="G145" s="240">
        <f t="shared" si="3"/>
        <v>108421.46</v>
      </c>
    </row>
    <row r="146" spans="1:7">
      <c r="A146" s="258"/>
      <c r="B146" s="238">
        <v>4</v>
      </c>
      <c r="C146" s="226" t="s">
        <v>106</v>
      </c>
      <c r="D146" s="250" t="s">
        <v>2570</v>
      </c>
      <c r="E146" s="238">
        <f>+lead!J53</f>
        <v>996.44</v>
      </c>
      <c r="F146" s="238" t="s">
        <v>241</v>
      </c>
      <c r="G146" s="240">
        <f t="shared" si="3"/>
        <v>3985.76</v>
      </c>
    </row>
    <row r="147" spans="1:7">
      <c r="A147" s="258"/>
      <c r="B147" s="238"/>
      <c r="C147" s="255"/>
      <c r="D147" s="250" t="s">
        <v>60</v>
      </c>
      <c r="E147" s="238"/>
      <c r="F147" s="238"/>
      <c r="G147" s="242">
        <f>SUM(G142:G146)</f>
        <v>112657.08</v>
      </c>
    </row>
    <row r="148" spans="1:7">
      <c r="A148" s="236"/>
      <c r="B148" s="236" t="s">
        <v>27</v>
      </c>
      <c r="C148" s="232" t="s">
        <v>1092</v>
      </c>
      <c r="D148" s="237"/>
      <c r="E148" s="239"/>
      <c r="F148" s="239"/>
      <c r="G148" s="242"/>
    </row>
    <row r="149" spans="1:7">
      <c r="A149" s="236"/>
      <c r="B149" s="249">
        <f>'Input Data'!$D$24</f>
        <v>0.13614999999999999</v>
      </c>
      <c r="C149" s="255"/>
      <c r="D149" s="250" t="str">
        <f>"Over head charges "&amp;'Input Data'!$D$24*100&amp;"%  on (A) + (B)"</f>
        <v>Over head charges 13.615%  on (A) + (B)</v>
      </c>
      <c r="E149" s="255">
        <f>G147+G140</f>
        <v>114006.83</v>
      </c>
      <c r="F149" s="239"/>
      <c r="G149" s="240">
        <f>E149*B149</f>
        <v>15522.029904499999</v>
      </c>
    </row>
    <row r="150" spans="1:7">
      <c r="A150" s="236"/>
      <c r="B150" s="236" t="s">
        <v>45</v>
      </c>
      <c r="C150" s="232" t="s">
        <v>46</v>
      </c>
      <c r="D150" s="237"/>
      <c r="E150" s="239"/>
      <c r="F150" s="239"/>
      <c r="G150" s="242">
        <f>G140+G147+G149</f>
        <v>129528.8599045</v>
      </c>
    </row>
    <row r="151" spans="1:7">
      <c r="A151" s="258"/>
      <c r="B151" s="238"/>
      <c r="C151" s="239"/>
      <c r="D151" s="259" t="s">
        <v>2566</v>
      </c>
      <c r="E151" s="238"/>
      <c r="F151" s="238"/>
      <c r="G151" s="242">
        <f>SUM(G150:G150)</f>
        <v>129528.8599045</v>
      </c>
    </row>
    <row r="152" spans="1:7">
      <c r="A152" s="258"/>
      <c r="B152" s="238"/>
      <c r="C152" s="239"/>
      <c r="D152" s="250" t="s">
        <v>111</v>
      </c>
      <c r="E152" s="238"/>
      <c r="F152" s="238"/>
      <c r="G152" s="240">
        <f>ROUND(G151/12.5,2)</f>
        <v>10362.31</v>
      </c>
    </row>
    <row r="153" spans="1:7">
      <c r="A153" s="258"/>
      <c r="B153" s="226"/>
      <c r="C153" s="237"/>
      <c r="D153" s="250" t="s">
        <v>52</v>
      </c>
      <c r="E153" s="238"/>
      <c r="F153" s="238"/>
      <c r="G153" s="253">
        <f>ROUND(G152,2)</f>
        <v>10362.31</v>
      </c>
    </row>
    <row r="154" spans="1:7">
      <c r="A154" s="258"/>
      <c r="B154" s="226"/>
      <c r="C154" s="237"/>
      <c r="D154" s="250"/>
      <c r="E154" s="238"/>
      <c r="F154" s="238"/>
      <c r="G154" s="242" t="s">
        <v>112</v>
      </c>
    </row>
    <row r="155" spans="1:7">
      <c r="A155" s="258"/>
      <c r="B155" s="238"/>
      <c r="C155" s="239"/>
      <c r="D155" s="266"/>
      <c r="E155" s="238"/>
      <c r="F155" s="238"/>
      <c r="G155" s="264"/>
    </row>
    <row r="156" spans="1:7" ht="77.099999999999994" customHeight="1">
      <c r="A156" s="265">
        <f>A131+1</f>
        <v>6</v>
      </c>
      <c r="B156" s="3912" t="s">
        <v>2571</v>
      </c>
      <c r="C156" s="3912"/>
      <c r="D156" s="3912"/>
      <c r="E156" s="3912"/>
      <c r="F156" s="3912"/>
      <c r="G156" s="3912"/>
    </row>
    <row r="157" spans="1:7">
      <c r="A157" s="258"/>
      <c r="B157" s="238" t="s">
        <v>10</v>
      </c>
      <c r="C157" s="237"/>
      <c r="D157" s="232" t="s">
        <v>83</v>
      </c>
      <c r="E157" s="237"/>
      <c r="F157" s="237"/>
      <c r="G157" s="247"/>
    </row>
    <row r="158" spans="1:7">
      <c r="A158" s="258"/>
      <c r="B158" s="226"/>
      <c r="C158" s="237"/>
      <c r="D158" s="250" t="s">
        <v>84</v>
      </c>
      <c r="E158" s="237"/>
      <c r="F158" s="237"/>
      <c r="G158" s="247"/>
    </row>
    <row r="159" spans="1:7">
      <c r="A159" s="258"/>
      <c r="B159" s="236" t="s">
        <v>36</v>
      </c>
      <c r="C159" s="259" t="s">
        <v>37</v>
      </c>
      <c r="D159" s="237"/>
      <c r="E159" s="237"/>
      <c r="F159" s="237"/>
      <c r="G159" s="247"/>
    </row>
    <row r="160" spans="1:7">
      <c r="A160" s="258"/>
      <c r="B160" s="238">
        <v>0.28000000000000003</v>
      </c>
      <c r="C160" s="226" t="s">
        <v>918</v>
      </c>
      <c r="D160" s="250" t="s">
        <v>14</v>
      </c>
      <c r="E160" s="238">
        <f>'SSR-rates'!K$58</f>
        <v>575</v>
      </c>
      <c r="F160" s="226" t="s">
        <v>38</v>
      </c>
      <c r="G160" s="240">
        <f>ROUND(B160*E160,2)</f>
        <v>161</v>
      </c>
    </row>
    <row r="161" spans="1:7">
      <c r="A161" s="258"/>
      <c r="B161" s="238">
        <v>7</v>
      </c>
      <c r="C161" s="226" t="s">
        <v>918</v>
      </c>
      <c r="D161" s="250" t="s">
        <v>59</v>
      </c>
      <c r="E161" s="238">
        <f>'SSR-rates'!K$60</f>
        <v>575</v>
      </c>
      <c r="F161" s="226" t="s">
        <v>38</v>
      </c>
      <c r="G161" s="240">
        <f>ROUND(B161*E161,2)</f>
        <v>4025</v>
      </c>
    </row>
    <row r="162" spans="1:7">
      <c r="A162" s="236"/>
      <c r="B162" s="241">
        <f>'Input Data'!$D$23</f>
        <v>0</v>
      </c>
      <c r="C162" s="255"/>
      <c r="D162" s="237" t="s">
        <v>17</v>
      </c>
      <c r="E162" s="238">
        <f>SUM(G160:G161)</f>
        <v>4186</v>
      </c>
      <c r="F162" s="226"/>
      <c r="G162" s="240">
        <f>B162*E162</f>
        <v>0</v>
      </c>
    </row>
    <row r="163" spans="1:7">
      <c r="A163" s="258"/>
      <c r="B163" s="238" t="s">
        <v>85</v>
      </c>
      <c r="C163" s="237"/>
      <c r="D163" s="250" t="s">
        <v>60</v>
      </c>
      <c r="E163" s="238"/>
      <c r="F163" s="226"/>
      <c r="G163" s="240">
        <f>SUM(G160:G162)</f>
        <v>4186</v>
      </c>
    </row>
    <row r="164" spans="1:7">
      <c r="A164" s="258"/>
      <c r="B164" s="238"/>
      <c r="C164" s="237"/>
      <c r="D164" s="250"/>
      <c r="E164" s="238"/>
      <c r="F164" s="238"/>
      <c r="G164" s="240"/>
    </row>
    <row r="165" spans="1:7">
      <c r="A165" s="258"/>
      <c r="B165" s="236" t="s">
        <v>39</v>
      </c>
      <c r="C165" s="259" t="s">
        <v>61</v>
      </c>
      <c r="D165" s="237"/>
      <c r="E165" s="238"/>
      <c r="F165" s="238"/>
      <c r="G165" s="240"/>
    </row>
    <row r="166" spans="1:7">
      <c r="A166" s="258"/>
      <c r="B166" s="238">
        <v>12</v>
      </c>
      <c r="C166" s="226" t="s">
        <v>31</v>
      </c>
      <c r="D166" s="250" t="s">
        <v>2572</v>
      </c>
      <c r="E166" s="238">
        <f>lead!J35</f>
        <v>143.07604629670379</v>
      </c>
      <c r="F166" s="238" t="s">
        <v>31</v>
      </c>
      <c r="G166" s="240">
        <f>ROUND(B166*E166,2)</f>
        <v>1716.91</v>
      </c>
    </row>
    <row r="167" spans="1:7">
      <c r="A167" s="258"/>
      <c r="B167" s="238"/>
      <c r="C167" s="237"/>
      <c r="D167" s="250" t="s">
        <v>60</v>
      </c>
      <c r="E167" s="238"/>
      <c r="F167" s="238"/>
      <c r="G167" s="240">
        <f>SUM(G166:G166)</f>
        <v>1716.91</v>
      </c>
    </row>
    <row r="168" spans="1:7">
      <c r="A168" s="258"/>
      <c r="B168" s="236" t="s">
        <v>87</v>
      </c>
      <c r="C168" s="259" t="s">
        <v>40</v>
      </c>
      <c r="D168" s="237"/>
      <c r="E168" s="238"/>
      <c r="F168" s="238"/>
      <c r="G168" s="240"/>
    </row>
    <row r="169" spans="1:7">
      <c r="A169" s="258"/>
      <c r="B169" s="238">
        <v>2.5</v>
      </c>
      <c r="C169" s="226" t="s">
        <v>41</v>
      </c>
      <c r="D169" s="250" t="s">
        <v>88</v>
      </c>
      <c r="E169" s="238">
        <f>'SSR-rates'!K91</f>
        <v>59</v>
      </c>
      <c r="F169" s="238" t="s">
        <v>41</v>
      </c>
      <c r="G169" s="240">
        <f>ROUND(B169*E169,2)</f>
        <v>147.5</v>
      </c>
    </row>
    <row r="170" spans="1:7">
      <c r="A170" s="258"/>
      <c r="B170" s="238">
        <v>0.05</v>
      </c>
      <c r="C170" s="226" t="s">
        <v>41</v>
      </c>
      <c r="D170" s="250" t="s">
        <v>70</v>
      </c>
      <c r="E170" s="238">
        <f>'SSR-rates'!K69</f>
        <v>769</v>
      </c>
      <c r="F170" s="238" t="s">
        <v>41</v>
      </c>
      <c r="G170" s="240">
        <f>ROUND(B170*E170,2)</f>
        <v>38.450000000000003</v>
      </c>
    </row>
    <row r="171" spans="1:7">
      <c r="A171" s="258"/>
      <c r="B171" s="238"/>
      <c r="C171" s="239"/>
      <c r="D171" s="250" t="s">
        <v>60</v>
      </c>
      <c r="E171" s="238"/>
      <c r="F171" s="238"/>
      <c r="G171" s="240">
        <f>SUM(G169:G170)</f>
        <v>185.95</v>
      </c>
    </row>
    <row r="172" spans="1:7">
      <c r="A172" s="236"/>
      <c r="B172" s="236" t="s">
        <v>45</v>
      </c>
      <c r="C172" s="232" t="s">
        <v>2573</v>
      </c>
      <c r="D172" s="237"/>
      <c r="E172" s="239"/>
      <c r="F172" s="239"/>
      <c r="G172" s="242"/>
    </row>
    <row r="173" spans="1:7" ht="15" customHeight="1">
      <c r="A173" s="236"/>
      <c r="B173" s="249">
        <f>'Input Data'!$D$24</f>
        <v>0.13614999999999999</v>
      </c>
      <c r="C173" s="3913" t="str">
        <f>"Over head charges &amp; CP "&amp;'Input Data'!$D$24*100&amp;"%  on (A) + (B)+(C)"</f>
        <v>Over head charges &amp; CP 13.615%  on (A) + (B)+(C)</v>
      </c>
      <c r="D173" s="3913"/>
      <c r="E173" s="238">
        <f>G171+G167+G163</f>
        <v>6088.8600000000006</v>
      </c>
      <c r="F173" s="239"/>
      <c r="G173" s="240">
        <f>E173*B173</f>
        <v>828.998289</v>
      </c>
    </row>
    <row r="174" spans="1:7">
      <c r="A174" s="236"/>
      <c r="B174" s="236" t="s">
        <v>47</v>
      </c>
      <c r="C174" s="232" t="s">
        <v>89</v>
      </c>
      <c r="D174" s="237"/>
      <c r="E174" s="239"/>
      <c r="F174" s="239"/>
      <c r="G174" s="242">
        <f>G163+G167+G171+G173</f>
        <v>6917.8582889999998</v>
      </c>
    </row>
    <row r="175" spans="1:7">
      <c r="A175" s="258"/>
      <c r="B175" s="238"/>
      <c r="C175" s="239"/>
      <c r="D175" s="259" t="s">
        <v>2574</v>
      </c>
      <c r="E175" s="238"/>
      <c r="F175" s="238"/>
      <c r="G175" s="242">
        <f>SUM(G174:G174)</f>
        <v>6917.8582889999998</v>
      </c>
    </row>
    <row r="176" spans="1:7">
      <c r="A176" s="258"/>
      <c r="B176" s="238"/>
      <c r="C176" s="239"/>
      <c r="D176" s="250" t="s">
        <v>50</v>
      </c>
      <c r="E176" s="238"/>
      <c r="F176" s="238"/>
      <c r="G176" s="240">
        <f>G175/10</f>
        <v>691.78582889999996</v>
      </c>
    </row>
    <row r="177" spans="1:7">
      <c r="A177" s="258"/>
      <c r="B177" s="226"/>
      <c r="C177" s="237"/>
      <c r="D177" s="250" t="s">
        <v>52</v>
      </c>
      <c r="E177" s="238"/>
      <c r="F177" s="238"/>
      <c r="G177" s="253">
        <f>ROUND(G176,2)</f>
        <v>691.79</v>
      </c>
    </row>
    <row r="178" spans="1:7">
      <c r="A178" s="258"/>
      <c r="B178" s="226"/>
      <c r="C178" s="237"/>
      <c r="D178" s="250"/>
      <c r="E178" s="238"/>
      <c r="F178" s="238"/>
      <c r="G178" s="242" t="s">
        <v>53</v>
      </c>
    </row>
    <row r="179" spans="1:7">
      <c r="A179" s="258"/>
      <c r="B179" s="226"/>
      <c r="C179" s="237"/>
      <c r="D179" s="250"/>
      <c r="E179" s="238"/>
      <c r="F179" s="238"/>
      <c r="G179" s="242"/>
    </row>
    <row r="180" spans="1:7" ht="84.9" customHeight="1">
      <c r="A180" s="267">
        <f>A156+1</f>
        <v>7</v>
      </c>
      <c r="B180" s="3912" t="s">
        <v>116</v>
      </c>
      <c r="C180" s="3912"/>
      <c r="D180" s="3912"/>
      <c r="E180" s="3912"/>
      <c r="F180" s="3912"/>
      <c r="G180" s="3912"/>
    </row>
    <row r="181" spans="1:7">
      <c r="A181" s="258"/>
      <c r="B181" s="238" t="s">
        <v>10</v>
      </c>
      <c r="C181" s="237"/>
      <c r="D181" s="232" t="s">
        <v>117</v>
      </c>
      <c r="E181" s="237"/>
      <c r="F181" s="237"/>
      <c r="G181" s="237"/>
    </row>
    <row r="182" spans="1:7">
      <c r="A182" s="258"/>
      <c r="B182" s="226"/>
      <c r="C182" s="237"/>
      <c r="D182" s="250" t="s">
        <v>115</v>
      </c>
      <c r="E182" s="237"/>
      <c r="F182" s="237"/>
      <c r="G182" s="237"/>
    </row>
    <row r="183" spans="1:7">
      <c r="A183" s="258"/>
      <c r="B183" s="236" t="s">
        <v>36</v>
      </c>
      <c r="C183" s="259" t="s">
        <v>37</v>
      </c>
      <c r="D183" s="237"/>
      <c r="E183" s="237"/>
      <c r="F183" s="237"/>
      <c r="G183" s="237"/>
    </row>
    <row r="184" spans="1:7">
      <c r="A184" s="258"/>
      <c r="B184" s="238">
        <v>0.04</v>
      </c>
      <c r="C184" s="226" t="s">
        <v>57</v>
      </c>
      <c r="D184" s="250" t="s">
        <v>14</v>
      </c>
      <c r="E184" s="238">
        <f>'SSR-rates'!$K$58</f>
        <v>575</v>
      </c>
      <c r="F184" s="226" t="s">
        <v>38</v>
      </c>
      <c r="G184" s="240">
        <f>ROUND(B184*E184,2)</f>
        <v>23</v>
      </c>
    </row>
    <row r="185" spans="1:7">
      <c r="A185" s="258"/>
      <c r="B185" s="238">
        <v>0.35</v>
      </c>
      <c r="C185" s="226" t="s">
        <v>57</v>
      </c>
      <c r="D185" s="250" t="s">
        <v>58</v>
      </c>
      <c r="E185" s="238">
        <f>'SSR-rates'!$K$54</f>
        <v>615</v>
      </c>
      <c r="F185" s="226" t="s">
        <v>38</v>
      </c>
      <c r="G185" s="240">
        <f>ROUND(B185*E185,2)</f>
        <v>215.25</v>
      </c>
    </row>
    <row r="186" spans="1:7">
      <c r="A186" s="258"/>
      <c r="B186" s="238">
        <v>0.75</v>
      </c>
      <c r="C186" s="226" t="s">
        <v>57</v>
      </c>
      <c r="D186" s="250" t="s">
        <v>59</v>
      </c>
      <c r="E186" s="238">
        <f>'SSR-rates'!$K$60</f>
        <v>575</v>
      </c>
      <c r="F186" s="226" t="s">
        <v>38</v>
      </c>
      <c r="G186" s="240">
        <f>ROUND(B186*E186,2)</f>
        <v>431.25</v>
      </c>
    </row>
    <row r="187" spans="1:7">
      <c r="A187" s="236"/>
      <c r="B187" s="241">
        <f>'Input Data'!$D$23</f>
        <v>0</v>
      </c>
      <c r="C187" s="255"/>
      <c r="D187" s="237" t="s">
        <v>17</v>
      </c>
      <c r="E187" s="238">
        <f>SUM(G184:G186)</f>
        <v>669.5</v>
      </c>
      <c r="F187" s="226"/>
      <c r="G187" s="240">
        <f>B187*E187</f>
        <v>0</v>
      </c>
    </row>
    <row r="188" spans="1:7">
      <c r="A188" s="258"/>
      <c r="B188" s="238" t="s">
        <v>85</v>
      </c>
      <c r="C188" s="237"/>
      <c r="D188" s="250" t="s">
        <v>60</v>
      </c>
      <c r="E188" s="238"/>
      <c r="F188" s="226"/>
      <c r="G188" s="240">
        <f>SUM(G184:G187)</f>
        <v>669.5</v>
      </c>
    </row>
    <row r="189" spans="1:7">
      <c r="A189" s="258"/>
      <c r="B189" s="238"/>
      <c r="C189" s="237"/>
      <c r="D189" s="250"/>
      <c r="E189" s="238"/>
      <c r="F189" s="238"/>
      <c r="G189" s="240"/>
    </row>
    <row r="190" spans="1:7">
      <c r="A190" s="258"/>
      <c r="B190" s="236" t="s">
        <v>39</v>
      </c>
      <c r="C190" s="259" t="s">
        <v>61</v>
      </c>
      <c r="D190" s="237"/>
      <c r="E190" s="238"/>
      <c r="F190" s="238"/>
      <c r="G190" s="240"/>
    </row>
    <row r="191" spans="1:7">
      <c r="A191" s="258"/>
      <c r="B191" s="238">
        <v>1</v>
      </c>
      <c r="C191" s="226" t="s">
        <v>31</v>
      </c>
      <c r="D191" s="250" t="s">
        <v>118</v>
      </c>
      <c r="E191" s="238">
        <f>lead!J$23</f>
        <v>1096.2187651278443</v>
      </c>
      <c r="F191" s="238" t="s">
        <v>31</v>
      </c>
      <c r="G191" s="240">
        <f>ROUND(B191*E191,2)</f>
        <v>1096.22</v>
      </c>
    </row>
    <row r="192" spans="1:7">
      <c r="A192" s="258"/>
      <c r="B192" s="238">
        <v>0.2</v>
      </c>
      <c r="C192" s="226" t="s">
        <v>31</v>
      </c>
      <c r="D192" s="250" t="s">
        <v>119</v>
      </c>
      <c r="E192" s="238">
        <f>lead!J$25</f>
        <v>867.21876512784434</v>
      </c>
      <c r="F192" s="238" t="s">
        <v>31</v>
      </c>
      <c r="G192" s="240">
        <f>ROUND(B192*E192,2)</f>
        <v>173.44</v>
      </c>
    </row>
    <row r="193" spans="1:10">
      <c r="A193" s="258"/>
      <c r="B193" s="238"/>
      <c r="C193" s="237"/>
      <c r="D193" s="250" t="s">
        <v>60</v>
      </c>
      <c r="E193" s="238"/>
      <c r="F193" s="238"/>
      <c r="G193" s="240">
        <f>SUM(G191:G192)</f>
        <v>1269.6600000000001</v>
      </c>
    </row>
    <row r="194" spans="1:10">
      <c r="A194" s="236"/>
      <c r="B194" s="236" t="s">
        <v>27</v>
      </c>
      <c r="C194" s="232" t="s">
        <v>1092</v>
      </c>
      <c r="D194" s="237"/>
      <c r="E194" s="239"/>
      <c r="F194" s="239"/>
      <c r="G194" s="242"/>
    </row>
    <row r="195" spans="1:10">
      <c r="A195" s="236"/>
      <c r="B195" s="249">
        <f>'Input Data'!$D$24</f>
        <v>0.13614999999999999</v>
      </c>
      <c r="C195" s="255"/>
      <c r="D195" s="250" t="str">
        <f>"Over head charges "&amp;'Input Data'!$D$24*100&amp;"%  on (A) + (B)"</f>
        <v>Over head charges 13.615%  on (A) + (B)</v>
      </c>
      <c r="E195" s="255">
        <f>G193+G188</f>
        <v>1939.16</v>
      </c>
      <c r="F195" s="239"/>
      <c r="G195" s="240">
        <f>E195*B195</f>
        <v>264.01663400000001</v>
      </c>
    </row>
    <row r="196" spans="1:10">
      <c r="A196" s="236"/>
      <c r="B196" s="236" t="s">
        <v>45</v>
      </c>
      <c r="C196" s="232" t="s">
        <v>46</v>
      </c>
      <c r="D196" s="237"/>
      <c r="E196" s="239"/>
      <c r="F196" s="239"/>
      <c r="G196" s="242">
        <f>G188+G193+G195</f>
        <v>2203.1766339999999</v>
      </c>
    </row>
    <row r="197" spans="1:10">
      <c r="A197" s="258"/>
      <c r="B197" s="238"/>
      <c r="C197" s="239"/>
      <c r="D197" s="259" t="s">
        <v>1637</v>
      </c>
      <c r="E197" s="238"/>
      <c r="F197" s="238"/>
      <c r="G197" s="242">
        <f>SUM(G196:G196)</f>
        <v>2203.1766339999999</v>
      </c>
    </row>
    <row r="198" spans="1:10">
      <c r="A198" s="258"/>
      <c r="B198" s="226"/>
      <c r="C198" s="237"/>
      <c r="D198" s="250" t="s">
        <v>52</v>
      </c>
      <c r="E198" s="238"/>
      <c r="F198" s="238"/>
      <c r="G198" s="253">
        <f>ROUND(G197,2)</f>
        <v>2203.1799999999998</v>
      </c>
    </row>
    <row r="199" spans="1:10">
      <c r="A199" s="236"/>
      <c r="B199" s="238"/>
      <c r="C199" s="255"/>
      <c r="D199" s="268"/>
      <c r="E199" s="240"/>
      <c r="F199" s="250"/>
      <c r="G199" s="242" t="s">
        <v>53</v>
      </c>
    </row>
    <row r="200" spans="1:10">
      <c r="A200" s="236"/>
      <c r="B200" s="238"/>
      <c r="C200" s="255"/>
      <c r="D200" s="268"/>
      <c r="E200" s="240"/>
      <c r="F200" s="250"/>
      <c r="G200" s="242"/>
    </row>
    <row r="201" spans="1:10" ht="89.1" customHeight="1">
      <c r="A201" s="229">
        <v>5</v>
      </c>
      <c r="B201" s="3915" t="s">
        <v>1189</v>
      </c>
      <c r="C201" s="3915"/>
      <c r="D201" s="3915"/>
      <c r="E201" s="3915"/>
      <c r="F201" s="3915"/>
      <c r="G201" s="3915"/>
      <c r="H201" s="269"/>
      <c r="I201" s="269"/>
      <c r="J201" s="269"/>
    </row>
    <row r="202" spans="1:10">
      <c r="A202" s="237"/>
      <c r="B202" s="237"/>
      <c r="C202" s="237"/>
      <c r="D202" s="250" t="s">
        <v>10</v>
      </c>
      <c r="E202" s="270" t="s">
        <v>1596</v>
      </c>
      <c r="F202" s="237"/>
      <c r="G202" s="237"/>
    </row>
    <row r="203" spans="1:10">
      <c r="A203" s="237"/>
      <c r="B203" s="237"/>
      <c r="C203" s="237"/>
      <c r="D203" s="250" t="s">
        <v>56</v>
      </c>
      <c r="E203" s="237"/>
      <c r="F203" s="237"/>
      <c r="G203" s="237"/>
    </row>
    <row r="204" spans="1:10">
      <c r="A204" s="237"/>
      <c r="B204" s="271" t="s">
        <v>36</v>
      </c>
      <c r="C204" s="259" t="s">
        <v>37</v>
      </c>
      <c r="D204" s="237"/>
      <c r="E204" s="237"/>
      <c r="F204" s="237"/>
      <c r="G204" s="237"/>
    </row>
    <row r="205" spans="1:10">
      <c r="A205" s="237"/>
      <c r="B205" s="240">
        <v>0.86</v>
      </c>
      <c r="C205" s="239" t="s">
        <v>57</v>
      </c>
      <c r="D205" s="250" t="s">
        <v>14</v>
      </c>
      <c r="E205" s="238">
        <f>+'SSR-rates'!$K$58</f>
        <v>575</v>
      </c>
      <c r="F205" s="238" t="s">
        <v>38</v>
      </c>
      <c r="G205" s="240">
        <f t="shared" ref="G205:G207" si="4">ROUND(B205*E205,2)</f>
        <v>494.5</v>
      </c>
    </row>
    <row r="206" spans="1:10">
      <c r="A206" s="237"/>
      <c r="B206" s="240">
        <v>1.5</v>
      </c>
      <c r="C206" s="239" t="s">
        <v>57</v>
      </c>
      <c r="D206" s="250" t="s">
        <v>58</v>
      </c>
      <c r="E206" s="238">
        <f>+'SSR-rates'!$K$54</f>
        <v>615</v>
      </c>
      <c r="F206" s="238" t="s">
        <v>38</v>
      </c>
      <c r="G206" s="240">
        <f t="shared" si="4"/>
        <v>922.5</v>
      </c>
    </row>
    <row r="207" spans="1:10">
      <c r="A207" s="237"/>
      <c r="B207" s="240">
        <v>20</v>
      </c>
      <c r="C207" s="239" t="s">
        <v>57</v>
      </c>
      <c r="D207" s="250" t="s">
        <v>59</v>
      </c>
      <c r="E207" s="238">
        <f>+'SSR-rates'!$K$60</f>
        <v>575</v>
      </c>
      <c r="F207" s="238" t="s">
        <v>38</v>
      </c>
      <c r="G207" s="240">
        <f t="shared" si="4"/>
        <v>11500</v>
      </c>
    </row>
    <row r="208" spans="1:10">
      <c r="A208" s="236"/>
      <c r="B208" s="272">
        <f>+'Input Data'!D48</f>
        <v>0</v>
      </c>
      <c r="C208" s="255"/>
      <c r="D208" s="237" t="s">
        <v>17</v>
      </c>
      <c r="E208" s="238">
        <f>SUM(G205:G207)</f>
        <v>12917</v>
      </c>
      <c r="F208" s="226"/>
      <c r="G208" s="240">
        <f>B208*E208</f>
        <v>0</v>
      </c>
    </row>
    <row r="209" spans="1:7">
      <c r="A209" s="237"/>
      <c r="B209" s="240"/>
      <c r="C209" s="237"/>
      <c r="D209" s="250" t="s">
        <v>60</v>
      </c>
      <c r="E209" s="238"/>
      <c r="F209" s="238"/>
      <c r="G209" s="242">
        <f>SUM(G205:G208)</f>
        <v>12917</v>
      </c>
    </row>
    <row r="210" spans="1:7">
      <c r="A210" s="237"/>
      <c r="B210" s="271" t="s">
        <v>39</v>
      </c>
      <c r="C210" s="259" t="s">
        <v>61</v>
      </c>
      <c r="D210" s="237"/>
      <c r="E210" s="237"/>
      <c r="F210" s="238"/>
      <c r="G210" s="240"/>
    </row>
    <row r="211" spans="1:7">
      <c r="A211" s="237"/>
      <c r="B211" s="238">
        <v>8.1</v>
      </c>
      <c r="C211" s="239" t="s">
        <v>31</v>
      </c>
      <c r="D211" s="250" t="s">
        <v>1582</v>
      </c>
      <c r="E211" s="238">
        <f>+lead!$J$14</f>
        <v>1732.2187651278443</v>
      </c>
      <c r="F211" s="238" t="s">
        <v>31</v>
      </c>
      <c r="G211" s="240">
        <f t="shared" ref="G211:G216" si="5">ROUND(B211*E211,2)</f>
        <v>14030.97</v>
      </c>
    </row>
    <row r="212" spans="1:7">
      <c r="A212" s="239"/>
      <c r="B212" s="238">
        <v>4.05</v>
      </c>
      <c r="C212" s="239" t="s">
        <v>31</v>
      </c>
      <c r="D212" s="237" t="s">
        <v>63</v>
      </c>
      <c r="E212" s="238">
        <f>+lead!$J$16</f>
        <v>2031.2187651278443</v>
      </c>
      <c r="F212" s="238" t="s">
        <v>31</v>
      </c>
      <c r="G212" s="250">
        <f t="shared" si="5"/>
        <v>8226.44</v>
      </c>
    </row>
    <row r="213" spans="1:7">
      <c r="A213" s="239"/>
      <c r="B213" s="238">
        <v>1.35</v>
      </c>
      <c r="C213" s="239" t="s">
        <v>31</v>
      </c>
      <c r="D213" s="237" t="s">
        <v>64</v>
      </c>
      <c r="E213" s="238">
        <f>+lead!$J$18</f>
        <v>1780.2187651278443</v>
      </c>
      <c r="F213" s="238" t="s">
        <v>31</v>
      </c>
      <c r="G213" s="250">
        <f t="shared" si="5"/>
        <v>2403.3000000000002</v>
      </c>
    </row>
    <row r="214" spans="1:7" ht="28.8">
      <c r="A214" s="237"/>
      <c r="B214" s="238">
        <f>6.75/2</f>
        <v>3.375</v>
      </c>
      <c r="C214" s="239" t="s">
        <v>31</v>
      </c>
      <c r="D214" s="273" t="s">
        <v>1442</v>
      </c>
      <c r="E214" s="243">
        <f>lead!$J$31</f>
        <v>1850.9213132068826</v>
      </c>
      <c r="F214" s="238" t="s">
        <v>31</v>
      </c>
      <c r="G214" s="240">
        <f t="shared" si="5"/>
        <v>6246.86</v>
      </c>
    </row>
    <row r="215" spans="1:7">
      <c r="A215" s="237"/>
      <c r="B215" s="238">
        <f>6.75/2</f>
        <v>3.375</v>
      </c>
      <c r="C215" s="239" t="s">
        <v>31</v>
      </c>
      <c r="D215" s="273" t="s">
        <v>1443</v>
      </c>
      <c r="E215" s="243">
        <f>lead!$J$33</f>
        <v>1473.2187651278443</v>
      </c>
      <c r="F215" s="238" t="s">
        <v>31</v>
      </c>
      <c r="G215" s="240">
        <f t="shared" si="5"/>
        <v>4972.1099999999997</v>
      </c>
    </row>
    <row r="216" spans="1:7">
      <c r="A216" s="237"/>
      <c r="B216" s="238">
        <v>4.13</v>
      </c>
      <c r="C216" s="239" t="s">
        <v>66</v>
      </c>
      <c r="D216" s="250" t="s">
        <v>67</v>
      </c>
      <c r="E216" s="238">
        <f>+lead!$J$36</f>
        <v>5000</v>
      </c>
      <c r="F216" s="238" t="s">
        <v>66</v>
      </c>
      <c r="G216" s="240">
        <f t="shared" si="5"/>
        <v>20650</v>
      </c>
    </row>
    <row r="217" spans="1:7">
      <c r="A217" s="237"/>
      <c r="B217" s="274"/>
      <c r="C217" s="255"/>
      <c r="D217" s="250" t="s">
        <v>60</v>
      </c>
      <c r="E217" s="238"/>
      <c r="F217" s="238"/>
      <c r="G217" s="242">
        <f>SUM(G211:G216)</f>
        <v>56529.68</v>
      </c>
    </row>
    <row r="218" spans="1:7">
      <c r="A218" s="237"/>
      <c r="B218" s="271" t="s">
        <v>1583</v>
      </c>
      <c r="C218" s="259" t="s">
        <v>40</v>
      </c>
      <c r="D218" s="237"/>
      <c r="E218" s="238"/>
      <c r="F218" s="238"/>
      <c r="G218" s="240"/>
    </row>
    <row r="219" spans="1:7">
      <c r="A219" s="237"/>
      <c r="B219" s="238">
        <v>6</v>
      </c>
      <c r="C219" s="239" t="s">
        <v>41</v>
      </c>
      <c r="D219" s="250" t="s">
        <v>68</v>
      </c>
      <c r="E219" s="238">
        <f>+'SSR-rates'!$K$88</f>
        <v>697.9</v>
      </c>
      <c r="F219" s="238" t="s">
        <v>41</v>
      </c>
      <c r="G219" s="240">
        <f>ROUND(B219*E219,2)</f>
        <v>4187.3999999999996</v>
      </c>
    </row>
    <row r="220" spans="1:7">
      <c r="A220" s="236"/>
      <c r="B220" s="238">
        <v>6</v>
      </c>
      <c r="C220" s="239" t="s">
        <v>41</v>
      </c>
      <c r="D220" s="250" t="s">
        <v>1584</v>
      </c>
      <c r="E220" s="238">
        <f>+'SSR-rates'!$K$87</f>
        <v>1323.5</v>
      </c>
      <c r="F220" s="238" t="s">
        <v>41</v>
      </c>
      <c r="G220" s="275">
        <f>ROUND(B220*E220,2)</f>
        <v>7941</v>
      </c>
    </row>
    <row r="221" spans="1:7">
      <c r="A221" s="236"/>
      <c r="B221" s="240"/>
      <c r="C221" s="255"/>
      <c r="D221" s="250" t="s">
        <v>60</v>
      </c>
      <c r="E221" s="238"/>
      <c r="F221" s="238"/>
      <c r="G221" s="242">
        <f>SUM(G219:G220)</f>
        <v>12128.4</v>
      </c>
    </row>
    <row r="222" spans="1:7">
      <c r="A222" s="239"/>
      <c r="B222" s="271" t="s">
        <v>45</v>
      </c>
      <c r="C222" s="259" t="s">
        <v>71</v>
      </c>
      <c r="D222" s="237"/>
      <c r="E222" s="238"/>
      <c r="F222" s="238"/>
      <c r="G222" s="250"/>
    </row>
    <row r="223" spans="1:7">
      <c r="A223" s="239"/>
      <c r="B223" s="250">
        <v>10</v>
      </c>
      <c r="C223" s="239" t="s">
        <v>29</v>
      </c>
      <c r="D223" s="237" t="s">
        <v>1597</v>
      </c>
      <c r="E223" s="238">
        <f>+G221+G217+G209</f>
        <v>81575.08</v>
      </c>
      <c r="F223" s="226" t="s">
        <v>73</v>
      </c>
      <c r="G223" s="250">
        <f>ROUND(B223*E223/100,2)</f>
        <v>8157.51</v>
      </c>
    </row>
    <row r="224" spans="1:7">
      <c r="A224" s="236"/>
      <c r="B224" s="271" t="s">
        <v>45</v>
      </c>
      <c r="C224" s="232" t="s">
        <v>1092</v>
      </c>
      <c r="D224" s="237"/>
      <c r="E224" s="239"/>
      <c r="F224" s="239"/>
      <c r="G224" s="242"/>
    </row>
    <row r="225" spans="1:7">
      <c r="A225" s="237"/>
      <c r="B225" s="276">
        <f>'Input Data'!$D$24</f>
        <v>0.13614999999999999</v>
      </c>
      <c r="C225" s="232" t="s">
        <v>1092</v>
      </c>
      <c r="D225" s="237"/>
      <c r="E225" s="239"/>
      <c r="F225" s="239"/>
      <c r="G225" s="240">
        <f>ROUND((G209+G217+G221+G223)*B225,2)</f>
        <v>12217.09</v>
      </c>
    </row>
    <row r="226" spans="1:7">
      <c r="A226" s="237"/>
      <c r="B226" s="251">
        <f>'Input Data'!$E$24</f>
        <v>0</v>
      </c>
      <c r="C226" s="252" t="s">
        <v>1093</v>
      </c>
      <c r="D226" s="237"/>
      <c r="E226" s="255">
        <f>G225+G223+G221+G217+G209</f>
        <v>101949.68</v>
      </c>
      <c r="F226" s="239"/>
      <c r="G226" s="240">
        <f>E226*B226</f>
        <v>0</v>
      </c>
    </row>
    <row r="227" spans="1:7">
      <c r="A227" s="237"/>
      <c r="B227" s="271" t="s">
        <v>47</v>
      </c>
      <c r="C227" s="232" t="s">
        <v>89</v>
      </c>
      <c r="D227" s="237"/>
      <c r="E227" s="239"/>
      <c r="F227" s="239"/>
      <c r="G227" s="242">
        <f>G209+G217+G221+G223+G225+G226</f>
        <v>101949.67999999998</v>
      </c>
    </row>
    <row r="228" spans="1:7">
      <c r="A228" s="237"/>
      <c r="B228" s="274"/>
      <c r="C228" s="239"/>
      <c r="D228" s="259" t="s">
        <v>1555</v>
      </c>
      <c r="E228" s="238"/>
      <c r="F228" s="238"/>
      <c r="G228" s="242">
        <f>SUM(G227:G227)</f>
        <v>101949.67999999998</v>
      </c>
    </row>
    <row r="229" spans="1:7">
      <c r="A229" s="237"/>
      <c r="B229" s="240"/>
      <c r="C229" s="239"/>
      <c r="D229" s="250" t="s">
        <v>81</v>
      </c>
      <c r="E229" s="238"/>
      <c r="F229" s="238"/>
      <c r="G229" s="240">
        <f>ROUND(G228/15,2)</f>
        <v>6796.65</v>
      </c>
    </row>
    <row r="230" spans="1:7">
      <c r="A230" s="277"/>
      <c r="B230" s="237"/>
      <c r="C230" s="237"/>
      <c r="D230" s="250" t="s">
        <v>52</v>
      </c>
      <c r="E230" s="238"/>
      <c r="F230" s="238"/>
      <c r="G230" s="253">
        <f>ROUND(G229,2)</f>
        <v>6796.65</v>
      </c>
    </row>
    <row r="231" spans="1:7">
      <c r="A231" s="237"/>
      <c r="B231" s="237"/>
      <c r="C231" s="237"/>
      <c r="D231" s="250"/>
      <c r="E231" s="238"/>
      <c r="F231" s="238"/>
      <c r="G231" s="242" t="s">
        <v>53</v>
      </c>
    </row>
    <row r="232" spans="1:7" s="221" customFormat="1" ht="71.099999999999994" customHeight="1">
      <c r="A232" s="278">
        <f>A180+1</f>
        <v>8</v>
      </c>
      <c r="B232" s="3916" t="s">
        <v>2575</v>
      </c>
      <c r="C232" s="3916"/>
      <c r="D232" s="3916"/>
      <c r="E232" s="3916"/>
      <c r="F232" s="3916"/>
      <c r="G232" s="3916"/>
    </row>
    <row r="233" spans="1:7" s="221" customFormat="1" ht="15" customHeight="1">
      <c r="A233" s="279"/>
      <c r="B233" s="280"/>
      <c r="C233" s="281"/>
      <c r="D233" s="246" t="s">
        <v>9</v>
      </c>
      <c r="E233" s="281"/>
      <c r="F233" s="281"/>
      <c r="G233" s="282"/>
    </row>
    <row r="234" spans="1:7" s="221" customFormat="1" ht="15" customHeight="1">
      <c r="A234" s="279"/>
      <c r="B234" s="280"/>
      <c r="C234" s="281"/>
      <c r="D234" s="283" t="s">
        <v>10</v>
      </c>
      <c r="E234" s="281"/>
      <c r="F234" s="281"/>
      <c r="G234" s="282"/>
    </row>
    <row r="235" spans="1:7" s="221" customFormat="1" ht="15" customHeight="1">
      <c r="A235" s="279"/>
      <c r="B235" s="280"/>
      <c r="C235" s="284"/>
      <c r="D235" s="283" t="s">
        <v>11</v>
      </c>
      <c r="E235" s="281"/>
      <c r="F235" s="281"/>
      <c r="G235" s="282"/>
    </row>
    <row r="236" spans="1:7" s="221" customFormat="1" ht="15" customHeight="1">
      <c r="A236" s="279"/>
      <c r="B236" s="280"/>
      <c r="C236" s="285"/>
      <c r="D236" s="246" t="s">
        <v>12</v>
      </c>
      <c r="E236" s="281"/>
      <c r="F236" s="281"/>
      <c r="G236" s="282"/>
    </row>
    <row r="237" spans="1:7" s="221" customFormat="1" ht="15" customHeight="1">
      <c r="A237" s="279"/>
      <c r="B237" s="286">
        <v>0.15</v>
      </c>
      <c r="C237" s="281" t="s">
        <v>13</v>
      </c>
      <c r="D237" s="287" t="s">
        <v>14</v>
      </c>
      <c r="E237" s="238">
        <f>'SSR-rates'!$K$58</f>
        <v>575</v>
      </c>
      <c r="F237" s="288">
        <v>1</v>
      </c>
      <c r="G237" s="289">
        <f>ROUND(B237*E237,2)</f>
        <v>86.25</v>
      </c>
    </row>
    <row r="238" spans="1:7" s="221" customFormat="1" ht="15" customHeight="1">
      <c r="A238" s="279"/>
      <c r="B238" s="286">
        <v>0.25</v>
      </c>
      <c r="C238" s="281" t="s">
        <v>13</v>
      </c>
      <c r="D238" s="287" t="s">
        <v>15</v>
      </c>
      <c r="E238" s="238">
        <f>'SSR-rates'!$K$59</f>
        <v>575</v>
      </c>
      <c r="F238" s="288">
        <v>1</v>
      </c>
      <c r="G238" s="289">
        <f>ROUND(B238*E238,2)</f>
        <v>143.75</v>
      </c>
    </row>
    <row r="239" spans="1:7" s="221" customFormat="1" ht="15" customHeight="1">
      <c r="A239" s="279"/>
      <c r="B239" s="286">
        <v>3.5</v>
      </c>
      <c r="C239" s="281" t="s">
        <v>13</v>
      </c>
      <c r="D239" s="287" t="s">
        <v>16</v>
      </c>
      <c r="E239" s="238">
        <f>'SSR-rates'!$K$60</f>
        <v>575</v>
      </c>
      <c r="F239" s="288">
        <v>1</v>
      </c>
      <c r="G239" s="289">
        <f>ROUND(B239*E239,2)</f>
        <v>2012.5</v>
      </c>
    </row>
    <row r="240" spans="1:7" s="221" customFormat="1" ht="15" customHeight="1">
      <c r="A240" s="279"/>
      <c r="B240" s="241">
        <f>'Input Data'!$D$23</f>
        <v>0</v>
      </c>
      <c r="C240" s="255"/>
      <c r="D240" s="237" t="s">
        <v>17</v>
      </c>
      <c r="E240" s="238">
        <f>SUM(G237:G239)</f>
        <v>2242.5</v>
      </c>
      <c r="F240" s="226"/>
      <c r="G240" s="240">
        <f>B240*E240</f>
        <v>0</v>
      </c>
    </row>
    <row r="241" spans="1:7" s="221" customFormat="1" ht="15" customHeight="1">
      <c r="A241" s="279"/>
      <c r="B241" s="290"/>
      <c r="C241" s="284"/>
      <c r="D241" s="291" t="s">
        <v>18</v>
      </c>
      <c r="E241" s="284"/>
      <c r="F241" s="292" t="s">
        <v>19</v>
      </c>
      <c r="G241" s="293">
        <f>SUM(G237:G240)</f>
        <v>2242.5</v>
      </c>
    </row>
    <row r="242" spans="1:7" s="221" customFormat="1" ht="15" customHeight="1">
      <c r="A242" s="279"/>
      <c r="B242" s="290"/>
      <c r="C242" s="285"/>
      <c r="D242" s="246" t="s">
        <v>20</v>
      </c>
      <c r="E242" s="284"/>
      <c r="F242" s="284"/>
      <c r="G242" s="289"/>
    </row>
    <row r="243" spans="1:7" s="221" customFormat="1" ht="15" customHeight="1">
      <c r="A243" s="279"/>
      <c r="B243" s="286">
        <v>0.27</v>
      </c>
      <c r="C243" s="281" t="s">
        <v>23</v>
      </c>
      <c r="D243" s="287" t="s">
        <v>24</v>
      </c>
      <c r="E243" s="284">
        <f>'SSR-rates'!$K$70</f>
        <v>512</v>
      </c>
      <c r="F243" s="284">
        <v>1</v>
      </c>
      <c r="G243" s="289">
        <f>ROUND(B243*E243,2)</f>
        <v>138.24</v>
      </c>
    </row>
    <row r="244" spans="1:7" s="221" customFormat="1" ht="15" customHeight="1">
      <c r="A244" s="279"/>
      <c r="B244" s="290"/>
      <c r="C244" s="284"/>
      <c r="D244" s="291" t="s">
        <v>18</v>
      </c>
      <c r="E244" s="284"/>
      <c r="F244" s="292" t="s">
        <v>25</v>
      </c>
      <c r="G244" s="293">
        <f>SUM(G243:G243)</f>
        <v>138.24</v>
      </c>
    </row>
    <row r="245" spans="1:7" s="221" customFormat="1" ht="15" customHeight="1">
      <c r="A245" s="279"/>
      <c r="B245" s="290"/>
      <c r="C245" s="281"/>
      <c r="D245" s="246" t="s">
        <v>26</v>
      </c>
      <c r="E245" s="284"/>
      <c r="F245" s="284"/>
      <c r="G245" s="293">
        <f>G241+G244</f>
        <v>2380.7399999999998</v>
      </c>
    </row>
    <row r="246" spans="1:7" s="221" customFormat="1" ht="15" customHeight="1">
      <c r="A246" s="279"/>
      <c r="B246" s="290"/>
      <c r="C246" s="240" t="s">
        <v>27</v>
      </c>
      <c r="D246" s="246" t="s">
        <v>2576</v>
      </c>
      <c r="E246" s="284"/>
      <c r="F246" s="284"/>
      <c r="G246" s="289"/>
    </row>
    <row r="247" spans="1:7" s="221" customFormat="1" ht="15" customHeight="1">
      <c r="A247" s="279"/>
      <c r="B247" s="249">
        <f>'Input Data'!$D$24</f>
        <v>0.13614999999999999</v>
      </c>
      <c r="C247" s="288"/>
      <c r="D247" s="246" t="str">
        <f>"Over head charges "&amp;'Input Data'!$D$24*100&amp;"%  on (A) + (B)"</f>
        <v>Over head charges 13.615%  on (A) + (B)</v>
      </c>
      <c r="E247" s="288">
        <f>G245</f>
        <v>2380.7399999999998</v>
      </c>
      <c r="F247" s="294"/>
      <c r="G247" s="295">
        <f>E247*B247</f>
        <v>324.13775099999998</v>
      </c>
    </row>
    <row r="248" spans="1:7" s="221" customFormat="1" ht="15" customHeight="1">
      <c r="A248" s="279"/>
      <c r="B248" s="290"/>
      <c r="C248" s="288"/>
      <c r="D248" s="246"/>
      <c r="E248" s="288"/>
      <c r="F248" s="294"/>
      <c r="G248" s="295"/>
    </row>
    <row r="249" spans="1:7" s="221" customFormat="1" ht="15" customHeight="1">
      <c r="A249" s="279"/>
      <c r="B249" s="290">
        <v>1.25</v>
      </c>
      <c r="C249" s="288" t="s">
        <v>31</v>
      </c>
      <c r="D249" s="291" t="str">
        <f>CONCATENATE("TOTAL Cost for ",B249,"  ",C249,"  =  (A+B+C)",)</f>
        <v>TOTAL Cost for 1.25  cum  =  (A+B+C)</v>
      </c>
      <c r="E249" s="288"/>
      <c r="F249" s="288"/>
      <c r="G249" s="295">
        <f>SUM(G245:G248)</f>
        <v>2704.877751</v>
      </c>
    </row>
    <row r="250" spans="1:7" s="221" customFormat="1" ht="15" customHeight="1">
      <c r="A250" s="279"/>
      <c r="B250" s="290"/>
      <c r="C250" s="288"/>
      <c r="D250" s="291" t="str">
        <f>CONCATENATE("Rate per  1  ",C249)</f>
        <v>Rate per  1  cum</v>
      </c>
      <c r="E250" s="288"/>
      <c r="F250" s="288"/>
      <c r="G250" s="289">
        <f>G249/B249</f>
        <v>2163.9022008000002</v>
      </c>
    </row>
    <row r="251" spans="1:7" s="221" customFormat="1" ht="15" customHeight="1">
      <c r="A251" s="279"/>
      <c r="B251" s="290"/>
      <c r="C251" s="284"/>
      <c r="D251" s="246" t="str">
        <f>D250</f>
        <v>Rate per  1  cum</v>
      </c>
      <c r="E251" s="288"/>
      <c r="F251" s="288"/>
      <c r="G251" s="293">
        <f>ROUND(G250,2)</f>
        <v>2163.9</v>
      </c>
    </row>
    <row r="252" spans="1:7" ht="15.9" customHeight="1">
      <c r="A252" s="236"/>
      <c r="B252" s="226"/>
      <c r="C252" s="237"/>
      <c r="D252" s="226" t="str">
        <f>'Road data'!D985</f>
        <v>Asst Exe Engineer,</v>
      </c>
      <c r="E252" s="3918" t="str">
        <f>'Drain '!I36</f>
        <v>Dy. Exe. Engineer</v>
      </c>
      <c r="F252" s="3918"/>
      <c r="G252" s="3918"/>
    </row>
    <row r="253" spans="1:7" ht="81.900000000000006" customHeight="1">
      <c r="A253" s="296">
        <f>A232+1</f>
        <v>9</v>
      </c>
      <c r="B253" s="3919" t="s">
        <v>2577</v>
      </c>
      <c r="C253" s="3919"/>
      <c r="D253" s="3919"/>
      <c r="E253" s="3919"/>
      <c r="F253" s="3919"/>
      <c r="G253" s="3919"/>
    </row>
    <row r="254" spans="1:7" ht="15" customHeight="1">
      <c r="A254" s="297"/>
      <c r="B254" s="280"/>
      <c r="C254" s="280"/>
      <c r="D254" s="246" t="s">
        <v>9</v>
      </c>
      <c r="E254" s="280"/>
      <c r="F254" s="280"/>
      <c r="G254" s="298"/>
    </row>
    <row r="255" spans="1:7" ht="15" customHeight="1">
      <c r="A255" s="297"/>
      <c r="B255" s="280"/>
      <c r="C255" s="280"/>
      <c r="D255" s="283" t="s">
        <v>10</v>
      </c>
      <c r="E255" s="280"/>
      <c r="F255" s="280"/>
      <c r="G255" s="298"/>
    </row>
    <row r="256" spans="1:7" ht="15" customHeight="1">
      <c r="A256" s="297"/>
      <c r="B256" s="280"/>
      <c r="C256" s="290"/>
      <c r="D256" s="283" t="s">
        <v>11</v>
      </c>
      <c r="E256" s="280"/>
      <c r="F256" s="280"/>
      <c r="G256" s="298"/>
    </row>
    <row r="257" spans="1:7" ht="15" customHeight="1">
      <c r="A257" s="297"/>
      <c r="B257" s="280"/>
      <c r="C257" s="297"/>
      <c r="D257" s="246" t="s">
        <v>12</v>
      </c>
      <c r="E257" s="280"/>
      <c r="F257" s="280"/>
      <c r="G257" s="298"/>
    </row>
    <row r="258" spans="1:7" ht="15" customHeight="1">
      <c r="A258" s="297"/>
      <c r="B258" s="286">
        <v>0.02</v>
      </c>
      <c r="C258" s="280" t="s">
        <v>13</v>
      </c>
      <c r="D258" s="287" t="s">
        <v>14</v>
      </c>
      <c r="E258" s="238">
        <f>'SSR-rates'!$K$58</f>
        <v>575</v>
      </c>
      <c r="F258" s="290">
        <v>1</v>
      </c>
      <c r="G258" s="299">
        <f>ROUND(B258*E258,2)</f>
        <v>11.5</v>
      </c>
    </row>
    <row r="259" spans="1:7" ht="15" customHeight="1">
      <c r="A259" s="297"/>
      <c r="B259" s="286">
        <v>0.25</v>
      </c>
      <c r="C259" s="280" t="s">
        <v>13</v>
      </c>
      <c r="D259" s="287" t="s">
        <v>15</v>
      </c>
      <c r="E259" s="238">
        <f>'SSR-rates'!$K$59</f>
        <v>575</v>
      </c>
      <c r="F259" s="290">
        <v>1</v>
      </c>
      <c r="G259" s="299">
        <f>ROUND(B259*E259,2)</f>
        <v>143.75</v>
      </c>
    </row>
    <row r="260" spans="1:7" ht="15" customHeight="1">
      <c r="A260" s="297"/>
      <c r="B260" s="286">
        <v>0.25</v>
      </c>
      <c r="C260" s="280" t="s">
        <v>13</v>
      </c>
      <c r="D260" s="287" t="s">
        <v>16</v>
      </c>
      <c r="E260" s="238">
        <f>'SSR-rates'!$K$60</f>
        <v>575</v>
      </c>
      <c r="F260" s="290">
        <v>1</v>
      </c>
      <c r="G260" s="299">
        <f>ROUND(B260*E260,2)</f>
        <v>143.75</v>
      </c>
    </row>
    <row r="261" spans="1:7" ht="15" customHeight="1">
      <c r="A261" s="297"/>
      <c r="B261" s="241">
        <f>'Input Data'!$D$23</f>
        <v>0</v>
      </c>
      <c r="C261" s="255"/>
      <c r="D261" s="237" t="s">
        <v>17</v>
      </c>
      <c r="E261" s="238">
        <f>SUM(G258:G260)</f>
        <v>299</v>
      </c>
      <c r="F261" s="226"/>
      <c r="G261" s="240">
        <f>B261*E261</f>
        <v>0</v>
      </c>
    </row>
    <row r="262" spans="1:7" ht="15" customHeight="1">
      <c r="A262" s="297"/>
      <c r="B262" s="290"/>
      <c r="C262" s="290"/>
      <c r="D262" s="291" t="s">
        <v>18</v>
      </c>
      <c r="E262" s="290"/>
      <c r="F262" s="300" t="s">
        <v>19</v>
      </c>
      <c r="G262" s="301">
        <f>SUM(G258:G261)</f>
        <v>299</v>
      </c>
    </row>
    <row r="263" spans="1:7" ht="15" customHeight="1">
      <c r="A263" s="297"/>
      <c r="B263" s="290"/>
      <c r="C263" s="297"/>
      <c r="D263" s="246" t="s">
        <v>20</v>
      </c>
      <c r="E263" s="290"/>
      <c r="F263" s="290"/>
      <c r="G263" s="299"/>
    </row>
    <row r="264" spans="1:7" ht="30" customHeight="1">
      <c r="A264" s="280"/>
      <c r="B264" s="290">
        <v>0.67</v>
      </c>
      <c r="C264" s="280" t="s">
        <v>23</v>
      </c>
      <c r="D264" s="302" t="s">
        <v>2578</v>
      </c>
      <c r="E264" s="290">
        <f>+'SSR-rates'!K73</f>
        <v>727.6</v>
      </c>
      <c r="F264" s="290">
        <v>1</v>
      </c>
      <c r="G264" s="299">
        <f>ROUND(B264*E264,2)</f>
        <v>487.49</v>
      </c>
    </row>
    <row r="265" spans="1:7" ht="15" customHeight="1">
      <c r="A265" s="297"/>
      <c r="B265" s="286">
        <v>0.27</v>
      </c>
      <c r="C265" s="280" t="s">
        <v>23</v>
      </c>
      <c r="D265" s="287" t="s">
        <v>24</v>
      </c>
      <c r="E265" s="290">
        <f>'SSR-rates'!$K$70</f>
        <v>512</v>
      </c>
      <c r="F265" s="290">
        <v>1</v>
      </c>
      <c r="G265" s="299">
        <f>ROUND(B265*E265,2)</f>
        <v>138.24</v>
      </c>
    </row>
    <row r="266" spans="1:7" ht="15" customHeight="1">
      <c r="A266" s="297"/>
      <c r="B266" s="290"/>
      <c r="C266" s="290"/>
      <c r="D266" s="291" t="s">
        <v>18</v>
      </c>
      <c r="E266" s="290"/>
      <c r="F266" s="300" t="s">
        <v>25</v>
      </c>
      <c r="G266" s="301">
        <f>SUM(G264:G265)</f>
        <v>625.73</v>
      </c>
    </row>
    <row r="267" spans="1:7" ht="15" customHeight="1">
      <c r="A267" s="297"/>
      <c r="B267" s="290"/>
      <c r="C267" s="280"/>
      <c r="D267" s="246" t="s">
        <v>26</v>
      </c>
      <c r="E267" s="290"/>
      <c r="F267" s="290"/>
      <c r="G267" s="301">
        <f>G262+G266</f>
        <v>924.73</v>
      </c>
    </row>
    <row r="268" spans="1:7" ht="15" customHeight="1">
      <c r="A268" s="297"/>
      <c r="B268" s="290"/>
      <c r="C268" s="240" t="s">
        <v>27</v>
      </c>
      <c r="D268" s="246" t="s">
        <v>2576</v>
      </c>
      <c r="E268" s="290"/>
      <c r="F268" s="290"/>
      <c r="G268" s="299"/>
    </row>
    <row r="269" spans="1:7" ht="15" customHeight="1">
      <c r="A269" s="297"/>
      <c r="B269" s="249">
        <f>'Input Data'!$D$24</f>
        <v>0.13614999999999999</v>
      </c>
      <c r="C269" s="290"/>
      <c r="D269" s="246" t="str">
        <f>"Over head charges "&amp;'Input Data'!$D$24*100&amp;"%  on (A) + (B)"</f>
        <v>Over head charges 13.615%  on (A) + (B)</v>
      </c>
      <c r="E269" s="290">
        <f>G267</f>
        <v>924.73</v>
      </c>
      <c r="F269" s="280"/>
      <c r="G269" s="299">
        <f>E269*B269</f>
        <v>125.9019895</v>
      </c>
    </row>
    <row r="270" spans="1:7" ht="15" customHeight="1">
      <c r="A270" s="297"/>
      <c r="B270" s="290"/>
      <c r="C270" s="290"/>
      <c r="D270" s="246"/>
      <c r="E270" s="290"/>
      <c r="F270" s="280"/>
      <c r="G270" s="299"/>
    </row>
    <row r="271" spans="1:7" ht="15" customHeight="1">
      <c r="A271" s="297"/>
      <c r="B271" s="290">
        <v>1.25</v>
      </c>
      <c r="C271" s="290" t="s">
        <v>31</v>
      </c>
      <c r="D271" s="291" t="str">
        <f>CONCATENATE("TOTAL Cost for ",B271,"  ",C271,"  =  (A+B+C)",)</f>
        <v>TOTAL Cost for 1.25  cum  =  (A+B+C)</v>
      </c>
      <c r="E271" s="290"/>
      <c r="F271" s="290"/>
      <c r="G271" s="299">
        <f>SUM(G267:G270)</f>
        <v>1050.6319894999999</v>
      </c>
    </row>
    <row r="272" spans="1:7" ht="15" customHeight="1">
      <c r="A272" s="297"/>
      <c r="B272" s="290"/>
      <c r="C272" s="290"/>
      <c r="D272" s="291" t="str">
        <f>CONCATENATE("Rate per  1  ",C271)</f>
        <v>Rate per  1  cum</v>
      </c>
      <c r="E272" s="290"/>
      <c r="F272" s="290"/>
      <c r="G272" s="299">
        <f>G271/B271</f>
        <v>840.50559159999989</v>
      </c>
    </row>
    <row r="273" spans="1:7" ht="15" customHeight="1">
      <c r="A273" s="297"/>
      <c r="B273" s="290"/>
      <c r="C273" s="290"/>
      <c r="D273" s="246" t="str">
        <f>D272</f>
        <v>Rate per  1  cum</v>
      </c>
      <c r="E273" s="290"/>
      <c r="F273" s="290"/>
      <c r="G273" s="301">
        <f>ROUND(G272,2)</f>
        <v>840.51</v>
      </c>
    </row>
    <row r="274" spans="1:7" ht="15.9" customHeight="1">
      <c r="A274" s="236"/>
      <c r="B274" s="226"/>
      <c r="C274" s="237"/>
      <c r="D274" s="226" t="str">
        <f>'Drain '!F37</f>
        <v>PRSD Maddur</v>
      </c>
      <c r="E274" s="3918" t="str">
        <f>'Drain '!I37</f>
        <v>PRSD, Maddur</v>
      </c>
      <c r="F274" s="3918"/>
      <c r="G274" s="3918"/>
    </row>
    <row r="275" spans="1:7">
      <c r="A275" s="236"/>
      <c r="B275" s="226"/>
      <c r="C275" s="237"/>
      <c r="D275" s="237"/>
      <c r="E275" s="237"/>
      <c r="F275" s="237"/>
      <c r="G275" s="303"/>
    </row>
    <row r="276" spans="1:7" ht="66.900000000000006" customHeight="1">
      <c r="A276" s="296">
        <f>A253+1</f>
        <v>10</v>
      </c>
      <c r="B276" s="3919" t="s">
        <v>2579</v>
      </c>
      <c r="C276" s="3919"/>
      <c r="D276" s="3919"/>
      <c r="E276" s="3919"/>
      <c r="F276" s="3919"/>
      <c r="G276" s="3919"/>
    </row>
    <row r="277" spans="1:7" ht="15" customHeight="1">
      <c r="A277" s="297"/>
      <c r="B277" s="280"/>
      <c r="C277" s="280"/>
      <c r="D277" s="246" t="s">
        <v>9</v>
      </c>
      <c r="E277" s="280"/>
      <c r="F277" s="280"/>
      <c r="G277" s="298"/>
    </row>
    <row r="278" spans="1:7" ht="15" customHeight="1">
      <c r="A278" s="297"/>
      <c r="B278" s="280"/>
      <c r="C278" s="280"/>
      <c r="D278" s="283" t="s">
        <v>10</v>
      </c>
      <c r="E278" s="280"/>
      <c r="F278" s="280"/>
      <c r="G278" s="298"/>
    </row>
    <row r="279" spans="1:7" ht="15" customHeight="1">
      <c r="A279" s="297"/>
      <c r="B279" s="280"/>
      <c r="C279" s="290"/>
      <c r="D279" s="283" t="s">
        <v>11</v>
      </c>
      <c r="E279" s="280"/>
      <c r="F279" s="280"/>
      <c r="G279" s="298"/>
    </row>
    <row r="280" spans="1:7" ht="15" customHeight="1">
      <c r="A280" s="297"/>
      <c r="B280" s="280"/>
      <c r="C280" s="297"/>
      <c r="D280" s="246" t="s">
        <v>12</v>
      </c>
      <c r="E280" s="280"/>
      <c r="F280" s="280"/>
      <c r="G280" s="298"/>
    </row>
    <row r="281" spans="1:7" ht="15" customHeight="1">
      <c r="A281" s="297"/>
      <c r="B281" s="286">
        <v>0.03</v>
      </c>
      <c r="C281" s="280" t="s">
        <v>13</v>
      </c>
      <c r="D281" s="287" t="s">
        <v>14</v>
      </c>
      <c r="E281" s="238">
        <f>'SSR-rates'!$K$58</f>
        <v>575</v>
      </c>
      <c r="F281" s="290">
        <v>1</v>
      </c>
      <c r="G281" s="299">
        <f>ROUND(B281*E281,2)</f>
        <v>17.25</v>
      </c>
    </row>
    <row r="282" spans="1:7" ht="15" customHeight="1">
      <c r="A282" s="297"/>
      <c r="B282" s="286">
        <v>0</v>
      </c>
      <c r="C282" s="280" t="s">
        <v>13</v>
      </c>
      <c r="D282" s="287" t="s">
        <v>15</v>
      </c>
      <c r="E282" s="238">
        <f>'SSR-rates'!$K$59</f>
        <v>575</v>
      </c>
      <c r="F282" s="290">
        <v>1</v>
      </c>
      <c r="G282" s="299">
        <f>ROUND(B282*E282,2)</f>
        <v>0</v>
      </c>
    </row>
    <row r="283" spans="1:7" ht="15" customHeight="1">
      <c r="A283" s="297"/>
      <c r="B283" s="286">
        <v>0.75</v>
      </c>
      <c r="C283" s="280" t="s">
        <v>13</v>
      </c>
      <c r="D283" s="287" t="s">
        <v>16</v>
      </c>
      <c r="E283" s="238">
        <f>'SSR-rates'!$K$60</f>
        <v>575</v>
      </c>
      <c r="F283" s="290">
        <v>1</v>
      </c>
      <c r="G283" s="299">
        <f>ROUND(B283*E283,2)</f>
        <v>431.25</v>
      </c>
    </row>
    <row r="284" spans="1:7" ht="15" customHeight="1">
      <c r="A284" s="297"/>
      <c r="B284" s="241">
        <f>'Input Data'!$D$23</f>
        <v>0</v>
      </c>
      <c r="C284" s="255"/>
      <c r="D284" s="237" t="s">
        <v>17</v>
      </c>
      <c r="E284" s="238">
        <f>SUM(G281:G283)</f>
        <v>448.5</v>
      </c>
      <c r="F284" s="226"/>
      <c r="G284" s="240">
        <f>B284*E284</f>
        <v>0</v>
      </c>
    </row>
    <row r="285" spans="1:7" ht="15" customHeight="1">
      <c r="A285" s="297"/>
      <c r="B285" s="290"/>
      <c r="C285" s="290"/>
      <c r="D285" s="291" t="s">
        <v>18</v>
      </c>
      <c r="E285" s="290"/>
      <c r="F285" s="300" t="s">
        <v>19</v>
      </c>
      <c r="G285" s="301">
        <f>SUM(G281:G284)</f>
        <v>448.5</v>
      </c>
    </row>
    <row r="286" spans="1:7" ht="15" customHeight="1">
      <c r="A286" s="297"/>
      <c r="B286" s="290"/>
      <c r="C286" s="297"/>
      <c r="D286" s="246" t="s">
        <v>20</v>
      </c>
      <c r="E286" s="290"/>
      <c r="F286" s="290"/>
      <c r="G286" s="299"/>
    </row>
    <row r="287" spans="1:7" ht="15" customHeight="1">
      <c r="A287" s="297"/>
      <c r="B287" s="286">
        <v>0.27</v>
      </c>
      <c r="C287" s="280" t="s">
        <v>23</v>
      </c>
      <c r="D287" s="287" t="s">
        <v>24</v>
      </c>
      <c r="E287" s="290">
        <f>'SSR-rates'!$K$70</f>
        <v>512</v>
      </c>
      <c r="F287" s="290">
        <v>1</v>
      </c>
      <c r="G287" s="299">
        <f>ROUND(B287*E287,2)</f>
        <v>138.24</v>
      </c>
    </row>
    <row r="288" spans="1:7" ht="15" customHeight="1">
      <c r="A288" s="297"/>
      <c r="B288" s="290"/>
      <c r="C288" s="290"/>
      <c r="D288" s="291" t="s">
        <v>18</v>
      </c>
      <c r="E288" s="290"/>
      <c r="F288" s="300" t="s">
        <v>25</v>
      </c>
      <c r="G288" s="301">
        <f>SUM(G287:G287)</f>
        <v>138.24</v>
      </c>
    </row>
    <row r="289" spans="1:7" ht="15" customHeight="1">
      <c r="A289" s="297"/>
      <c r="B289" s="290"/>
      <c r="C289" s="280"/>
      <c r="D289" s="246" t="s">
        <v>26</v>
      </c>
      <c r="E289" s="290"/>
      <c r="F289" s="290"/>
      <c r="G289" s="301">
        <f>G285+G288</f>
        <v>586.74</v>
      </c>
    </row>
    <row r="290" spans="1:7" ht="15" customHeight="1">
      <c r="A290" s="297"/>
      <c r="B290" s="290"/>
      <c r="C290" s="240" t="s">
        <v>27</v>
      </c>
      <c r="D290" s="246" t="s">
        <v>2576</v>
      </c>
      <c r="E290" s="290"/>
      <c r="F290" s="290"/>
      <c r="G290" s="299"/>
    </row>
    <row r="291" spans="1:7" ht="15" customHeight="1">
      <c r="A291" s="297"/>
      <c r="B291" s="249">
        <f>'Input Data'!$D$24</f>
        <v>0.13614999999999999</v>
      </c>
      <c r="C291" s="290"/>
      <c r="D291" s="246" t="str">
        <f>"Over head charges "&amp;'Input Data'!$D$24*100&amp;"%  on (A) + (B)"</f>
        <v>Over head charges 13.615%  on (A) + (B)</v>
      </c>
      <c r="E291" s="290">
        <f>$G$289</f>
        <v>586.74</v>
      </c>
      <c r="F291" s="280"/>
      <c r="G291" s="299">
        <f>E291*B291</f>
        <v>79.884650999999991</v>
      </c>
    </row>
    <row r="292" spans="1:7" ht="15" customHeight="1">
      <c r="A292" s="297"/>
      <c r="B292" s="290"/>
      <c r="C292" s="290"/>
      <c r="D292" s="246"/>
      <c r="E292" s="290"/>
      <c r="F292" s="280"/>
      <c r="G292" s="299"/>
    </row>
    <row r="293" spans="1:7" ht="15" customHeight="1">
      <c r="A293" s="297"/>
      <c r="B293" s="290">
        <v>1.25</v>
      </c>
      <c r="C293" s="290" t="s">
        <v>31</v>
      </c>
      <c r="D293" s="291" t="str">
        <f>CONCATENATE("TOTAL Cost for ",B293,"  ",C293,"  =  (A+B+C)",)</f>
        <v>TOTAL Cost for 1.25  cum  =  (A+B+C)</v>
      </c>
      <c r="E293" s="290"/>
      <c r="F293" s="290"/>
      <c r="G293" s="299">
        <f>SUM(G289:G292)</f>
        <v>666.62465099999997</v>
      </c>
    </row>
    <row r="294" spans="1:7" ht="15" customHeight="1">
      <c r="A294" s="297"/>
      <c r="B294" s="290"/>
      <c r="C294" s="290"/>
      <c r="D294" s="291" t="str">
        <f>CONCATENATE("Rate per  1  ",C293)</f>
        <v>Rate per  1  cum</v>
      </c>
      <c r="E294" s="290"/>
      <c r="F294" s="290"/>
      <c r="G294" s="299">
        <f>G293/B293</f>
        <v>533.29972079999993</v>
      </c>
    </row>
    <row r="295" spans="1:7" ht="15" customHeight="1">
      <c r="A295" s="297"/>
      <c r="B295" s="290"/>
      <c r="C295" s="290"/>
      <c r="D295" s="246" t="str">
        <f>D294</f>
        <v>Rate per  1  cum</v>
      </c>
      <c r="E295" s="290"/>
      <c r="F295" s="290"/>
      <c r="G295" s="301">
        <f>ROUND(G294,2)</f>
        <v>533.29999999999995</v>
      </c>
    </row>
    <row r="296" spans="1:7">
      <c r="A296" s="236"/>
      <c r="B296" s="226"/>
      <c r="C296" s="237"/>
      <c r="D296" s="237"/>
      <c r="E296" s="237"/>
      <c r="F296" s="237"/>
      <c r="G296" s="303"/>
    </row>
    <row r="297" spans="1:7">
      <c r="A297" s="236"/>
      <c r="B297" s="226"/>
      <c r="C297" s="237"/>
      <c r="D297" s="237"/>
      <c r="E297" s="237"/>
      <c r="F297" s="237"/>
      <c r="G297" s="303"/>
    </row>
    <row r="298" spans="1:7" ht="57" customHeight="1">
      <c r="A298" s="304">
        <v>12</v>
      </c>
      <c r="B298" s="3919" t="s">
        <v>2580</v>
      </c>
      <c r="C298" s="3919"/>
      <c r="D298" s="3919"/>
      <c r="E298" s="3919"/>
      <c r="F298" s="3919"/>
      <c r="G298" s="3919"/>
    </row>
    <row r="299" spans="1:7" ht="15" customHeight="1">
      <c r="A299" s="297"/>
      <c r="B299" s="280"/>
      <c r="C299" s="280"/>
      <c r="D299" s="283" t="s">
        <v>10</v>
      </c>
      <c r="E299" s="280"/>
      <c r="F299" s="280"/>
      <c r="G299" s="298"/>
    </row>
    <row r="300" spans="1:7" ht="15" customHeight="1">
      <c r="A300" s="297"/>
      <c r="B300" s="280"/>
      <c r="C300" s="290"/>
      <c r="D300" s="283" t="s">
        <v>2581</v>
      </c>
      <c r="E300" s="280"/>
      <c r="F300" s="280"/>
      <c r="G300" s="298"/>
    </row>
    <row r="301" spans="1:7" ht="15" customHeight="1">
      <c r="A301" s="297"/>
      <c r="B301" s="280"/>
      <c r="C301" s="290"/>
      <c r="D301" s="283" t="s">
        <v>2582</v>
      </c>
      <c r="E301" s="280"/>
      <c r="F301" s="280"/>
      <c r="G301" s="298"/>
    </row>
    <row r="302" spans="1:7" ht="15" customHeight="1">
      <c r="A302" s="297"/>
      <c r="B302" s="280"/>
      <c r="C302" s="297"/>
      <c r="D302" s="246" t="s">
        <v>12</v>
      </c>
      <c r="E302" s="280"/>
      <c r="F302" s="280"/>
      <c r="G302" s="298"/>
    </row>
    <row r="303" spans="1:7" ht="15" customHeight="1">
      <c r="A303" s="297"/>
      <c r="B303" s="286">
        <v>0.02</v>
      </c>
      <c r="C303" s="280" t="s">
        <v>13</v>
      </c>
      <c r="D303" s="287" t="s">
        <v>14</v>
      </c>
      <c r="E303" s="238">
        <f>'SSR-rates'!$K$58</f>
        <v>575</v>
      </c>
      <c r="F303" s="290">
        <v>1</v>
      </c>
      <c r="G303" s="299">
        <f>ROUND(B303*E303,2)</f>
        <v>11.5</v>
      </c>
    </row>
    <row r="304" spans="1:7" ht="15" customHeight="1">
      <c r="A304" s="297"/>
      <c r="B304" s="286">
        <v>0</v>
      </c>
      <c r="C304" s="280" t="s">
        <v>13</v>
      </c>
      <c r="D304" s="287" t="s">
        <v>15</v>
      </c>
      <c r="E304" s="238">
        <f>'SSR-rates'!$K$59</f>
        <v>575</v>
      </c>
      <c r="F304" s="290">
        <v>1</v>
      </c>
      <c r="G304" s="299">
        <f>ROUND(B304*E304,2)</f>
        <v>0</v>
      </c>
    </row>
    <row r="305" spans="1:7" ht="15" customHeight="1">
      <c r="A305" s="297"/>
      <c r="B305" s="286">
        <v>0.52</v>
      </c>
      <c r="C305" s="280" t="s">
        <v>13</v>
      </c>
      <c r="D305" s="287" t="s">
        <v>16</v>
      </c>
      <c r="E305" s="238">
        <f>'SSR-rates'!$K$60</f>
        <v>575</v>
      </c>
      <c r="F305" s="290">
        <v>1</v>
      </c>
      <c r="G305" s="299">
        <f>ROUND(B305*E305,2)</f>
        <v>299</v>
      </c>
    </row>
    <row r="306" spans="1:7" ht="15" customHeight="1">
      <c r="A306" s="297"/>
      <c r="B306" s="241">
        <f>'Input Data'!$D$23</f>
        <v>0</v>
      </c>
      <c r="C306" s="255"/>
      <c r="D306" s="237" t="s">
        <v>17</v>
      </c>
      <c r="E306" s="238">
        <f>SUM(G303:G305)</f>
        <v>310.5</v>
      </c>
      <c r="F306" s="226"/>
      <c r="G306" s="240">
        <f>B306*E306</f>
        <v>0</v>
      </c>
    </row>
    <row r="307" spans="1:7" ht="15" customHeight="1">
      <c r="A307" s="297"/>
      <c r="B307" s="290"/>
      <c r="C307" s="290"/>
      <c r="D307" s="291" t="s">
        <v>18</v>
      </c>
      <c r="E307" s="290"/>
      <c r="F307" s="300" t="s">
        <v>19</v>
      </c>
      <c r="G307" s="301">
        <f>SUM(G303:G306)</f>
        <v>310.5</v>
      </c>
    </row>
    <row r="308" spans="1:7" ht="15" customHeight="1">
      <c r="A308" s="297"/>
      <c r="B308" s="290"/>
      <c r="C308" s="240" t="s">
        <v>27</v>
      </c>
      <c r="D308" s="246" t="s">
        <v>2557</v>
      </c>
      <c r="E308" s="290"/>
      <c r="F308" s="290"/>
      <c r="G308" s="299"/>
    </row>
    <row r="309" spans="1:7" ht="15" customHeight="1">
      <c r="A309" s="297"/>
      <c r="B309" s="249">
        <f>'Input Data'!$D$24</f>
        <v>0.13614999999999999</v>
      </c>
      <c r="C309" s="290"/>
      <c r="D309" s="3920" t="str">
        <f>"Over head charges &amp; CP "&amp;'Input Data'!$D$24*100&amp;"%  on (A) + (B)"</f>
        <v>Over head charges &amp; CP 13.615%  on (A) + (B)</v>
      </c>
      <c r="E309" s="290">
        <f>G307</f>
        <v>310.5</v>
      </c>
      <c r="F309" s="280"/>
      <c r="G309" s="299">
        <f>E309*B309</f>
        <v>42.274574999999999</v>
      </c>
    </row>
    <row r="310" spans="1:7" ht="15" customHeight="1">
      <c r="A310" s="297"/>
      <c r="B310" s="290"/>
      <c r="C310" s="290"/>
      <c r="D310" s="3920"/>
      <c r="E310" s="290"/>
      <c r="F310" s="280"/>
      <c r="G310" s="299"/>
    </row>
    <row r="311" spans="1:7" ht="15" customHeight="1">
      <c r="A311" s="297"/>
      <c r="B311" s="290">
        <v>1</v>
      </c>
      <c r="C311" s="290" t="s">
        <v>31</v>
      </c>
      <c r="D311" s="291" t="str">
        <f>CONCATENATE("TOTAL Cost for ",B311,"  ",C311,"  =  (A+B+C)",)</f>
        <v>TOTAL Cost for 1  cum  =  (A+B+C)</v>
      </c>
      <c r="E311" s="290"/>
      <c r="F311" s="290"/>
      <c r="G311" s="299">
        <f>SUM(G307:G310)</f>
        <v>352.77457500000003</v>
      </c>
    </row>
    <row r="312" spans="1:7" ht="15" customHeight="1">
      <c r="A312" s="297"/>
      <c r="B312" s="290"/>
      <c r="C312" s="290"/>
      <c r="D312" s="291" t="str">
        <f>CONCATENATE("Rate per  1  ",C311)</f>
        <v>Rate per  1  cum</v>
      </c>
      <c r="E312" s="290"/>
      <c r="F312" s="290"/>
      <c r="G312" s="299">
        <f>G311/B311</f>
        <v>352.77457500000003</v>
      </c>
    </row>
    <row r="313" spans="1:7" ht="15" customHeight="1">
      <c r="A313" s="297"/>
      <c r="B313" s="290"/>
      <c r="C313" s="290"/>
      <c r="D313" s="246" t="str">
        <f>D312</f>
        <v>Rate per  1  cum</v>
      </c>
      <c r="E313" s="290"/>
      <c r="F313" s="290"/>
      <c r="G313" s="301">
        <f>ROUND(G312,2)</f>
        <v>352.77</v>
      </c>
    </row>
    <row r="314" spans="1:7">
      <c r="A314" s="236"/>
      <c r="B314" s="280"/>
      <c r="C314" s="290"/>
      <c r="D314" s="283" t="s">
        <v>2583</v>
      </c>
      <c r="E314" s="280"/>
      <c r="F314" s="280"/>
      <c r="G314" s="298"/>
    </row>
    <row r="315" spans="1:7">
      <c r="A315" s="236"/>
      <c r="B315" s="280"/>
      <c r="C315" s="297"/>
      <c r="D315" s="246" t="s">
        <v>12</v>
      </c>
      <c r="E315" s="280"/>
      <c r="F315" s="280"/>
      <c r="G315" s="298"/>
    </row>
    <row r="316" spans="1:7">
      <c r="A316" s="236"/>
      <c r="B316" s="286">
        <v>0.03</v>
      </c>
      <c r="C316" s="280" t="s">
        <v>13</v>
      </c>
      <c r="D316" s="287" t="s">
        <v>14</v>
      </c>
      <c r="E316" s="238">
        <f>'SSR-rates'!$K$58</f>
        <v>575</v>
      </c>
      <c r="F316" s="290">
        <v>1</v>
      </c>
      <c r="G316" s="299">
        <f>ROUND(B316*E316,2)</f>
        <v>17.25</v>
      </c>
    </row>
    <row r="317" spans="1:7">
      <c r="A317" s="236"/>
      <c r="B317" s="286">
        <v>0</v>
      </c>
      <c r="C317" s="280" t="s">
        <v>13</v>
      </c>
      <c r="D317" s="287" t="s">
        <v>15</v>
      </c>
      <c r="E317" s="238">
        <f>'SSR-rates'!$K$59</f>
        <v>575</v>
      </c>
      <c r="F317" s="290">
        <v>1</v>
      </c>
      <c r="G317" s="299">
        <f>ROUND(B317*E317,2)</f>
        <v>0</v>
      </c>
    </row>
    <row r="318" spans="1:7" ht="15" customHeight="1">
      <c r="A318" s="236"/>
      <c r="B318" s="286">
        <v>0.7</v>
      </c>
      <c r="C318" s="280" t="s">
        <v>13</v>
      </c>
      <c r="D318" s="287" t="s">
        <v>16</v>
      </c>
      <c r="E318" s="238">
        <f>'SSR-rates'!$K$60</f>
        <v>575</v>
      </c>
      <c r="F318" s="290">
        <v>1</v>
      </c>
      <c r="G318" s="299">
        <f>ROUND(B318*E318,2)</f>
        <v>402.5</v>
      </c>
    </row>
    <row r="319" spans="1:7" ht="15" customHeight="1">
      <c r="A319" s="236"/>
      <c r="B319" s="241">
        <f>'Input Data'!$D$23</f>
        <v>0</v>
      </c>
      <c r="C319" s="255"/>
      <c r="D319" s="237" t="s">
        <v>17</v>
      </c>
      <c r="E319" s="238">
        <f>SUM(G316:G318)</f>
        <v>419.75</v>
      </c>
      <c r="F319" s="226"/>
      <c r="G319" s="240">
        <f>B319*E319</f>
        <v>0</v>
      </c>
    </row>
    <row r="320" spans="1:7">
      <c r="A320" s="236"/>
      <c r="B320" s="290"/>
      <c r="C320" s="290"/>
      <c r="D320" s="291" t="s">
        <v>18</v>
      </c>
      <c r="E320" s="290"/>
      <c r="F320" s="300" t="s">
        <v>19</v>
      </c>
      <c r="G320" s="301">
        <f>SUM(G316:G319)</f>
        <v>419.75</v>
      </c>
    </row>
    <row r="321" spans="1:7">
      <c r="A321" s="236"/>
      <c r="B321" s="290"/>
      <c r="C321" s="240" t="s">
        <v>27</v>
      </c>
      <c r="D321" s="246" t="s">
        <v>2557</v>
      </c>
      <c r="E321" s="290"/>
      <c r="F321" s="290"/>
      <c r="G321" s="299"/>
    </row>
    <row r="322" spans="1:7">
      <c r="A322" s="236"/>
      <c r="B322" s="249">
        <f>'Input Data'!$D$24</f>
        <v>0.13614999999999999</v>
      </c>
      <c r="C322" s="290"/>
      <c r="D322" s="246" t="str">
        <f>"Over head charges &amp; CP "&amp;'Input Data'!$D$24*100&amp;"%  on (A) + (B)"</f>
        <v>Over head charges &amp; CP 13.615%  on (A) + (B)</v>
      </c>
      <c r="E322" s="290">
        <f>G320</f>
        <v>419.75</v>
      </c>
      <c r="F322" s="280"/>
      <c r="G322" s="299">
        <f>E322*B322</f>
        <v>57.148962499999996</v>
      </c>
    </row>
    <row r="323" spans="1:7">
      <c r="A323" s="236"/>
      <c r="B323" s="290"/>
      <c r="C323" s="290"/>
      <c r="D323" s="246"/>
      <c r="E323" s="290"/>
      <c r="F323" s="280"/>
      <c r="G323" s="299"/>
    </row>
    <row r="324" spans="1:7">
      <c r="A324" s="236"/>
      <c r="B324" s="290">
        <v>1</v>
      </c>
      <c r="C324" s="290" t="s">
        <v>31</v>
      </c>
      <c r="D324" s="291" t="str">
        <f>CONCATENATE("TOTAL Cost for ",B324,"  ",C324,"  =  (A+B+C+D)",)</f>
        <v>TOTAL Cost for 1  cum  =  (A+B+C+D)</v>
      </c>
      <c r="E324" s="290"/>
      <c r="F324" s="290"/>
      <c r="G324" s="299">
        <f>SUM(G320:G323)</f>
        <v>476.89896249999998</v>
      </c>
    </row>
    <row r="325" spans="1:7">
      <c r="A325" s="236"/>
      <c r="B325" s="290"/>
      <c r="C325" s="290"/>
      <c r="D325" s="291" t="str">
        <f>CONCATENATE("Rate per  1  ",C324)</f>
        <v>Rate per  1  cum</v>
      </c>
      <c r="E325" s="290"/>
      <c r="F325" s="290"/>
      <c r="G325" s="299">
        <f>G324/B324</f>
        <v>476.89896249999998</v>
      </c>
    </row>
    <row r="326" spans="1:7">
      <c r="A326" s="236"/>
      <c r="B326" s="290"/>
      <c r="C326" s="290"/>
      <c r="D326" s="246" t="str">
        <f>D325</f>
        <v>Rate per  1  cum</v>
      </c>
      <c r="E326" s="290"/>
      <c r="F326" s="290"/>
      <c r="G326" s="301">
        <f>ROUND(G325,2)</f>
        <v>476.9</v>
      </c>
    </row>
    <row r="327" spans="1:7">
      <c r="A327" s="236"/>
      <c r="B327" s="226"/>
      <c r="C327" s="237"/>
      <c r="D327" s="237"/>
      <c r="E327" s="237"/>
      <c r="F327" s="237"/>
      <c r="G327" s="305"/>
    </row>
    <row r="328" spans="1:7">
      <c r="A328" s="236"/>
      <c r="B328" s="280"/>
      <c r="C328" s="290"/>
      <c r="D328" s="283" t="s">
        <v>2584</v>
      </c>
      <c r="E328" s="280"/>
      <c r="F328" s="280"/>
      <c r="G328" s="298"/>
    </row>
    <row r="329" spans="1:7">
      <c r="A329" s="236"/>
      <c r="B329" s="280"/>
      <c r="C329" s="297"/>
      <c r="D329" s="246" t="s">
        <v>12</v>
      </c>
      <c r="E329" s="280"/>
      <c r="F329" s="280"/>
      <c r="G329" s="298"/>
    </row>
    <row r="330" spans="1:7">
      <c r="A330" s="236"/>
      <c r="B330" s="286">
        <v>0.05</v>
      </c>
      <c r="C330" s="280" t="s">
        <v>13</v>
      </c>
      <c r="D330" s="287" t="s">
        <v>14</v>
      </c>
      <c r="E330" s="238">
        <f>'SSR-rates'!$K$58</f>
        <v>575</v>
      </c>
      <c r="F330" s="290">
        <v>1</v>
      </c>
      <c r="G330" s="299">
        <f>ROUND(B330*E330,2)</f>
        <v>28.75</v>
      </c>
    </row>
    <row r="331" spans="1:7">
      <c r="A331" s="236"/>
      <c r="B331" s="286">
        <v>0</v>
      </c>
      <c r="C331" s="280" t="s">
        <v>13</v>
      </c>
      <c r="D331" s="287" t="s">
        <v>15</v>
      </c>
      <c r="E331" s="238">
        <f>'SSR-rates'!$K$59</f>
        <v>575</v>
      </c>
      <c r="F331" s="290">
        <v>1</v>
      </c>
      <c r="G331" s="299">
        <f>ROUND(B331*E331,2)</f>
        <v>0</v>
      </c>
    </row>
    <row r="332" spans="1:7">
      <c r="A332" s="236"/>
      <c r="B332" s="286">
        <v>1.2</v>
      </c>
      <c r="C332" s="280" t="s">
        <v>13</v>
      </c>
      <c r="D332" s="287" t="s">
        <v>16</v>
      </c>
      <c r="E332" s="238">
        <f>'SSR-rates'!$K$60</f>
        <v>575</v>
      </c>
      <c r="F332" s="290">
        <v>1</v>
      </c>
      <c r="G332" s="299">
        <f>ROUND(B332*E332,2)</f>
        <v>690</v>
      </c>
    </row>
    <row r="333" spans="1:7">
      <c r="A333" s="236"/>
      <c r="B333" s="241">
        <f>'Input Data'!$D$23</f>
        <v>0</v>
      </c>
      <c r="C333" s="255"/>
      <c r="D333" s="237" t="s">
        <v>17</v>
      </c>
      <c r="E333" s="238">
        <f>SUM(G330:G332)</f>
        <v>718.75</v>
      </c>
      <c r="F333" s="226"/>
      <c r="G333" s="240">
        <f>B333*E333</f>
        <v>0</v>
      </c>
    </row>
    <row r="334" spans="1:7">
      <c r="A334" s="236"/>
      <c r="B334" s="290"/>
      <c r="C334" s="290"/>
      <c r="D334" s="291" t="s">
        <v>18</v>
      </c>
      <c r="E334" s="290"/>
      <c r="F334" s="300" t="s">
        <v>19</v>
      </c>
      <c r="G334" s="301">
        <f>SUM(G330:G333)</f>
        <v>718.75</v>
      </c>
    </row>
    <row r="335" spans="1:7">
      <c r="A335" s="236"/>
      <c r="B335" s="290"/>
      <c r="C335" s="240" t="s">
        <v>27</v>
      </c>
      <c r="D335" s="246" t="s">
        <v>2557</v>
      </c>
      <c r="E335" s="290"/>
      <c r="F335" s="290"/>
      <c r="G335" s="299"/>
    </row>
    <row r="336" spans="1:7">
      <c r="A336" s="236"/>
      <c r="B336" s="249">
        <f>'Input Data'!$D$24</f>
        <v>0.13614999999999999</v>
      </c>
      <c r="C336" s="290"/>
      <c r="D336" s="246" t="str">
        <f>"Over head charges &amp; CP "&amp;'Input Data'!$D$24*100&amp;"%  on (A) + (B)"</f>
        <v>Over head charges &amp; CP 13.615%  on (A) + (B)</v>
      </c>
      <c r="E336" s="290">
        <f>G334</f>
        <v>718.75</v>
      </c>
      <c r="F336" s="280"/>
      <c r="G336" s="299">
        <f>E336*B336</f>
        <v>97.857812499999994</v>
      </c>
    </row>
    <row r="337" spans="1:7">
      <c r="A337" s="236"/>
      <c r="B337" s="290"/>
      <c r="C337" s="290"/>
      <c r="D337" s="246"/>
      <c r="E337" s="290"/>
      <c r="F337" s="280"/>
      <c r="G337" s="299"/>
    </row>
    <row r="338" spans="1:7">
      <c r="A338" s="236"/>
      <c r="B338" s="290">
        <v>1</v>
      </c>
      <c r="C338" s="290" t="s">
        <v>31</v>
      </c>
      <c r="D338" s="291" t="str">
        <f>CONCATENATE("TOTAL Cost for ",B338,"  ",C338,"  =  (A+B+C)",)</f>
        <v>TOTAL Cost for 1  cum  =  (A+B+C)</v>
      </c>
      <c r="E338" s="290"/>
      <c r="F338" s="290"/>
      <c r="G338" s="299">
        <f>SUM(G334:G337)</f>
        <v>816.60781250000002</v>
      </c>
    </row>
    <row r="339" spans="1:7">
      <c r="A339" s="236"/>
      <c r="B339" s="290"/>
      <c r="C339" s="290"/>
      <c r="D339" s="291" t="str">
        <f>CONCATENATE("Rate per  1  ",C338)</f>
        <v>Rate per  1  cum</v>
      </c>
      <c r="E339" s="290"/>
      <c r="F339" s="290"/>
      <c r="G339" s="299">
        <f>G338/B338</f>
        <v>816.60781250000002</v>
      </c>
    </row>
    <row r="340" spans="1:7">
      <c r="A340" s="236"/>
      <c r="B340" s="290"/>
      <c r="C340" s="290"/>
      <c r="D340" s="246" t="str">
        <f>D339</f>
        <v>Rate per  1  cum</v>
      </c>
      <c r="E340" s="290"/>
      <c r="F340" s="290"/>
      <c r="G340" s="301">
        <f>ROUND(G339,2)</f>
        <v>816.61</v>
      </c>
    </row>
    <row r="341" spans="1:7">
      <c r="A341" s="236"/>
      <c r="B341" s="226"/>
      <c r="C341" s="237"/>
      <c r="D341" s="237"/>
      <c r="E341" s="237"/>
      <c r="F341" s="237"/>
      <c r="G341" s="303"/>
    </row>
    <row r="342" spans="1:7">
      <c r="A342" s="236"/>
      <c r="B342" s="226"/>
      <c r="C342" s="237"/>
      <c r="D342" s="237"/>
      <c r="E342" s="237"/>
      <c r="F342" s="237"/>
      <c r="G342" s="303"/>
    </row>
    <row r="343" spans="1:7" ht="50.1" customHeight="1">
      <c r="A343" s="304">
        <v>13</v>
      </c>
      <c r="B343" s="3919" t="s">
        <v>2585</v>
      </c>
      <c r="C343" s="3919"/>
      <c r="D343" s="3919"/>
      <c r="E343" s="3919"/>
      <c r="F343" s="3919"/>
      <c r="G343" s="3919"/>
    </row>
    <row r="344" spans="1:7" ht="15" customHeight="1">
      <c r="A344" s="297"/>
      <c r="B344" s="297" t="s">
        <v>2586</v>
      </c>
      <c r="C344" s="280"/>
      <c r="D344" s="306"/>
      <c r="E344" s="280"/>
      <c r="F344" s="280"/>
      <c r="G344" s="298"/>
    </row>
    <row r="345" spans="1:7" ht="15" customHeight="1">
      <c r="A345" s="297"/>
      <c r="B345" s="280"/>
      <c r="C345" s="280"/>
      <c r="D345" s="283" t="s">
        <v>10</v>
      </c>
      <c r="E345" s="280"/>
      <c r="F345" s="280"/>
      <c r="G345" s="298"/>
    </row>
    <row r="346" spans="1:7" ht="15" customHeight="1">
      <c r="A346" s="297"/>
      <c r="B346" s="280"/>
      <c r="C346" s="290"/>
      <c r="D346" s="283" t="s">
        <v>115</v>
      </c>
      <c r="E346" s="280"/>
      <c r="F346" s="280"/>
      <c r="G346" s="298"/>
    </row>
    <row r="347" spans="1:7" ht="15" customHeight="1">
      <c r="A347" s="297"/>
      <c r="B347" s="280"/>
      <c r="C347" s="297"/>
      <c r="D347" s="246" t="s">
        <v>12</v>
      </c>
      <c r="E347" s="280"/>
      <c r="F347" s="280"/>
      <c r="G347" s="298"/>
    </row>
    <row r="348" spans="1:7" ht="15" customHeight="1">
      <c r="A348" s="297"/>
      <c r="B348" s="286">
        <v>0.01</v>
      </c>
      <c r="C348" s="280" t="s">
        <v>13</v>
      </c>
      <c r="D348" s="287" t="s">
        <v>14</v>
      </c>
      <c r="E348" s="238">
        <f>'SSR-rates'!$K$58</f>
        <v>575</v>
      </c>
      <c r="F348" s="290">
        <v>1</v>
      </c>
      <c r="G348" s="299">
        <f>ROUND(B348*E348,2)</f>
        <v>5.75</v>
      </c>
    </row>
    <row r="349" spans="1:7" ht="15" customHeight="1">
      <c r="A349" s="297"/>
      <c r="B349" s="286">
        <v>0</v>
      </c>
      <c r="C349" s="280" t="s">
        <v>13</v>
      </c>
      <c r="D349" s="287" t="s">
        <v>15</v>
      </c>
      <c r="E349" s="238">
        <f>'SSR-rates'!$K$59</f>
        <v>575</v>
      </c>
      <c r="F349" s="290">
        <v>1</v>
      </c>
      <c r="G349" s="299">
        <f>ROUND(B349*E349,2)</f>
        <v>0</v>
      </c>
    </row>
    <row r="350" spans="1:7" ht="15" customHeight="1">
      <c r="A350" s="297"/>
      <c r="B350" s="286">
        <v>0.3</v>
      </c>
      <c r="C350" s="280" t="s">
        <v>13</v>
      </c>
      <c r="D350" s="287" t="s">
        <v>16</v>
      </c>
      <c r="E350" s="238">
        <f>'SSR-rates'!$K$60</f>
        <v>575</v>
      </c>
      <c r="F350" s="290">
        <v>1</v>
      </c>
      <c r="G350" s="299">
        <f>ROUND(B350*E350,2)</f>
        <v>172.5</v>
      </c>
    </row>
    <row r="351" spans="1:7" ht="15" customHeight="1">
      <c r="A351" s="297"/>
      <c r="B351" s="241">
        <f>'Input Data'!$D$23</f>
        <v>0</v>
      </c>
      <c r="C351" s="255"/>
      <c r="D351" s="237" t="s">
        <v>17</v>
      </c>
      <c r="E351" s="238">
        <f>SUM(G348:G350)</f>
        <v>178.25</v>
      </c>
      <c r="F351" s="226"/>
      <c r="G351" s="238">
        <f>B351*E351</f>
        <v>0</v>
      </c>
    </row>
    <row r="352" spans="1:7" ht="15" customHeight="1">
      <c r="A352" s="297"/>
      <c r="B352" s="290"/>
      <c r="C352" s="290"/>
      <c r="D352" s="291" t="s">
        <v>18</v>
      </c>
      <c r="E352" s="290"/>
      <c r="F352" s="300" t="s">
        <v>19</v>
      </c>
      <c r="G352" s="301">
        <f>SUM(G348:G351)</f>
        <v>178.25</v>
      </c>
    </row>
    <row r="353" spans="1:7" ht="15" customHeight="1">
      <c r="A353" s="297"/>
      <c r="B353" s="290"/>
      <c r="C353" s="297"/>
      <c r="D353" s="246" t="s">
        <v>20</v>
      </c>
      <c r="E353" s="290"/>
      <c r="F353" s="290"/>
      <c r="G353" s="299"/>
    </row>
    <row r="354" spans="1:7" ht="15" customHeight="1">
      <c r="A354" s="297"/>
      <c r="B354" s="286">
        <v>0.38</v>
      </c>
      <c r="C354" s="280" t="s">
        <v>23</v>
      </c>
      <c r="D354" s="287" t="s">
        <v>24</v>
      </c>
      <c r="E354" s="290">
        <f>'SSR-rates'!$K$70</f>
        <v>512</v>
      </c>
      <c r="F354" s="290">
        <v>1</v>
      </c>
      <c r="G354" s="299">
        <f>ROUND(B354*E354,2)</f>
        <v>194.56</v>
      </c>
    </row>
    <row r="355" spans="1:7" ht="15" customHeight="1">
      <c r="A355" s="297"/>
      <c r="B355" s="286">
        <v>1.7000000000000001E-2</v>
      </c>
      <c r="C355" s="280"/>
      <c r="D355" s="287" t="s">
        <v>1253</v>
      </c>
      <c r="E355" s="290">
        <f>'SSR-rates'!$K$72</f>
        <v>625</v>
      </c>
      <c r="F355" s="290">
        <v>1</v>
      </c>
      <c r="G355" s="299">
        <f>ROUND(B355*E355,2)</f>
        <v>10.63</v>
      </c>
    </row>
    <row r="356" spans="1:7" ht="15" customHeight="1">
      <c r="A356" s="297"/>
      <c r="B356" s="290"/>
      <c r="C356" s="290"/>
      <c r="D356" s="291" t="s">
        <v>18</v>
      </c>
      <c r="E356" s="290"/>
      <c r="F356" s="300" t="s">
        <v>25</v>
      </c>
      <c r="G356" s="301">
        <f>SUM(G354:G355)</f>
        <v>205.19</v>
      </c>
    </row>
    <row r="357" spans="1:7" ht="15" customHeight="1">
      <c r="A357" s="297"/>
      <c r="B357" s="290"/>
      <c r="C357" s="280"/>
      <c r="D357" s="246" t="s">
        <v>26</v>
      </c>
      <c r="E357" s="290"/>
      <c r="F357" s="290"/>
      <c r="G357" s="301">
        <f>G352+G356</f>
        <v>383.44</v>
      </c>
    </row>
    <row r="358" spans="1:7" ht="15" customHeight="1">
      <c r="A358" s="297"/>
      <c r="B358" s="290"/>
      <c r="C358" s="240" t="s">
        <v>27</v>
      </c>
      <c r="D358" s="246" t="s">
        <v>2587</v>
      </c>
      <c r="E358" s="290"/>
      <c r="F358" s="290"/>
      <c r="G358" s="299"/>
    </row>
    <row r="359" spans="1:7" ht="15" customHeight="1">
      <c r="A359" s="297"/>
      <c r="B359" s="249">
        <f>'Input Data'!$D$24</f>
        <v>0.13614999999999999</v>
      </c>
      <c r="C359" s="290"/>
      <c r="D359" s="246" t="str">
        <f>"Over head charges &amp; CP  "&amp;'Input Data'!$D$24*100&amp;"%  on (A) + (B)"</f>
        <v>Over head charges &amp; CP  13.615%  on (A) + (B)</v>
      </c>
      <c r="E359" s="290">
        <f>G357</f>
        <v>383.44</v>
      </c>
      <c r="F359" s="280"/>
      <c r="G359" s="299">
        <f>E359*B359</f>
        <v>52.205355999999995</v>
      </c>
    </row>
    <row r="360" spans="1:7" ht="15" customHeight="1">
      <c r="A360" s="297"/>
      <c r="B360" s="290"/>
      <c r="C360" s="290"/>
      <c r="D360" s="246"/>
      <c r="E360" s="290"/>
      <c r="F360" s="280"/>
      <c r="G360" s="299"/>
    </row>
    <row r="361" spans="1:7" ht="15" customHeight="1">
      <c r="A361" s="297"/>
      <c r="B361" s="290">
        <v>1</v>
      </c>
      <c r="C361" s="290" t="s">
        <v>31</v>
      </c>
      <c r="D361" s="291" t="str">
        <f>CONCATENATE("TOTAL Cost for ",B361,"  ",C361,"  =  (A+B+C)",)</f>
        <v>TOTAL Cost for 1  cum  =  (A+B+C)</v>
      </c>
      <c r="E361" s="290"/>
      <c r="F361" s="290"/>
      <c r="G361" s="299">
        <f>SUM(G357:G360)</f>
        <v>435.64535599999999</v>
      </c>
    </row>
    <row r="362" spans="1:7" ht="15" customHeight="1">
      <c r="A362" s="297"/>
      <c r="B362" s="290"/>
      <c r="C362" s="290"/>
      <c r="D362" s="291" t="str">
        <f>CONCATENATE("Rate per  1  ",C361)</f>
        <v>Rate per  1  cum</v>
      </c>
      <c r="E362" s="290"/>
      <c r="F362" s="290"/>
      <c r="G362" s="299">
        <f>G361/B361</f>
        <v>435.64535599999999</v>
      </c>
    </row>
    <row r="363" spans="1:7" ht="15" customHeight="1">
      <c r="A363" s="297"/>
      <c r="B363" s="290"/>
      <c r="C363" s="290"/>
      <c r="D363" s="246" t="str">
        <f>D362</f>
        <v>Rate per  1  cum</v>
      </c>
      <c r="E363" s="290"/>
      <c r="F363" s="290"/>
      <c r="G363" s="301">
        <f>ROUND(G362,0)</f>
        <v>436</v>
      </c>
    </row>
    <row r="364" spans="1:7">
      <c r="A364" s="236"/>
      <c r="B364" s="226"/>
      <c r="C364" s="237"/>
      <c r="D364" s="237"/>
      <c r="E364" s="237"/>
      <c r="F364" s="237"/>
      <c r="G364" s="303"/>
    </row>
    <row r="365" spans="1:7" ht="87.9" customHeight="1">
      <c r="A365" s="236">
        <v>14</v>
      </c>
      <c r="B365" s="3921" t="s">
        <v>1556</v>
      </c>
      <c r="C365" s="3921"/>
      <c r="D365" s="3921"/>
      <c r="E365" s="3921"/>
      <c r="F365" s="3921"/>
      <c r="G365" s="3921"/>
    </row>
    <row r="366" spans="1:7">
      <c r="A366" s="258"/>
      <c r="B366" s="226"/>
      <c r="C366" s="237"/>
      <c r="D366" s="250" t="s">
        <v>10</v>
      </c>
      <c r="E366" s="237"/>
      <c r="F366" s="237"/>
      <c r="G366" s="237"/>
    </row>
    <row r="367" spans="1:7">
      <c r="A367" s="258"/>
      <c r="B367" s="226"/>
      <c r="C367" s="237"/>
      <c r="D367" s="250" t="s">
        <v>56</v>
      </c>
      <c r="E367" s="237"/>
      <c r="F367" s="237"/>
      <c r="G367" s="237"/>
    </row>
    <row r="368" spans="1:7">
      <c r="A368" s="258"/>
      <c r="B368" s="236" t="s">
        <v>36</v>
      </c>
      <c r="C368" s="259" t="s">
        <v>37</v>
      </c>
      <c r="D368" s="237"/>
      <c r="E368" s="237"/>
      <c r="F368" s="237"/>
      <c r="G368" s="237"/>
    </row>
    <row r="369" spans="1:8">
      <c r="A369" s="258"/>
      <c r="B369" s="238">
        <v>0.86</v>
      </c>
      <c r="C369" s="239" t="s">
        <v>57</v>
      </c>
      <c r="D369" s="250" t="s">
        <v>14</v>
      </c>
      <c r="E369" s="238">
        <v>405</v>
      </c>
      <c r="F369" s="226" t="s">
        <v>38</v>
      </c>
      <c r="G369" s="240">
        <f>ROUND(B369*E369,2)</f>
        <v>348.3</v>
      </c>
      <c r="H369" s="261"/>
    </row>
    <row r="370" spans="1:8">
      <c r="A370" s="258"/>
      <c r="B370" s="238">
        <v>1.5</v>
      </c>
      <c r="C370" s="239" t="s">
        <v>57</v>
      </c>
      <c r="D370" s="250" t="s">
        <v>58</v>
      </c>
      <c r="E370" s="238">
        <v>417</v>
      </c>
      <c r="F370" s="226" t="s">
        <v>38</v>
      </c>
      <c r="G370" s="240">
        <f>ROUND(B370*E370,2)</f>
        <v>625.5</v>
      </c>
    </row>
    <row r="371" spans="1:8">
      <c r="A371" s="258"/>
      <c r="B371" s="238">
        <v>20</v>
      </c>
      <c r="C371" s="239" t="s">
        <v>57</v>
      </c>
      <c r="D371" s="250" t="s">
        <v>59</v>
      </c>
      <c r="E371" s="238">
        <v>350</v>
      </c>
      <c r="F371" s="226" t="s">
        <v>38</v>
      </c>
      <c r="G371" s="240">
        <f>ROUND(B371*E371,2)</f>
        <v>7000</v>
      </c>
    </row>
    <row r="372" spans="1:8">
      <c r="A372" s="236"/>
      <c r="B372" s="241">
        <f>'Input Data'!D23</f>
        <v>0</v>
      </c>
      <c r="C372" s="255"/>
      <c r="D372" s="237" t="s">
        <v>17</v>
      </c>
      <c r="E372" s="238">
        <f>SUM(G369:G371)</f>
        <v>7973.8</v>
      </c>
      <c r="F372" s="226"/>
      <c r="G372" s="240">
        <f>ROUND(B372*E372,2)</f>
        <v>0</v>
      </c>
    </row>
    <row r="373" spans="1:8" ht="15" customHeight="1">
      <c r="A373" s="258"/>
      <c r="B373" s="238"/>
      <c r="C373" s="237"/>
      <c r="D373" s="250" t="s">
        <v>60</v>
      </c>
      <c r="E373" s="238"/>
      <c r="F373" s="238"/>
      <c r="G373" s="240">
        <f>SUM(G369:G372)</f>
        <v>7973.8</v>
      </c>
    </row>
    <row r="374" spans="1:8">
      <c r="A374" s="258"/>
      <c r="B374" s="236" t="s">
        <v>39</v>
      </c>
      <c r="C374" s="259" t="s">
        <v>61</v>
      </c>
      <c r="D374" s="237"/>
      <c r="E374" s="238"/>
      <c r="F374" s="238"/>
      <c r="G374" s="238"/>
    </row>
    <row r="375" spans="1:8" ht="15" customHeight="1">
      <c r="A375" s="258"/>
      <c r="B375" s="238">
        <v>8.1</v>
      </c>
      <c r="C375" s="239" t="s">
        <v>31</v>
      </c>
      <c r="D375" s="237" t="s">
        <v>63</v>
      </c>
      <c r="E375" s="238">
        <v>1630.8781850988</v>
      </c>
      <c r="F375" s="238" t="s">
        <v>31</v>
      </c>
      <c r="G375" s="238">
        <f>ROUND(B375*E375,2)</f>
        <v>13210.11</v>
      </c>
    </row>
    <row r="376" spans="1:8" ht="15" customHeight="1">
      <c r="A376" s="258"/>
      <c r="B376" s="238">
        <v>5.4</v>
      </c>
      <c r="C376" s="239" t="s">
        <v>31</v>
      </c>
      <c r="D376" s="237" t="s">
        <v>64</v>
      </c>
      <c r="E376" s="238">
        <v>1350.8781850988</v>
      </c>
      <c r="F376" s="238" t="s">
        <v>31</v>
      </c>
      <c r="G376" s="238">
        <f>ROUND(B376*E376,2)</f>
        <v>7294.74</v>
      </c>
    </row>
    <row r="377" spans="1:8" ht="15" customHeight="1">
      <c r="A377" s="258"/>
      <c r="B377" s="238">
        <v>6.75</v>
      </c>
      <c r="C377" s="239" t="s">
        <v>31</v>
      </c>
      <c r="D377" s="250" t="s">
        <v>65</v>
      </c>
      <c r="E377" s="238">
        <v>0</v>
      </c>
      <c r="F377" s="238" t="s">
        <v>31</v>
      </c>
      <c r="G377" s="238">
        <f>ROUND(B377*E377,2)</f>
        <v>0</v>
      </c>
    </row>
    <row r="378" spans="1:8" ht="15" customHeight="1">
      <c r="A378" s="258"/>
      <c r="B378" s="238">
        <v>5.21</v>
      </c>
      <c r="C378" s="239" t="s">
        <v>66</v>
      </c>
      <c r="D378" s="250" t="s">
        <v>67</v>
      </c>
      <c r="E378" s="238">
        <v>5400</v>
      </c>
      <c r="F378" s="238" t="s">
        <v>66</v>
      </c>
      <c r="G378" s="238">
        <f>ROUND(B378*E378,2)</f>
        <v>28134</v>
      </c>
    </row>
    <row r="379" spans="1:8">
      <c r="A379" s="258"/>
      <c r="B379" s="238"/>
      <c r="C379" s="255"/>
      <c r="D379" s="250" t="s">
        <v>60</v>
      </c>
      <c r="E379" s="238"/>
      <c r="F379" s="238"/>
      <c r="G379" s="238">
        <f>SUM(G375:G378)</f>
        <v>48638.85</v>
      </c>
    </row>
    <row r="380" spans="1:8">
      <c r="A380" s="258"/>
      <c r="B380" s="236" t="s">
        <v>94</v>
      </c>
      <c r="C380" s="259" t="s">
        <v>40</v>
      </c>
      <c r="D380" s="237"/>
      <c r="E380" s="238"/>
      <c r="F380" s="238"/>
      <c r="G380" s="238"/>
    </row>
    <row r="381" spans="1:8">
      <c r="A381" s="258"/>
      <c r="B381" s="238">
        <v>6</v>
      </c>
      <c r="C381" s="239" t="s">
        <v>41</v>
      </c>
      <c r="D381" s="250" t="s">
        <v>68</v>
      </c>
      <c r="E381" s="238">
        <v>472.6</v>
      </c>
      <c r="F381" s="238" t="s">
        <v>41</v>
      </c>
      <c r="G381" s="238">
        <f>ROUND(B381*E381,2)</f>
        <v>2835.6</v>
      </c>
    </row>
    <row r="382" spans="1:8">
      <c r="A382" s="258"/>
      <c r="B382" s="238">
        <v>6</v>
      </c>
      <c r="C382" s="239" t="s">
        <v>41</v>
      </c>
      <c r="D382" s="250" t="s">
        <v>69</v>
      </c>
      <c r="E382" s="238">
        <v>842.2</v>
      </c>
      <c r="F382" s="238" t="s">
        <v>41</v>
      </c>
      <c r="G382" s="238">
        <f>ROUND(B382*E382,2)</f>
        <v>5053.2</v>
      </c>
    </row>
    <row r="383" spans="1:8">
      <c r="A383" s="258"/>
      <c r="B383" s="238"/>
      <c r="C383" s="255"/>
      <c r="D383" s="250" t="s">
        <v>60</v>
      </c>
      <c r="E383" s="238"/>
      <c r="F383" s="238"/>
      <c r="G383" s="238">
        <f>SUM(G381:G382)</f>
        <v>7888.7999999999993</v>
      </c>
    </row>
    <row r="384" spans="1:8">
      <c r="A384" s="236"/>
      <c r="B384" s="236" t="s">
        <v>45</v>
      </c>
      <c r="C384" s="232" t="s">
        <v>149</v>
      </c>
      <c r="D384" s="237"/>
      <c r="E384" s="239"/>
      <c r="F384" s="239"/>
      <c r="G384" s="264"/>
    </row>
    <row r="385" spans="1:7" ht="15" customHeight="1">
      <c r="A385" s="236"/>
      <c r="B385" s="238">
        <v>10</v>
      </c>
      <c r="C385" s="255" t="s">
        <v>29</v>
      </c>
      <c r="D385" s="250" t="s">
        <v>2588</v>
      </c>
      <c r="E385" s="239"/>
      <c r="F385" s="239"/>
      <c r="G385" s="238">
        <f>ROUND((G373+G379+G383)*B385/100,2)</f>
        <v>6450.15</v>
      </c>
    </row>
    <row r="386" spans="1:7">
      <c r="A386" s="236"/>
      <c r="B386" s="236" t="s">
        <v>47</v>
      </c>
      <c r="C386" s="232" t="s">
        <v>1246</v>
      </c>
      <c r="D386" s="237"/>
      <c r="E386" s="239"/>
      <c r="F386" s="239"/>
      <c r="G386" s="264"/>
    </row>
    <row r="387" spans="1:7" ht="15" customHeight="1">
      <c r="A387" s="236"/>
      <c r="B387" s="249">
        <f>'Input Data'!$D$24</f>
        <v>0.13614999999999999</v>
      </c>
      <c r="C387" s="3914" t="str">
        <f>"Over head charges &amp; CP "&amp;'Input Data'!$D$24*100&amp;"%  on (A) + (B)+(C)+(D)"</f>
        <v>Over head charges &amp; CP 13.615%  on (A) + (B)+(C)+(D)</v>
      </c>
      <c r="D387" s="3914"/>
      <c r="E387" s="255">
        <f>G385+G383+G379+G373</f>
        <v>70951.599999999991</v>
      </c>
      <c r="F387" s="239"/>
      <c r="G387" s="238">
        <f>E387*B387</f>
        <v>9660.0603399999982</v>
      </c>
    </row>
    <row r="388" spans="1:7">
      <c r="A388" s="236"/>
      <c r="B388" s="236" t="s">
        <v>76</v>
      </c>
      <c r="C388" s="232" t="s">
        <v>89</v>
      </c>
      <c r="D388" s="237"/>
      <c r="E388" s="239"/>
      <c r="F388" s="239"/>
      <c r="G388" s="264">
        <f>G373+G379+G383+G387+G385</f>
        <v>80611.660339999988</v>
      </c>
    </row>
    <row r="389" spans="1:7">
      <c r="A389" s="258"/>
      <c r="B389" s="238"/>
      <c r="C389" s="239"/>
      <c r="D389" s="259" t="s">
        <v>1555</v>
      </c>
      <c r="E389" s="238"/>
      <c r="F389" s="238"/>
      <c r="G389" s="264">
        <f>SUM(G388:G388)</f>
        <v>80611.660339999988</v>
      </c>
    </row>
    <row r="390" spans="1:7">
      <c r="A390" s="258"/>
      <c r="B390" s="238"/>
      <c r="C390" s="239"/>
      <c r="D390" s="250" t="s">
        <v>81</v>
      </c>
      <c r="E390" s="238"/>
      <c r="F390" s="238"/>
      <c r="G390" s="238">
        <f>ROUND(G389/15,2)</f>
        <v>5374.11</v>
      </c>
    </row>
    <row r="391" spans="1:7">
      <c r="A391" s="258"/>
      <c r="B391" s="226"/>
      <c r="C391" s="237"/>
      <c r="D391" s="250" t="s">
        <v>52</v>
      </c>
      <c r="E391" s="238"/>
      <c r="F391" s="238"/>
      <c r="G391" s="307">
        <f>ROUND(G390,0)</f>
        <v>5374</v>
      </c>
    </row>
    <row r="392" spans="1:7">
      <c r="A392" s="258"/>
      <c r="B392" s="226"/>
      <c r="C392" s="237"/>
      <c r="D392" s="250"/>
      <c r="E392" s="238"/>
      <c r="F392" s="238"/>
      <c r="G392" s="264" t="s">
        <v>53</v>
      </c>
    </row>
    <row r="393" spans="1:7">
      <c r="A393" s="308"/>
      <c r="D393" s="261"/>
      <c r="E393" s="309"/>
      <c r="F393" s="309"/>
      <c r="G393" s="310"/>
    </row>
    <row r="394" spans="1:7">
      <c r="A394" s="308"/>
      <c r="D394" s="261"/>
      <c r="E394" s="309"/>
      <c r="F394" s="309"/>
      <c r="G394" s="310"/>
    </row>
    <row r="395" spans="1:7">
      <c r="A395" s="308"/>
      <c r="D395" s="261" t="str">
        <f>'Road data'!D985</f>
        <v>Asst Exe Engineer,</v>
      </c>
      <c r="E395" s="311" t="str">
        <f>'Road data'!E985</f>
        <v>Dy. Exe. Engineer</v>
      </c>
      <c r="F395" s="309"/>
      <c r="G395" s="310"/>
    </row>
    <row r="396" spans="1:7">
      <c r="A396" s="308"/>
      <c r="D396" s="261" t="str">
        <f>'Road data'!D986</f>
        <v>PRSD Maddur</v>
      </c>
      <c r="E396" s="311" t="str">
        <f>'Road data'!E986</f>
        <v>PRSD, Maddur</v>
      </c>
      <c r="F396" s="309"/>
      <c r="G396" s="310"/>
    </row>
    <row r="397" spans="1:7">
      <c r="A397" s="308"/>
      <c r="D397" s="261"/>
      <c r="E397" s="309"/>
      <c r="F397" s="309"/>
      <c r="G397" s="310"/>
    </row>
    <row r="399" spans="1:7" ht="15.9" customHeight="1">
      <c r="D399" s="312" t="str">
        <f>'Drain '!F40</f>
        <v>District Panchayat Raj Engineer,</v>
      </c>
      <c r="E399" s="3922" t="str">
        <f>'Drain '!I40</f>
        <v>Superintending Engineer</v>
      </c>
      <c r="F399" s="3922"/>
      <c r="G399" s="3922"/>
    </row>
    <row r="400" spans="1:7" ht="15.9" customHeight="1">
      <c r="D400" s="312" t="str">
        <f>'Drain '!F41</f>
        <v>PR Division, Narayanpet</v>
      </c>
      <c r="E400" s="3917" t="str">
        <f>GA!C38</f>
        <v>PR, Circle, Vikarabad</v>
      </c>
      <c r="F400" s="3917"/>
      <c r="G400" s="3917"/>
    </row>
  </sheetData>
  <mergeCells count="36">
    <mergeCell ref="E400:G400"/>
    <mergeCell ref="E252:G252"/>
    <mergeCell ref="B253:G253"/>
    <mergeCell ref="E274:G274"/>
    <mergeCell ref="B276:G276"/>
    <mergeCell ref="B298:G298"/>
    <mergeCell ref="D309:D310"/>
    <mergeCell ref="B343:G343"/>
    <mergeCell ref="B365:G365"/>
    <mergeCell ref="C387:D387"/>
    <mergeCell ref="E399:G399"/>
    <mergeCell ref="B156:G156"/>
    <mergeCell ref="C173:D173"/>
    <mergeCell ref="B180:G180"/>
    <mergeCell ref="B201:G201"/>
    <mergeCell ref="B232:G232"/>
    <mergeCell ref="C66:D66"/>
    <mergeCell ref="B74:G74"/>
    <mergeCell ref="C98:D98"/>
    <mergeCell ref="B105:G105"/>
    <mergeCell ref="B131:G131"/>
    <mergeCell ref="B39:D39"/>
    <mergeCell ref="C47:D47"/>
    <mergeCell ref="B55:G55"/>
    <mergeCell ref="B56:C56"/>
    <mergeCell ref="B57:D57"/>
    <mergeCell ref="B5:C5"/>
    <mergeCell ref="B7:D7"/>
    <mergeCell ref="C14:D14"/>
    <mergeCell ref="B23:D23"/>
    <mergeCell ref="C31:D31"/>
    <mergeCell ref="A1:G1"/>
    <mergeCell ref="A2:C2"/>
    <mergeCell ref="D2:G2"/>
    <mergeCell ref="B3:C3"/>
    <mergeCell ref="B4:G4"/>
  </mergeCells>
  <conditionalFormatting sqref="A232">
    <cfRule type="cellIs" dxfId="15" priority="28" stopIfTrue="1" operator="equal">
      <formula>A1878</formula>
    </cfRule>
  </conditionalFormatting>
  <conditionalFormatting sqref="A233:A239">
    <cfRule type="cellIs" dxfId="14" priority="29" stopIfTrue="1" operator="equal">
      <formula>A232</formula>
    </cfRule>
  </conditionalFormatting>
  <conditionalFormatting sqref="A241:A242 A244:A248 A250:A251 A288:A292 A294:A295 A300:A301 A303:A305 A309:A310 A312:A313 A357:A360 A362:A363">
    <cfRule type="cellIs" dxfId="13" priority="32" stopIfTrue="1" operator="equal">
      <formula>A240</formula>
    </cfRule>
  </conditionalFormatting>
  <conditionalFormatting sqref="A253">
    <cfRule type="cellIs" dxfId="12" priority="2" stopIfTrue="1" operator="equal">
      <formula>A1899</formula>
    </cfRule>
  </conditionalFormatting>
  <conditionalFormatting sqref="A254:A260">
    <cfRule type="cellIs" dxfId="11" priority="3" stopIfTrue="1" operator="equal">
      <formula>A253</formula>
    </cfRule>
  </conditionalFormatting>
  <conditionalFormatting sqref="A262:A264 A266:A270 A272:A273">
    <cfRule type="cellIs" dxfId="10" priority="5" stopIfTrue="1" operator="equal">
      <formula>A261</formula>
    </cfRule>
  </conditionalFormatting>
  <conditionalFormatting sqref="A276">
    <cfRule type="cellIs" dxfId="9" priority="23" stopIfTrue="1" operator="equal">
      <formula>A1902</formula>
    </cfRule>
  </conditionalFormatting>
  <conditionalFormatting sqref="A277:A283">
    <cfRule type="cellIs" dxfId="8" priority="24" stopIfTrue="1" operator="equal">
      <formula>A276</formula>
    </cfRule>
  </conditionalFormatting>
  <conditionalFormatting sqref="A285:A286">
    <cfRule type="cellIs" dxfId="7" priority="26" stopIfTrue="1" operator="equal">
      <formula>A284</formula>
    </cfRule>
  </conditionalFormatting>
  <conditionalFormatting sqref="A298">
    <cfRule type="cellIs" dxfId="6" priority="18" stopIfTrue="1" operator="equal">
      <formula>A1926</formula>
    </cfRule>
  </conditionalFormatting>
  <conditionalFormatting sqref="A302 A356">
    <cfRule type="cellIs" dxfId="5" priority="39" stopIfTrue="1" operator="equal">
      <formula>A300</formula>
    </cfRule>
  </conditionalFormatting>
  <conditionalFormatting sqref="A307">
    <cfRule type="cellIs" dxfId="4" priority="21" stopIfTrue="1" operator="equal">
      <formula>A306</formula>
    </cfRule>
  </conditionalFormatting>
  <conditionalFormatting sqref="A343">
    <cfRule type="cellIs" dxfId="3" priority="12" stopIfTrue="1" operator="equal">
      <formula>A1979</formula>
    </cfRule>
  </conditionalFormatting>
  <conditionalFormatting sqref="A345:A355">
    <cfRule type="cellIs" dxfId="2" priority="8" stopIfTrue="1" operator="equal">
      <formula>A344</formula>
    </cfRule>
  </conditionalFormatting>
  <conditionalFormatting sqref="A351 A240 A261 A284 A299 A306">
    <cfRule type="cellIs" dxfId="1" priority="34" stopIfTrue="1" operator="equal">
      <formula>#REF!</formula>
    </cfRule>
  </conditionalFormatting>
  <conditionalFormatting sqref="A354:A355 A243 A249 A265 A271 A287 A293 A308 A311 A344 A361">
    <cfRule type="cellIs" dxfId="0" priority="37" stopIfTrue="1" operator="equal">
      <formula>#REF!</formula>
    </cfRule>
  </conditionalFormatting>
  <printOptions horizontalCentered="1"/>
  <pageMargins left="0.59055118110236204" right="0.196850393700787" top="0.59055118110236204" bottom="0.39370078740157499" header="0.511811023622047" footer="0.35433070866141703"/>
  <pageSetup paperSize="9" scale="95" orientation="portrait" r:id="rId1"/>
  <headerFooter alignWithMargins="0">
    <oddFooter>&amp;CPage &amp;P of &amp;N</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4"/>
  <sheetViews>
    <sheetView topLeftCell="A138" workbookViewId="0">
      <selection activeCell="G138" sqref="G138"/>
    </sheetView>
  </sheetViews>
  <sheetFormatPr defaultColWidth="9.109375" defaultRowHeight="13.2"/>
  <cols>
    <col min="1" max="1" width="7.5546875" style="100" customWidth="1"/>
    <col min="2" max="2" width="12.88671875" style="100" customWidth="1"/>
    <col min="3" max="3" width="8.109375" style="100" customWidth="1"/>
    <col min="4" max="4" width="43.6640625" style="100" customWidth="1"/>
    <col min="5" max="5" width="12.88671875" style="100" customWidth="1"/>
    <col min="6" max="6" width="11.5546875" style="100" customWidth="1"/>
    <col min="7" max="7" width="15.5546875" style="100" customWidth="1"/>
    <col min="8" max="8" width="23.44140625" style="100" customWidth="1"/>
    <col min="9" max="9" width="17.109375" style="100" customWidth="1"/>
    <col min="10" max="10" width="16" style="100" customWidth="1"/>
    <col min="11" max="11" width="9" style="100" customWidth="1"/>
    <col min="12" max="12" width="11.88671875" style="100" customWidth="1"/>
    <col min="13" max="13" width="14.44140625" style="100" customWidth="1"/>
    <col min="14" max="14" width="13.88671875" style="100" customWidth="1"/>
    <col min="15" max="15" width="9.109375" style="100"/>
    <col min="16" max="16" width="7.5546875" style="100" customWidth="1"/>
    <col min="17" max="16384" width="9.109375" style="100"/>
  </cols>
  <sheetData>
    <row r="1" spans="1:16" s="90" customFormat="1" ht="22.5" customHeight="1">
      <c r="A1" s="3923" t="s">
        <v>2589</v>
      </c>
      <c r="B1" s="3923"/>
      <c r="C1" s="3923"/>
      <c r="D1" s="3923"/>
      <c r="E1" s="3923"/>
      <c r="F1" s="3923"/>
      <c r="G1" s="3923"/>
      <c r="H1" s="101"/>
    </row>
    <row r="2" spans="1:16" s="91" customFormat="1" ht="17.25" hidden="1" customHeight="1">
      <c r="A2" s="102"/>
      <c r="B2" s="102"/>
      <c r="C2" s="102"/>
      <c r="D2" s="103" t="s">
        <v>2590</v>
      </c>
      <c r="E2" s="104"/>
      <c r="F2" s="102"/>
      <c r="G2" s="105"/>
      <c r="H2" s="106"/>
    </row>
    <row r="3" spans="1:16" s="92" customFormat="1" ht="18" hidden="1" customHeight="1">
      <c r="A3" s="107">
        <v>17</v>
      </c>
      <c r="B3" s="3924" t="s">
        <v>2591</v>
      </c>
      <c r="C3" s="3924"/>
      <c r="D3" s="108" t="s">
        <v>2592</v>
      </c>
      <c r="E3" s="109"/>
      <c r="F3" s="110"/>
      <c r="G3" s="111"/>
      <c r="H3" s="112"/>
      <c r="I3" s="157"/>
    </row>
    <row r="4" spans="1:16" s="92" customFormat="1" ht="34.200000000000003" hidden="1" customHeight="1">
      <c r="A4" s="107"/>
      <c r="B4" s="113" t="s">
        <v>2593</v>
      </c>
      <c r="C4" s="3925" t="s">
        <v>2594</v>
      </c>
      <c r="D4" s="3925"/>
      <c r="E4" s="3925"/>
      <c r="F4" s="3925"/>
      <c r="G4" s="3925"/>
      <c r="H4" s="114"/>
      <c r="I4" s="157"/>
    </row>
    <row r="5" spans="1:16" s="93" customFormat="1" ht="12.6" hidden="1">
      <c r="A5" s="115"/>
      <c r="B5" s="116"/>
      <c r="C5" s="117"/>
      <c r="D5" s="118" t="s">
        <v>2595</v>
      </c>
      <c r="E5" s="109"/>
      <c r="F5" s="119"/>
      <c r="G5" s="120"/>
      <c r="H5" s="121"/>
      <c r="I5" s="158"/>
    </row>
    <row r="6" spans="1:16" s="93" customFormat="1" ht="20.100000000000001" hidden="1" customHeight="1">
      <c r="A6" s="115"/>
      <c r="B6" s="116"/>
      <c r="C6" s="3926" t="s">
        <v>2596</v>
      </c>
      <c r="D6" s="3926"/>
      <c r="E6" s="3926"/>
      <c r="F6" s="3926"/>
      <c r="G6" s="3926"/>
      <c r="H6" s="122"/>
      <c r="I6" s="158"/>
    </row>
    <row r="7" spans="1:16" s="93" customFormat="1" ht="20.100000000000001" hidden="1" customHeight="1">
      <c r="A7" s="115"/>
      <c r="B7" s="116"/>
      <c r="C7" s="117"/>
      <c r="D7" s="118" t="s">
        <v>2597</v>
      </c>
      <c r="E7" s="109"/>
      <c r="F7" s="119"/>
      <c r="G7" s="120"/>
      <c r="H7" s="3927" t="s">
        <v>2598</v>
      </c>
      <c r="I7" s="3927"/>
      <c r="J7" s="3927"/>
      <c r="K7" s="3927"/>
      <c r="L7" s="3928" t="s">
        <v>2599</v>
      </c>
      <c r="M7" s="3928"/>
      <c r="N7" s="3928"/>
      <c r="O7" s="3928"/>
    </row>
    <row r="8" spans="1:16" s="92" customFormat="1" ht="12.6" hidden="1">
      <c r="A8" s="107"/>
      <c r="B8" s="113" t="s">
        <v>2600</v>
      </c>
      <c r="C8" s="3929" t="s">
        <v>2601</v>
      </c>
      <c r="D8" s="3929"/>
      <c r="E8" s="3929"/>
      <c r="F8" s="3929"/>
      <c r="G8" s="3929"/>
      <c r="H8" s="123"/>
      <c r="I8" s="157"/>
    </row>
    <row r="9" spans="1:16" s="93" customFormat="1" ht="20.100000000000001" hidden="1" customHeight="1">
      <c r="A9" s="115"/>
      <c r="B9" s="119">
        <v>18.75</v>
      </c>
      <c r="C9" s="109" t="s">
        <v>31</v>
      </c>
      <c r="D9" s="118" t="s">
        <v>2602</v>
      </c>
      <c r="E9" s="109"/>
      <c r="F9" s="115" t="s">
        <v>31</v>
      </c>
      <c r="G9" s="124">
        <f t="shared" ref="G9" si="0">ROUND(B9*E9,2)</f>
        <v>0</v>
      </c>
      <c r="H9" s="125"/>
      <c r="I9" s="159">
        <f>ROUND(B9*G9,2)</f>
        <v>0</v>
      </c>
    </row>
    <row r="10" spans="1:16" s="93" customFormat="1" ht="46.5" hidden="1" customHeight="1">
      <c r="A10" s="115"/>
      <c r="B10" s="116"/>
      <c r="C10" s="117"/>
      <c r="D10" s="118" t="s">
        <v>2603</v>
      </c>
      <c r="E10" s="126">
        <v>0.5</v>
      </c>
      <c r="F10" s="115"/>
      <c r="G10" s="127">
        <f>ROUND(G9*E10,0)</f>
        <v>0</v>
      </c>
      <c r="H10" s="128"/>
      <c r="I10" s="159">
        <f>ROUND(I9*50%,2)</f>
        <v>0</v>
      </c>
      <c r="P10" s="93">
        <f>187.5*0.1</f>
        <v>18.75</v>
      </c>
    </row>
    <row r="11" spans="1:16" s="93" customFormat="1" ht="20.100000000000001" hidden="1" customHeight="1">
      <c r="A11" s="115"/>
      <c r="B11" s="116"/>
      <c r="C11" s="117"/>
      <c r="D11" s="118" t="s">
        <v>2604</v>
      </c>
      <c r="E11" s="109"/>
      <c r="F11" s="119"/>
      <c r="G11" s="120">
        <f>SUM(G9:G10)</f>
        <v>0</v>
      </c>
      <c r="H11" s="129"/>
      <c r="I11" s="159">
        <f>SUM(I9:I10)</f>
        <v>0</v>
      </c>
    </row>
    <row r="12" spans="1:16" s="93" customFormat="1" ht="20.100000000000001" hidden="1" customHeight="1">
      <c r="A12" s="115"/>
      <c r="B12" s="116"/>
      <c r="C12" s="117"/>
      <c r="D12" s="3930" t="s">
        <v>2605</v>
      </c>
      <c r="E12" s="3930"/>
      <c r="F12" s="119"/>
      <c r="G12" s="127">
        <f>G11/187.5</f>
        <v>0</v>
      </c>
      <c r="H12" s="128"/>
      <c r="I12" s="159">
        <f>ROUND(I11/187.5,2)</f>
        <v>0</v>
      </c>
      <c r="J12" s="93" t="s">
        <v>2606</v>
      </c>
    </row>
    <row r="13" spans="1:16" s="92" customFormat="1" ht="23.25" hidden="1" customHeight="1">
      <c r="A13" s="107"/>
      <c r="B13" s="113" t="s">
        <v>584</v>
      </c>
      <c r="C13" s="3929" t="s">
        <v>2607</v>
      </c>
      <c r="D13" s="3929"/>
      <c r="E13" s="3929"/>
      <c r="F13" s="3929"/>
      <c r="G13" s="3929"/>
      <c r="H13" s="123"/>
      <c r="I13" s="157"/>
    </row>
    <row r="14" spans="1:16" s="93" customFormat="1" ht="20.100000000000001" hidden="1" customHeight="1">
      <c r="A14" s="115"/>
      <c r="B14" s="119">
        <v>18.75</v>
      </c>
      <c r="C14" s="109" t="s">
        <v>31</v>
      </c>
      <c r="D14" s="118" t="s">
        <v>2602</v>
      </c>
      <c r="E14" s="109">
        <f>'Road data'!G362</f>
        <v>2936.88</v>
      </c>
      <c r="F14" s="115" t="s">
        <v>31</v>
      </c>
      <c r="G14" s="124">
        <f t="shared" ref="G14" si="1">B14*E14</f>
        <v>55066.5</v>
      </c>
      <c r="H14" s="125"/>
      <c r="I14" s="159">
        <f>ROUND(B14*G14,2)</f>
        <v>1032496.88</v>
      </c>
    </row>
    <row r="15" spans="1:16" s="93" customFormat="1" ht="47.25" hidden="1" customHeight="1">
      <c r="A15" s="115"/>
      <c r="B15" s="116"/>
      <c r="C15" s="117"/>
      <c r="D15" s="118" t="s">
        <v>2603</v>
      </c>
      <c r="E15" s="126">
        <v>0.5</v>
      </c>
      <c r="F15" s="115"/>
      <c r="G15" s="127">
        <f>G14*E15</f>
        <v>27533.25</v>
      </c>
      <c r="H15" s="128"/>
      <c r="I15" s="159">
        <f>ROUND(I14*50%,2)</f>
        <v>516248.44</v>
      </c>
      <c r="P15" s="93">
        <f>187.5*0.1</f>
        <v>18.75</v>
      </c>
    </row>
    <row r="16" spans="1:16" s="93" customFormat="1" ht="20.100000000000001" hidden="1" customHeight="1">
      <c r="A16" s="115"/>
      <c r="B16" s="116"/>
      <c r="C16" s="117"/>
      <c r="D16" s="118" t="s">
        <v>2604</v>
      </c>
      <c r="E16" s="109"/>
      <c r="F16" s="119"/>
      <c r="G16" s="120">
        <f>SUM(G14:G15)</f>
        <v>82599.75</v>
      </c>
      <c r="H16" s="129"/>
      <c r="I16" s="159">
        <f>SUM(I14:I15)</f>
        <v>1548745.32</v>
      </c>
    </row>
    <row r="17" spans="1:16" s="93" customFormat="1" ht="20.100000000000001" hidden="1" customHeight="1">
      <c r="A17" s="115"/>
      <c r="B17" s="116"/>
      <c r="C17" s="117"/>
      <c r="D17" s="3930" t="s">
        <v>2605</v>
      </c>
      <c r="E17" s="3930"/>
      <c r="F17" s="119"/>
      <c r="G17" s="127">
        <f>G16/187.5</f>
        <v>440.53199999999998</v>
      </c>
      <c r="H17" s="128"/>
      <c r="I17" s="159">
        <f>ROUND(I16/187.5,2)</f>
        <v>8259.98</v>
      </c>
      <c r="J17" s="93" t="s">
        <v>2606</v>
      </c>
    </row>
    <row r="18" spans="1:16" s="92" customFormat="1" ht="21" hidden="1" customHeight="1">
      <c r="A18" s="107"/>
      <c r="B18" s="113" t="s">
        <v>2608</v>
      </c>
      <c r="C18" s="3929" t="s">
        <v>2609</v>
      </c>
      <c r="D18" s="3929"/>
      <c r="E18" s="3929"/>
      <c r="F18" s="3929"/>
      <c r="G18" s="3929"/>
      <c r="H18" s="123"/>
      <c r="I18" s="157"/>
    </row>
    <row r="19" spans="1:16" s="93" customFormat="1" ht="20.100000000000001" hidden="1" customHeight="1">
      <c r="A19" s="115"/>
      <c r="B19" s="119">
        <v>18.75</v>
      </c>
      <c r="C19" s="109" t="s">
        <v>31</v>
      </c>
      <c r="D19" s="118" t="s">
        <v>2602</v>
      </c>
      <c r="E19" s="109">
        <f>'Road data'!G398</f>
        <v>3121.34</v>
      </c>
      <c r="F19" s="115" t="s">
        <v>31</v>
      </c>
      <c r="G19" s="124">
        <f t="shared" ref="G19" si="2">B19*E19</f>
        <v>58525.125</v>
      </c>
      <c r="H19" s="125"/>
      <c r="I19" s="159">
        <f>ROUND(B19*G19,2)</f>
        <v>1097346.0900000001</v>
      </c>
    </row>
    <row r="20" spans="1:16" s="93" customFormat="1" ht="45" hidden="1" customHeight="1">
      <c r="A20" s="115"/>
      <c r="B20" s="116"/>
      <c r="C20" s="117"/>
      <c r="D20" s="118" t="s">
        <v>2603</v>
      </c>
      <c r="E20" s="126">
        <v>0.5</v>
      </c>
      <c r="F20" s="115"/>
      <c r="G20" s="127">
        <f>G19*E20</f>
        <v>29262.5625</v>
      </c>
      <c r="H20" s="128"/>
      <c r="I20" s="159">
        <f>ROUND(I19*50%,2)</f>
        <v>548673.05000000005</v>
      </c>
      <c r="P20" s="93">
        <f>187.5*0.1</f>
        <v>18.75</v>
      </c>
    </row>
    <row r="21" spans="1:16" s="93" customFormat="1" ht="20.100000000000001" hidden="1" customHeight="1">
      <c r="A21" s="115"/>
      <c r="B21" s="116"/>
      <c r="C21" s="117"/>
      <c r="D21" s="118" t="s">
        <v>2604</v>
      </c>
      <c r="E21" s="109"/>
      <c r="F21" s="119"/>
      <c r="G21" s="120">
        <f>SUM(G19:G20)</f>
        <v>87787.6875</v>
      </c>
      <c r="H21" s="129"/>
      <c r="I21" s="159">
        <f>SUM(I19:I20)</f>
        <v>1646019.1400000001</v>
      </c>
    </row>
    <row r="22" spans="1:16" s="93" customFormat="1" ht="20.100000000000001" hidden="1" customHeight="1">
      <c r="A22" s="115"/>
      <c r="B22" s="116"/>
      <c r="C22" s="117"/>
      <c r="D22" s="3930" t="s">
        <v>2605</v>
      </c>
      <c r="E22" s="3930"/>
      <c r="F22" s="119"/>
      <c r="G22" s="127">
        <f>G21/187.5</f>
        <v>468.20100000000002</v>
      </c>
      <c r="H22" s="128"/>
      <c r="I22" s="159">
        <f>ROUND(I21/187.5,2)</f>
        <v>8778.77</v>
      </c>
      <c r="J22" s="93" t="s">
        <v>2606</v>
      </c>
    </row>
    <row r="23" spans="1:16" s="91" customFormat="1" ht="12.6" hidden="1">
      <c r="A23" s="102"/>
      <c r="B23" s="102"/>
      <c r="C23" s="102"/>
      <c r="D23" s="130"/>
      <c r="E23" s="104"/>
      <c r="F23" s="102"/>
      <c r="G23" s="131"/>
      <c r="H23" s="132"/>
    </row>
    <row r="24" spans="1:16" s="94" customFormat="1" ht="44.25" hidden="1" customHeight="1">
      <c r="A24" s="3931" t="s">
        <v>2610</v>
      </c>
      <c r="B24" s="3931"/>
      <c r="C24" s="3931"/>
      <c r="D24" s="3932" t="s">
        <v>2611</v>
      </c>
      <c r="E24" s="3932"/>
      <c r="F24" s="3932"/>
      <c r="G24" s="3932"/>
      <c r="H24" s="134"/>
    </row>
    <row r="25" spans="1:16" s="94" customFormat="1" ht="60.75" hidden="1" customHeight="1">
      <c r="A25" s="133">
        <v>18</v>
      </c>
      <c r="B25" s="3933" t="s">
        <v>2612</v>
      </c>
      <c r="C25" s="3933"/>
      <c r="D25" s="3934" t="s">
        <v>2613</v>
      </c>
      <c r="E25" s="3935"/>
      <c r="F25" s="3935"/>
      <c r="G25" s="3936"/>
      <c r="H25" s="136"/>
    </row>
    <row r="26" spans="1:16" s="95" customFormat="1" ht="20.100000000000001" hidden="1" customHeight="1">
      <c r="A26" s="137"/>
      <c r="B26" s="137"/>
      <c r="C26" s="137"/>
      <c r="D26" s="138" t="s">
        <v>1100</v>
      </c>
      <c r="E26" s="139"/>
      <c r="F26" s="137"/>
      <c r="G26" s="140"/>
      <c r="H26" s="141"/>
    </row>
    <row r="27" spans="1:16" s="95" customFormat="1" ht="20.100000000000001" hidden="1" customHeight="1">
      <c r="A27" s="137"/>
      <c r="B27" s="137"/>
      <c r="C27" s="137"/>
      <c r="D27" s="138" t="s">
        <v>2614</v>
      </c>
      <c r="E27" s="139"/>
      <c r="F27" s="137"/>
      <c r="G27" s="140"/>
      <c r="H27" s="141"/>
    </row>
    <row r="28" spans="1:16" s="95" customFormat="1" ht="20.100000000000001" hidden="1" customHeight="1">
      <c r="A28" s="137"/>
      <c r="B28" s="137"/>
      <c r="C28" s="137"/>
      <c r="D28" s="142" t="s">
        <v>1085</v>
      </c>
      <c r="E28" s="139"/>
      <c r="F28" s="137"/>
      <c r="G28" s="140"/>
      <c r="H28" s="141"/>
    </row>
    <row r="29" spans="1:16" s="95" customFormat="1" ht="20.100000000000001" hidden="1" customHeight="1">
      <c r="A29" s="137"/>
      <c r="B29" s="143">
        <v>0</v>
      </c>
      <c r="C29" s="139" t="s">
        <v>38</v>
      </c>
      <c r="D29" s="138" t="s">
        <v>14</v>
      </c>
      <c r="E29" s="139"/>
      <c r="F29" s="139" t="s">
        <v>38</v>
      </c>
      <c r="G29" s="140">
        <f>ROUND(B29*E29,2)</f>
        <v>0</v>
      </c>
      <c r="H29" s="144"/>
    </row>
    <row r="30" spans="1:16" s="95" customFormat="1" ht="20.100000000000001" hidden="1" customHeight="1">
      <c r="A30" s="137"/>
      <c r="B30" s="143">
        <v>20.8</v>
      </c>
      <c r="C30" s="139" t="s">
        <v>38</v>
      </c>
      <c r="D30" s="138" t="s">
        <v>2159</v>
      </c>
      <c r="E30" s="139">
        <f>'SSR-rates'!K60</f>
        <v>575</v>
      </c>
      <c r="F30" s="139" t="s">
        <v>38</v>
      </c>
      <c r="G30" s="140">
        <f>ROUND(B30*E30,2)</f>
        <v>11960</v>
      </c>
      <c r="H30" s="144"/>
    </row>
    <row r="31" spans="1:16" s="95" customFormat="1" ht="20.100000000000001" hidden="1" customHeight="1">
      <c r="A31" s="137"/>
      <c r="B31" s="145">
        <f>'Input Data'!D23</f>
        <v>0</v>
      </c>
      <c r="C31" s="137"/>
      <c r="D31" s="146" t="s">
        <v>2615</v>
      </c>
      <c r="E31" s="139"/>
      <c r="F31" s="137"/>
      <c r="G31" s="140">
        <f>+ROUND((G30)*B31,2)</f>
        <v>0</v>
      </c>
      <c r="H31" s="147"/>
    </row>
    <row r="32" spans="1:16" s="95" customFormat="1" ht="12.6" hidden="1">
      <c r="A32" s="137"/>
      <c r="B32" s="139"/>
      <c r="C32" s="137"/>
      <c r="D32" s="146"/>
      <c r="E32" s="139"/>
      <c r="F32" s="137"/>
      <c r="G32" s="148">
        <f>SUM(G30:G31)</f>
        <v>11960</v>
      </c>
      <c r="H32" s="149"/>
    </row>
    <row r="33" spans="1:8" s="95" customFormat="1" ht="20.100000000000001" hidden="1" customHeight="1">
      <c r="A33" s="137"/>
      <c r="B33" s="143"/>
      <c r="C33" s="139"/>
      <c r="D33" s="142" t="s">
        <v>1086</v>
      </c>
      <c r="E33" s="139"/>
      <c r="F33" s="139"/>
      <c r="G33" s="140"/>
      <c r="H33" s="144"/>
    </row>
    <row r="34" spans="1:8" s="95" customFormat="1" ht="20.100000000000001" hidden="1" customHeight="1">
      <c r="A34" s="137"/>
      <c r="B34" s="143">
        <v>2</v>
      </c>
      <c r="C34" s="139" t="s">
        <v>23</v>
      </c>
      <c r="D34" s="138" t="s">
        <v>2616</v>
      </c>
      <c r="E34" s="139">
        <f>'SSR-rates'!K73</f>
        <v>727.6</v>
      </c>
      <c r="F34" s="139" t="s">
        <v>23</v>
      </c>
      <c r="G34" s="140">
        <f>ROUND(B34*E34,2)</f>
        <v>1455.2</v>
      </c>
      <c r="H34" s="144"/>
    </row>
    <row r="35" spans="1:8" s="95" customFormat="1" ht="20.100000000000001" hidden="1" customHeight="1">
      <c r="A35" s="137"/>
      <c r="B35" s="143">
        <v>2</v>
      </c>
      <c r="C35" s="139" t="s">
        <v>23</v>
      </c>
      <c r="D35" s="138" t="s">
        <v>2476</v>
      </c>
      <c r="E35" s="139">
        <f>'SSR-rates'!K76</f>
        <v>1846</v>
      </c>
      <c r="F35" s="139" t="s">
        <v>23</v>
      </c>
      <c r="G35" s="140">
        <f>ROUND(B35*E35,2)</f>
        <v>3692</v>
      </c>
      <c r="H35" s="144"/>
    </row>
    <row r="36" spans="1:8" s="95" customFormat="1" ht="20.100000000000001" hidden="1" customHeight="1">
      <c r="A36" s="137"/>
      <c r="B36" s="143">
        <v>2</v>
      </c>
      <c r="C36" s="139" t="s">
        <v>23</v>
      </c>
      <c r="D36" s="138" t="s">
        <v>2617</v>
      </c>
      <c r="E36" s="139">
        <v>946.4</v>
      </c>
      <c r="F36" s="139" t="s">
        <v>23</v>
      </c>
      <c r="G36" s="140">
        <f>ROUND(B36*E36,2)</f>
        <v>1892.8</v>
      </c>
      <c r="H36" s="144"/>
    </row>
    <row r="37" spans="1:8" s="95" customFormat="1" ht="20.100000000000001" hidden="1" customHeight="1">
      <c r="A37" s="137"/>
      <c r="B37" s="143">
        <v>4</v>
      </c>
      <c r="C37" s="139" t="s">
        <v>23</v>
      </c>
      <c r="D37" s="138" t="s">
        <v>2618</v>
      </c>
      <c r="E37" s="139">
        <f>'SSR-rates'!K68</f>
        <v>1749.6</v>
      </c>
      <c r="F37" s="139" t="s">
        <v>23</v>
      </c>
      <c r="G37" s="140">
        <f>ROUND(B37*E37,2)</f>
        <v>6998.4</v>
      </c>
      <c r="H37" s="144"/>
    </row>
    <row r="38" spans="1:8" s="95" customFormat="1" ht="20.100000000000001" hidden="1" customHeight="1">
      <c r="A38" s="137"/>
      <c r="B38" s="143"/>
      <c r="C38" s="139"/>
      <c r="D38" s="138"/>
      <c r="E38" s="139"/>
      <c r="F38" s="139"/>
      <c r="G38" s="148">
        <f>SUM(G34:G37)</f>
        <v>14038.4</v>
      </c>
      <c r="H38" s="150"/>
    </row>
    <row r="39" spans="1:8" s="95" customFormat="1" ht="20.100000000000001" hidden="1" customHeight="1">
      <c r="A39" s="137"/>
      <c r="B39" s="143"/>
      <c r="C39" s="139"/>
      <c r="D39" s="142" t="s">
        <v>2619</v>
      </c>
      <c r="E39" s="139"/>
      <c r="F39" s="139"/>
      <c r="G39" s="140"/>
      <c r="H39" s="144"/>
    </row>
    <row r="40" spans="1:8" s="95" customFormat="1" ht="35.1" hidden="1" customHeight="1">
      <c r="A40" s="137"/>
      <c r="B40" s="143">
        <v>6.4000000000000001E-2</v>
      </c>
      <c r="C40" s="139" t="s">
        <v>1406</v>
      </c>
      <c r="D40" s="138" t="s">
        <v>2620</v>
      </c>
      <c r="E40" s="139">
        <f>Emution_RS</f>
        <v>46449.645337323418</v>
      </c>
      <c r="F40" s="139" t="s">
        <v>1406</v>
      </c>
      <c r="G40" s="140">
        <f>ROUND(B40*E40,2)</f>
        <v>2972.78</v>
      </c>
      <c r="H40" s="144"/>
    </row>
    <row r="41" spans="1:8" s="95" customFormat="1" ht="50.25" hidden="1" customHeight="1">
      <c r="A41" s="137"/>
      <c r="B41" s="143">
        <v>0.29199999999999998</v>
      </c>
      <c r="C41" s="139" t="s">
        <v>1406</v>
      </c>
      <c r="D41" s="138" t="s">
        <v>2621</v>
      </c>
      <c r="E41" s="139">
        <f>BT_Rate_60_70</f>
        <v>49114.645337323418</v>
      </c>
      <c r="F41" s="139" t="s">
        <v>1406</v>
      </c>
      <c r="G41" s="140">
        <f t="shared" ref="G41:G44" si="3">ROUND(B41*E41,2)</f>
        <v>14341.48</v>
      </c>
      <c r="H41" s="144"/>
    </row>
    <row r="42" spans="1:8" s="95" customFormat="1" ht="52.5" hidden="1" customHeight="1">
      <c r="A42" s="137"/>
      <c r="B42" s="143">
        <v>0.13600000000000001</v>
      </c>
      <c r="C42" s="139" t="s">
        <v>1406</v>
      </c>
      <c r="D42" s="138" t="s">
        <v>2622</v>
      </c>
      <c r="E42" s="139">
        <f>E41</f>
        <v>49114.645337323418</v>
      </c>
      <c r="F42" s="139" t="s">
        <v>1406</v>
      </c>
      <c r="G42" s="140">
        <f t="shared" si="3"/>
        <v>6679.59</v>
      </c>
      <c r="H42" s="144"/>
    </row>
    <row r="43" spans="1:8" s="95" customFormat="1" ht="48" hidden="1" customHeight="1">
      <c r="A43" s="137"/>
      <c r="B43" s="143">
        <v>5.4</v>
      </c>
      <c r="C43" s="139" t="s">
        <v>31</v>
      </c>
      <c r="D43" s="138" t="s">
        <v>2623</v>
      </c>
      <c r="E43" s="139">
        <f>AVERAGE(lead!J8:J10)</f>
        <v>1794.5520984611776</v>
      </c>
      <c r="F43" s="139" t="s">
        <v>31</v>
      </c>
      <c r="G43" s="140">
        <f t="shared" si="3"/>
        <v>9690.58</v>
      </c>
      <c r="H43" s="144"/>
    </row>
    <row r="44" spans="1:8" s="95" customFormat="1" ht="69.75" hidden="1" customHeight="1">
      <c r="A44" s="137"/>
      <c r="B44" s="143">
        <v>1.2</v>
      </c>
      <c r="C44" s="139" t="s">
        <v>31</v>
      </c>
      <c r="D44" s="138" t="s">
        <v>2624</v>
      </c>
      <c r="E44" s="139">
        <f>lead!J12</f>
        <v>1684.4687651278443</v>
      </c>
      <c r="F44" s="139" t="s">
        <v>31</v>
      </c>
      <c r="G44" s="140">
        <f t="shared" si="3"/>
        <v>2021.36</v>
      </c>
      <c r="H44" s="144"/>
    </row>
    <row r="45" spans="1:8" s="95" customFormat="1" ht="12.6" hidden="1">
      <c r="A45" s="137"/>
      <c r="B45" s="143"/>
      <c r="C45" s="139"/>
      <c r="D45" s="138"/>
      <c r="E45" s="139"/>
      <c r="F45" s="139"/>
      <c r="G45" s="148">
        <f>SUM(G40:G44)</f>
        <v>35705.79</v>
      </c>
      <c r="H45" s="150"/>
    </row>
    <row r="46" spans="1:8" s="95" customFormat="1" ht="12.6" hidden="1">
      <c r="A46" s="137"/>
      <c r="B46" s="143"/>
      <c r="C46" s="139"/>
      <c r="D46" s="138"/>
      <c r="E46" s="3937" t="s">
        <v>2625</v>
      </c>
      <c r="F46" s="3937"/>
      <c r="G46" s="148">
        <f>G32+G38+G45</f>
        <v>61704.19</v>
      </c>
      <c r="H46" s="150"/>
    </row>
    <row r="47" spans="1:8" s="95" customFormat="1" ht="20.100000000000001" hidden="1" customHeight="1">
      <c r="A47" s="137"/>
      <c r="B47" s="3938">
        <v>0.13614999999999999</v>
      </c>
      <c r="C47" s="3938"/>
      <c r="D47" s="153" t="s">
        <v>2626</v>
      </c>
      <c r="E47" s="139"/>
      <c r="F47" s="154"/>
      <c r="G47" s="140">
        <f>ROUND(G46*B47,2)</f>
        <v>8401.0300000000007</v>
      </c>
      <c r="H47" s="144"/>
    </row>
    <row r="48" spans="1:8" s="95" customFormat="1" ht="20.100000000000001" hidden="1" customHeight="1">
      <c r="A48" s="137"/>
      <c r="B48" s="155"/>
      <c r="C48" s="156">
        <v>0</v>
      </c>
      <c r="D48" s="153" t="s">
        <v>2627</v>
      </c>
      <c r="E48" s="139">
        <f>G46+G47</f>
        <v>70105.22</v>
      </c>
      <c r="F48" s="154"/>
      <c r="G48" s="140">
        <f>E48*C48</f>
        <v>0</v>
      </c>
      <c r="H48" s="144"/>
    </row>
    <row r="49" spans="1:8" s="95" customFormat="1" ht="20.100000000000001" hidden="1" customHeight="1">
      <c r="A49" s="137"/>
      <c r="B49" s="143"/>
      <c r="C49" s="139"/>
      <c r="D49" s="138" t="s">
        <v>2628</v>
      </c>
      <c r="E49" s="139"/>
      <c r="F49" s="139"/>
      <c r="G49" s="140">
        <f>SUM(G46:G47)</f>
        <v>70105.22</v>
      </c>
      <c r="H49" s="144"/>
    </row>
    <row r="50" spans="1:8" s="95" customFormat="1" ht="20.100000000000001" hidden="1" customHeight="1">
      <c r="A50" s="137"/>
      <c r="B50" s="143"/>
      <c r="C50" s="139"/>
      <c r="D50" s="142" t="s">
        <v>2629</v>
      </c>
      <c r="E50" s="139"/>
      <c r="F50" s="139"/>
      <c r="G50" s="140">
        <f>ROUND(G49/200,2)</f>
        <v>350.53</v>
      </c>
      <c r="H50" s="144"/>
    </row>
    <row r="51" spans="1:8" s="95" customFormat="1" ht="20.100000000000001" hidden="1" customHeight="1">
      <c r="A51" s="137"/>
      <c r="B51" s="143"/>
      <c r="C51" s="139"/>
      <c r="D51" s="142" t="s">
        <v>2630</v>
      </c>
      <c r="E51" s="139"/>
      <c r="F51" s="139"/>
      <c r="G51" s="148">
        <f>G50</f>
        <v>350.53</v>
      </c>
      <c r="H51" s="150"/>
    </row>
    <row r="52" spans="1:8" s="95" customFormat="1" ht="20.100000000000001" hidden="1" customHeight="1">
      <c r="A52" s="137"/>
      <c r="B52" s="137"/>
      <c r="C52" s="137"/>
      <c r="D52" s="146"/>
      <c r="E52" s="139"/>
      <c r="F52" s="137"/>
      <c r="G52" s="140"/>
      <c r="H52" s="141"/>
    </row>
    <row r="53" spans="1:8" s="94" customFormat="1" ht="42.75" hidden="1" customHeight="1">
      <c r="A53" s="133">
        <v>19</v>
      </c>
      <c r="B53" s="135" t="s">
        <v>2631</v>
      </c>
      <c r="C53" s="3939" t="s">
        <v>2632</v>
      </c>
      <c r="D53" s="3940"/>
      <c r="E53" s="3940"/>
      <c r="F53" s="3940"/>
      <c r="G53" s="3941"/>
      <c r="H53" s="136"/>
    </row>
    <row r="54" spans="1:8" s="95" customFormat="1" ht="20.100000000000001" hidden="1" customHeight="1">
      <c r="A54" s="137"/>
      <c r="B54" s="137"/>
      <c r="C54" s="137"/>
      <c r="D54" s="146" t="s">
        <v>1100</v>
      </c>
      <c r="E54" s="139"/>
      <c r="F54" s="137"/>
      <c r="G54" s="140"/>
      <c r="H54" s="141"/>
    </row>
    <row r="55" spans="1:8" s="95" customFormat="1" ht="20.100000000000001" hidden="1" customHeight="1">
      <c r="A55" s="137"/>
      <c r="B55" s="137"/>
      <c r="C55" s="137"/>
      <c r="D55" s="146" t="s">
        <v>2614</v>
      </c>
      <c r="E55" s="139"/>
      <c r="F55" s="137"/>
      <c r="G55" s="140"/>
      <c r="H55" s="141"/>
    </row>
    <row r="56" spans="1:8" s="95" customFormat="1" ht="20.100000000000001" hidden="1" customHeight="1">
      <c r="A56" s="137"/>
      <c r="B56" s="137"/>
      <c r="C56" s="137"/>
      <c r="D56" s="153" t="s">
        <v>1085</v>
      </c>
      <c r="E56" s="139"/>
      <c r="F56" s="137"/>
      <c r="G56" s="140"/>
      <c r="H56" s="141"/>
    </row>
    <row r="57" spans="1:8" s="95" customFormat="1" ht="20.100000000000001" hidden="1" customHeight="1">
      <c r="A57" s="137"/>
      <c r="B57" s="137"/>
      <c r="C57" s="137" t="s">
        <v>38</v>
      </c>
      <c r="D57" s="146" t="s">
        <v>14</v>
      </c>
      <c r="E57" s="139"/>
      <c r="F57" s="137"/>
      <c r="G57" s="140"/>
      <c r="H57" s="141"/>
    </row>
    <row r="58" spans="1:8" s="95" customFormat="1" ht="20.100000000000001" hidden="1" customHeight="1">
      <c r="A58" s="137"/>
      <c r="B58" s="139">
        <v>16.64</v>
      </c>
      <c r="C58" s="137" t="s">
        <v>38</v>
      </c>
      <c r="D58" s="146" t="s">
        <v>2159</v>
      </c>
      <c r="E58" s="139">
        <f>E30</f>
        <v>575</v>
      </c>
      <c r="F58" s="137" t="s">
        <v>38</v>
      </c>
      <c r="G58" s="140">
        <f>ROUND(B58*E58,2)</f>
        <v>9568</v>
      </c>
      <c r="H58" s="144"/>
    </row>
    <row r="59" spans="1:8" s="95" customFormat="1" ht="20.100000000000001" hidden="1" customHeight="1">
      <c r="A59" s="137"/>
      <c r="B59" s="145">
        <f>'Input Data'!D23</f>
        <v>0</v>
      </c>
      <c r="C59" s="137"/>
      <c r="D59" s="146" t="s">
        <v>2615</v>
      </c>
      <c r="E59" s="139"/>
      <c r="F59" s="137"/>
      <c r="G59" s="140">
        <f>+ROUND((G58)*B59,2)</f>
        <v>0</v>
      </c>
      <c r="H59" s="147"/>
    </row>
    <row r="60" spans="1:8" s="95" customFormat="1" ht="20.100000000000001" hidden="1" customHeight="1">
      <c r="A60" s="137"/>
      <c r="B60" s="145"/>
      <c r="C60" s="137"/>
      <c r="D60" s="146"/>
      <c r="E60" s="139"/>
      <c r="F60" s="137"/>
      <c r="G60" s="140"/>
      <c r="H60" s="147"/>
    </row>
    <row r="61" spans="1:8" s="95" customFormat="1" ht="20.100000000000001" hidden="1" customHeight="1">
      <c r="A61" s="137"/>
      <c r="B61" s="139"/>
      <c r="C61" s="137"/>
      <c r="D61" s="153" t="s">
        <v>1086</v>
      </c>
      <c r="E61" s="139"/>
      <c r="F61" s="137"/>
      <c r="G61" s="140"/>
      <c r="H61" s="141"/>
    </row>
    <row r="62" spans="1:8" s="95" customFormat="1" ht="20.100000000000001" hidden="1" customHeight="1">
      <c r="A62" s="137"/>
      <c r="B62" s="139">
        <v>2</v>
      </c>
      <c r="C62" s="137" t="s">
        <v>23</v>
      </c>
      <c r="D62" s="146" t="s">
        <v>2633</v>
      </c>
      <c r="E62" s="139">
        <f>E36</f>
        <v>946.4</v>
      </c>
      <c r="F62" s="137" t="s">
        <v>23</v>
      </c>
      <c r="G62" s="140">
        <f t="shared" ref="G62:G70" si="4">ROUND(B62*E62,2)</f>
        <v>1892.8</v>
      </c>
      <c r="H62" s="144"/>
    </row>
    <row r="63" spans="1:8" s="95" customFormat="1" ht="20.100000000000001" hidden="1" customHeight="1">
      <c r="A63" s="137"/>
      <c r="B63" s="139">
        <v>2</v>
      </c>
      <c r="C63" s="137" t="s">
        <v>23</v>
      </c>
      <c r="D63" s="146" t="s">
        <v>2476</v>
      </c>
      <c r="E63" s="139">
        <f>E35</f>
        <v>1846</v>
      </c>
      <c r="F63" s="137" t="s">
        <v>23</v>
      </c>
      <c r="G63" s="140">
        <f t="shared" si="4"/>
        <v>3692</v>
      </c>
      <c r="H63" s="144"/>
    </row>
    <row r="64" spans="1:8" s="95" customFormat="1" ht="20.100000000000001" hidden="1" customHeight="1">
      <c r="A64" s="137"/>
      <c r="B64" s="139">
        <v>4</v>
      </c>
      <c r="C64" s="137" t="s">
        <v>23</v>
      </c>
      <c r="D64" s="146" t="s">
        <v>2618</v>
      </c>
      <c r="E64" s="139">
        <f>E37</f>
        <v>1749.6</v>
      </c>
      <c r="F64" s="137" t="s">
        <v>23</v>
      </c>
      <c r="G64" s="140">
        <f t="shared" si="4"/>
        <v>6998.4</v>
      </c>
      <c r="H64" s="144"/>
    </row>
    <row r="65" spans="1:8" s="95" customFormat="1" ht="20.100000000000001" hidden="1" customHeight="1">
      <c r="A65" s="137"/>
      <c r="B65" s="139"/>
      <c r="C65" s="137"/>
      <c r="D65" s="153" t="s">
        <v>2619</v>
      </c>
      <c r="E65" s="139"/>
      <c r="F65" s="137"/>
      <c r="G65" s="140">
        <f t="shared" si="4"/>
        <v>0</v>
      </c>
      <c r="H65" s="144"/>
    </row>
    <row r="66" spans="1:8" s="95" customFormat="1" ht="34.5" hidden="1" customHeight="1">
      <c r="A66" s="137"/>
      <c r="B66" s="139">
        <v>0.29199999999999998</v>
      </c>
      <c r="C66" s="137" t="s">
        <v>1121</v>
      </c>
      <c r="D66" s="146" t="s">
        <v>2634</v>
      </c>
      <c r="E66" s="139">
        <f>E41</f>
        <v>49114.645337323418</v>
      </c>
      <c r="F66" s="137" t="s">
        <v>1121</v>
      </c>
      <c r="G66" s="140">
        <f t="shared" si="4"/>
        <v>14341.48</v>
      </c>
      <c r="H66" s="144"/>
    </row>
    <row r="67" spans="1:8" s="95" customFormat="1" ht="35.1" hidden="1" customHeight="1">
      <c r="A67" s="137"/>
      <c r="B67" s="139">
        <v>0.04</v>
      </c>
      <c r="C67" s="137" t="s">
        <v>1121</v>
      </c>
      <c r="D67" s="146" t="s">
        <v>2635</v>
      </c>
      <c r="E67" s="139">
        <f>E40</f>
        <v>46449.645337323418</v>
      </c>
      <c r="F67" s="137" t="s">
        <v>1121</v>
      </c>
      <c r="G67" s="140">
        <f t="shared" si="4"/>
        <v>1857.99</v>
      </c>
      <c r="H67" s="144"/>
    </row>
    <row r="68" spans="1:8" s="95" customFormat="1" ht="46.5" hidden="1" customHeight="1">
      <c r="A68" s="137"/>
      <c r="B68" s="139">
        <v>0.13600000000000001</v>
      </c>
      <c r="C68" s="137" t="s">
        <v>1121</v>
      </c>
      <c r="D68" s="146" t="s">
        <v>2636</v>
      </c>
      <c r="E68" s="139">
        <f>E66</f>
        <v>49114.645337323418</v>
      </c>
      <c r="F68" s="137" t="s">
        <v>1121</v>
      </c>
      <c r="G68" s="140">
        <f t="shared" si="4"/>
        <v>6679.59</v>
      </c>
      <c r="H68" s="144"/>
    </row>
    <row r="69" spans="1:8" s="95" customFormat="1" ht="48.75" hidden="1" customHeight="1">
      <c r="A69" s="137"/>
      <c r="B69" s="139">
        <v>5.4</v>
      </c>
      <c r="C69" s="137" t="s">
        <v>31</v>
      </c>
      <c r="D69" s="146" t="s">
        <v>2623</v>
      </c>
      <c r="E69" s="139">
        <f>E43</f>
        <v>1794.5520984611776</v>
      </c>
      <c r="F69" s="137" t="s">
        <v>31</v>
      </c>
      <c r="G69" s="140">
        <f t="shared" si="4"/>
        <v>9690.58</v>
      </c>
      <c r="H69" s="144"/>
    </row>
    <row r="70" spans="1:8" s="95" customFormat="1" ht="48.75" hidden="1" customHeight="1">
      <c r="A70" s="137"/>
      <c r="B70" s="139">
        <v>1.2</v>
      </c>
      <c r="C70" s="137" t="s">
        <v>31</v>
      </c>
      <c r="D70" s="146" t="s">
        <v>2637</v>
      </c>
      <c r="E70" s="139">
        <f>E44</f>
        <v>1684.4687651278443</v>
      </c>
      <c r="F70" s="137" t="s">
        <v>31</v>
      </c>
      <c r="G70" s="140">
        <f t="shared" si="4"/>
        <v>2021.36</v>
      </c>
      <c r="H70" s="144"/>
    </row>
    <row r="71" spans="1:8" s="95" customFormat="1" ht="20.100000000000001" hidden="1" customHeight="1">
      <c r="A71" s="137"/>
      <c r="B71" s="139"/>
      <c r="C71" s="137"/>
      <c r="D71" s="146" t="s">
        <v>2638</v>
      </c>
      <c r="E71" s="139"/>
      <c r="F71" s="137"/>
      <c r="G71" s="140"/>
      <c r="H71" s="141"/>
    </row>
    <row r="72" spans="1:8" s="95" customFormat="1" ht="20.100000000000001" hidden="1" customHeight="1">
      <c r="A72" s="137"/>
      <c r="B72" s="152">
        <v>0.13614999999999999</v>
      </c>
      <c r="C72" s="137"/>
      <c r="D72" s="153" t="s">
        <v>2626</v>
      </c>
      <c r="E72" s="139">
        <f>SUM(G58:G71)</f>
        <v>56742.2</v>
      </c>
      <c r="F72" s="137"/>
      <c r="G72" s="140">
        <f>ROUND(B72*E72,2)</f>
        <v>7725.45</v>
      </c>
      <c r="H72" s="141"/>
    </row>
    <row r="73" spans="1:8" s="95" customFormat="1" ht="20.100000000000001" hidden="1" customHeight="1">
      <c r="A73" s="137"/>
      <c r="B73" s="156">
        <v>0</v>
      </c>
      <c r="C73" s="137"/>
      <c r="D73" s="153" t="s">
        <v>2627</v>
      </c>
      <c r="E73" s="139">
        <f>E72+G72</f>
        <v>64467.649999999994</v>
      </c>
      <c r="F73" s="137"/>
      <c r="G73" s="140">
        <f>ROUND(B73*E73,2)</f>
        <v>0</v>
      </c>
      <c r="H73" s="141"/>
    </row>
    <row r="74" spans="1:8" s="95" customFormat="1" ht="20.100000000000001" hidden="1" customHeight="1">
      <c r="A74" s="137"/>
      <c r="B74" s="137"/>
      <c r="C74" s="137"/>
      <c r="D74" s="146" t="s">
        <v>2639</v>
      </c>
      <c r="E74" s="139"/>
      <c r="F74" s="137"/>
      <c r="G74" s="140">
        <f>E73+G73</f>
        <v>64467.649999999994</v>
      </c>
      <c r="H74" s="141"/>
    </row>
    <row r="75" spans="1:8" s="96" customFormat="1" ht="20.100000000000001" hidden="1" customHeight="1">
      <c r="A75" s="154"/>
      <c r="B75" s="154"/>
      <c r="C75" s="154"/>
      <c r="D75" s="153" t="s">
        <v>2640</v>
      </c>
      <c r="E75" s="160"/>
      <c r="F75" s="154"/>
      <c r="G75" s="148">
        <f>G74/200</f>
        <v>322.33824999999996</v>
      </c>
      <c r="H75" s="161"/>
    </row>
    <row r="76" spans="1:8" s="97" customFormat="1" ht="20.100000000000001" hidden="1" customHeight="1">
      <c r="A76" s="162"/>
      <c r="B76" s="162"/>
      <c r="C76" s="162"/>
      <c r="D76" s="163"/>
      <c r="E76" s="164"/>
      <c r="F76" s="162"/>
      <c r="G76" s="165"/>
      <c r="H76" s="166"/>
    </row>
    <row r="77" spans="1:8" s="95" customFormat="1" ht="20.100000000000001" hidden="1" customHeight="1">
      <c r="A77" s="137">
        <v>20</v>
      </c>
      <c r="B77" s="3942" t="s">
        <v>1107</v>
      </c>
      <c r="C77" s="3942"/>
      <c r="D77" s="3942"/>
      <c r="E77" s="3942"/>
      <c r="F77" s="3942"/>
      <c r="G77" s="3942"/>
      <c r="H77" s="149"/>
    </row>
    <row r="78" spans="1:8" s="94" customFormat="1" ht="95.25" hidden="1" customHeight="1">
      <c r="A78" s="133"/>
      <c r="B78" s="135" t="s">
        <v>2641</v>
      </c>
      <c r="C78" s="3939" t="s">
        <v>2642</v>
      </c>
      <c r="D78" s="3940"/>
      <c r="E78" s="3940"/>
      <c r="F78" s="3940"/>
      <c r="G78" s="3941"/>
      <c r="H78" s="136"/>
    </row>
    <row r="79" spans="1:8" s="95" customFormat="1" ht="20.100000000000001" hidden="1" customHeight="1">
      <c r="A79" s="137"/>
      <c r="B79" s="137"/>
      <c r="C79" s="137"/>
      <c r="D79" s="138" t="s">
        <v>2643</v>
      </c>
      <c r="E79" s="139"/>
      <c r="F79" s="137"/>
      <c r="G79" s="140"/>
      <c r="H79" s="141"/>
    </row>
    <row r="80" spans="1:8" s="95" customFormat="1" ht="20.100000000000001" hidden="1" customHeight="1">
      <c r="A80" s="137"/>
      <c r="B80" s="137"/>
      <c r="C80" s="3943" t="s">
        <v>2644</v>
      </c>
      <c r="D80" s="3943"/>
      <c r="E80" s="3943"/>
      <c r="F80" s="137"/>
      <c r="G80" s="140"/>
      <c r="H80" s="141"/>
    </row>
    <row r="81" spans="1:8" s="95" customFormat="1" ht="20.100000000000001" hidden="1" customHeight="1">
      <c r="A81" s="137"/>
      <c r="B81" s="137"/>
      <c r="C81" s="137"/>
      <c r="D81" s="142" t="s">
        <v>1085</v>
      </c>
      <c r="E81" s="139"/>
      <c r="F81" s="137"/>
      <c r="G81" s="140"/>
      <c r="H81" s="141"/>
    </row>
    <row r="82" spans="1:8" s="95" customFormat="1" ht="20.100000000000001" hidden="1" customHeight="1">
      <c r="A82" s="137"/>
      <c r="B82" s="143">
        <v>3.76</v>
      </c>
      <c r="C82" s="139" t="s">
        <v>38</v>
      </c>
      <c r="D82" s="138" t="s">
        <v>14</v>
      </c>
      <c r="E82" s="139">
        <f>E83</f>
        <v>575</v>
      </c>
      <c r="F82" s="139" t="s">
        <v>38</v>
      </c>
      <c r="G82" s="140">
        <f t="shared" ref="G82:G97" si="5">ROUND(B82*E82,2)</f>
        <v>2162</v>
      </c>
      <c r="H82" s="144"/>
    </row>
    <row r="83" spans="1:8" s="95" customFormat="1" ht="20.100000000000001" hidden="1" customHeight="1">
      <c r="A83" s="137"/>
      <c r="B83" s="143">
        <v>90</v>
      </c>
      <c r="C83" s="139" t="s">
        <v>38</v>
      </c>
      <c r="D83" s="138" t="s">
        <v>2159</v>
      </c>
      <c r="E83" s="139">
        <f>E58</f>
        <v>575</v>
      </c>
      <c r="F83" s="139" t="s">
        <v>38</v>
      </c>
      <c r="G83" s="140">
        <f t="shared" si="5"/>
        <v>51750</v>
      </c>
      <c r="H83" s="144"/>
    </row>
    <row r="84" spans="1:8" s="95" customFormat="1" ht="20.100000000000001" hidden="1" customHeight="1">
      <c r="A84" s="137"/>
      <c r="B84" s="143">
        <v>4</v>
      </c>
      <c r="C84" s="139" t="s">
        <v>38</v>
      </c>
      <c r="D84" s="138" t="s">
        <v>2645</v>
      </c>
      <c r="E84" s="139">
        <f>'SSR-rates'!K59</f>
        <v>575</v>
      </c>
      <c r="F84" s="139" t="s">
        <v>38</v>
      </c>
      <c r="G84" s="140">
        <f t="shared" si="5"/>
        <v>2300</v>
      </c>
      <c r="H84" s="144"/>
    </row>
    <row r="85" spans="1:8" s="95" customFormat="1" ht="20.100000000000001" hidden="1" customHeight="1">
      <c r="A85" s="137"/>
      <c r="B85" s="145">
        <f>'Input Data'!D23</f>
        <v>0</v>
      </c>
      <c r="C85" s="137"/>
      <c r="D85" s="146" t="s">
        <v>2615</v>
      </c>
      <c r="E85" s="139">
        <f>G82+G83+G84</f>
        <v>56212</v>
      </c>
      <c r="F85" s="137"/>
      <c r="G85" s="140">
        <f>+ROUND((E85)*B85,2)</f>
        <v>0</v>
      </c>
      <c r="H85" s="147"/>
    </row>
    <row r="86" spans="1:8" s="95" customFormat="1" ht="20.100000000000001" hidden="1" customHeight="1">
      <c r="A86" s="137"/>
      <c r="B86" s="143"/>
      <c r="C86" s="139"/>
      <c r="D86" s="138"/>
      <c r="E86" s="139"/>
      <c r="F86" s="139"/>
      <c r="G86" s="148">
        <f>SUM(G82:G85)</f>
        <v>56212</v>
      </c>
      <c r="H86" s="144"/>
    </row>
    <row r="87" spans="1:8" s="95" customFormat="1" ht="20.100000000000001" hidden="1" customHeight="1">
      <c r="A87" s="137"/>
      <c r="B87" s="143"/>
      <c r="C87" s="139"/>
      <c r="D87" s="142" t="s">
        <v>1086</v>
      </c>
      <c r="E87" s="139"/>
      <c r="F87" s="139"/>
      <c r="G87" s="140"/>
      <c r="H87" s="144"/>
    </row>
    <row r="88" spans="1:8" s="95" customFormat="1" ht="20.100000000000001" hidden="1" customHeight="1">
      <c r="A88" s="137"/>
      <c r="B88" s="143">
        <v>6</v>
      </c>
      <c r="C88" s="139" t="s">
        <v>23</v>
      </c>
      <c r="D88" s="138" t="s">
        <v>2646</v>
      </c>
      <c r="E88" s="139">
        <f>E34</f>
        <v>727.6</v>
      </c>
      <c r="F88" s="139" t="s">
        <v>23</v>
      </c>
      <c r="G88" s="140">
        <f t="shared" si="5"/>
        <v>4365.6000000000004</v>
      </c>
      <c r="H88" s="144"/>
    </row>
    <row r="89" spans="1:8" s="95" customFormat="1" ht="20.100000000000001" hidden="1" customHeight="1">
      <c r="A89" s="137"/>
      <c r="B89" s="143">
        <v>6</v>
      </c>
      <c r="C89" s="139" t="s">
        <v>23</v>
      </c>
      <c r="D89" s="146" t="s">
        <v>1115</v>
      </c>
      <c r="E89" s="139">
        <f>'SSR-rates'!P78</f>
        <v>33344</v>
      </c>
      <c r="F89" s="139" t="s">
        <v>23</v>
      </c>
      <c r="G89" s="140">
        <f t="shared" si="5"/>
        <v>200064</v>
      </c>
      <c r="H89" s="144"/>
    </row>
    <row r="90" spans="1:8" s="95" customFormat="1" ht="20.100000000000001" hidden="1" customHeight="1">
      <c r="A90" s="137"/>
      <c r="B90" s="143">
        <v>45</v>
      </c>
      <c r="C90" s="139" t="s">
        <v>23</v>
      </c>
      <c r="D90" s="146" t="s">
        <v>1116</v>
      </c>
      <c r="E90" s="139">
        <f>'SSR-rates'!K89</f>
        <v>9</v>
      </c>
      <c r="F90" s="139" t="s">
        <v>23</v>
      </c>
      <c r="G90" s="140">
        <f t="shared" si="5"/>
        <v>405</v>
      </c>
      <c r="H90" s="144"/>
    </row>
    <row r="91" spans="1:8" s="95" customFormat="1" ht="20.100000000000001" hidden="1" customHeight="1">
      <c r="A91" s="137"/>
      <c r="B91" s="143">
        <v>12</v>
      </c>
      <c r="C91" s="139" t="s">
        <v>23</v>
      </c>
      <c r="D91" s="146" t="s">
        <v>1117</v>
      </c>
      <c r="E91" s="139">
        <f>'SSR-rates'!K68</f>
        <v>1749.6</v>
      </c>
      <c r="F91" s="139" t="s">
        <v>23</v>
      </c>
      <c r="G91" s="140">
        <f t="shared" si="5"/>
        <v>20995.200000000001</v>
      </c>
      <c r="H91" s="144"/>
    </row>
    <row r="92" spans="1:8" s="95" customFormat="1" ht="20.100000000000001" hidden="1" customHeight="1">
      <c r="A92" s="137"/>
      <c r="B92" s="143"/>
      <c r="C92" s="139"/>
      <c r="D92" s="146"/>
      <c r="E92" s="139"/>
      <c r="F92" s="139"/>
      <c r="G92" s="148">
        <f>SUM(G88:G91)</f>
        <v>225829.80000000002</v>
      </c>
      <c r="H92" s="144"/>
    </row>
    <row r="93" spans="1:8" s="95" customFormat="1" ht="20.100000000000001" hidden="1" customHeight="1">
      <c r="A93" s="137"/>
      <c r="B93" s="143"/>
      <c r="C93" s="139"/>
      <c r="D93" s="142" t="s">
        <v>2619</v>
      </c>
      <c r="E93" s="139"/>
      <c r="F93" s="139"/>
      <c r="G93" s="148"/>
      <c r="H93" s="144"/>
    </row>
    <row r="94" spans="1:8" s="95" customFormat="1" ht="35.1" hidden="1" customHeight="1">
      <c r="A94" s="137"/>
      <c r="B94" s="143">
        <v>184.5</v>
      </c>
      <c r="C94" s="139" t="s">
        <v>2647</v>
      </c>
      <c r="D94" s="138" t="s">
        <v>2648</v>
      </c>
      <c r="E94" s="139">
        <f>lead!J8</f>
        <v>1880.2187651278443</v>
      </c>
      <c r="F94" s="139" t="s">
        <v>2647</v>
      </c>
      <c r="G94" s="140">
        <f t="shared" si="5"/>
        <v>346900.36</v>
      </c>
      <c r="H94" s="144"/>
    </row>
    <row r="95" spans="1:8" s="95" customFormat="1" ht="35.1" hidden="1" customHeight="1">
      <c r="A95" s="137"/>
      <c r="B95" s="143">
        <v>92.25</v>
      </c>
      <c r="C95" s="139" t="s">
        <v>2647</v>
      </c>
      <c r="D95" s="138" t="s">
        <v>2649</v>
      </c>
      <c r="E95" s="139">
        <f>lead!J9</f>
        <v>1780.2187651278443</v>
      </c>
      <c r="F95" s="139" t="s">
        <v>2647</v>
      </c>
      <c r="G95" s="140">
        <f t="shared" si="5"/>
        <v>164225.18</v>
      </c>
      <c r="H95" s="144"/>
    </row>
    <row r="96" spans="1:8" s="95" customFormat="1" ht="35.1" hidden="1" customHeight="1">
      <c r="A96" s="137"/>
      <c r="B96" s="143">
        <v>2.46</v>
      </c>
      <c r="C96" s="139" t="s">
        <v>2647</v>
      </c>
      <c r="D96" s="146" t="s">
        <v>2650</v>
      </c>
      <c r="E96" s="139">
        <f>E67</f>
        <v>46449.645337323418</v>
      </c>
      <c r="F96" s="139" t="s">
        <v>2647</v>
      </c>
      <c r="G96" s="140">
        <f t="shared" si="5"/>
        <v>114266.13</v>
      </c>
      <c r="H96" s="144"/>
    </row>
    <row r="97" spans="1:8" s="95" customFormat="1" ht="20.100000000000001" hidden="1" customHeight="1">
      <c r="A97" s="137"/>
      <c r="B97" s="143">
        <v>14.97</v>
      </c>
      <c r="C97" s="139" t="s">
        <v>2647</v>
      </c>
      <c r="D97" s="138" t="s">
        <v>2651</v>
      </c>
      <c r="E97" s="139">
        <f>E66</f>
        <v>49114.645337323418</v>
      </c>
      <c r="F97" s="139" t="s">
        <v>2647</v>
      </c>
      <c r="G97" s="140">
        <f t="shared" si="5"/>
        <v>735246.24</v>
      </c>
      <c r="H97" s="144"/>
    </row>
    <row r="98" spans="1:8" s="95" customFormat="1" ht="20.100000000000001" hidden="1" customHeight="1">
      <c r="A98" s="137"/>
      <c r="B98" s="143"/>
      <c r="C98" s="139"/>
      <c r="D98" s="138"/>
      <c r="E98" s="139"/>
      <c r="F98" s="139"/>
      <c r="G98" s="148">
        <f>SUM(G94:G97)</f>
        <v>1360637.91</v>
      </c>
      <c r="H98" s="144"/>
    </row>
    <row r="99" spans="1:8" s="95" customFormat="1" ht="20.100000000000001" hidden="1" customHeight="1">
      <c r="A99" s="137"/>
      <c r="B99" s="143"/>
      <c r="C99" s="139"/>
      <c r="D99" s="138"/>
      <c r="E99" s="3937" t="s">
        <v>2652</v>
      </c>
      <c r="F99" s="3937"/>
      <c r="G99" s="148">
        <f>G86+G92+G98</f>
        <v>1642679.71</v>
      </c>
      <c r="H99" s="144"/>
    </row>
    <row r="100" spans="1:8" s="95" customFormat="1" ht="20.100000000000001" hidden="1" customHeight="1">
      <c r="A100" s="137"/>
      <c r="B100" s="152">
        <v>0.13614999999999999</v>
      </c>
      <c r="C100" s="139" t="s">
        <v>85</v>
      </c>
      <c r="D100" s="153" t="s">
        <v>2626</v>
      </c>
      <c r="E100" s="139">
        <f>G86+G92+G98</f>
        <v>1642679.71</v>
      </c>
      <c r="F100" s="139" t="s">
        <v>85</v>
      </c>
      <c r="G100" s="140">
        <f>ROUND(B100*E100,2)</f>
        <v>223650.84</v>
      </c>
      <c r="H100" s="144"/>
    </row>
    <row r="101" spans="1:8" s="95" customFormat="1" ht="20.100000000000001" hidden="1" customHeight="1">
      <c r="A101" s="137"/>
      <c r="B101" s="156">
        <v>0</v>
      </c>
      <c r="C101" s="143"/>
      <c r="D101" s="153" t="s">
        <v>2627</v>
      </c>
      <c r="E101" s="139">
        <f>E100+G100</f>
        <v>1866330.55</v>
      </c>
      <c r="F101" s="139" t="s">
        <v>85</v>
      </c>
      <c r="G101" s="140">
        <f>ROUND(B101*E101,2)</f>
        <v>0</v>
      </c>
      <c r="H101" s="144"/>
    </row>
    <row r="102" spans="1:8" s="95" customFormat="1" ht="20.100000000000001" hidden="1" customHeight="1">
      <c r="A102" s="137"/>
      <c r="B102" s="137"/>
      <c r="C102" s="143"/>
      <c r="D102" s="138" t="s">
        <v>2653</v>
      </c>
      <c r="E102" s="139"/>
      <c r="F102" s="137"/>
      <c r="G102" s="140">
        <f>G99+G100</f>
        <v>1866330.55</v>
      </c>
      <c r="H102" s="144"/>
    </row>
    <row r="103" spans="1:8" s="95" customFormat="1" ht="20.100000000000001" hidden="1" customHeight="1">
      <c r="A103" s="137"/>
      <c r="B103" s="154"/>
      <c r="C103" s="155"/>
      <c r="D103" s="138"/>
      <c r="E103" s="139"/>
      <c r="F103" s="137"/>
      <c r="G103" s="140"/>
      <c r="H103" s="141"/>
    </row>
    <row r="104" spans="1:8" s="96" customFormat="1" ht="35.1" hidden="1" customHeight="1">
      <c r="A104" s="154"/>
      <c r="B104" s="154"/>
      <c r="C104" s="155"/>
      <c r="D104" s="142" t="s">
        <v>2654</v>
      </c>
      <c r="E104" s="160"/>
      <c r="F104" s="154"/>
      <c r="G104" s="148">
        <f>G102/10250</f>
        <v>182.0810292682927</v>
      </c>
      <c r="H104" s="149"/>
    </row>
    <row r="105" spans="1:8" s="95" customFormat="1" ht="12.6" hidden="1">
      <c r="A105" s="137"/>
      <c r="B105" s="137"/>
      <c r="C105" s="137"/>
      <c r="D105" s="146"/>
      <c r="E105" s="139"/>
      <c r="F105" s="137"/>
      <c r="G105" s="140"/>
      <c r="H105" s="141"/>
    </row>
    <row r="106" spans="1:8" s="98" customFormat="1" ht="20.100000000000001" customHeight="1">
      <c r="A106" s="133">
        <v>21</v>
      </c>
      <c r="B106" s="3944" t="s">
        <v>2655</v>
      </c>
      <c r="C106" s="3944"/>
      <c r="D106" s="3944"/>
      <c r="E106" s="3944"/>
      <c r="F106" s="3944"/>
      <c r="G106" s="3944"/>
      <c r="H106" s="167"/>
    </row>
    <row r="107" spans="1:8" s="94" customFormat="1" ht="83.25" customHeight="1">
      <c r="A107" s="133"/>
      <c r="B107" s="3939" t="s">
        <v>2656</v>
      </c>
      <c r="C107" s="3940"/>
      <c r="D107" s="3940"/>
      <c r="E107" s="3940"/>
      <c r="F107" s="3940"/>
      <c r="G107" s="3941"/>
      <c r="H107" s="136"/>
    </row>
    <row r="108" spans="1:8" s="95" customFormat="1" ht="20.100000000000001" customHeight="1">
      <c r="A108" s="137"/>
      <c r="B108" s="137" t="s">
        <v>2657</v>
      </c>
      <c r="C108" s="137"/>
      <c r="D108" s="153" t="s">
        <v>2658</v>
      </c>
      <c r="E108" s="139"/>
      <c r="F108" s="137"/>
      <c r="G108" s="140"/>
      <c r="H108" s="168"/>
    </row>
    <row r="109" spans="1:8" s="95" customFormat="1" ht="20.100000000000001" customHeight="1">
      <c r="A109" s="137"/>
      <c r="B109" s="3945" t="s">
        <v>2659</v>
      </c>
      <c r="C109" s="3945"/>
      <c r="D109" s="3945"/>
      <c r="E109" s="3945"/>
      <c r="F109" s="3945"/>
      <c r="G109" s="3945"/>
      <c r="H109" s="168"/>
    </row>
    <row r="110" spans="1:8" s="95" customFormat="1" ht="20.100000000000001" customHeight="1">
      <c r="A110" s="137"/>
      <c r="B110" s="137"/>
      <c r="C110" s="154" t="s">
        <v>36</v>
      </c>
      <c r="D110" s="153" t="s">
        <v>37</v>
      </c>
      <c r="E110" s="139"/>
      <c r="F110" s="137"/>
      <c r="G110" s="140"/>
      <c r="H110" s="168"/>
    </row>
    <row r="111" spans="1:8" s="95" customFormat="1" ht="20.100000000000001" customHeight="1">
      <c r="A111" s="137"/>
      <c r="B111" s="139">
        <v>2.92</v>
      </c>
      <c r="C111" s="139" t="s">
        <v>1345</v>
      </c>
      <c r="D111" s="146" t="s">
        <v>14</v>
      </c>
      <c r="E111" s="139">
        <f>E82</f>
        <v>575</v>
      </c>
      <c r="F111" s="139" t="s">
        <v>1345</v>
      </c>
      <c r="G111" s="140">
        <f>ROUND(B111*E111,2)</f>
        <v>1679</v>
      </c>
      <c r="H111" s="147"/>
    </row>
    <row r="112" spans="1:8" s="95" customFormat="1" ht="20.100000000000001" customHeight="1">
      <c r="A112" s="137"/>
      <c r="B112" s="139">
        <v>70</v>
      </c>
      <c r="C112" s="139" t="s">
        <v>1345</v>
      </c>
      <c r="D112" s="146" t="s">
        <v>312</v>
      </c>
      <c r="E112" s="139">
        <f>E111</f>
        <v>575</v>
      </c>
      <c r="F112" s="139" t="s">
        <v>1345</v>
      </c>
      <c r="G112" s="140">
        <f>ROUND(B112*E112,2)</f>
        <v>40250</v>
      </c>
      <c r="H112" s="147"/>
    </row>
    <row r="113" spans="1:8" s="95" customFormat="1" ht="20.100000000000001" customHeight="1">
      <c r="A113" s="137"/>
      <c r="B113" s="139">
        <v>3</v>
      </c>
      <c r="C113" s="139" t="s">
        <v>1345</v>
      </c>
      <c r="D113" s="146" t="s">
        <v>15</v>
      </c>
      <c r="E113" s="139">
        <f>E84</f>
        <v>575</v>
      </c>
      <c r="F113" s="139" t="s">
        <v>1345</v>
      </c>
      <c r="G113" s="140">
        <f>ROUND(B113*E113,2)</f>
        <v>1725</v>
      </c>
      <c r="H113" s="147"/>
    </row>
    <row r="114" spans="1:8" s="95" customFormat="1" ht="20.100000000000001" customHeight="1">
      <c r="A114" s="137"/>
      <c r="B114" s="169">
        <f>'Input Data'!D23</f>
        <v>0</v>
      </c>
      <c r="C114" s="139"/>
      <c r="D114" s="146" t="s">
        <v>17</v>
      </c>
      <c r="E114" s="139">
        <f>SUM(G111:G113)</f>
        <v>43654</v>
      </c>
      <c r="F114" s="137"/>
      <c r="G114" s="140">
        <f>B114*E114</f>
        <v>0</v>
      </c>
      <c r="H114" s="147"/>
    </row>
    <row r="115" spans="1:8" s="95" customFormat="1" ht="20.100000000000001" customHeight="1">
      <c r="A115" s="137"/>
      <c r="B115" s="139"/>
      <c r="C115" s="139"/>
      <c r="D115" s="146"/>
      <c r="E115" s="139"/>
      <c r="F115" s="137"/>
      <c r="G115" s="148">
        <f>SUM(G111:G114)</f>
        <v>43654</v>
      </c>
      <c r="H115" s="149"/>
    </row>
    <row r="116" spans="1:8" s="95" customFormat="1" ht="20.100000000000001" customHeight="1">
      <c r="A116" s="137"/>
      <c r="B116" s="137"/>
      <c r="C116" s="154" t="s">
        <v>39</v>
      </c>
      <c r="D116" s="153" t="s">
        <v>40</v>
      </c>
      <c r="E116" s="139"/>
      <c r="F116" s="137"/>
      <c r="G116" s="140"/>
      <c r="H116" s="168"/>
    </row>
    <row r="117" spans="1:8" s="95" customFormat="1" ht="20.100000000000001" customHeight="1">
      <c r="A117" s="137"/>
      <c r="B117" s="139">
        <v>6</v>
      </c>
      <c r="C117" s="139" t="s">
        <v>41</v>
      </c>
      <c r="D117" s="146" t="s">
        <v>2660</v>
      </c>
      <c r="E117" s="139">
        <f>E34</f>
        <v>727.6</v>
      </c>
      <c r="F117" s="139" t="s">
        <v>41</v>
      </c>
      <c r="G117" s="140">
        <f t="shared" ref="G117:G120" si="6">ROUND(B117*E117,2)</f>
        <v>4365.6000000000004</v>
      </c>
      <c r="H117" s="147"/>
    </row>
    <row r="118" spans="1:8" s="95" customFormat="1" ht="20.100000000000001" customHeight="1">
      <c r="A118" s="137"/>
      <c r="B118" s="139">
        <v>6</v>
      </c>
      <c r="C118" s="139" t="s">
        <v>41</v>
      </c>
      <c r="D118" s="146" t="s">
        <v>1380</v>
      </c>
      <c r="E118" s="139">
        <f>E89</f>
        <v>33344</v>
      </c>
      <c r="F118" s="139" t="s">
        <v>41</v>
      </c>
      <c r="G118" s="140">
        <f t="shared" si="6"/>
        <v>200064</v>
      </c>
      <c r="H118" s="147"/>
    </row>
    <row r="119" spans="1:8" s="95" customFormat="1" ht="20.100000000000001" customHeight="1">
      <c r="A119" s="137"/>
      <c r="B119" s="139">
        <v>45</v>
      </c>
      <c r="C119" s="139" t="s">
        <v>41</v>
      </c>
      <c r="D119" s="170" t="s">
        <v>1116</v>
      </c>
      <c r="E119" s="160">
        <f>E90</f>
        <v>9</v>
      </c>
      <c r="F119" s="139" t="s">
        <v>41</v>
      </c>
      <c r="G119" s="140">
        <f t="shared" si="6"/>
        <v>405</v>
      </c>
      <c r="H119" s="147"/>
    </row>
    <row r="120" spans="1:8" s="95" customFormat="1" ht="35.1" customHeight="1">
      <c r="A120" s="137"/>
      <c r="B120" s="139">
        <v>12</v>
      </c>
      <c r="C120" s="139" t="s">
        <v>41</v>
      </c>
      <c r="D120" s="146" t="s">
        <v>1483</v>
      </c>
      <c r="E120" s="139">
        <f>E91</f>
        <v>1749.6</v>
      </c>
      <c r="F120" s="139" t="s">
        <v>41</v>
      </c>
      <c r="G120" s="140">
        <f t="shared" si="6"/>
        <v>20995.200000000001</v>
      </c>
      <c r="H120" s="147"/>
    </row>
    <row r="121" spans="1:8" s="95" customFormat="1" ht="12.6">
      <c r="A121" s="137"/>
      <c r="B121" s="139"/>
      <c r="C121" s="139"/>
      <c r="D121" s="146"/>
      <c r="E121" s="139"/>
      <c r="F121" s="137"/>
      <c r="G121" s="148">
        <f>SUM(G117:G120)</f>
        <v>225829.80000000002</v>
      </c>
      <c r="H121" s="149"/>
    </row>
    <row r="122" spans="1:8" s="95" customFormat="1" ht="20.100000000000001" customHeight="1">
      <c r="A122" s="137"/>
      <c r="B122" s="137"/>
      <c r="C122" s="154" t="s">
        <v>27</v>
      </c>
      <c r="D122" s="153" t="s">
        <v>61</v>
      </c>
      <c r="E122" s="139"/>
      <c r="F122" s="137"/>
      <c r="G122" s="140"/>
      <c r="H122" s="168"/>
    </row>
    <row r="123" spans="1:8" s="95" customFormat="1" ht="20.100000000000001" customHeight="1">
      <c r="A123" s="137"/>
      <c r="B123" s="139">
        <v>22.5</v>
      </c>
      <c r="C123" s="139" t="s">
        <v>66</v>
      </c>
      <c r="D123" s="146" t="s">
        <v>2661</v>
      </c>
      <c r="E123" s="160">
        <f>E66</f>
        <v>49114.645337323418</v>
      </c>
      <c r="F123" s="137" t="s">
        <v>66</v>
      </c>
      <c r="G123" s="140">
        <f>ROUND(B123*E123,2)</f>
        <v>1105079.52</v>
      </c>
      <c r="H123" s="147"/>
    </row>
    <row r="124" spans="1:8" s="95" customFormat="1" ht="20.100000000000001" customHeight="1">
      <c r="A124" s="137"/>
      <c r="B124" s="139">
        <v>1.18</v>
      </c>
      <c r="C124" s="139" t="s">
        <v>66</v>
      </c>
      <c r="D124" s="146" t="s">
        <v>2662</v>
      </c>
      <c r="E124" s="160">
        <f>E40</f>
        <v>46449.645337323418</v>
      </c>
      <c r="F124" s="137" t="s">
        <v>66</v>
      </c>
      <c r="G124" s="140">
        <f>ROUND(B124*E124,2)</f>
        <v>54810.58</v>
      </c>
      <c r="H124" s="147"/>
    </row>
    <row r="125" spans="1:8" s="95" customFormat="1" ht="20.100000000000001" customHeight="1">
      <c r="A125" s="137"/>
      <c r="B125" s="139"/>
      <c r="C125" s="139"/>
      <c r="D125" s="146" t="s">
        <v>2663</v>
      </c>
      <c r="E125" s="160"/>
      <c r="F125" s="137"/>
      <c r="G125" s="140"/>
      <c r="H125" s="147"/>
    </row>
    <row r="126" spans="1:8" s="95" customFormat="1" ht="20.100000000000001" customHeight="1">
      <c r="A126" s="137"/>
      <c r="B126" s="139"/>
      <c r="C126" s="139"/>
      <c r="D126" s="146" t="s">
        <v>1487</v>
      </c>
      <c r="E126" s="139"/>
      <c r="F126" s="137"/>
      <c r="G126" s="140"/>
      <c r="H126" s="168"/>
    </row>
    <row r="127" spans="1:8" s="99" customFormat="1" ht="20.100000000000001" customHeight="1">
      <c r="A127" s="137"/>
      <c r="B127" s="139"/>
      <c r="C127" s="139"/>
      <c r="D127" s="146" t="s">
        <v>1519</v>
      </c>
      <c r="E127" s="139"/>
      <c r="F127" s="137"/>
      <c r="G127" s="140"/>
      <c r="H127" s="168"/>
    </row>
    <row r="128" spans="1:8" s="99" customFormat="1" ht="35.1" customHeight="1">
      <c r="A128" s="137"/>
      <c r="B128" s="139"/>
      <c r="C128" s="139"/>
      <c r="D128" s="146" t="s">
        <v>1520</v>
      </c>
      <c r="E128" s="139"/>
      <c r="F128" s="137"/>
      <c r="G128" s="140"/>
      <c r="H128" s="168"/>
    </row>
    <row r="129" spans="1:11" s="99" customFormat="1" ht="35.1" customHeight="1">
      <c r="A129" s="137"/>
      <c r="B129" s="139"/>
      <c r="C129" s="139"/>
      <c r="D129" s="146" t="s">
        <v>1490</v>
      </c>
      <c r="E129" s="139"/>
      <c r="F129" s="137"/>
      <c r="G129" s="140"/>
      <c r="H129" s="168"/>
      <c r="I129" s="190"/>
    </row>
    <row r="130" spans="1:11" s="99" customFormat="1" ht="20.100000000000001" customHeight="1">
      <c r="A130" s="137"/>
      <c r="B130" s="139"/>
      <c r="C130" s="139"/>
      <c r="D130" s="146" t="s">
        <v>1521</v>
      </c>
      <c r="E130" s="139"/>
      <c r="F130" s="137"/>
      <c r="G130" s="140"/>
      <c r="H130" s="168"/>
    </row>
    <row r="131" spans="1:11" s="99" customFormat="1" ht="20.100000000000001" customHeight="1">
      <c r="A131" s="137"/>
      <c r="B131" s="139"/>
      <c r="C131" s="139"/>
      <c r="D131" s="153" t="s">
        <v>1522</v>
      </c>
      <c r="E131" s="139"/>
      <c r="F131" s="137"/>
      <c r="G131" s="140"/>
      <c r="H131" s="168"/>
    </row>
    <row r="132" spans="1:11" s="99" customFormat="1" ht="35.1" customHeight="1">
      <c r="A132" s="137"/>
      <c r="B132" s="139"/>
      <c r="C132" s="139"/>
      <c r="D132" s="146" t="s">
        <v>1523</v>
      </c>
      <c r="E132" s="139"/>
      <c r="F132" s="137"/>
      <c r="G132" s="140"/>
      <c r="H132" s="168"/>
    </row>
    <row r="133" spans="1:11" s="99" customFormat="1" ht="35.1" customHeight="1">
      <c r="A133" s="137"/>
      <c r="B133" s="139">
        <v>85.5</v>
      </c>
      <c r="C133" s="139" t="s">
        <v>31</v>
      </c>
      <c r="D133" s="146" t="s">
        <v>2664</v>
      </c>
      <c r="E133" s="139">
        <f>AVERAGE(lead!J8:J9)</f>
        <v>1830.2187651278443</v>
      </c>
      <c r="F133" s="137" t="s">
        <v>31</v>
      </c>
      <c r="G133" s="140">
        <f>ROUND(B133*E133,2)</f>
        <v>156483.70000000001</v>
      </c>
      <c r="H133" s="147"/>
      <c r="J133" s="99">
        <v>285</v>
      </c>
    </row>
    <row r="134" spans="1:11" s="95" customFormat="1" ht="35.1" customHeight="1">
      <c r="A134" s="137"/>
      <c r="B134" s="139"/>
      <c r="C134" s="139"/>
      <c r="D134" s="146" t="s">
        <v>1525</v>
      </c>
      <c r="E134" s="139"/>
      <c r="F134" s="137"/>
      <c r="G134" s="140"/>
      <c r="H134" s="168"/>
    </row>
    <row r="135" spans="1:11" s="99" customFormat="1" ht="35.1" customHeight="1">
      <c r="A135" s="137"/>
      <c r="B135" s="171">
        <v>71.25</v>
      </c>
      <c r="C135" s="139" t="s">
        <v>31</v>
      </c>
      <c r="D135" s="146" t="s">
        <v>2665</v>
      </c>
      <c r="E135" s="139">
        <f>AVERAGE(lead!J9:J10)</f>
        <v>1751.7187651278443</v>
      </c>
      <c r="F135" s="137" t="s">
        <v>31</v>
      </c>
      <c r="G135" s="140">
        <f>ROUND(B135*E135,2)</f>
        <v>124809.96</v>
      </c>
      <c r="H135" s="147"/>
      <c r="J135" s="190">
        <f>+B133+B135+B137</f>
        <v>279.3</v>
      </c>
      <c r="K135" s="191">
        <f>J133-J135</f>
        <v>5.6999999999999886</v>
      </c>
    </row>
    <row r="136" spans="1:11" s="99" customFormat="1" ht="35.1" customHeight="1">
      <c r="A136" s="137"/>
      <c r="B136" s="139"/>
      <c r="C136" s="139"/>
      <c r="D136" s="146" t="s">
        <v>1527</v>
      </c>
      <c r="E136" s="139"/>
      <c r="F136" s="137"/>
      <c r="G136" s="140"/>
      <c r="H136" s="147"/>
    </row>
    <row r="137" spans="1:11" s="99" customFormat="1" ht="35.1" customHeight="1">
      <c r="A137" s="137"/>
      <c r="B137" s="139">
        <v>122.55</v>
      </c>
      <c r="C137" s="139" t="s">
        <v>31</v>
      </c>
      <c r="D137" s="146" t="s">
        <v>2666</v>
      </c>
      <c r="E137" s="139">
        <f>AVERAGE(lead!J11:J12)</f>
        <v>1695.3437651278443</v>
      </c>
      <c r="F137" s="137" t="s">
        <v>31</v>
      </c>
      <c r="G137" s="140">
        <f>ROUND(B137*E137,2)</f>
        <v>207764.38</v>
      </c>
      <c r="H137" s="147"/>
    </row>
    <row r="138" spans="1:11" s="99" customFormat="1" ht="21" customHeight="1">
      <c r="A138" s="137"/>
      <c r="B138" s="139">
        <v>8.6199999999999992</v>
      </c>
      <c r="C138" s="139" t="s">
        <v>31</v>
      </c>
      <c r="D138" s="146" t="s">
        <v>2667</v>
      </c>
      <c r="E138" s="139">
        <f>lead!J12</f>
        <v>1684.4687651278443</v>
      </c>
      <c r="F138" s="137" t="s">
        <v>31</v>
      </c>
      <c r="G138" s="140">
        <f>ROUND(B138*E138,2)</f>
        <v>14520.12</v>
      </c>
      <c r="H138" s="147"/>
      <c r="J138" s="99">
        <f>SUM(B133:B138)/195</f>
        <v>1.4765128205128206</v>
      </c>
    </row>
    <row r="139" spans="1:11" s="99" customFormat="1" ht="20.100000000000001" customHeight="1">
      <c r="A139" s="137"/>
      <c r="B139" s="139"/>
      <c r="C139" s="139"/>
      <c r="D139" s="146"/>
      <c r="E139" s="139"/>
      <c r="F139" s="137"/>
      <c r="G139" s="148">
        <f>SUM(G123:G138)</f>
        <v>1663468.2600000002</v>
      </c>
      <c r="H139" s="149"/>
    </row>
    <row r="140" spans="1:11" s="99" customFormat="1" ht="20.100000000000001" customHeight="1">
      <c r="A140" s="137"/>
      <c r="B140" s="139"/>
      <c r="C140" s="139"/>
      <c r="D140" s="146"/>
      <c r="E140" s="3946" t="s">
        <v>2652</v>
      </c>
      <c r="F140" s="3946"/>
      <c r="G140" s="148">
        <f>G139+G121+G115</f>
        <v>1932952.0600000003</v>
      </c>
      <c r="H140" s="149"/>
    </row>
    <row r="141" spans="1:11" s="99" customFormat="1" ht="20.100000000000001" customHeight="1">
      <c r="A141" s="137"/>
      <c r="B141" s="154" t="s">
        <v>45</v>
      </c>
      <c r="C141" s="3947" t="s">
        <v>1246</v>
      </c>
      <c r="D141" s="3947"/>
      <c r="E141" s="3947"/>
      <c r="F141" s="137"/>
      <c r="G141" s="140"/>
      <c r="H141" s="147"/>
    </row>
    <row r="142" spans="1:11" s="99" customFormat="1" ht="35.1" customHeight="1">
      <c r="A142" s="137"/>
      <c r="B142" s="172">
        <v>0.13614999999999999</v>
      </c>
      <c r="C142" s="173"/>
      <c r="D142" s="174" t="s">
        <v>2668</v>
      </c>
      <c r="E142" s="139">
        <f>G140</f>
        <v>1932952.0600000003</v>
      </c>
      <c r="F142" s="137"/>
      <c r="G142" s="140">
        <f>E142*B142</f>
        <v>263171.42296900001</v>
      </c>
      <c r="H142" s="147"/>
    </row>
    <row r="143" spans="1:11" s="95" customFormat="1" ht="20.100000000000001" customHeight="1">
      <c r="A143" s="154"/>
      <c r="B143" s="156">
        <v>0</v>
      </c>
      <c r="C143" s="137"/>
      <c r="D143" s="146"/>
      <c r="E143" s="139">
        <v>0</v>
      </c>
      <c r="F143" s="137"/>
      <c r="G143" s="140">
        <f>E143*B143</f>
        <v>0</v>
      </c>
      <c r="H143" s="147"/>
    </row>
    <row r="144" spans="1:11" s="99" customFormat="1" ht="20.100000000000001" customHeight="1">
      <c r="A144" s="137"/>
      <c r="B144" s="154" t="s">
        <v>47</v>
      </c>
      <c r="C144" s="3947" t="s">
        <v>89</v>
      </c>
      <c r="D144" s="3947"/>
      <c r="E144" s="139"/>
      <c r="F144" s="137"/>
      <c r="G144" s="148">
        <f>G140+G142</f>
        <v>2196123.4829690005</v>
      </c>
      <c r="H144" s="149"/>
    </row>
    <row r="145" spans="1:8" s="99" customFormat="1" ht="20.100000000000001" customHeight="1">
      <c r="A145" s="137"/>
      <c r="B145" s="139"/>
      <c r="C145" s="139"/>
      <c r="D145" s="146" t="s">
        <v>2669</v>
      </c>
      <c r="E145" s="139"/>
      <c r="F145" s="139"/>
      <c r="G145" s="175">
        <f>SUM(G144:G144)</f>
        <v>2196123.4829690005</v>
      </c>
      <c r="H145" s="176"/>
    </row>
    <row r="146" spans="1:8" s="99" customFormat="1" ht="20.100000000000001" customHeight="1">
      <c r="A146" s="137"/>
      <c r="B146" s="139"/>
      <c r="C146" s="139"/>
      <c r="D146" s="146" t="s">
        <v>1501</v>
      </c>
      <c r="E146" s="139"/>
      <c r="F146" s="139"/>
      <c r="G146" s="140">
        <f>ROUND(G145/196,2)</f>
        <v>11204.71</v>
      </c>
      <c r="H146" s="147"/>
    </row>
    <row r="147" spans="1:8" s="99" customFormat="1" ht="20.100000000000001" customHeight="1">
      <c r="A147" s="137"/>
      <c r="B147" s="139"/>
      <c r="C147" s="139"/>
      <c r="D147" s="146" t="s">
        <v>52</v>
      </c>
      <c r="E147" s="139"/>
      <c r="F147" s="139"/>
      <c r="G147" s="148">
        <f>ROUND(G146,2)</f>
        <v>11204.71</v>
      </c>
      <c r="H147" s="149"/>
    </row>
    <row r="148" spans="1:8" s="99" customFormat="1" ht="12.6">
      <c r="A148" s="137"/>
      <c r="B148" s="139"/>
      <c r="C148" s="139"/>
      <c r="D148" s="146"/>
      <c r="E148" s="139"/>
      <c r="F148" s="139"/>
      <c r="G148" s="148"/>
      <c r="H148" s="149"/>
    </row>
    <row r="149" spans="1:8" s="98" customFormat="1" ht="69.75" customHeight="1">
      <c r="A149" s="133">
        <v>22</v>
      </c>
      <c r="B149" s="177" t="s">
        <v>2670</v>
      </c>
      <c r="C149" s="3948" t="s">
        <v>2671</v>
      </c>
      <c r="D149" s="3949"/>
      <c r="E149" s="3949"/>
      <c r="F149" s="3949"/>
      <c r="G149" s="3950"/>
      <c r="H149" s="178"/>
    </row>
    <row r="150" spans="1:8" s="99" customFormat="1" ht="20.100000000000001" customHeight="1">
      <c r="A150" s="3951" t="s">
        <v>2672</v>
      </c>
      <c r="B150" s="3951"/>
      <c r="C150" s="3951"/>
      <c r="D150" s="138" t="s">
        <v>10</v>
      </c>
      <c r="E150" s="139"/>
      <c r="F150" s="139"/>
      <c r="G150" s="148"/>
      <c r="H150" s="149"/>
    </row>
    <row r="151" spans="1:8" s="99" customFormat="1" ht="35.1" customHeight="1">
      <c r="A151" s="137"/>
      <c r="B151" s="139"/>
      <c r="C151" s="139"/>
      <c r="D151" s="138" t="s">
        <v>2673</v>
      </c>
      <c r="E151" s="139"/>
      <c r="F151" s="139"/>
      <c r="G151" s="148"/>
      <c r="H151" s="149"/>
    </row>
    <row r="152" spans="1:8" s="99" customFormat="1" ht="20.100000000000001" customHeight="1">
      <c r="A152" s="137"/>
      <c r="B152" s="139"/>
      <c r="C152" s="139"/>
      <c r="D152" s="138" t="s">
        <v>2674</v>
      </c>
      <c r="E152" s="139"/>
      <c r="F152" s="139"/>
      <c r="G152" s="148"/>
      <c r="H152" s="149"/>
    </row>
    <row r="153" spans="1:8" s="99" customFormat="1" ht="20.100000000000001" customHeight="1">
      <c r="A153" s="137"/>
      <c r="B153" s="139"/>
      <c r="C153" s="139"/>
      <c r="D153" s="142" t="s">
        <v>1085</v>
      </c>
      <c r="E153" s="139"/>
      <c r="F153" s="139"/>
      <c r="G153" s="148"/>
      <c r="H153" s="149"/>
    </row>
    <row r="154" spans="1:8" s="99" customFormat="1" ht="20.100000000000001" customHeight="1">
      <c r="A154" s="137"/>
      <c r="B154" s="139"/>
      <c r="C154" s="139" t="s">
        <v>38</v>
      </c>
      <c r="D154" s="138" t="s">
        <v>14</v>
      </c>
      <c r="E154" s="139">
        <v>0</v>
      </c>
      <c r="F154" s="151">
        <v>0</v>
      </c>
      <c r="G154" s="140">
        <f>ROUND(E154*F154,2)</f>
        <v>0</v>
      </c>
      <c r="H154" s="144"/>
    </row>
    <row r="155" spans="1:8" s="99" customFormat="1" ht="20.100000000000001" customHeight="1">
      <c r="A155" s="137"/>
      <c r="B155" s="139"/>
      <c r="C155" s="139" t="s">
        <v>38</v>
      </c>
      <c r="D155" s="138" t="s">
        <v>2159</v>
      </c>
      <c r="E155" s="139">
        <v>20.8</v>
      </c>
      <c r="F155" s="151">
        <f>E112</f>
        <v>575</v>
      </c>
      <c r="G155" s="140">
        <f>ROUND(E155*F155,2)</f>
        <v>11960</v>
      </c>
      <c r="H155" s="144"/>
    </row>
    <row r="156" spans="1:8" s="99" customFormat="1" ht="20.100000000000001" customHeight="1">
      <c r="A156" s="137"/>
      <c r="B156" s="139"/>
      <c r="C156" s="137"/>
      <c r="D156" s="146" t="s">
        <v>2675</v>
      </c>
      <c r="E156" s="139">
        <f>'Input Data'!D23</f>
        <v>0</v>
      </c>
      <c r="F156" s="139"/>
      <c r="G156" s="140">
        <f>ROUND(E156*G155,2)</f>
        <v>0</v>
      </c>
      <c r="H156" s="147"/>
    </row>
    <row r="157" spans="1:8" s="99" customFormat="1" ht="20.100000000000001" customHeight="1">
      <c r="A157" s="137"/>
      <c r="B157" s="139"/>
      <c r="C157" s="137"/>
      <c r="D157" s="146"/>
      <c r="E157" s="139"/>
      <c r="F157" s="139"/>
      <c r="G157" s="148">
        <f>SUM(G154:G156)</f>
        <v>11960</v>
      </c>
      <c r="H157" s="149"/>
    </row>
    <row r="158" spans="1:8" s="99" customFormat="1" ht="20.100000000000001" customHeight="1">
      <c r="A158" s="137"/>
      <c r="B158" s="139"/>
      <c r="C158" s="139"/>
      <c r="D158" s="142" t="s">
        <v>1086</v>
      </c>
      <c r="E158" s="139"/>
      <c r="F158" s="151"/>
      <c r="G158" s="140"/>
      <c r="H158" s="144"/>
    </row>
    <row r="159" spans="1:8" s="99" customFormat="1" ht="20.100000000000001" customHeight="1">
      <c r="A159" s="137"/>
      <c r="B159" s="139"/>
      <c r="C159" s="139" t="s">
        <v>23</v>
      </c>
      <c r="D159" s="138" t="s">
        <v>2676</v>
      </c>
      <c r="E159" s="139">
        <v>4</v>
      </c>
      <c r="F159" s="151">
        <v>495.9</v>
      </c>
      <c r="G159" s="140">
        <f>ROUND(E159*F159,2)</f>
        <v>1983.6</v>
      </c>
      <c r="H159" s="144"/>
    </row>
    <row r="160" spans="1:8" s="99" customFormat="1" ht="20.100000000000001" customHeight="1">
      <c r="A160" s="137"/>
      <c r="B160" s="139"/>
      <c r="C160" s="139" t="s">
        <v>23</v>
      </c>
      <c r="D160" s="138" t="s">
        <v>2677</v>
      </c>
      <c r="E160" s="139">
        <v>2</v>
      </c>
      <c r="F160" s="151">
        <f>E34</f>
        <v>727.6</v>
      </c>
      <c r="G160" s="140">
        <f>ROUND(E160*F160,2)</f>
        <v>1455.2</v>
      </c>
      <c r="H160" s="144"/>
    </row>
    <row r="161" spans="1:8" s="99" customFormat="1" ht="20.100000000000001" customHeight="1">
      <c r="A161" s="137"/>
      <c r="B161" s="139"/>
      <c r="C161" s="139" t="s">
        <v>23</v>
      </c>
      <c r="D161" s="138" t="s">
        <v>2478</v>
      </c>
      <c r="E161" s="139">
        <v>4</v>
      </c>
      <c r="F161" s="151">
        <f>E35</f>
        <v>1846</v>
      </c>
      <c r="G161" s="140">
        <f>ROUND(E161*F161,2)</f>
        <v>7384</v>
      </c>
      <c r="H161" s="144"/>
    </row>
    <row r="162" spans="1:8" s="99" customFormat="1" ht="20.100000000000001" customHeight="1">
      <c r="A162" s="137"/>
      <c r="B162" s="139"/>
      <c r="C162" s="139" t="s">
        <v>23</v>
      </c>
      <c r="D162" s="138" t="s">
        <v>2678</v>
      </c>
      <c r="E162" s="139">
        <v>4</v>
      </c>
      <c r="F162" s="151">
        <f>E62</f>
        <v>946.4</v>
      </c>
      <c r="G162" s="140">
        <f>ROUND(E162*F162,2)</f>
        <v>3785.6</v>
      </c>
      <c r="H162" s="144"/>
    </row>
    <row r="163" spans="1:8" s="99" customFormat="1" ht="20.100000000000001" customHeight="1">
      <c r="A163" s="137"/>
      <c r="B163" s="139"/>
      <c r="C163" s="139" t="s">
        <v>23</v>
      </c>
      <c r="D163" s="138" t="s">
        <v>2618</v>
      </c>
      <c r="E163" s="139">
        <v>4</v>
      </c>
      <c r="F163" s="151">
        <f>E91</f>
        <v>1749.6</v>
      </c>
      <c r="G163" s="140">
        <f>ROUND(E163*F163,2)</f>
        <v>6998.4</v>
      </c>
      <c r="H163" s="144"/>
    </row>
    <row r="164" spans="1:8" s="99" customFormat="1" ht="20.100000000000001" customHeight="1">
      <c r="A164" s="137"/>
      <c r="B164" s="139"/>
      <c r="C164" s="139"/>
      <c r="D164" s="142" t="s">
        <v>2619</v>
      </c>
      <c r="E164" s="139"/>
      <c r="F164" s="151"/>
      <c r="G164" s="148">
        <f>SUM(G159:G163)</f>
        <v>21606.799999999999</v>
      </c>
      <c r="H164" s="150"/>
    </row>
    <row r="165" spans="1:8" s="99" customFormat="1" ht="35.1" customHeight="1">
      <c r="A165" s="137"/>
      <c r="B165" s="139"/>
      <c r="C165" s="139"/>
      <c r="D165" s="138" t="s">
        <v>2679</v>
      </c>
      <c r="E165" s="139">
        <v>0.16800000000000001</v>
      </c>
      <c r="F165" s="151">
        <f>Emultion_SS</f>
        <v>79415.645337323411</v>
      </c>
      <c r="G165" s="140">
        <f>ROUND(E165*F165,2)</f>
        <v>13341.83</v>
      </c>
      <c r="H165" s="144"/>
    </row>
    <row r="166" spans="1:8" s="99" customFormat="1" ht="35.1" customHeight="1">
      <c r="A166" s="137"/>
      <c r="B166" s="139"/>
      <c r="C166" s="139" t="s">
        <v>2680</v>
      </c>
      <c r="D166" s="138" t="s">
        <v>2681</v>
      </c>
      <c r="E166" s="139"/>
      <c r="F166" s="151"/>
      <c r="G166" s="140"/>
      <c r="H166" s="144"/>
    </row>
    <row r="167" spans="1:8" s="99" customFormat="1" ht="20.100000000000001" customHeight="1">
      <c r="A167" s="137"/>
      <c r="B167" s="139"/>
      <c r="C167" s="139"/>
      <c r="D167" s="138" t="s">
        <v>2682</v>
      </c>
      <c r="E167" s="139"/>
      <c r="F167" s="151"/>
      <c r="G167" s="140"/>
      <c r="H167" s="144"/>
    </row>
    <row r="168" spans="1:8" s="99" customFormat="1" ht="20.100000000000001" customHeight="1">
      <c r="A168" s="137"/>
      <c r="B168" s="139"/>
      <c r="C168" s="139"/>
      <c r="D168" s="138" t="s">
        <v>2683</v>
      </c>
      <c r="E168" s="139">
        <v>6.4000000000000001E-2</v>
      </c>
      <c r="F168" s="151">
        <f>Emution_RS</f>
        <v>46449.645337323418</v>
      </c>
      <c r="G168" s="140">
        <f>ROUND(E168*F168,2)</f>
        <v>2972.78</v>
      </c>
      <c r="H168" s="144"/>
    </row>
    <row r="169" spans="1:8" s="99" customFormat="1" ht="20.100000000000001" customHeight="1">
      <c r="A169" s="137"/>
      <c r="B169" s="139"/>
      <c r="C169" s="139" t="s">
        <v>2680</v>
      </c>
      <c r="D169" s="138" t="s">
        <v>2684</v>
      </c>
      <c r="E169" s="139"/>
      <c r="F169" s="151"/>
      <c r="G169" s="140"/>
      <c r="H169" s="144"/>
    </row>
    <row r="170" spans="1:8" s="99" customFormat="1" ht="35.1" customHeight="1">
      <c r="A170" s="137"/>
      <c r="B170" s="139"/>
      <c r="C170" s="139"/>
      <c r="D170" s="138" t="s">
        <v>2685</v>
      </c>
      <c r="E170" s="139">
        <v>1.0820000000000001</v>
      </c>
      <c r="F170" s="179">
        <f>E123</f>
        <v>49114.645337323418</v>
      </c>
      <c r="G170" s="140">
        <f>ROUND(E170*F170,2)</f>
        <v>53142.05</v>
      </c>
      <c r="H170" s="144"/>
    </row>
    <row r="171" spans="1:8" s="99" customFormat="1" ht="35.1" customHeight="1">
      <c r="A171" s="137"/>
      <c r="B171" s="139"/>
      <c r="C171" s="139" t="s">
        <v>2680</v>
      </c>
      <c r="D171" s="138" t="s">
        <v>2686</v>
      </c>
      <c r="E171" s="139"/>
      <c r="F171" s="151"/>
      <c r="G171" s="140"/>
      <c r="H171" s="144"/>
    </row>
    <row r="172" spans="1:8" s="99" customFormat="1" ht="35.1" customHeight="1">
      <c r="A172" s="137"/>
      <c r="B172" s="139"/>
      <c r="C172" s="139"/>
      <c r="D172" s="138" t="s">
        <v>2687</v>
      </c>
      <c r="E172" s="139"/>
      <c r="F172" s="151"/>
      <c r="G172" s="140"/>
      <c r="H172" s="144"/>
    </row>
    <row r="173" spans="1:8" s="99" customFormat="1" ht="35.1" customHeight="1">
      <c r="A173" s="137"/>
      <c r="B173" s="139"/>
      <c r="C173" s="139"/>
      <c r="D173" s="138" t="s">
        <v>2688</v>
      </c>
      <c r="E173" s="139"/>
      <c r="F173" s="151"/>
      <c r="G173" s="140"/>
      <c r="H173" s="144"/>
    </row>
    <row r="174" spans="1:8" s="99" customFormat="1" ht="35.1" customHeight="1">
      <c r="A174" s="137"/>
      <c r="B174" s="139"/>
      <c r="C174" s="139"/>
      <c r="D174" s="138" t="s">
        <v>2689</v>
      </c>
      <c r="E174" s="139"/>
      <c r="F174" s="151"/>
      <c r="G174" s="140"/>
      <c r="H174" s="144"/>
    </row>
    <row r="175" spans="1:8" s="99" customFormat="1" ht="35.1" customHeight="1">
      <c r="A175" s="137"/>
      <c r="B175" s="139"/>
      <c r="C175" s="139"/>
      <c r="D175" s="138" t="s">
        <v>2690</v>
      </c>
      <c r="E175" s="139"/>
      <c r="F175" s="151"/>
      <c r="G175" s="140"/>
      <c r="H175" s="144"/>
    </row>
    <row r="176" spans="1:8" s="99" customFormat="1" ht="20.100000000000001" customHeight="1">
      <c r="A176" s="137"/>
      <c r="B176" s="139"/>
      <c r="C176" s="139"/>
      <c r="D176" s="142" t="s">
        <v>2691</v>
      </c>
      <c r="E176" s="139"/>
      <c r="F176" s="151"/>
      <c r="G176" s="140"/>
      <c r="H176" s="144"/>
    </row>
    <row r="177" spans="1:8" s="99" customFormat="1" ht="20.100000000000001" customHeight="1">
      <c r="A177" s="137"/>
      <c r="B177" s="139"/>
      <c r="C177" s="139" t="s">
        <v>31</v>
      </c>
      <c r="D177" s="138" t="s">
        <v>2692</v>
      </c>
      <c r="E177" s="139">
        <v>2.9849999999999999</v>
      </c>
      <c r="F177" s="151">
        <f>AVERAGE(lead!J5:J6)</f>
        <v>1826.7187651278443</v>
      </c>
      <c r="G177" s="140">
        <f>ROUND(E177*F177,2)</f>
        <v>5452.76</v>
      </c>
      <c r="H177" s="144"/>
    </row>
    <row r="178" spans="1:8" s="99" customFormat="1" ht="20.100000000000001" customHeight="1">
      <c r="A178" s="137"/>
      <c r="B178" s="139"/>
      <c r="C178" s="139" t="s">
        <v>31</v>
      </c>
      <c r="D178" s="138" t="s">
        <v>2693</v>
      </c>
      <c r="E178" s="139">
        <v>8.9550000000000001</v>
      </c>
      <c r="F178" s="151">
        <f>AVERAGE(lead!J6:J9)</f>
        <v>1903.2187651278443</v>
      </c>
      <c r="G178" s="140">
        <f>ROUND(E178*F178,2)</f>
        <v>17043.32</v>
      </c>
      <c r="H178" s="144"/>
    </row>
    <row r="179" spans="1:8" s="99" customFormat="1" ht="20.100000000000001" customHeight="1">
      <c r="A179" s="137"/>
      <c r="B179" s="139"/>
      <c r="C179" s="139" t="s">
        <v>31</v>
      </c>
      <c r="D179" s="138" t="s">
        <v>2694</v>
      </c>
      <c r="E179" s="139">
        <v>4.9749999999999996</v>
      </c>
      <c r="F179" s="151">
        <f>AVERAGE(lead!J9:J11)</f>
        <v>1736.5520984611776</v>
      </c>
      <c r="G179" s="140">
        <f>ROUND(E179*F179,2)</f>
        <v>8639.35</v>
      </c>
      <c r="H179" s="144"/>
    </row>
    <row r="180" spans="1:8" s="99" customFormat="1" ht="20.100000000000001" customHeight="1">
      <c r="A180" s="137"/>
      <c r="B180" s="139"/>
      <c r="C180" s="139" t="s">
        <v>31</v>
      </c>
      <c r="D180" s="138" t="s">
        <v>2695</v>
      </c>
      <c r="E180" s="139">
        <v>2.9849999999999999</v>
      </c>
      <c r="F180" s="151">
        <f>AVERAGE(lead!J11:J12)</f>
        <v>1695.3437651278443</v>
      </c>
      <c r="G180" s="140">
        <f>ROUND(E180*F180,2)</f>
        <v>5060.6000000000004</v>
      </c>
      <c r="H180" s="144"/>
    </row>
    <row r="181" spans="1:8" s="99" customFormat="1" ht="20.100000000000001" customHeight="1">
      <c r="A181" s="137"/>
      <c r="B181" s="139"/>
      <c r="C181" s="139"/>
      <c r="D181" s="138"/>
      <c r="E181" s="139"/>
      <c r="F181" s="151"/>
      <c r="G181" s="148">
        <f>SUM(G165:G180)</f>
        <v>105652.69</v>
      </c>
      <c r="H181" s="150"/>
    </row>
    <row r="182" spans="1:8" s="99" customFormat="1" ht="20.100000000000001" customHeight="1">
      <c r="A182" s="137"/>
      <c r="B182" s="154" t="s">
        <v>45</v>
      </c>
      <c r="C182" s="3947" t="s">
        <v>1246</v>
      </c>
      <c r="D182" s="3947"/>
      <c r="E182" s="139"/>
      <c r="F182" s="137"/>
      <c r="G182" s="140"/>
      <c r="H182" s="147"/>
    </row>
    <row r="183" spans="1:8" s="99" customFormat="1" ht="35.1" customHeight="1">
      <c r="A183" s="137"/>
      <c r="B183" s="172">
        <v>0.13614999999999999</v>
      </c>
      <c r="C183" s="3952" t="s">
        <v>2668</v>
      </c>
      <c r="D183" s="3952"/>
      <c r="E183" s="139">
        <f>+G181+G164+G157</f>
        <v>139219.49</v>
      </c>
      <c r="F183" s="137"/>
      <c r="G183" s="140">
        <f>E183*B183</f>
        <v>18954.733563499998</v>
      </c>
      <c r="H183" s="147"/>
    </row>
    <row r="184" spans="1:8" s="95" customFormat="1" ht="20.100000000000001" customHeight="1">
      <c r="A184" s="154"/>
      <c r="B184" s="156">
        <v>0</v>
      </c>
      <c r="C184" s="3945" t="s">
        <v>1093</v>
      </c>
      <c r="D184" s="3945"/>
      <c r="E184" s="139">
        <f>E183+G183</f>
        <v>158174.22356349998</v>
      </c>
      <c r="F184" s="137"/>
      <c r="G184" s="140">
        <f>E184*B184</f>
        <v>0</v>
      </c>
      <c r="H184" s="147"/>
    </row>
    <row r="185" spans="1:8" s="99" customFormat="1" ht="20.100000000000001" customHeight="1">
      <c r="A185" s="137"/>
      <c r="B185" s="154" t="s">
        <v>47</v>
      </c>
      <c r="C185" s="3945" t="s">
        <v>89</v>
      </c>
      <c r="D185" s="3945"/>
      <c r="E185" s="139"/>
      <c r="F185" s="137"/>
      <c r="G185" s="148">
        <f>G157+G164+G181+G183+G184</f>
        <v>158174.22356349998</v>
      </c>
      <c r="H185" s="149"/>
    </row>
    <row r="186" spans="1:8" s="99" customFormat="1" ht="20.100000000000001" customHeight="1">
      <c r="A186" s="137"/>
      <c r="B186" s="139"/>
      <c r="C186" s="139"/>
      <c r="D186" s="146" t="s">
        <v>2696</v>
      </c>
      <c r="E186" s="139"/>
      <c r="F186" s="139"/>
      <c r="G186" s="175">
        <f>SUM(G185:G185)</f>
        <v>158174.22356349998</v>
      </c>
      <c r="H186" s="176"/>
    </row>
    <row r="187" spans="1:8" s="99" customFormat="1" ht="20.100000000000001" customHeight="1">
      <c r="A187" s="137"/>
      <c r="B187" s="139"/>
      <c r="C187" s="139"/>
      <c r="D187" s="146" t="s">
        <v>1501</v>
      </c>
      <c r="E187" s="139"/>
      <c r="F187" s="139"/>
      <c r="G187" s="140">
        <f>ROUND(G186/14.06,2)</f>
        <v>11249.94</v>
      </c>
      <c r="H187" s="147"/>
    </row>
    <row r="188" spans="1:8" s="99" customFormat="1" ht="20.100000000000001" customHeight="1">
      <c r="A188" s="137"/>
      <c r="B188" s="139"/>
      <c r="C188" s="139"/>
      <c r="D188" s="146" t="s">
        <v>52</v>
      </c>
      <c r="E188" s="139"/>
      <c r="F188" s="139"/>
      <c r="G188" s="148">
        <f>ROUND(G187,2)</f>
        <v>11249.94</v>
      </c>
      <c r="H188" s="149"/>
    </row>
    <row r="189" spans="1:8" s="95" customFormat="1" ht="20.100000000000001" customHeight="1">
      <c r="A189" s="137"/>
      <c r="B189" s="137"/>
      <c r="C189" s="137"/>
      <c r="D189" s="146"/>
      <c r="E189" s="139"/>
      <c r="F189" s="137"/>
      <c r="G189" s="140"/>
      <c r="H189" s="141"/>
    </row>
    <row r="190" spans="1:8" s="94" customFormat="1" ht="83.25" hidden="1" customHeight="1">
      <c r="A190" s="180">
        <f>A149+1</f>
        <v>23</v>
      </c>
      <c r="B190" s="181">
        <v>10.5</v>
      </c>
      <c r="C190" s="182">
        <v>3004.2</v>
      </c>
      <c r="D190" s="3953" t="s">
        <v>2697</v>
      </c>
      <c r="E190" s="3954"/>
      <c r="F190" s="3954"/>
      <c r="G190" s="3955"/>
      <c r="H190" s="134"/>
    </row>
    <row r="191" spans="1:8" s="95" customFormat="1" ht="20.100000000000001" hidden="1" customHeight="1">
      <c r="A191" s="183"/>
      <c r="B191" s="184"/>
      <c r="C191" s="183"/>
      <c r="D191" s="185" t="s">
        <v>1126</v>
      </c>
      <c r="E191" s="186"/>
      <c r="F191" s="187"/>
      <c r="G191" s="188"/>
      <c r="H191" s="141"/>
    </row>
    <row r="192" spans="1:8" s="95" customFormat="1" ht="20.100000000000001" hidden="1" customHeight="1">
      <c r="A192" s="183"/>
      <c r="B192" s="184"/>
      <c r="C192" s="183"/>
      <c r="D192" s="189" t="s">
        <v>130</v>
      </c>
      <c r="E192" s="186"/>
      <c r="F192" s="187"/>
      <c r="G192" s="188"/>
      <c r="H192" s="141"/>
    </row>
    <row r="193" spans="1:8" s="97" customFormat="1" ht="35.1" hidden="1" customHeight="1">
      <c r="A193" s="183"/>
      <c r="B193" s="184"/>
      <c r="C193" s="183"/>
      <c r="D193" s="189" t="s">
        <v>1127</v>
      </c>
      <c r="E193" s="186"/>
      <c r="F193" s="187"/>
      <c r="G193" s="188"/>
      <c r="H193" s="166"/>
    </row>
    <row r="194" spans="1:8" s="95" customFormat="1" ht="20.100000000000001" hidden="1" customHeight="1">
      <c r="A194" s="183"/>
      <c r="B194" s="184"/>
      <c r="C194" s="183"/>
      <c r="D194" s="192" t="s">
        <v>1112</v>
      </c>
      <c r="E194" s="186"/>
      <c r="F194" s="187"/>
      <c r="G194" s="188"/>
      <c r="H194" s="193"/>
    </row>
    <row r="195" spans="1:8" s="95" customFormat="1" ht="20.100000000000001" hidden="1" customHeight="1">
      <c r="A195" s="183"/>
      <c r="B195" s="187">
        <v>2.92</v>
      </c>
      <c r="C195" s="188" t="s">
        <v>57</v>
      </c>
      <c r="D195" s="185" t="s">
        <v>14</v>
      </c>
      <c r="E195" s="188">
        <f>'SSR-rates'!$K$58</f>
        <v>575</v>
      </c>
      <c r="F195" s="194" t="s">
        <v>57</v>
      </c>
      <c r="G195" s="195">
        <f>ROUND(B195*E195,2)</f>
        <v>1679</v>
      </c>
      <c r="H195" s="193"/>
    </row>
    <row r="196" spans="1:8" s="95" customFormat="1" ht="20.100000000000001" hidden="1" customHeight="1">
      <c r="A196" s="183"/>
      <c r="B196" s="187">
        <v>70</v>
      </c>
      <c r="C196" s="188" t="s">
        <v>57</v>
      </c>
      <c r="D196" s="185" t="s">
        <v>59</v>
      </c>
      <c r="E196" s="188">
        <f>'SSR-rates'!$K$60</f>
        <v>575</v>
      </c>
      <c r="F196" s="194" t="s">
        <v>57</v>
      </c>
      <c r="G196" s="195">
        <f>ROUND(B196*E196,2)</f>
        <v>40250</v>
      </c>
      <c r="H196" s="193"/>
    </row>
    <row r="197" spans="1:8" s="95" customFormat="1" ht="20.100000000000001" hidden="1" customHeight="1">
      <c r="A197" s="183"/>
      <c r="B197" s="187">
        <v>3</v>
      </c>
      <c r="C197" s="188" t="s">
        <v>57</v>
      </c>
      <c r="D197" s="185" t="s">
        <v>15</v>
      </c>
      <c r="E197" s="188">
        <f>'SSR-rates'!$K$59</f>
        <v>575</v>
      </c>
      <c r="F197" s="194" t="s">
        <v>57</v>
      </c>
      <c r="G197" s="195">
        <f>ROUND(B197*E197,2)</f>
        <v>1725</v>
      </c>
      <c r="H197" s="193"/>
    </row>
    <row r="198" spans="1:8" s="95" customFormat="1" ht="20.100000000000001" hidden="1" customHeight="1">
      <c r="A198" s="137"/>
      <c r="B198" s="145">
        <f>'Input Data'!D23</f>
        <v>0</v>
      </c>
      <c r="C198" s="137"/>
      <c r="D198" s="146" t="s">
        <v>2615</v>
      </c>
      <c r="E198" s="139">
        <f>G195+G196+G197</f>
        <v>43654</v>
      </c>
      <c r="F198" s="137"/>
      <c r="G198" s="139">
        <f>+ROUND((E198)*B198,2)</f>
        <v>0</v>
      </c>
      <c r="H198" s="193"/>
    </row>
    <row r="199" spans="1:8" s="95" customFormat="1" ht="20.100000000000001" hidden="1" customHeight="1">
      <c r="A199" s="183"/>
      <c r="B199" s="184"/>
      <c r="C199" s="183"/>
      <c r="D199" s="185"/>
      <c r="E199" s="188"/>
      <c r="F199" s="194"/>
      <c r="G199" s="186">
        <f>SUM(G195:G198)</f>
        <v>43654</v>
      </c>
      <c r="H199" s="193"/>
    </row>
    <row r="200" spans="1:8" s="95" customFormat="1" ht="20.100000000000001" hidden="1" customHeight="1">
      <c r="A200" s="183"/>
      <c r="B200" s="184"/>
      <c r="C200" s="183"/>
      <c r="D200" s="192" t="s">
        <v>1113</v>
      </c>
      <c r="E200" s="188"/>
      <c r="F200" s="194"/>
      <c r="G200" s="188"/>
      <c r="H200" s="193"/>
    </row>
    <row r="201" spans="1:8" s="95" customFormat="1" ht="20.100000000000001" hidden="1" customHeight="1">
      <c r="A201" s="183"/>
      <c r="B201" s="187">
        <v>6</v>
      </c>
      <c r="C201" s="188" t="s">
        <v>23</v>
      </c>
      <c r="D201" s="185" t="s">
        <v>1114</v>
      </c>
      <c r="E201" s="188">
        <f>'SSR-rates'!$K$73</f>
        <v>727.6</v>
      </c>
      <c r="F201" s="194" t="s">
        <v>23</v>
      </c>
      <c r="G201" s="195">
        <f>ROUND(B201*E201,2)</f>
        <v>4365.6000000000004</v>
      </c>
      <c r="H201" s="193"/>
    </row>
    <row r="202" spans="1:8" s="95" customFormat="1" ht="20.100000000000001" hidden="1" customHeight="1">
      <c r="A202" s="183"/>
      <c r="B202" s="187">
        <v>6</v>
      </c>
      <c r="C202" s="188" t="s">
        <v>23</v>
      </c>
      <c r="D202" s="185" t="s">
        <v>1115</v>
      </c>
      <c r="E202" s="188">
        <f>'SSR-rates'!$P$78</f>
        <v>33344</v>
      </c>
      <c r="F202" s="194" t="s">
        <v>23</v>
      </c>
      <c r="G202" s="195">
        <f>ROUND(B202*E202,2)</f>
        <v>200064</v>
      </c>
      <c r="H202" s="193"/>
    </row>
    <row r="203" spans="1:8" s="95" customFormat="1" ht="20.100000000000001" hidden="1" customHeight="1">
      <c r="A203" s="183"/>
      <c r="B203" s="187">
        <v>45</v>
      </c>
      <c r="C203" s="188" t="s">
        <v>23</v>
      </c>
      <c r="D203" s="185" t="s">
        <v>1116</v>
      </c>
      <c r="E203" s="188">
        <f>'SSR-rates'!$K$89</f>
        <v>9</v>
      </c>
      <c r="F203" s="194" t="s">
        <v>23</v>
      </c>
      <c r="G203" s="195">
        <f>ROUND(B203*E203,2)</f>
        <v>405</v>
      </c>
      <c r="H203" s="193"/>
    </row>
    <row r="204" spans="1:8" s="95" customFormat="1" ht="20.100000000000001" hidden="1" customHeight="1">
      <c r="A204" s="183"/>
      <c r="B204" s="187">
        <v>12</v>
      </c>
      <c r="C204" s="188" t="s">
        <v>23</v>
      </c>
      <c r="D204" s="185" t="s">
        <v>1117</v>
      </c>
      <c r="E204" s="188">
        <f>'SSR-rates'!$K$68</f>
        <v>1749.6</v>
      </c>
      <c r="F204" s="194" t="s">
        <v>23</v>
      </c>
      <c r="G204" s="195">
        <f>ROUND(B204*E204,2)</f>
        <v>20995.200000000001</v>
      </c>
      <c r="H204" s="193"/>
    </row>
    <row r="205" spans="1:8" s="95" customFormat="1" ht="20.100000000000001" hidden="1" customHeight="1">
      <c r="A205" s="183"/>
      <c r="B205" s="184"/>
      <c r="C205" s="183"/>
      <c r="D205" s="185"/>
      <c r="E205" s="188"/>
      <c r="F205" s="194"/>
      <c r="G205" s="186">
        <f>SUM(G201:G204)</f>
        <v>225829.80000000002</v>
      </c>
      <c r="H205" s="193"/>
    </row>
    <row r="206" spans="1:8" s="95" customFormat="1" ht="20.100000000000001" hidden="1" customHeight="1">
      <c r="A206" s="183"/>
      <c r="B206" s="184"/>
      <c r="C206" s="183"/>
      <c r="D206" s="192" t="s">
        <v>1118</v>
      </c>
      <c r="E206" s="188"/>
      <c r="F206" s="194"/>
      <c r="G206" s="188"/>
      <c r="H206" s="193"/>
    </row>
    <row r="207" spans="1:8" s="95" customFormat="1" ht="20.100000000000001" hidden="1" customHeight="1">
      <c r="A207" s="183"/>
      <c r="B207" s="187">
        <v>22.5</v>
      </c>
      <c r="C207" s="188" t="s">
        <v>1121</v>
      </c>
      <c r="D207" s="185" t="s">
        <v>1128</v>
      </c>
      <c r="E207" s="188">
        <f>BT_Rate_60_70</f>
        <v>49114.645337323418</v>
      </c>
      <c r="F207" s="194" t="s">
        <v>1121</v>
      </c>
      <c r="G207" s="195">
        <f>ROUND(B207*E207,2)</f>
        <v>1105079.52</v>
      </c>
      <c r="H207" s="193"/>
    </row>
    <row r="208" spans="1:8" s="95" customFormat="1" ht="20.100000000000001" hidden="1" customHeight="1">
      <c r="A208" s="183"/>
      <c r="B208" s="187">
        <v>1.18</v>
      </c>
      <c r="C208" s="188" t="s">
        <v>1121</v>
      </c>
      <c r="D208" s="185" t="s">
        <v>1129</v>
      </c>
      <c r="E208" s="188">
        <f>Emution_RS</f>
        <v>46449.645337323418</v>
      </c>
      <c r="F208" s="194" t="s">
        <v>1121</v>
      </c>
      <c r="G208" s="195">
        <f>ROUND(B208*E208,2)</f>
        <v>54810.58</v>
      </c>
      <c r="H208" s="193"/>
    </row>
    <row r="209" spans="1:8" s="95" customFormat="1" ht="20.100000000000001" hidden="1" customHeight="1">
      <c r="A209" s="183"/>
      <c r="B209" s="184"/>
      <c r="C209" s="183"/>
      <c r="D209" s="185"/>
      <c r="E209" s="196"/>
      <c r="F209" s="197"/>
      <c r="G209" s="186">
        <f>SUM(G207:G208)</f>
        <v>1159890.1000000001</v>
      </c>
      <c r="H209" s="193"/>
    </row>
    <row r="210" spans="1:8" s="95" customFormat="1" ht="20.100000000000001" hidden="1" customHeight="1">
      <c r="A210" s="183"/>
      <c r="B210" s="184"/>
      <c r="C210" s="183"/>
      <c r="D210" s="192" t="s">
        <v>1130</v>
      </c>
      <c r="E210" s="196"/>
      <c r="F210" s="197"/>
      <c r="G210" s="188"/>
      <c r="H210" s="193"/>
    </row>
    <row r="211" spans="1:8" s="95" customFormat="1" ht="20.100000000000001" hidden="1" customHeight="1">
      <c r="A211" s="183"/>
      <c r="B211" s="184"/>
      <c r="C211" s="183"/>
      <c r="D211" s="192" t="s">
        <v>1131</v>
      </c>
      <c r="E211" s="196"/>
      <c r="F211" s="197"/>
      <c r="G211" s="188"/>
      <c r="H211" s="193"/>
    </row>
    <row r="212" spans="1:8" s="95" customFormat="1" ht="20.100000000000001" hidden="1" customHeight="1">
      <c r="A212" s="183"/>
      <c r="B212" s="187">
        <v>99.75</v>
      </c>
      <c r="C212" s="188" t="s">
        <v>31</v>
      </c>
      <c r="D212" s="185" t="s">
        <v>1132</v>
      </c>
      <c r="E212" s="196">
        <f>AVERAGE(lead!J7:J9)</f>
        <v>1897.2187651278443</v>
      </c>
      <c r="F212" s="188" t="s">
        <v>31</v>
      </c>
      <c r="G212" s="195">
        <f>ROUND(B212*E212,2)</f>
        <v>189247.57</v>
      </c>
      <c r="H212" s="193"/>
    </row>
    <row r="213" spans="1:8" s="95" customFormat="1" ht="20.100000000000001" hidden="1" customHeight="1">
      <c r="A213" s="183"/>
      <c r="B213" s="187">
        <v>65.55</v>
      </c>
      <c r="C213" s="188" t="s">
        <v>31</v>
      </c>
      <c r="D213" s="185" t="s">
        <v>1133</v>
      </c>
      <c r="E213" s="196">
        <f>AVERAGE(lead!J9:J10)</f>
        <v>1751.7187651278443</v>
      </c>
      <c r="F213" s="188" t="s">
        <v>31</v>
      </c>
      <c r="G213" s="195">
        <f>ROUND(B213*E213,2)</f>
        <v>114825.17</v>
      </c>
      <c r="H213" s="193"/>
    </row>
    <row r="214" spans="1:8" s="95" customFormat="1" ht="20.100000000000001" hidden="1" customHeight="1">
      <c r="A214" s="183"/>
      <c r="B214" s="187">
        <v>114</v>
      </c>
      <c r="C214" s="188" t="s">
        <v>31</v>
      </c>
      <c r="D214" s="185" t="s">
        <v>1134</v>
      </c>
      <c r="E214" s="196">
        <f>AVERAGE(lead!J10:J12)</f>
        <v>1704.6354317945109</v>
      </c>
      <c r="F214" s="188" t="s">
        <v>31</v>
      </c>
      <c r="G214" s="195">
        <f>ROUND(B214*E214,2)</f>
        <v>194328.44</v>
      </c>
      <c r="H214" s="193"/>
    </row>
    <row r="215" spans="1:8" s="95" customFormat="1" ht="20.100000000000001" hidden="1" customHeight="1">
      <c r="A215" s="183"/>
      <c r="B215" s="187">
        <v>8.6199999999999992</v>
      </c>
      <c r="C215" s="188" t="s">
        <v>1121</v>
      </c>
      <c r="D215" s="185" t="s">
        <v>1135</v>
      </c>
      <c r="E215" s="196">
        <f>lead!J12</f>
        <v>1684.4687651278443</v>
      </c>
      <c r="F215" s="188" t="s">
        <v>1121</v>
      </c>
      <c r="G215" s="195">
        <f>ROUND(B215*E215,2)</f>
        <v>14520.12</v>
      </c>
      <c r="H215" s="193"/>
    </row>
    <row r="216" spans="1:8" s="95" customFormat="1" ht="20.100000000000001" hidden="1" customHeight="1">
      <c r="A216" s="183"/>
      <c r="B216" s="184"/>
      <c r="C216" s="183"/>
      <c r="D216" s="185"/>
      <c r="E216" s="196"/>
      <c r="F216" s="197"/>
      <c r="G216" s="188"/>
      <c r="H216" s="193"/>
    </row>
    <row r="217" spans="1:8" s="95" customFormat="1" ht="20.100000000000001" hidden="1" customHeight="1">
      <c r="A217" s="183"/>
      <c r="B217" s="198">
        <v>0.05</v>
      </c>
      <c r="C217" s="183"/>
      <c r="D217" s="185" t="s">
        <v>1136</v>
      </c>
      <c r="E217" s="196">
        <f>SUM(G212:G215)</f>
        <v>512921.3</v>
      </c>
      <c r="F217" s="198"/>
      <c r="G217" s="195">
        <f>ROUND(B217*E217,2)</f>
        <v>25646.07</v>
      </c>
      <c r="H217" s="193"/>
    </row>
    <row r="218" spans="1:8" s="95" customFormat="1" ht="20.100000000000001" hidden="1" customHeight="1">
      <c r="A218" s="183"/>
      <c r="B218" s="184"/>
      <c r="C218" s="183"/>
      <c r="D218" s="185"/>
      <c r="E218" s="196"/>
      <c r="F218" s="194"/>
      <c r="G218" s="199">
        <f>SUM(G212:G217)</f>
        <v>538567.37</v>
      </c>
      <c r="H218" s="193"/>
    </row>
    <row r="219" spans="1:8" s="95" customFormat="1" ht="20.100000000000001" hidden="1" customHeight="1">
      <c r="A219" s="183"/>
      <c r="B219" s="184"/>
      <c r="C219" s="183"/>
      <c r="D219" s="192"/>
      <c r="E219" s="186"/>
      <c r="F219" s="187"/>
      <c r="G219" s="199">
        <f>G218+G209+G205+G199</f>
        <v>1967941.2700000003</v>
      </c>
      <c r="H219" s="193"/>
    </row>
    <row r="220" spans="1:8" s="95" customFormat="1" ht="20.100000000000001" hidden="1" customHeight="1">
      <c r="A220" s="183"/>
      <c r="B220" s="154" t="s">
        <v>45</v>
      </c>
      <c r="C220" s="183"/>
      <c r="D220" s="153" t="s">
        <v>1092</v>
      </c>
      <c r="E220" s="139"/>
      <c r="F220" s="137"/>
      <c r="G220" s="160"/>
      <c r="H220" s="193"/>
    </row>
    <row r="221" spans="1:8" s="95" customFormat="1" ht="35.1" hidden="1" customHeight="1">
      <c r="A221" s="183"/>
      <c r="B221" s="200">
        <v>0.13614999999999999</v>
      </c>
      <c r="C221" s="139"/>
      <c r="D221" s="138" t="s">
        <v>2759</v>
      </c>
      <c r="E221" s="139">
        <f>G219</f>
        <v>1967941.2700000003</v>
      </c>
      <c r="F221" s="137"/>
      <c r="G221" s="139">
        <f>E221*B221</f>
        <v>267935.20391050004</v>
      </c>
      <c r="H221" s="193"/>
    </row>
    <row r="222" spans="1:8" s="95" customFormat="1" ht="20.100000000000001" hidden="1" customHeight="1">
      <c r="A222" s="183"/>
      <c r="B222" s="200">
        <v>0</v>
      </c>
      <c r="C222" s="139"/>
      <c r="D222" s="146" t="s">
        <v>1093</v>
      </c>
      <c r="E222" s="139">
        <f>E221+G221</f>
        <v>2235876.4739105003</v>
      </c>
      <c r="F222" s="137"/>
      <c r="G222" s="139">
        <f>E222*B222</f>
        <v>0</v>
      </c>
      <c r="H222" s="193"/>
    </row>
    <row r="223" spans="1:8" s="95" customFormat="1" ht="20.100000000000001" hidden="1" customHeight="1">
      <c r="A223" s="183"/>
      <c r="B223" s="154" t="s">
        <v>47</v>
      </c>
      <c r="C223" s="183"/>
      <c r="D223" s="153" t="s">
        <v>89</v>
      </c>
      <c r="E223" s="139"/>
      <c r="F223" s="137"/>
      <c r="G223" s="160">
        <f>G219+G221+G222</f>
        <v>2235876.4739105003</v>
      </c>
      <c r="H223" s="193"/>
    </row>
    <row r="224" spans="1:8" s="95" customFormat="1" ht="20.100000000000001" hidden="1" customHeight="1">
      <c r="A224" s="183"/>
      <c r="B224" s="139"/>
      <c r="C224" s="139"/>
      <c r="D224" s="153" t="s">
        <v>1106</v>
      </c>
      <c r="E224" s="139"/>
      <c r="F224" s="139" t="s">
        <v>1095</v>
      </c>
      <c r="G224" s="160">
        <f>G223/4900</f>
        <v>456.30132120622454</v>
      </c>
      <c r="H224" s="193"/>
    </row>
    <row r="225" spans="1:8" s="95" customFormat="1" ht="20.100000000000001" hidden="1" customHeight="1">
      <c r="A225" s="201"/>
      <c r="B225" s="202">
        <v>10.1</v>
      </c>
      <c r="C225" s="201">
        <v>3002</v>
      </c>
      <c r="D225" s="203" t="s">
        <v>1082</v>
      </c>
      <c r="E225" s="188"/>
      <c r="F225" s="187"/>
      <c r="G225" s="188"/>
      <c r="H225" s="193"/>
    </row>
    <row r="226" spans="1:8" s="94" customFormat="1" ht="57" hidden="1" customHeight="1">
      <c r="A226" s="182"/>
      <c r="B226" s="204"/>
      <c r="C226" s="182"/>
      <c r="D226" s="3956" t="s">
        <v>1083</v>
      </c>
      <c r="E226" s="3957"/>
      <c r="F226" s="3957"/>
      <c r="G226" s="3958"/>
      <c r="H226" s="205"/>
    </row>
    <row r="227" spans="1:8" s="95" customFormat="1" ht="20.100000000000001" hidden="1" customHeight="1">
      <c r="A227" s="183"/>
      <c r="B227" s="184"/>
      <c r="C227" s="183"/>
      <c r="D227" s="206" t="s">
        <v>1084</v>
      </c>
      <c r="E227" s="3959"/>
      <c r="F227" s="3959"/>
      <c r="G227" s="3959"/>
      <c r="H227" s="193"/>
    </row>
    <row r="228" spans="1:8" s="95" customFormat="1" ht="20.100000000000001" hidden="1" customHeight="1">
      <c r="A228" s="183"/>
      <c r="B228" s="184"/>
      <c r="C228" s="183"/>
      <c r="D228" s="207" t="s">
        <v>10</v>
      </c>
      <c r="E228" s="188"/>
      <c r="F228" s="187"/>
      <c r="G228" s="188"/>
      <c r="H228" s="193"/>
    </row>
    <row r="229" spans="1:8" s="95" customFormat="1" ht="20.100000000000001" hidden="1" customHeight="1">
      <c r="A229" s="183"/>
      <c r="B229" s="184"/>
      <c r="C229" s="183"/>
      <c r="D229" s="207" t="s">
        <v>84</v>
      </c>
      <c r="E229" s="188"/>
      <c r="F229" s="187"/>
      <c r="G229" s="188"/>
      <c r="H229" s="193"/>
    </row>
    <row r="230" spans="1:8" s="95" customFormat="1" ht="20.100000000000001" hidden="1" customHeight="1">
      <c r="A230" s="183"/>
      <c r="B230" s="184"/>
      <c r="C230" s="183"/>
      <c r="D230" s="206" t="s">
        <v>1085</v>
      </c>
      <c r="E230" s="188"/>
      <c r="F230" s="187"/>
      <c r="G230" s="188"/>
      <c r="H230" s="193"/>
    </row>
    <row r="231" spans="1:8" s="95" customFormat="1" ht="20.100000000000001" hidden="1" customHeight="1">
      <c r="A231" s="183"/>
      <c r="B231" s="187">
        <v>0.08</v>
      </c>
      <c r="C231" s="188" t="s">
        <v>38</v>
      </c>
      <c r="D231" s="207" t="s">
        <v>14</v>
      </c>
      <c r="E231" s="188">
        <f>'SSR-rates'!$K$58</f>
        <v>575</v>
      </c>
      <c r="F231" s="188" t="s">
        <v>38</v>
      </c>
      <c r="G231" s="195">
        <f>ROUND(B231*E231,2)</f>
        <v>46</v>
      </c>
      <c r="H231" s="193"/>
    </row>
    <row r="232" spans="1:8" s="95" customFormat="1" ht="20.100000000000001" hidden="1" customHeight="1">
      <c r="A232" s="183"/>
      <c r="B232" s="187">
        <v>2</v>
      </c>
      <c r="C232" s="188" t="s">
        <v>38</v>
      </c>
      <c r="D232" s="207" t="s">
        <v>312</v>
      </c>
      <c r="E232" s="188">
        <f>'SSR-rates'!$K$60</f>
        <v>575</v>
      </c>
      <c r="F232" s="188" t="s">
        <v>38</v>
      </c>
      <c r="G232" s="195">
        <f>ROUND(B232*E232,2)</f>
        <v>1150</v>
      </c>
      <c r="H232" s="193"/>
    </row>
    <row r="233" spans="1:8" s="95" customFormat="1" ht="20.100000000000001" hidden="1" customHeight="1">
      <c r="A233" s="137"/>
      <c r="B233" s="169">
        <f>'Input Data'!D23</f>
        <v>0</v>
      </c>
      <c r="C233" s="139"/>
      <c r="D233" s="146" t="s">
        <v>17</v>
      </c>
      <c r="E233" s="139">
        <f>SUM(G230:G232)</f>
        <v>1196</v>
      </c>
      <c r="F233" s="137"/>
      <c r="G233" s="139">
        <f>B233*E233</f>
        <v>0</v>
      </c>
      <c r="H233" s="193"/>
    </row>
    <row r="234" spans="1:8" s="95" customFormat="1" ht="20.100000000000001" hidden="1" customHeight="1">
      <c r="A234" s="183"/>
      <c r="B234" s="184"/>
      <c r="C234" s="183"/>
      <c r="D234" s="207"/>
      <c r="E234" s="188"/>
      <c r="F234" s="183"/>
      <c r="G234" s="186">
        <f>SUM(G231:G233)</f>
        <v>1196</v>
      </c>
      <c r="H234" s="193"/>
    </row>
    <row r="235" spans="1:8" s="95" customFormat="1" ht="20.100000000000001" hidden="1" customHeight="1">
      <c r="A235" s="183"/>
      <c r="B235" s="184"/>
      <c r="C235" s="183"/>
      <c r="D235" s="206" t="s">
        <v>1086</v>
      </c>
      <c r="E235" s="188"/>
      <c r="F235" s="183"/>
      <c r="G235" s="188"/>
      <c r="H235" s="193"/>
    </row>
    <row r="236" spans="1:8" s="95" customFormat="1" ht="35.1" hidden="1" customHeight="1">
      <c r="A236" s="183"/>
      <c r="B236" s="187">
        <v>0.13</v>
      </c>
      <c r="C236" s="188" t="s">
        <v>23</v>
      </c>
      <c r="D236" s="185" t="s">
        <v>1087</v>
      </c>
      <c r="E236" s="196">
        <f>'SSR-rates'!$K$64</f>
        <v>3557.7</v>
      </c>
      <c r="F236" s="188" t="s">
        <v>23</v>
      </c>
      <c r="G236" s="195">
        <f>ROUND(B236*E236,2)</f>
        <v>462.5</v>
      </c>
      <c r="H236" s="193"/>
    </row>
    <row r="237" spans="1:8" s="95" customFormat="1" ht="35.1" hidden="1" customHeight="1">
      <c r="A237" s="183"/>
      <c r="B237" s="187">
        <v>12</v>
      </c>
      <c r="C237" s="188" t="s">
        <v>1088</v>
      </c>
      <c r="D237" s="185" t="s">
        <v>1089</v>
      </c>
      <c r="E237" s="196">
        <f>'Road data'!$G$205</f>
        <v>8</v>
      </c>
      <c r="F237" s="188" t="s">
        <v>1088</v>
      </c>
      <c r="G237" s="195">
        <f>ROUND(B237*E237,2)</f>
        <v>96</v>
      </c>
      <c r="H237" s="193"/>
    </row>
    <row r="238" spans="1:8" s="95" customFormat="1" ht="35.1" hidden="1" customHeight="1">
      <c r="A238" s="183"/>
      <c r="B238" s="208">
        <v>0.1</v>
      </c>
      <c r="C238" s="188"/>
      <c r="D238" s="185" t="s">
        <v>1090</v>
      </c>
      <c r="E238" s="196">
        <f>G237</f>
        <v>96</v>
      </c>
      <c r="F238" s="188"/>
      <c r="G238" s="195">
        <f>ROUND(B238*E238,2)</f>
        <v>9.6</v>
      </c>
      <c r="H238" s="193"/>
    </row>
    <row r="239" spans="1:8" s="95" customFormat="1" ht="20.100000000000001" hidden="1" customHeight="1">
      <c r="A239" s="183"/>
      <c r="B239" s="187">
        <v>0.5</v>
      </c>
      <c r="C239" s="188" t="s">
        <v>23</v>
      </c>
      <c r="D239" s="185" t="s">
        <v>1091</v>
      </c>
      <c r="E239" s="196">
        <f>'SSR-rates'!$K$91</f>
        <v>59</v>
      </c>
      <c r="F239" s="188" t="s">
        <v>23</v>
      </c>
      <c r="G239" s="195">
        <f>ROUND(B239*E239,2)</f>
        <v>29.5</v>
      </c>
      <c r="H239" s="193"/>
    </row>
    <row r="240" spans="1:8" s="95" customFormat="1" ht="20.100000000000001" hidden="1" customHeight="1">
      <c r="A240" s="183"/>
      <c r="B240" s="184"/>
      <c r="C240" s="183"/>
      <c r="D240" s="185"/>
      <c r="E240" s="196"/>
      <c r="F240" s="183"/>
      <c r="G240" s="209">
        <f>SUM(G236:G239)</f>
        <v>597.6</v>
      </c>
      <c r="H240" s="193"/>
    </row>
    <row r="241" spans="1:8" s="95" customFormat="1" ht="12.6" hidden="1">
      <c r="A241" s="183"/>
      <c r="B241" s="184"/>
      <c r="C241" s="183"/>
      <c r="D241" s="210"/>
      <c r="E241" s="211"/>
      <c r="F241" s="210"/>
      <c r="G241" s="209">
        <f>G234+G240</f>
        <v>1793.6</v>
      </c>
      <c r="H241" s="193"/>
    </row>
    <row r="242" spans="1:8" s="95" customFormat="1" ht="20.100000000000001" hidden="1" customHeight="1">
      <c r="A242" s="183"/>
      <c r="B242" s="154" t="s">
        <v>27</v>
      </c>
      <c r="C242" s="3947" t="s">
        <v>1092</v>
      </c>
      <c r="D242" s="3947"/>
      <c r="E242" s="3947"/>
      <c r="F242" s="137"/>
      <c r="G242" s="160"/>
      <c r="H242" s="193"/>
    </row>
    <row r="243" spans="1:8" s="95" customFormat="1" ht="35.1" hidden="1" customHeight="1">
      <c r="A243" s="183"/>
      <c r="B243" s="200">
        <v>0.13614999999999999</v>
      </c>
      <c r="C243" s="139"/>
      <c r="D243" s="138" t="s">
        <v>2759</v>
      </c>
      <c r="E243" s="139">
        <f>G241</f>
        <v>1793.6</v>
      </c>
      <c r="F243" s="137"/>
      <c r="G243" s="139">
        <f>E243*B243</f>
        <v>244.19863999999998</v>
      </c>
      <c r="H243" s="193"/>
    </row>
    <row r="244" spans="1:8" s="95" customFormat="1" ht="20.100000000000001" hidden="1" customHeight="1">
      <c r="A244" s="183"/>
      <c r="B244" s="200">
        <v>0</v>
      </c>
      <c r="C244" s="139"/>
      <c r="D244" s="146" t="s">
        <v>1093</v>
      </c>
      <c r="E244" s="139">
        <f>E243+G243</f>
        <v>2037.79864</v>
      </c>
      <c r="F244" s="137"/>
      <c r="G244" s="139">
        <f>E244*B244</f>
        <v>0</v>
      </c>
      <c r="H244" s="193"/>
    </row>
    <row r="245" spans="1:8" s="95" customFormat="1" ht="20.100000000000001" hidden="1" customHeight="1">
      <c r="A245" s="183"/>
      <c r="B245" s="154" t="s">
        <v>45</v>
      </c>
      <c r="C245" s="3947" t="s">
        <v>46</v>
      </c>
      <c r="D245" s="3947"/>
      <c r="E245" s="3947"/>
      <c r="F245" s="137"/>
      <c r="G245" s="160">
        <f>G241+G243+G244</f>
        <v>2037.79864</v>
      </c>
      <c r="H245" s="193"/>
    </row>
    <row r="246" spans="1:8" s="95" customFormat="1" ht="20.100000000000001" hidden="1" customHeight="1">
      <c r="A246" s="183"/>
      <c r="B246" s="139"/>
      <c r="C246" s="139"/>
      <c r="D246" s="153" t="s">
        <v>1094</v>
      </c>
      <c r="E246" s="139"/>
      <c r="F246" s="139" t="s">
        <v>1095</v>
      </c>
      <c r="G246" s="160">
        <f>G245/10</f>
        <v>203.779864</v>
      </c>
      <c r="H246" s="193"/>
    </row>
    <row r="247" spans="1:8" s="95" customFormat="1" ht="44.25" hidden="1" customHeight="1">
      <c r="A247" s="183"/>
      <c r="B247" s="184"/>
      <c r="C247" s="183"/>
      <c r="D247" s="3960" t="s">
        <v>2698</v>
      </c>
      <c r="E247" s="3961"/>
      <c r="F247" s="3962"/>
      <c r="G247" s="188"/>
      <c r="H247" s="193"/>
    </row>
    <row r="248" spans="1:8" s="95" customFormat="1" ht="45.75" hidden="1" customHeight="1">
      <c r="A248" s="201">
        <f>A225+1</f>
        <v>1</v>
      </c>
      <c r="B248" s="202">
        <v>10.199999999999999</v>
      </c>
      <c r="C248" s="201">
        <v>3003</v>
      </c>
      <c r="D248" s="3963" t="s">
        <v>2699</v>
      </c>
      <c r="E248" s="3964"/>
      <c r="F248" s="3964"/>
      <c r="G248" s="3965"/>
      <c r="H248" s="193"/>
    </row>
    <row r="249" spans="1:8" s="95" customFormat="1" ht="12.6" hidden="1">
      <c r="A249" s="183"/>
      <c r="B249" s="184"/>
      <c r="C249" s="183"/>
      <c r="D249" s="212"/>
      <c r="E249" s="188"/>
      <c r="F249" s="187"/>
      <c r="G249" s="188"/>
      <c r="H249" s="193"/>
    </row>
    <row r="250" spans="1:8" s="95" customFormat="1" ht="20.100000000000001" hidden="1" customHeight="1">
      <c r="A250" s="183"/>
      <c r="B250" s="184"/>
      <c r="C250" s="183"/>
      <c r="D250" s="212" t="s">
        <v>1099</v>
      </c>
      <c r="E250" s="188"/>
      <c r="F250" s="187"/>
      <c r="G250" s="188"/>
      <c r="H250" s="193"/>
    </row>
    <row r="251" spans="1:8" s="95" customFormat="1" ht="20.100000000000001" hidden="1" customHeight="1">
      <c r="A251" s="183"/>
      <c r="B251" s="184"/>
      <c r="C251" s="183"/>
      <c r="D251" s="207" t="s">
        <v>1100</v>
      </c>
      <c r="E251" s="188"/>
      <c r="F251" s="187"/>
      <c r="G251" s="188"/>
      <c r="H251" s="193"/>
    </row>
    <row r="252" spans="1:8" s="95" customFormat="1" ht="20.100000000000001" hidden="1" customHeight="1">
      <c r="A252" s="183"/>
      <c r="B252" s="184"/>
      <c r="C252" s="183"/>
      <c r="D252" s="207" t="s">
        <v>1101</v>
      </c>
      <c r="E252" s="188"/>
      <c r="F252" s="187"/>
      <c r="G252" s="188"/>
      <c r="H252" s="193"/>
    </row>
    <row r="253" spans="1:8" s="95" customFormat="1" ht="35.1" hidden="1" customHeight="1">
      <c r="A253" s="183"/>
      <c r="B253" s="184"/>
      <c r="C253" s="183"/>
      <c r="D253" s="207" t="s">
        <v>1102</v>
      </c>
      <c r="E253" s="188"/>
      <c r="F253" s="187"/>
      <c r="G253" s="188"/>
      <c r="H253" s="193"/>
    </row>
    <row r="254" spans="1:8" s="95" customFormat="1" ht="20.100000000000001" hidden="1" customHeight="1">
      <c r="A254" s="183"/>
      <c r="B254" s="184"/>
      <c r="C254" s="183"/>
      <c r="D254" s="207" t="s">
        <v>1103</v>
      </c>
      <c r="E254" s="188"/>
      <c r="F254" s="187"/>
      <c r="G254" s="188"/>
      <c r="H254" s="193"/>
    </row>
    <row r="255" spans="1:8" s="95" customFormat="1" ht="20.100000000000001" hidden="1" customHeight="1">
      <c r="A255" s="183"/>
      <c r="B255" s="184"/>
      <c r="C255" s="183"/>
      <c r="D255" s="206" t="s">
        <v>1085</v>
      </c>
      <c r="E255" s="188"/>
      <c r="F255" s="187"/>
      <c r="G255" s="188"/>
      <c r="H255" s="193"/>
    </row>
    <row r="256" spans="1:8" s="95" customFormat="1" ht="20.100000000000001" hidden="1" customHeight="1">
      <c r="A256" s="183"/>
      <c r="B256" s="187">
        <v>0.18</v>
      </c>
      <c r="C256" s="188" t="s">
        <v>38</v>
      </c>
      <c r="D256" s="207" t="s">
        <v>14</v>
      </c>
      <c r="E256" s="188">
        <f>'SSR-rates'!$K$58</f>
        <v>575</v>
      </c>
      <c r="F256" s="188" t="s">
        <v>38</v>
      </c>
      <c r="G256" s="195">
        <f>ROUND(B256*E256,2)</f>
        <v>103.5</v>
      </c>
      <c r="H256" s="193"/>
    </row>
    <row r="257" spans="1:8" s="95" customFormat="1" ht="20.100000000000001" hidden="1" customHeight="1">
      <c r="A257" s="183"/>
      <c r="B257" s="187">
        <v>4.5</v>
      </c>
      <c r="C257" s="188" t="s">
        <v>38</v>
      </c>
      <c r="D257" s="207" t="s">
        <v>59</v>
      </c>
      <c r="E257" s="188">
        <f>'SSR-rates'!$K$60</f>
        <v>575</v>
      </c>
      <c r="F257" s="188" t="s">
        <v>38</v>
      </c>
      <c r="G257" s="195">
        <f>ROUND(B257*E257,2)</f>
        <v>2587.5</v>
      </c>
      <c r="H257" s="193"/>
    </row>
    <row r="258" spans="1:8" s="95" customFormat="1" ht="20.100000000000001" hidden="1" customHeight="1">
      <c r="A258" s="137"/>
      <c r="B258" s="169">
        <f>'Input Data'!D23</f>
        <v>0</v>
      </c>
      <c r="C258" s="139"/>
      <c r="D258" s="146" t="s">
        <v>17</v>
      </c>
      <c r="E258" s="139">
        <f>SUM(G255:G257)</f>
        <v>2691</v>
      </c>
      <c r="F258" s="137"/>
      <c r="G258" s="139">
        <f>B258*E258</f>
        <v>0</v>
      </c>
      <c r="H258" s="193"/>
    </row>
    <row r="259" spans="1:8" s="95" customFormat="1" ht="20.100000000000001" hidden="1" customHeight="1">
      <c r="A259" s="183"/>
      <c r="B259" s="184"/>
      <c r="C259" s="183"/>
      <c r="D259" s="207"/>
      <c r="E259" s="188"/>
      <c r="F259" s="183"/>
      <c r="G259" s="186">
        <f>SUM(G256:G258)</f>
        <v>2691</v>
      </c>
      <c r="H259" s="193"/>
    </row>
    <row r="260" spans="1:8" s="95" customFormat="1" ht="20.100000000000001" hidden="1" customHeight="1">
      <c r="A260" s="183"/>
      <c r="B260" s="184"/>
      <c r="C260" s="183"/>
      <c r="D260" s="206" t="s">
        <v>1086</v>
      </c>
      <c r="E260" s="188"/>
      <c r="F260" s="183"/>
      <c r="G260" s="188"/>
      <c r="H260" s="193"/>
    </row>
    <row r="261" spans="1:8" s="95" customFormat="1" ht="35.1" hidden="1" customHeight="1">
      <c r="A261" s="183"/>
      <c r="B261" s="187">
        <v>0.25</v>
      </c>
      <c r="C261" s="188" t="s">
        <v>23</v>
      </c>
      <c r="D261" s="185" t="s">
        <v>1087</v>
      </c>
      <c r="E261" s="196">
        <f>'SSR-rates'!$K$64</f>
        <v>3557.7</v>
      </c>
      <c r="F261" s="188" t="s">
        <v>23</v>
      </c>
      <c r="G261" s="195">
        <f>ROUND(B261*E261,2)</f>
        <v>889.43</v>
      </c>
      <c r="H261" s="193"/>
    </row>
    <row r="262" spans="1:8" s="95" customFormat="1" ht="35.1" hidden="1" customHeight="1">
      <c r="A262" s="183"/>
      <c r="B262" s="187">
        <f>24*1</f>
        <v>24</v>
      </c>
      <c r="C262" s="188" t="s">
        <v>1088</v>
      </c>
      <c r="D262" s="185" t="s">
        <v>1104</v>
      </c>
      <c r="E262" s="196">
        <f>E237</f>
        <v>8</v>
      </c>
      <c r="F262" s="188" t="s">
        <v>1088</v>
      </c>
      <c r="G262" s="195">
        <f>ROUND(B262*E262,2)</f>
        <v>192</v>
      </c>
      <c r="H262" s="193"/>
    </row>
    <row r="263" spans="1:8" s="95" customFormat="1" ht="35.1" hidden="1" customHeight="1">
      <c r="A263" s="183"/>
      <c r="B263" s="208">
        <v>0.1</v>
      </c>
      <c r="C263" s="188"/>
      <c r="D263" s="185" t="s">
        <v>1090</v>
      </c>
      <c r="E263" s="196">
        <f>G262</f>
        <v>192</v>
      </c>
      <c r="F263" s="188"/>
      <c r="G263" s="195">
        <f>ROUND(B263*E263,2)</f>
        <v>19.2</v>
      </c>
      <c r="H263" s="193"/>
    </row>
    <row r="264" spans="1:8" s="95" customFormat="1" ht="20.100000000000001" hidden="1" customHeight="1">
      <c r="A264" s="183"/>
      <c r="B264" s="187">
        <v>12</v>
      </c>
      <c r="C264" s="188" t="s">
        <v>23</v>
      </c>
      <c r="D264" s="185" t="s">
        <v>1105</v>
      </c>
      <c r="E264" s="196">
        <f>'SSR-rates'!$K$91</f>
        <v>59</v>
      </c>
      <c r="F264" s="188" t="s">
        <v>23</v>
      </c>
      <c r="G264" s="195">
        <f>ROUND(B264*E264,2)</f>
        <v>708</v>
      </c>
      <c r="H264" s="193"/>
    </row>
    <row r="265" spans="1:8" s="95" customFormat="1" ht="20.100000000000001" hidden="1" customHeight="1">
      <c r="A265" s="183"/>
      <c r="B265" s="184"/>
      <c r="C265" s="183"/>
      <c r="D265" s="185"/>
      <c r="E265" s="196"/>
      <c r="F265" s="197"/>
      <c r="G265" s="209">
        <f>SUM(G261:G264)</f>
        <v>1808.6299999999999</v>
      </c>
      <c r="H265" s="193"/>
    </row>
    <row r="266" spans="1:8" s="95" customFormat="1" ht="20.100000000000001" hidden="1" customHeight="1">
      <c r="A266" s="183"/>
      <c r="B266" s="184"/>
      <c r="C266" s="183"/>
      <c r="D266" s="192"/>
      <c r="E266" s="188"/>
      <c r="F266" s="187"/>
      <c r="G266" s="209">
        <f>G265+G259</f>
        <v>4499.63</v>
      </c>
      <c r="H266" s="193"/>
    </row>
    <row r="267" spans="1:8" s="95" customFormat="1" ht="20.100000000000001" hidden="1" customHeight="1">
      <c r="A267" s="183"/>
      <c r="B267" s="154" t="s">
        <v>27</v>
      </c>
      <c r="C267" s="183"/>
      <c r="D267" s="153" t="s">
        <v>1092</v>
      </c>
      <c r="E267" s="139"/>
      <c r="F267" s="137"/>
      <c r="G267" s="160"/>
      <c r="H267" s="193"/>
    </row>
    <row r="268" spans="1:8" s="95" customFormat="1" ht="25.2" hidden="1">
      <c r="A268" s="183"/>
      <c r="B268" s="200">
        <v>0.13614999999999999</v>
      </c>
      <c r="C268" s="139"/>
      <c r="D268" s="138" t="s">
        <v>2759</v>
      </c>
      <c r="E268" s="139">
        <f>G266</f>
        <v>4499.63</v>
      </c>
      <c r="F268" s="137"/>
      <c r="G268" s="139">
        <f>E268*B268</f>
        <v>612.62462449999998</v>
      </c>
      <c r="H268" s="193"/>
    </row>
    <row r="269" spans="1:8" s="95" customFormat="1" ht="20.100000000000001" hidden="1" customHeight="1">
      <c r="A269" s="183"/>
      <c r="B269" s="200">
        <v>0</v>
      </c>
      <c r="C269" s="139"/>
      <c r="D269" s="146" t="s">
        <v>1093</v>
      </c>
      <c r="E269" s="139">
        <f>E268+G268</f>
        <v>5112.2546245000003</v>
      </c>
      <c r="F269" s="137"/>
      <c r="G269" s="139">
        <f>E269*B269</f>
        <v>0</v>
      </c>
      <c r="H269" s="193"/>
    </row>
    <row r="270" spans="1:8" s="95" customFormat="1" ht="20.100000000000001" hidden="1" customHeight="1">
      <c r="A270" s="183"/>
      <c r="B270" s="154" t="s">
        <v>45</v>
      </c>
      <c r="C270" s="183"/>
      <c r="D270" s="153" t="s">
        <v>46</v>
      </c>
      <c r="E270" s="139"/>
      <c r="F270" s="137"/>
      <c r="G270" s="160">
        <f>G266+G268+G269</f>
        <v>5112.2546245000003</v>
      </c>
      <c r="H270" s="193"/>
    </row>
    <row r="271" spans="1:8" s="95" customFormat="1" ht="20.100000000000001" hidden="1" customHeight="1">
      <c r="A271" s="183"/>
      <c r="B271" s="139"/>
      <c r="C271" s="139"/>
      <c r="D271" s="153" t="s">
        <v>1106</v>
      </c>
      <c r="E271" s="139"/>
      <c r="F271" s="139" t="s">
        <v>1095</v>
      </c>
      <c r="G271" s="160">
        <f>G270/100</f>
        <v>51.122546245000002</v>
      </c>
      <c r="H271" s="193"/>
    </row>
    <row r="272" spans="1:8" s="94" customFormat="1" ht="40.5" hidden="1" customHeight="1">
      <c r="A272" s="180">
        <v>1</v>
      </c>
      <c r="B272" s="181">
        <v>10.199999999999999</v>
      </c>
      <c r="C272" s="180">
        <v>3003</v>
      </c>
      <c r="D272" s="3966" t="s">
        <v>2700</v>
      </c>
      <c r="E272" s="3967"/>
      <c r="F272" s="3967"/>
      <c r="G272" s="3968"/>
      <c r="H272" s="205"/>
    </row>
    <row r="273" spans="1:8" s="95" customFormat="1" ht="12.6" hidden="1">
      <c r="A273" s="183"/>
      <c r="B273" s="184"/>
      <c r="C273" s="183"/>
      <c r="D273" s="212"/>
      <c r="E273" s="188"/>
      <c r="F273" s="187"/>
      <c r="G273" s="188"/>
      <c r="H273" s="193"/>
    </row>
    <row r="274" spans="1:8" s="95" customFormat="1" ht="20.100000000000001" hidden="1" customHeight="1">
      <c r="A274" s="183"/>
      <c r="B274" s="184"/>
      <c r="C274" s="183"/>
      <c r="D274" s="212" t="s">
        <v>2701</v>
      </c>
      <c r="E274" s="188"/>
      <c r="F274" s="187"/>
      <c r="G274" s="188"/>
      <c r="H274" s="193"/>
    </row>
    <row r="275" spans="1:8" s="95" customFormat="1" ht="20.100000000000001" hidden="1" customHeight="1">
      <c r="A275" s="183"/>
      <c r="B275" s="184"/>
      <c r="C275" s="183"/>
      <c r="D275" s="207" t="s">
        <v>1100</v>
      </c>
      <c r="E275" s="188"/>
      <c r="F275" s="187"/>
      <c r="G275" s="188"/>
      <c r="H275" s="193"/>
    </row>
    <row r="276" spans="1:8" s="95" customFormat="1" ht="20.100000000000001" hidden="1" customHeight="1">
      <c r="A276" s="183"/>
      <c r="B276" s="184"/>
      <c r="C276" s="183"/>
      <c r="D276" s="207" t="s">
        <v>1101</v>
      </c>
      <c r="E276" s="188"/>
      <c r="F276" s="187"/>
      <c r="G276" s="188"/>
      <c r="H276" s="193"/>
    </row>
    <row r="277" spans="1:8" s="95" customFormat="1" ht="27" hidden="1" customHeight="1">
      <c r="A277" s="183"/>
      <c r="B277" s="184"/>
      <c r="C277" s="183"/>
      <c r="D277" s="207" t="s">
        <v>2702</v>
      </c>
      <c r="E277" s="188"/>
      <c r="F277" s="187"/>
      <c r="G277" s="188"/>
      <c r="H277" s="193"/>
    </row>
    <row r="278" spans="1:8" s="95" customFormat="1" ht="20.100000000000001" hidden="1" customHeight="1">
      <c r="A278" s="183"/>
      <c r="B278" s="184"/>
      <c r="C278" s="183"/>
      <c r="D278" s="207" t="s">
        <v>2703</v>
      </c>
      <c r="E278" s="188"/>
      <c r="F278" s="187"/>
      <c r="G278" s="188"/>
      <c r="H278" s="193"/>
    </row>
    <row r="279" spans="1:8" s="95" customFormat="1" ht="20.100000000000001" hidden="1" customHeight="1">
      <c r="A279" s="183"/>
      <c r="B279" s="184"/>
      <c r="C279" s="183"/>
      <c r="D279" s="206" t="s">
        <v>1085</v>
      </c>
      <c r="E279" s="188"/>
      <c r="F279" s="187"/>
      <c r="G279" s="188"/>
      <c r="H279" s="193"/>
    </row>
    <row r="280" spans="1:8" s="95" customFormat="1" ht="20.100000000000001" hidden="1" customHeight="1">
      <c r="A280" s="183"/>
      <c r="B280" s="187">
        <v>0.1</v>
      </c>
      <c r="C280" s="188" t="s">
        <v>38</v>
      </c>
      <c r="D280" s="207" t="s">
        <v>14</v>
      </c>
      <c r="E280" s="188">
        <f>'SSR-rates'!K58</f>
        <v>575</v>
      </c>
      <c r="F280" s="188" t="s">
        <v>38</v>
      </c>
      <c r="G280" s="213">
        <f>ROUND(B280*E280,2)</f>
        <v>57.5</v>
      </c>
      <c r="H280" s="193"/>
    </row>
    <row r="281" spans="1:8" s="95" customFormat="1" ht="20.100000000000001" hidden="1" customHeight="1">
      <c r="A281" s="183"/>
      <c r="B281" s="187">
        <v>2.5</v>
      </c>
      <c r="C281" s="188" t="s">
        <v>38</v>
      </c>
      <c r="D281" s="207" t="s">
        <v>59</v>
      </c>
      <c r="E281" s="188">
        <f>E280</f>
        <v>575</v>
      </c>
      <c r="F281" s="188" t="s">
        <v>38</v>
      </c>
      <c r="G281" s="213">
        <f>ROUND(B281*E281,2)</f>
        <v>1437.5</v>
      </c>
      <c r="H281" s="193"/>
    </row>
    <row r="282" spans="1:8" s="95" customFormat="1" ht="20.100000000000001" hidden="1" customHeight="1">
      <c r="A282" s="137"/>
      <c r="B282" s="169">
        <f>'Input Data'!D23</f>
        <v>0</v>
      </c>
      <c r="C282" s="139"/>
      <c r="D282" s="146" t="s">
        <v>17</v>
      </c>
      <c r="E282" s="139">
        <f>SUM(G279:G281)</f>
        <v>1495</v>
      </c>
      <c r="F282" s="137"/>
      <c r="G282" s="139">
        <f>B282*E282</f>
        <v>0</v>
      </c>
      <c r="H282" s="193"/>
    </row>
    <row r="283" spans="1:8" s="95" customFormat="1" ht="20.100000000000001" hidden="1" customHeight="1">
      <c r="A283" s="183"/>
      <c r="B283" s="184"/>
      <c r="C283" s="183"/>
      <c r="D283" s="207"/>
      <c r="E283" s="3969" t="s">
        <v>2704</v>
      </c>
      <c r="F283" s="3969"/>
      <c r="G283" s="186">
        <f>SUM(G280:G282)</f>
        <v>1495</v>
      </c>
      <c r="H283" s="193"/>
    </row>
    <row r="284" spans="1:8" s="95" customFormat="1" ht="20.100000000000001" hidden="1" customHeight="1">
      <c r="A284" s="183"/>
      <c r="B284" s="184"/>
      <c r="C284" s="183"/>
      <c r="D284" s="206" t="s">
        <v>1086</v>
      </c>
      <c r="E284" s="188"/>
      <c r="F284" s="183"/>
      <c r="G284" s="188"/>
      <c r="H284" s="193"/>
    </row>
    <row r="285" spans="1:8" s="95" customFormat="1" ht="20.100000000000001" hidden="1" customHeight="1">
      <c r="A285" s="183"/>
      <c r="B285" s="187">
        <v>4</v>
      </c>
      <c r="C285" s="188" t="s">
        <v>23</v>
      </c>
      <c r="D285" s="185" t="s">
        <v>1105</v>
      </c>
      <c r="E285" s="196">
        <f>E264</f>
        <v>59</v>
      </c>
      <c r="F285" s="188" t="s">
        <v>23</v>
      </c>
      <c r="G285" s="213">
        <f>ROUND(B285*E285,2)</f>
        <v>236</v>
      </c>
      <c r="H285" s="193"/>
    </row>
    <row r="286" spans="1:8" s="95" customFormat="1" ht="20.100000000000001" hidden="1" customHeight="1">
      <c r="A286" s="183"/>
      <c r="B286" s="184"/>
      <c r="C286" s="183"/>
      <c r="D286" s="185"/>
      <c r="E286" s="3969" t="s">
        <v>2705</v>
      </c>
      <c r="F286" s="3969"/>
      <c r="G286" s="209">
        <f>SUM(G285:G285)</f>
        <v>236</v>
      </c>
      <c r="H286" s="193"/>
    </row>
    <row r="287" spans="1:8" s="95" customFormat="1" ht="20.100000000000001" hidden="1" customHeight="1">
      <c r="A287" s="183"/>
      <c r="B287" s="184"/>
      <c r="C287" s="183"/>
      <c r="D287" s="192"/>
      <c r="E287" s="3969" t="s">
        <v>2706</v>
      </c>
      <c r="F287" s="3969"/>
      <c r="G287" s="209">
        <f>G286+G283</f>
        <v>1731</v>
      </c>
      <c r="H287" s="193"/>
    </row>
    <row r="288" spans="1:8" s="95" customFormat="1" ht="20.100000000000001" hidden="1" customHeight="1">
      <c r="A288" s="183"/>
      <c r="B288" s="154" t="s">
        <v>27</v>
      </c>
      <c r="C288" s="183"/>
      <c r="D288" s="153" t="s">
        <v>1092</v>
      </c>
      <c r="E288" s="139"/>
      <c r="F288" s="137"/>
      <c r="G288" s="160"/>
      <c r="H288" s="193"/>
    </row>
    <row r="289" spans="1:8" s="95" customFormat="1" ht="25.2" hidden="1">
      <c r="A289" s="183"/>
      <c r="B289" s="214">
        <v>0.13614999999999999</v>
      </c>
      <c r="C289" s="139"/>
      <c r="D289" s="138" t="s">
        <v>2759</v>
      </c>
      <c r="E289" s="139">
        <f>G287</f>
        <v>1731</v>
      </c>
      <c r="F289" s="137"/>
      <c r="G289" s="139">
        <f>E289*B289</f>
        <v>235.67564999999999</v>
      </c>
      <c r="H289" s="193"/>
    </row>
    <row r="290" spans="1:8" s="95" customFormat="1" ht="20.100000000000001" hidden="1" customHeight="1">
      <c r="A290" s="183"/>
      <c r="B290" s="214">
        <v>0</v>
      </c>
      <c r="C290" s="139"/>
      <c r="D290" s="146" t="s">
        <v>1093</v>
      </c>
      <c r="E290" s="139">
        <f>E289+G289</f>
        <v>1966.6756499999999</v>
      </c>
      <c r="F290" s="137"/>
      <c r="G290" s="139">
        <f>E290*B290</f>
        <v>0</v>
      </c>
      <c r="H290" s="193"/>
    </row>
    <row r="291" spans="1:8" s="95" customFormat="1" ht="20.100000000000001" hidden="1" customHeight="1">
      <c r="A291" s="183"/>
      <c r="B291" s="154" t="s">
        <v>45</v>
      </c>
      <c r="C291" s="183"/>
      <c r="D291" s="153" t="s">
        <v>46</v>
      </c>
      <c r="E291" s="139"/>
      <c r="F291" s="137"/>
      <c r="G291" s="160">
        <f>G287+G289+G290</f>
        <v>1966.6756499999999</v>
      </c>
      <c r="H291" s="193"/>
    </row>
    <row r="292" spans="1:8" s="95" customFormat="1" ht="20.100000000000001" hidden="1" customHeight="1">
      <c r="A292" s="183"/>
      <c r="B292" s="139"/>
      <c r="C292" s="139"/>
      <c r="D292" s="153" t="s">
        <v>1106</v>
      </c>
      <c r="E292" s="139"/>
      <c r="F292" s="139" t="s">
        <v>1095</v>
      </c>
      <c r="G292" s="160">
        <f>G291/100</f>
        <v>19.666756499999998</v>
      </c>
      <c r="H292" s="193"/>
    </row>
    <row r="293" spans="1:8" s="94" customFormat="1" ht="12.6">
      <c r="A293" s="215"/>
      <c r="B293" s="216"/>
      <c r="C293" s="215"/>
      <c r="D293" s="217"/>
      <c r="E293" s="218"/>
      <c r="F293" s="219"/>
      <c r="G293" s="218"/>
      <c r="H293" s="205"/>
    </row>
    <row r="294" spans="1:8" s="94" customFormat="1" ht="12.6">
      <c r="A294" s="215"/>
      <c r="B294" s="216"/>
      <c r="C294" s="215"/>
      <c r="D294" s="217"/>
      <c r="E294" s="218"/>
      <c r="F294" s="219"/>
      <c r="G294" s="218"/>
      <c r="H294" s="205"/>
    </row>
    <row r="297" spans="1:8">
      <c r="D297" s="100" t="str">
        <f>'1V 1m dia Pipe Culverts'!B39</f>
        <v>Assistant  Engineer,</v>
      </c>
      <c r="E297" s="100" t="str">
        <f>'1V 1m dia Pipe Culverts'!H39</f>
        <v>Dy. Exe. Engineer</v>
      </c>
    </row>
    <row r="298" spans="1:8">
      <c r="D298" s="100" t="str">
        <f>'1V 1m dia Pipe Culverts'!B40</f>
        <v>PRSD Maddur</v>
      </c>
      <c r="E298" s="100" t="str">
        <f>'1V 1m dia Pipe Culverts'!H40</f>
        <v>PRSD, Maddur</v>
      </c>
    </row>
    <row r="303" spans="1:8">
      <c r="D303" s="100" t="str">
        <f>'1V 1m dia Pipe Culverts'!B44</f>
        <v>District Panchayat Raj Engineer,</v>
      </c>
      <c r="E303" s="100" t="str">
        <f>'1V 1m dia Pipe Culverts'!H44</f>
        <v>Superintending Engineer</v>
      </c>
    </row>
    <row r="304" spans="1:8">
      <c r="D304" s="100" t="str">
        <f>'1V 1m dia Pipe Culverts'!B45</f>
        <v>PR Division, Narayanpet</v>
      </c>
      <c r="E304" s="100" t="str">
        <f>'1V 1m dia Pipe Culverts'!H45</f>
        <v>PR, Circle, Vikarabad</v>
      </c>
    </row>
  </sheetData>
  <mergeCells count="46">
    <mergeCell ref="D248:G248"/>
    <mergeCell ref="D272:G272"/>
    <mergeCell ref="E283:F283"/>
    <mergeCell ref="E286:F286"/>
    <mergeCell ref="E287:F287"/>
    <mergeCell ref="D226:G226"/>
    <mergeCell ref="E227:G227"/>
    <mergeCell ref="C242:E242"/>
    <mergeCell ref="C245:E245"/>
    <mergeCell ref="D247:F247"/>
    <mergeCell ref="C182:D182"/>
    <mergeCell ref="C183:D183"/>
    <mergeCell ref="C184:D184"/>
    <mergeCell ref="C185:D185"/>
    <mergeCell ref="D190:G190"/>
    <mergeCell ref="E140:F140"/>
    <mergeCell ref="C141:E141"/>
    <mergeCell ref="C144:D144"/>
    <mergeCell ref="C149:G149"/>
    <mergeCell ref="A150:C150"/>
    <mergeCell ref="C80:E80"/>
    <mergeCell ref="E99:F99"/>
    <mergeCell ref="B106:G106"/>
    <mergeCell ref="B107:G107"/>
    <mergeCell ref="B109:G109"/>
    <mergeCell ref="E46:F46"/>
    <mergeCell ref="B47:C47"/>
    <mergeCell ref="C53:G53"/>
    <mergeCell ref="B77:G77"/>
    <mergeCell ref="C78:G78"/>
    <mergeCell ref="C18:G18"/>
    <mergeCell ref="D22:E22"/>
    <mergeCell ref="A24:C24"/>
    <mergeCell ref="D24:G24"/>
    <mergeCell ref="B25:C25"/>
    <mergeCell ref="D25:G25"/>
    <mergeCell ref="L7:O7"/>
    <mergeCell ref="C8:G8"/>
    <mergeCell ref="D12:E12"/>
    <mergeCell ref="C13:G13"/>
    <mergeCell ref="D17:E17"/>
    <mergeCell ref="A1:G1"/>
    <mergeCell ref="B3:C3"/>
    <mergeCell ref="C4:G4"/>
    <mergeCell ref="C6:G6"/>
    <mergeCell ref="H7:K7"/>
  </mergeCells>
  <printOptions horizontalCentered="1"/>
  <pageMargins left="0.59055118110236204" right="0.196850393700787" top="0.59055118110236204" bottom="0.39370078740157499" header="0.31496062992126" footer="0.31496062992126"/>
  <pageSetup paperSize="9" scale="85" orientation="portrai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rgb="FFFF0000"/>
  </sheetPr>
  <dimension ref="A1:P34"/>
  <sheetViews>
    <sheetView view="pageBreakPreview" topLeftCell="A17" workbookViewId="0">
      <selection activeCell="E34" sqref="E34"/>
    </sheetView>
  </sheetViews>
  <sheetFormatPr defaultColWidth="7.88671875" defaultRowHeight="13.2"/>
  <cols>
    <col min="1" max="1" width="10.5546875" style="54" customWidth="1"/>
    <col min="2" max="2" width="14.6640625" style="54" customWidth="1"/>
    <col min="3" max="4" width="7.88671875" style="54"/>
    <col min="5" max="5" width="9.109375" style="54" customWidth="1"/>
    <col min="6" max="6" width="10.5546875" style="54" customWidth="1"/>
    <col min="7" max="7" width="9.109375" style="54" customWidth="1"/>
    <col min="8" max="8" width="13.44140625" style="54" customWidth="1"/>
    <col min="9" max="9" width="10.33203125" style="54" customWidth="1"/>
    <col min="10" max="10" width="10.5546875" style="54" customWidth="1"/>
    <col min="11" max="11" width="19" style="54" customWidth="1"/>
    <col min="12" max="12" width="17.5546875" style="54" customWidth="1"/>
    <col min="13" max="13" width="11.109375" style="54" customWidth="1"/>
    <col min="14" max="14" width="10.33203125" style="54" customWidth="1"/>
    <col min="15" max="15" width="9.109375" style="54" customWidth="1"/>
    <col min="16" max="16" width="9.44140625" style="54" customWidth="1"/>
    <col min="17" max="17" width="8.6640625" style="54" customWidth="1"/>
    <col min="18" max="18" width="5.88671875" style="54" customWidth="1"/>
    <col min="19" max="20" width="6.88671875" style="54" customWidth="1"/>
    <col min="21" max="22" width="9.109375" style="54" customWidth="1"/>
    <col min="23" max="23" width="8.5546875" style="54" customWidth="1"/>
    <col min="24" max="24" width="8.109375" style="54" customWidth="1"/>
    <col min="25" max="25" width="9.109375" style="54" customWidth="1"/>
    <col min="26" max="26" width="9.44140625" style="54" customWidth="1"/>
    <col min="27" max="27" width="14.5546875" style="54" customWidth="1"/>
    <col min="28" max="28" width="14.109375" style="54" customWidth="1"/>
    <col min="29" max="29" width="8.109375" style="54" customWidth="1"/>
    <col min="30" max="16384" width="7.88671875" style="54"/>
  </cols>
  <sheetData>
    <row r="1" spans="1:16" ht="15.6">
      <c r="B1" s="55" t="str">
        <f>+'Input Data'!E1</f>
        <v xml:space="preserve">BT Renewal from Balabadraipally to Danamma Thanda of Gundumal Mandal in Narayanpet District </v>
      </c>
    </row>
    <row r="2" spans="1:16">
      <c r="A2" s="54" t="s">
        <v>2707</v>
      </c>
      <c r="K2" s="84" t="s">
        <v>2708</v>
      </c>
    </row>
    <row r="3" spans="1:16">
      <c r="A3" s="54" t="s">
        <v>2709</v>
      </c>
    </row>
    <row r="4" spans="1:16" ht="39.6">
      <c r="A4" s="57" t="s">
        <v>2710</v>
      </c>
      <c r="B4" s="56" t="s">
        <v>2711</v>
      </c>
      <c r="C4" s="3970" t="s">
        <v>2712</v>
      </c>
      <c r="D4" s="3970"/>
      <c r="E4" s="56" t="s">
        <v>2713</v>
      </c>
      <c r="F4" s="56" t="s">
        <v>2714</v>
      </c>
      <c r="G4" s="56" t="s">
        <v>2715</v>
      </c>
      <c r="H4" s="56" t="s">
        <v>2716</v>
      </c>
      <c r="I4" s="56" t="s">
        <v>2717</v>
      </c>
      <c r="J4" s="56" t="s">
        <v>2718</v>
      </c>
      <c r="K4" s="56" t="s">
        <v>2719</v>
      </c>
      <c r="L4" s="56" t="s">
        <v>2720</v>
      </c>
      <c r="M4" s="56" t="s">
        <v>2721</v>
      </c>
      <c r="N4" s="85"/>
    </row>
    <row r="5" spans="1:16">
      <c r="A5" s="57"/>
      <c r="B5" s="57"/>
      <c r="C5" s="57" t="s">
        <v>2722</v>
      </c>
      <c r="D5" s="57" t="s">
        <v>2723</v>
      </c>
      <c r="E5" s="57"/>
      <c r="F5" s="57"/>
      <c r="G5" s="57"/>
      <c r="H5" s="57"/>
      <c r="I5" s="57"/>
      <c r="J5" s="57"/>
      <c r="K5" s="68"/>
      <c r="L5" s="56"/>
      <c r="M5" s="68"/>
    </row>
    <row r="6" spans="1:16" ht="19.2" customHeight="1">
      <c r="A6" s="57">
        <v>300</v>
      </c>
      <c r="B6" s="57">
        <v>40</v>
      </c>
      <c r="C6" s="57">
        <v>0.78</v>
      </c>
      <c r="D6" s="57">
        <v>2.71</v>
      </c>
      <c r="E6" s="62">
        <f>PI()*(B6/1000)*(A6+B6)/1000</f>
        <v>4.2725660088821192E-2</v>
      </c>
      <c r="F6" s="63">
        <f>C6+D6*140/125</f>
        <v>3.8151999999999999</v>
      </c>
      <c r="G6" s="64">
        <f>+G33</f>
        <v>5300</v>
      </c>
      <c r="H6" s="65">
        <f>+lead!J36</f>
        <v>5000</v>
      </c>
      <c r="I6" s="64">
        <f>+G34</f>
        <v>55000</v>
      </c>
      <c r="J6" s="65">
        <f>+lead!J39</f>
        <v>55000</v>
      </c>
      <c r="K6" s="57">
        <f t="shared" ref="K6:K9" si="0">ROUND(360*E6*(H6-G6)/1000,2)</f>
        <v>-4.6100000000000003</v>
      </c>
      <c r="L6" s="57">
        <f t="shared" ref="L6:L9" si="1">ROUND(F6*(J6-I6)/1000,2)</f>
        <v>0</v>
      </c>
      <c r="M6" s="57">
        <f t="shared" ref="M6:M9" si="2">L6+K6</f>
        <v>-4.6100000000000003</v>
      </c>
      <c r="N6" s="86">
        <f>A6</f>
        <v>300</v>
      </c>
    </row>
    <row r="7" spans="1:16" ht="19.2" customHeight="1">
      <c r="A7" s="57">
        <v>450</v>
      </c>
      <c r="B7" s="57">
        <v>75</v>
      </c>
      <c r="C7" s="57">
        <v>0.78</v>
      </c>
      <c r="D7" s="57">
        <v>3.88</v>
      </c>
      <c r="E7" s="62">
        <f t="shared" ref="E7:E13" si="3">PI()*(B7/1000)*(A7+B7)/1000</f>
        <v>0.12370021073509811</v>
      </c>
      <c r="F7" s="63">
        <f t="shared" ref="F7:F13" si="4">C7+D7*140/125</f>
        <v>5.1255999999999995</v>
      </c>
      <c r="G7" s="57">
        <f t="shared" ref="G7:J13" si="5">G6</f>
        <v>5300</v>
      </c>
      <c r="H7" s="66">
        <f t="shared" si="5"/>
        <v>5000</v>
      </c>
      <c r="I7" s="57">
        <f t="shared" si="5"/>
        <v>55000</v>
      </c>
      <c r="J7" s="66">
        <f t="shared" si="5"/>
        <v>55000</v>
      </c>
      <c r="K7" s="57">
        <f t="shared" si="0"/>
        <v>-13.36</v>
      </c>
      <c r="L7" s="57">
        <f t="shared" si="1"/>
        <v>0</v>
      </c>
      <c r="M7" s="57">
        <f t="shared" si="2"/>
        <v>-13.36</v>
      </c>
      <c r="N7" s="86">
        <f t="shared" ref="N7:N13" si="6">A7</f>
        <v>450</v>
      </c>
      <c r="P7" s="87">
        <f>140/125</f>
        <v>1.1200000000000001</v>
      </c>
    </row>
    <row r="8" spans="1:16" ht="19.2" customHeight="1">
      <c r="A8" s="57">
        <v>600</v>
      </c>
      <c r="B8" s="57">
        <v>85</v>
      </c>
      <c r="C8" s="57">
        <v>2.34</v>
      </c>
      <c r="D8" s="57">
        <v>9.6300000000000008</v>
      </c>
      <c r="E8" s="62">
        <f t="shared" si="3"/>
        <v>0.18291923225526574</v>
      </c>
      <c r="F8" s="63">
        <f t="shared" si="4"/>
        <v>13.1256</v>
      </c>
      <c r="G8" s="57">
        <f t="shared" si="5"/>
        <v>5300</v>
      </c>
      <c r="H8" s="66">
        <f t="shared" si="5"/>
        <v>5000</v>
      </c>
      <c r="I8" s="57">
        <f>I7</f>
        <v>55000</v>
      </c>
      <c r="J8" s="66">
        <f t="shared" si="5"/>
        <v>55000</v>
      </c>
      <c r="K8" s="57">
        <f t="shared" si="0"/>
        <v>-19.760000000000002</v>
      </c>
      <c r="L8" s="57">
        <f t="shared" si="1"/>
        <v>0</v>
      </c>
      <c r="M8" s="57">
        <f t="shared" si="2"/>
        <v>-19.760000000000002</v>
      </c>
      <c r="N8" s="86">
        <f t="shared" si="6"/>
        <v>600</v>
      </c>
    </row>
    <row r="9" spans="1:16" ht="19.2" customHeight="1">
      <c r="A9" s="57">
        <v>700</v>
      </c>
      <c r="B9" s="57">
        <v>85</v>
      </c>
      <c r="C9" s="57">
        <v>3.44</v>
      </c>
      <c r="D9" s="57">
        <v>14.33</v>
      </c>
      <c r="E9" s="62">
        <f t="shared" si="3"/>
        <v>0.20962276981077899</v>
      </c>
      <c r="F9" s="63">
        <f t="shared" si="4"/>
        <v>19.489600000000003</v>
      </c>
      <c r="G9" s="57">
        <f t="shared" si="5"/>
        <v>5300</v>
      </c>
      <c r="H9" s="66">
        <f t="shared" si="5"/>
        <v>5000</v>
      </c>
      <c r="I9" s="57">
        <f t="shared" si="5"/>
        <v>55000</v>
      </c>
      <c r="J9" s="66">
        <f t="shared" si="5"/>
        <v>55000</v>
      </c>
      <c r="K9" s="57">
        <f t="shared" si="0"/>
        <v>-22.64</v>
      </c>
      <c r="L9" s="57">
        <f t="shared" si="1"/>
        <v>0</v>
      </c>
      <c r="M9" s="57">
        <f t="shared" si="2"/>
        <v>-22.64</v>
      </c>
      <c r="N9" s="86">
        <f t="shared" si="6"/>
        <v>700</v>
      </c>
    </row>
    <row r="10" spans="1:16" ht="19.2" customHeight="1">
      <c r="A10" s="57">
        <v>800</v>
      </c>
      <c r="B10" s="57">
        <v>95</v>
      </c>
      <c r="C10" s="57">
        <v>3.44</v>
      </c>
      <c r="D10" s="57">
        <v>21.2</v>
      </c>
      <c r="E10" s="62">
        <f t="shared" si="3"/>
        <v>0.26711391537147217</v>
      </c>
      <c r="F10" s="63">
        <f t="shared" si="4"/>
        <v>27.184000000000001</v>
      </c>
      <c r="G10" s="57">
        <f>+G9</f>
        <v>5300</v>
      </c>
      <c r="H10" s="66">
        <f>+H9</f>
        <v>5000</v>
      </c>
      <c r="I10" s="57">
        <f>+I9</f>
        <v>55000</v>
      </c>
      <c r="J10" s="66">
        <f>+J9</f>
        <v>55000</v>
      </c>
      <c r="K10" s="57">
        <f t="shared" ref="K10:K13" si="7">ROUND(360*E10*(H10-G10)/1000,2)</f>
        <v>-28.85</v>
      </c>
      <c r="L10" s="57">
        <f t="shared" ref="L10:L13" si="8">ROUND(F10*(J10-I10)/1000,2)</f>
        <v>0</v>
      </c>
      <c r="M10" s="57">
        <f t="shared" ref="M10:M13" si="9">L10+K10</f>
        <v>-28.85</v>
      </c>
      <c r="N10" s="86">
        <f t="shared" si="6"/>
        <v>800</v>
      </c>
    </row>
    <row r="11" spans="1:16" ht="19.2" customHeight="1">
      <c r="A11" s="57">
        <v>900</v>
      </c>
      <c r="B11" s="57">
        <v>100</v>
      </c>
      <c r="C11" s="57">
        <v>3.44</v>
      </c>
      <c r="D11" s="57">
        <v>27.13</v>
      </c>
      <c r="E11" s="62">
        <f t="shared" si="3"/>
        <v>0.31415926535897931</v>
      </c>
      <c r="F11" s="63">
        <f t="shared" si="4"/>
        <v>33.825600000000001</v>
      </c>
      <c r="G11" s="57">
        <f>G9</f>
        <v>5300</v>
      </c>
      <c r="H11" s="66">
        <f>H9</f>
        <v>5000</v>
      </c>
      <c r="I11" s="57">
        <f>I9</f>
        <v>55000</v>
      </c>
      <c r="J11" s="66">
        <f>J9</f>
        <v>55000</v>
      </c>
      <c r="K11" s="57">
        <f t="shared" si="7"/>
        <v>-33.93</v>
      </c>
      <c r="L11" s="57">
        <f t="shared" si="8"/>
        <v>0</v>
      </c>
      <c r="M11" s="57">
        <f t="shared" si="9"/>
        <v>-33.93</v>
      </c>
      <c r="N11" s="86">
        <f t="shared" si="6"/>
        <v>900</v>
      </c>
    </row>
    <row r="12" spans="1:16" ht="19.2" customHeight="1">
      <c r="A12" s="57">
        <v>1000</v>
      </c>
      <c r="B12" s="57">
        <v>115</v>
      </c>
      <c r="C12" s="57">
        <v>6.04</v>
      </c>
      <c r="D12" s="57">
        <v>35.479999999999997</v>
      </c>
      <c r="E12" s="62">
        <f t="shared" si="3"/>
        <v>0.40283071800655124</v>
      </c>
      <c r="F12" s="63">
        <f t="shared" si="4"/>
        <v>45.7776</v>
      </c>
      <c r="G12" s="57">
        <f t="shared" si="5"/>
        <v>5300</v>
      </c>
      <c r="H12" s="66">
        <f t="shared" si="5"/>
        <v>5000</v>
      </c>
      <c r="I12" s="57">
        <f t="shared" si="5"/>
        <v>55000</v>
      </c>
      <c r="J12" s="66">
        <f t="shared" si="5"/>
        <v>55000</v>
      </c>
      <c r="K12" s="57">
        <f t="shared" si="7"/>
        <v>-43.51</v>
      </c>
      <c r="L12" s="57">
        <f t="shared" si="8"/>
        <v>0</v>
      </c>
      <c r="M12" s="57">
        <f t="shared" si="9"/>
        <v>-43.51</v>
      </c>
      <c r="N12" s="86">
        <f t="shared" si="6"/>
        <v>1000</v>
      </c>
    </row>
    <row r="13" spans="1:16" ht="19.2" customHeight="1">
      <c r="A13" s="57">
        <v>1200</v>
      </c>
      <c r="B13" s="57">
        <v>120</v>
      </c>
      <c r="C13" s="57">
        <v>6.04</v>
      </c>
      <c r="D13" s="57">
        <v>53.07</v>
      </c>
      <c r="E13" s="62">
        <f t="shared" si="3"/>
        <v>0.49762827632862322</v>
      </c>
      <c r="F13" s="63">
        <f t="shared" si="4"/>
        <v>65.478400000000008</v>
      </c>
      <c r="G13" s="57">
        <f t="shared" si="5"/>
        <v>5300</v>
      </c>
      <c r="H13" s="66">
        <f t="shared" si="5"/>
        <v>5000</v>
      </c>
      <c r="I13" s="57">
        <f t="shared" si="5"/>
        <v>55000</v>
      </c>
      <c r="J13" s="66">
        <f t="shared" si="5"/>
        <v>55000</v>
      </c>
      <c r="K13" s="57">
        <f t="shared" si="7"/>
        <v>-53.74</v>
      </c>
      <c r="L13" s="57">
        <f t="shared" si="8"/>
        <v>0</v>
      </c>
      <c r="M13" s="57">
        <f t="shared" si="9"/>
        <v>-53.74</v>
      </c>
      <c r="N13" s="86">
        <f t="shared" si="6"/>
        <v>1200</v>
      </c>
    </row>
    <row r="14" spans="1:16" s="60" customFormat="1" ht="14.4" customHeight="1">
      <c r="A14" s="67" t="s">
        <v>2724</v>
      </c>
      <c r="B14" s="67"/>
      <c r="C14" s="67"/>
      <c r="D14" s="67"/>
      <c r="E14" s="67"/>
      <c r="F14" s="67"/>
      <c r="G14" s="67"/>
      <c r="H14" s="67"/>
      <c r="I14" s="67"/>
      <c r="J14" s="67"/>
      <c r="K14" s="67"/>
      <c r="L14" s="67"/>
      <c r="M14" s="67"/>
    </row>
    <row r="15" spans="1:16">
      <c r="A15" s="68" t="s">
        <v>2725</v>
      </c>
      <c r="B15" s="68"/>
      <c r="C15" s="68"/>
      <c r="D15" s="68"/>
      <c r="E15" s="68"/>
      <c r="F15" s="68"/>
      <c r="G15" s="68"/>
      <c r="H15" s="68"/>
      <c r="I15" s="68"/>
      <c r="J15" s="68"/>
      <c r="K15" s="68"/>
      <c r="L15" s="68"/>
      <c r="M15" s="68"/>
    </row>
    <row r="16" spans="1:16" s="61" customFormat="1" ht="24.75" customHeight="1">
      <c r="A16" s="69"/>
      <c r="B16" s="70" t="s">
        <v>2726</v>
      </c>
      <c r="C16" s="69"/>
      <c r="D16" s="69"/>
      <c r="E16" s="71" t="s">
        <v>2727</v>
      </c>
      <c r="F16" s="3971" t="s">
        <v>2728</v>
      </c>
      <c r="G16" s="3971"/>
      <c r="H16" s="69"/>
      <c r="I16" s="69"/>
      <c r="J16" s="69"/>
      <c r="K16" s="69"/>
      <c r="L16" s="71" t="s">
        <v>2729</v>
      </c>
      <c r="M16" s="69"/>
    </row>
    <row r="17" spans="1:13" ht="20.399999999999999">
      <c r="A17" s="72">
        <v>1</v>
      </c>
      <c r="B17" s="73" t="s">
        <v>2730</v>
      </c>
      <c r="C17" s="74"/>
      <c r="D17" s="75"/>
      <c r="E17" s="76">
        <v>13839</v>
      </c>
      <c r="F17" s="77"/>
      <c r="G17" s="78">
        <f>M13</f>
        <v>-53.74</v>
      </c>
      <c r="H17" s="79"/>
      <c r="I17" s="88"/>
      <c r="J17" s="3972"/>
      <c r="K17" s="79">
        <v>0</v>
      </c>
      <c r="L17" s="89">
        <f>1*(E17+F17+I17+K17+G17)</f>
        <v>13785.26</v>
      </c>
      <c r="M17" s="68"/>
    </row>
    <row r="18" spans="1:13" ht="15.6">
      <c r="A18" s="72">
        <f>+A17+1</f>
        <v>2</v>
      </c>
      <c r="B18" s="73" t="s">
        <v>2731</v>
      </c>
      <c r="C18" s="74"/>
      <c r="D18" s="78"/>
      <c r="E18" s="80">
        <v>1989</v>
      </c>
      <c r="F18" s="77"/>
      <c r="G18" s="78">
        <f>+'NP4 collars'!O15</f>
        <v>-6.49</v>
      </c>
      <c r="H18" s="79"/>
      <c r="I18" s="88"/>
      <c r="J18" s="3972"/>
      <c r="K18" s="79">
        <v>0</v>
      </c>
      <c r="L18" s="89">
        <f t="shared" ref="L18:L32" si="10">1*(E18+F18+I18+K18+G18)</f>
        <v>1982.51</v>
      </c>
      <c r="M18" s="68"/>
    </row>
    <row r="19" spans="1:13" ht="20.399999999999999">
      <c r="A19" s="72">
        <f t="shared" ref="A19:A32" si="11">+A18+1</f>
        <v>3</v>
      </c>
      <c r="B19" s="73" t="s">
        <v>2732</v>
      </c>
      <c r="C19" s="74"/>
      <c r="D19" s="75"/>
      <c r="E19" s="76">
        <v>10191</v>
      </c>
      <c r="F19" s="77"/>
      <c r="G19" s="78">
        <f>+M12</f>
        <v>-43.51</v>
      </c>
      <c r="H19" s="79"/>
      <c r="I19" s="88"/>
      <c r="J19" s="3972"/>
      <c r="K19" s="79">
        <v>0</v>
      </c>
      <c r="L19" s="89">
        <f t="shared" si="10"/>
        <v>10147.49</v>
      </c>
      <c r="M19" s="68"/>
    </row>
    <row r="20" spans="1:13" ht="15.6">
      <c r="A20" s="72">
        <f t="shared" si="11"/>
        <v>4</v>
      </c>
      <c r="B20" s="73" t="s">
        <v>2733</v>
      </c>
      <c r="C20" s="74"/>
      <c r="D20" s="78"/>
      <c r="E20" s="80">
        <v>1257</v>
      </c>
      <c r="F20" s="77"/>
      <c r="G20" s="78">
        <f>+'NP4 collars'!O14</f>
        <v>-4.32</v>
      </c>
      <c r="H20" s="79"/>
      <c r="I20" s="88"/>
      <c r="J20" s="3972"/>
      <c r="K20" s="79">
        <v>0</v>
      </c>
      <c r="L20" s="89">
        <f t="shared" si="10"/>
        <v>1252.68</v>
      </c>
      <c r="M20" s="68"/>
    </row>
    <row r="21" spans="1:13" ht="20.399999999999999">
      <c r="A21" s="72">
        <f t="shared" si="11"/>
        <v>5</v>
      </c>
      <c r="B21" s="73" t="s">
        <v>2734</v>
      </c>
      <c r="C21" s="74"/>
      <c r="D21" s="78"/>
      <c r="E21" s="76">
        <v>7472</v>
      </c>
      <c r="F21" s="77"/>
      <c r="G21" s="78">
        <f>+M11</f>
        <v>-33.93</v>
      </c>
      <c r="H21" s="79"/>
      <c r="I21" s="88"/>
      <c r="J21" s="3972"/>
      <c r="K21" s="79">
        <v>0</v>
      </c>
      <c r="L21" s="89">
        <f t="shared" si="10"/>
        <v>7438.07</v>
      </c>
      <c r="M21" s="68"/>
    </row>
    <row r="22" spans="1:13" ht="15.6">
      <c r="A22" s="72">
        <f t="shared" si="11"/>
        <v>6</v>
      </c>
      <c r="B22" s="73" t="s">
        <v>2735</v>
      </c>
      <c r="C22" s="74"/>
      <c r="D22" s="78"/>
      <c r="E22" s="80">
        <v>1000</v>
      </c>
      <c r="F22" s="77"/>
      <c r="G22" s="78">
        <f>+'NP4 collars'!O13</f>
        <v>-3.56</v>
      </c>
      <c r="H22" s="79"/>
      <c r="I22" s="88"/>
      <c r="J22" s="3972"/>
      <c r="K22" s="79">
        <v>0</v>
      </c>
      <c r="L22" s="89">
        <f t="shared" si="10"/>
        <v>996.44</v>
      </c>
      <c r="M22" s="68"/>
    </row>
    <row r="23" spans="1:13" ht="20.399999999999999">
      <c r="A23" s="72">
        <f t="shared" si="11"/>
        <v>7</v>
      </c>
      <c r="B23" s="73" t="s">
        <v>2736</v>
      </c>
      <c r="C23" s="74"/>
      <c r="D23" s="78"/>
      <c r="E23" s="76">
        <v>6007</v>
      </c>
      <c r="F23" s="77"/>
      <c r="G23" s="78">
        <f>+M10</f>
        <v>-28.85</v>
      </c>
      <c r="H23" s="79"/>
      <c r="I23" s="88"/>
      <c r="J23" s="3972"/>
      <c r="K23" s="79">
        <v>0</v>
      </c>
      <c r="L23" s="89">
        <f t="shared" si="10"/>
        <v>5978.15</v>
      </c>
      <c r="M23" s="68"/>
    </row>
    <row r="24" spans="1:13" ht="15.6">
      <c r="A24" s="72">
        <f t="shared" si="11"/>
        <v>8</v>
      </c>
      <c r="B24" s="73" t="s">
        <v>2737</v>
      </c>
      <c r="C24" s="74"/>
      <c r="D24" s="78"/>
      <c r="E24" s="80">
        <v>860</v>
      </c>
      <c r="F24" s="77"/>
      <c r="G24" s="78">
        <f>+'NP4 collars'!O12</f>
        <v>-2.88</v>
      </c>
      <c r="H24" s="79"/>
      <c r="I24" s="88"/>
      <c r="J24" s="3972"/>
      <c r="K24" s="79">
        <v>0</v>
      </c>
      <c r="L24" s="89">
        <f t="shared" si="10"/>
        <v>857.12</v>
      </c>
      <c r="M24" s="68"/>
    </row>
    <row r="25" spans="1:13" ht="20.399999999999999">
      <c r="A25" s="72">
        <f t="shared" si="11"/>
        <v>9</v>
      </c>
      <c r="B25" s="73" t="s">
        <v>2738</v>
      </c>
      <c r="C25" s="74"/>
      <c r="D25" s="78"/>
      <c r="E25" s="76">
        <v>4581</v>
      </c>
      <c r="F25" s="77"/>
      <c r="G25" s="78">
        <f>+M9</f>
        <v>-22.64</v>
      </c>
      <c r="H25" s="79"/>
      <c r="I25" s="88"/>
      <c r="J25" s="3972"/>
      <c r="K25" s="79">
        <v>0</v>
      </c>
      <c r="L25" s="89">
        <f t="shared" si="10"/>
        <v>4558.3599999999997</v>
      </c>
      <c r="M25" s="68"/>
    </row>
    <row r="26" spans="1:13" ht="15.6">
      <c r="A26" s="72">
        <f t="shared" si="11"/>
        <v>10</v>
      </c>
      <c r="B26" s="73" t="s">
        <v>2739</v>
      </c>
      <c r="C26" s="74"/>
      <c r="D26" s="78"/>
      <c r="E26" s="80">
        <v>682</v>
      </c>
      <c r="F26" s="77"/>
      <c r="G26" s="78">
        <f>+'NP4 collars'!O11</f>
        <v>-2.27</v>
      </c>
      <c r="H26" s="79"/>
      <c r="I26" s="88"/>
      <c r="J26" s="3972"/>
      <c r="K26" s="79">
        <v>0</v>
      </c>
      <c r="L26" s="89">
        <f t="shared" si="10"/>
        <v>679.73</v>
      </c>
      <c r="M26" s="68"/>
    </row>
    <row r="27" spans="1:13" ht="20.399999999999999">
      <c r="A27" s="72">
        <f t="shared" si="11"/>
        <v>11</v>
      </c>
      <c r="B27" s="73" t="s">
        <v>2740</v>
      </c>
      <c r="C27" s="74"/>
      <c r="D27" s="78"/>
      <c r="E27" s="76">
        <v>3413</v>
      </c>
      <c r="F27" s="77"/>
      <c r="G27" s="78">
        <f>+M8</f>
        <v>-19.760000000000002</v>
      </c>
      <c r="H27" s="79"/>
      <c r="I27" s="88"/>
      <c r="J27" s="3972"/>
      <c r="K27" s="79">
        <v>0</v>
      </c>
      <c r="L27" s="89">
        <f t="shared" si="10"/>
        <v>3393.24</v>
      </c>
      <c r="M27" s="68"/>
    </row>
    <row r="28" spans="1:13" ht="15.6">
      <c r="A28" s="72">
        <f t="shared" si="11"/>
        <v>12</v>
      </c>
      <c r="B28" s="73" t="s">
        <v>2741</v>
      </c>
      <c r="C28" s="74"/>
      <c r="D28" s="78"/>
      <c r="E28" s="80">
        <v>502</v>
      </c>
      <c r="F28" s="77"/>
      <c r="G28" s="78">
        <f>+'NP4 collars'!O10</f>
        <v>-1.74</v>
      </c>
      <c r="H28" s="79"/>
      <c r="I28" s="88"/>
      <c r="J28" s="3972"/>
      <c r="K28" s="79">
        <v>0</v>
      </c>
      <c r="L28" s="89">
        <f t="shared" si="10"/>
        <v>500.26</v>
      </c>
      <c r="M28" s="68"/>
    </row>
    <row r="29" spans="1:13" ht="20.399999999999999">
      <c r="A29" s="72">
        <f t="shared" si="11"/>
        <v>13</v>
      </c>
      <c r="B29" s="73" t="s">
        <v>2742</v>
      </c>
      <c r="C29" s="74"/>
      <c r="D29" s="78"/>
      <c r="E29" s="76">
        <v>1768</v>
      </c>
      <c r="F29" s="77"/>
      <c r="G29" s="78">
        <f>+M7</f>
        <v>-13.36</v>
      </c>
      <c r="H29" s="79"/>
      <c r="I29" s="88"/>
      <c r="J29" s="3972"/>
      <c r="K29" s="79">
        <v>0</v>
      </c>
      <c r="L29" s="89">
        <f t="shared" si="10"/>
        <v>1754.64</v>
      </c>
      <c r="M29" s="68"/>
    </row>
    <row r="30" spans="1:13" ht="15.6">
      <c r="A30" s="72">
        <f t="shared" si="11"/>
        <v>14</v>
      </c>
      <c r="B30" s="73" t="s">
        <v>2743</v>
      </c>
      <c r="C30" s="74"/>
      <c r="D30" s="78"/>
      <c r="E30" s="80">
        <v>320</v>
      </c>
      <c r="F30" s="77"/>
      <c r="G30" s="78">
        <f>+'NP4 collars'!O9</f>
        <v>-1.1499999999999999</v>
      </c>
      <c r="H30" s="79"/>
      <c r="I30" s="88"/>
      <c r="J30" s="3972"/>
      <c r="K30" s="79">
        <v>0</v>
      </c>
      <c r="L30" s="89">
        <f t="shared" si="10"/>
        <v>318.85000000000002</v>
      </c>
      <c r="M30" s="68"/>
    </row>
    <row r="31" spans="1:13" ht="20.399999999999999">
      <c r="A31" s="72">
        <f t="shared" si="11"/>
        <v>15</v>
      </c>
      <c r="B31" s="73" t="s">
        <v>2744</v>
      </c>
      <c r="C31" s="74"/>
      <c r="D31" s="78"/>
      <c r="E31" s="76">
        <v>1133</v>
      </c>
      <c r="F31" s="77"/>
      <c r="G31" s="78">
        <f>+M6</f>
        <v>-4.6100000000000003</v>
      </c>
      <c r="H31" s="79"/>
      <c r="I31" s="88"/>
      <c r="J31" s="3972"/>
      <c r="K31" s="79">
        <v>0</v>
      </c>
      <c r="L31" s="89">
        <f t="shared" si="10"/>
        <v>1128.3900000000001</v>
      </c>
      <c r="M31" s="68"/>
    </row>
    <row r="32" spans="1:13" ht="15.6">
      <c r="A32" s="72">
        <f t="shared" si="11"/>
        <v>16</v>
      </c>
      <c r="B32" s="73" t="s">
        <v>2745</v>
      </c>
      <c r="C32" s="74"/>
      <c r="D32" s="78"/>
      <c r="E32" s="80">
        <v>174</v>
      </c>
      <c r="F32" s="77"/>
      <c r="G32" s="78">
        <f>+'NP4 collars'!O8</f>
        <v>-0.5</v>
      </c>
      <c r="H32" s="79"/>
      <c r="I32" s="88"/>
      <c r="J32" s="3972"/>
      <c r="K32" s="79">
        <v>0</v>
      </c>
      <c r="L32" s="89">
        <f t="shared" si="10"/>
        <v>173.5</v>
      </c>
      <c r="M32" s="68"/>
    </row>
    <row r="33" spans="5:7">
      <c r="E33" s="81" t="s">
        <v>2746</v>
      </c>
      <c r="F33" s="82"/>
      <c r="G33" s="83">
        <v>5300</v>
      </c>
    </row>
    <row r="34" spans="5:7" ht="14.4" customHeight="1">
      <c r="E34" s="81" t="s">
        <v>2747</v>
      </c>
      <c r="G34" s="83">
        <v>55000</v>
      </c>
    </row>
  </sheetData>
  <sheetProtection password="83A3" sheet="1" objects="1" scenarios="1" selectLockedCells="1" selectUnlockedCells="1"/>
  <mergeCells count="10">
    <mergeCell ref="J23:J24"/>
    <mergeCell ref="J25:J26"/>
    <mergeCell ref="J27:J28"/>
    <mergeCell ref="J29:J30"/>
    <mergeCell ref="J31:J32"/>
    <mergeCell ref="C4:D4"/>
    <mergeCell ref="F16:G16"/>
    <mergeCell ref="J17:J18"/>
    <mergeCell ref="J19:J20"/>
    <mergeCell ref="J21:J22"/>
  </mergeCells>
  <pageMargins left="0.43307086614173201" right="0.27559055118110198" top="0.511811023622047" bottom="0.47244094488188998" header="0.511811023622047" footer="0.511811023622047"/>
  <pageSetup paperSize="9" scale="8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rgb="FFFF0000"/>
  </sheetPr>
  <dimension ref="A1:O15"/>
  <sheetViews>
    <sheetView topLeftCell="A3" workbookViewId="0">
      <selection activeCell="L8" sqref="A8:L15"/>
    </sheetView>
  </sheetViews>
  <sheetFormatPr defaultColWidth="9.109375" defaultRowHeight="13.2"/>
  <cols>
    <col min="1" max="1" width="7.88671875" style="54" customWidth="1"/>
    <col min="2" max="3" width="9.109375" style="54" customWidth="1"/>
    <col min="4" max="4" width="6.109375" style="54" customWidth="1"/>
    <col min="5" max="6" width="7" style="54" customWidth="1"/>
    <col min="7" max="7" width="7.109375" style="54" customWidth="1"/>
    <col min="8" max="8" width="8.44140625" style="54" customWidth="1"/>
    <col min="9" max="11" width="9.109375" style="54" customWidth="1"/>
    <col min="12" max="12" width="8.6640625" style="54" customWidth="1"/>
    <col min="13" max="14" width="15.44140625" style="54" customWidth="1"/>
    <col min="15" max="15" width="10.109375" style="54" customWidth="1"/>
    <col min="16" max="16" width="9.109375" style="54" customWidth="1"/>
    <col min="17" max="17" width="9.44140625" style="54" customWidth="1"/>
    <col min="18" max="18" width="8.6640625" style="54" customWidth="1"/>
    <col min="19" max="19" width="5.88671875" style="54" customWidth="1"/>
    <col min="20" max="21" width="6.88671875" style="54" customWidth="1"/>
    <col min="22" max="23" width="9.109375" style="54" customWidth="1"/>
    <col min="24" max="24" width="8.5546875" style="54" customWidth="1"/>
    <col min="25" max="25" width="8.109375" style="54" customWidth="1"/>
    <col min="26" max="26" width="9.109375" style="54" customWidth="1"/>
    <col min="27" max="27" width="9.44140625" style="54" customWidth="1"/>
    <col min="28" max="28" width="14.5546875" style="54" customWidth="1"/>
    <col min="29" max="29" width="14.109375" style="54" customWidth="1"/>
    <col min="30" max="30" width="8.109375" style="54" customWidth="1"/>
    <col min="31" max="16384" width="9.109375" style="54"/>
  </cols>
  <sheetData>
    <row r="1" spans="1:15" ht="15.6">
      <c r="C1" s="55" t="str">
        <f>'NP4 pipes'!B1</f>
        <v xml:space="preserve">BT Renewal from Balabadraipally to Danamma Thanda of Gundumal Mandal in Narayanpet District </v>
      </c>
    </row>
    <row r="2" spans="1:15">
      <c r="B2" s="54" t="s">
        <v>2707</v>
      </c>
    </row>
    <row r="3" spans="1:15">
      <c r="M3" s="58" t="s">
        <v>2708</v>
      </c>
    </row>
    <row r="4" spans="1:15">
      <c r="A4" s="54" t="s">
        <v>2748</v>
      </c>
    </row>
    <row r="6" spans="1:15" ht="39.6">
      <c r="A6" s="56" t="s">
        <v>2710</v>
      </c>
      <c r="B6" s="56" t="s">
        <v>2749</v>
      </c>
      <c r="C6" s="56" t="s">
        <v>2750</v>
      </c>
      <c r="D6" s="56" t="s">
        <v>2751</v>
      </c>
      <c r="E6" s="3970" t="s">
        <v>2752</v>
      </c>
      <c r="F6" s="3970"/>
      <c r="G6" s="56" t="s">
        <v>2713</v>
      </c>
      <c r="H6" s="56" t="s">
        <v>2714</v>
      </c>
      <c r="I6" s="56" t="s">
        <v>2715</v>
      </c>
      <c r="J6" s="56" t="s">
        <v>2716</v>
      </c>
      <c r="K6" s="56" t="s">
        <v>2717</v>
      </c>
      <c r="L6" s="56" t="s">
        <v>2718</v>
      </c>
      <c r="M6" s="56" t="s">
        <v>2719</v>
      </c>
      <c r="N6" s="56" t="s">
        <v>2720</v>
      </c>
      <c r="O6" s="56" t="s">
        <v>2721</v>
      </c>
    </row>
    <row r="7" spans="1:15">
      <c r="A7" s="57"/>
      <c r="B7" s="57"/>
      <c r="C7" s="57"/>
      <c r="D7" s="57"/>
      <c r="E7" s="57" t="s">
        <v>2722</v>
      </c>
      <c r="F7" s="57" t="s">
        <v>2723</v>
      </c>
      <c r="G7" s="57"/>
      <c r="H7" s="57"/>
      <c r="I7" s="57"/>
      <c r="J7" s="57"/>
      <c r="K7" s="57"/>
      <c r="L7" s="57"/>
      <c r="M7" s="57"/>
      <c r="N7" s="57"/>
      <c r="O7" s="57"/>
    </row>
    <row r="8" spans="1:15" ht="25.5" customHeight="1">
      <c r="A8" s="57">
        <v>300</v>
      </c>
      <c r="B8" s="57">
        <v>16</v>
      </c>
      <c r="C8" s="57">
        <v>30</v>
      </c>
      <c r="D8" s="57">
        <v>150</v>
      </c>
      <c r="E8" s="57">
        <v>0.11</v>
      </c>
      <c r="F8" s="57">
        <v>0.22</v>
      </c>
      <c r="G8" s="57">
        <f>PI()*((C8/1000)*(A8+C8)/1000)*D8/1000</f>
        <v>4.6652650905808432E-3</v>
      </c>
      <c r="H8" s="57">
        <f t="shared" ref="H8:H15" si="0">E8+F8*140/125</f>
        <v>0.35639999999999999</v>
      </c>
      <c r="I8" s="59">
        <f>'NP4 pipes'!G6</f>
        <v>5300</v>
      </c>
      <c r="J8" s="59">
        <f>'NP4 pipes'!H6</f>
        <v>5000</v>
      </c>
      <c r="K8" s="59">
        <f>'NP4 pipes'!I6</f>
        <v>55000</v>
      </c>
      <c r="L8" s="59">
        <f>'NP4 pipes'!J6</f>
        <v>55000</v>
      </c>
      <c r="M8" s="57">
        <f t="shared" ref="M8:M15" si="1">ROUND(360*G8*(J8-I8)/1000,2)</f>
        <v>-0.5</v>
      </c>
      <c r="N8" s="57">
        <f t="shared" ref="N8:N15" si="2">ROUND(H8*(L8-K8)/1000,2)</f>
        <v>0</v>
      </c>
      <c r="O8" s="57">
        <f t="shared" ref="O8:O15" si="3">N8+M8</f>
        <v>-0.5</v>
      </c>
    </row>
    <row r="9" spans="1:15" ht="25.5" customHeight="1">
      <c r="A9" s="57">
        <v>450</v>
      </c>
      <c r="B9" s="57">
        <v>19</v>
      </c>
      <c r="C9" s="57">
        <v>35</v>
      </c>
      <c r="D9" s="57">
        <v>200</v>
      </c>
      <c r="E9" s="57">
        <v>0.15</v>
      </c>
      <c r="F9" s="57">
        <v>0.6</v>
      </c>
      <c r="G9" s="57">
        <f>PI()*((C9/1000)*(A9+C9)/1000)*D9/1000</f>
        <v>1.0665707058937346E-2</v>
      </c>
      <c r="H9" s="57">
        <f t="shared" si="0"/>
        <v>0.82200000000000006</v>
      </c>
      <c r="I9" s="59">
        <f t="shared" ref="I9:L15" si="4">I8</f>
        <v>5300</v>
      </c>
      <c r="J9" s="59">
        <f t="shared" si="4"/>
        <v>5000</v>
      </c>
      <c r="K9" s="59">
        <f t="shared" si="4"/>
        <v>55000</v>
      </c>
      <c r="L9" s="59">
        <f t="shared" si="4"/>
        <v>55000</v>
      </c>
      <c r="M9" s="57">
        <f t="shared" si="1"/>
        <v>-1.1499999999999999</v>
      </c>
      <c r="N9" s="57">
        <f t="shared" si="2"/>
        <v>0</v>
      </c>
      <c r="O9" s="57">
        <f t="shared" si="3"/>
        <v>-1.1499999999999999</v>
      </c>
    </row>
    <row r="10" spans="1:15" ht="25.5" customHeight="1">
      <c r="A10" s="57">
        <v>600</v>
      </c>
      <c r="B10" s="57">
        <v>19</v>
      </c>
      <c r="C10" s="57">
        <v>40</v>
      </c>
      <c r="D10" s="57">
        <v>200</v>
      </c>
      <c r="E10" s="57">
        <v>0.23</v>
      </c>
      <c r="F10" s="57">
        <v>1.05</v>
      </c>
      <c r="G10" s="57">
        <f>PI()*((C10/1000)*(A10+C10)/1000)*D10/1000</f>
        <v>1.6084954386379743E-2</v>
      </c>
      <c r="H10" s="57">
        <f t="shared" si="0"/>
        <v>1.4059999999999999</v>
      </c>
      <c r="I10" s="59">
        <f t="shared" si="4"/>
        <v>5300</v>
      </c>
      <c r="J10" s="59">
        <f t="shared" si="4"/>
        <v>5000</v>
      </c>
      <c r="K10" s="59">
        <f t="shared" si="4"/>
        <v>55000</v>
      </c>
      <c r="L10" s="59">
        <f t="shared" si="4"/>
        <v>55000</v>
      </c>
      <c r="M10" s="57">
        <f t="shared" si="1"/>
        <v>-1.74</v>
      </c>
      <c r="N10" s="57">
        <f t="shared" si="2"/>
        <v>0</v>
      </c>
      <c r="O10" s="57">
        <f t="shared" si="3"/>
        <v>-1.74</v>
      </c>
    </row>
    <row r="11" spans="1:15" ht="25.5" customHeight="1">
      <c r="A11" s="57">
        <v>700</v>
      </c>
      <c r="B11" s="57">
        <v>19</v>
      </c>
      <c r="C11" s="57">
        <v>45</v>
      </c>
      <c r="D11" s="57">
        <v>200</v>
      </c>
      <c r="E11" s="57">
        <v>0.23</v>
      </c>
      <c r="F11" s="57">
        <v>1.85</v>
      </c>
      <c r="G11" s="57">
        <f t="shared" ref="G11:G15" si="5">PI()*((C11/1000)*(A11+C11)/1000)*D11/1000</f>
        <v>2.1064378742319562E-2</v>
      </c>
      <c r="H11" s="57">
        <f t="shared" si="0"/>
        <v>2.302</v>
      </c>
      <c r="I11" s="59">
        <f t="shared" si="4"/>
        <v>5300</v>
      </c>
      <c r="J11" s="59">
        <f t="shared" si="4"/>
        <v>5000</v>
      </c>
      <c r="K11" s="59">
        <f t="shared" si="4"/>
        <v>55000</v>
      </c>
      <c r="L11" s="59">
        <f t="shared" si="4"/>
        <v>55000</v>
      </c>
      <c r="M11" s="57">
        <f t="shared" si="1"/>
        <v>-2.27</v>
      </c>
      <c r="N11" s="57">
        <f t="shared" si="2"/>
        <v>0</v>
      </c>
      <c r="O11" s="57">
        <f t="shared" si="3"/>
        <v>-2.27</v>
      </c>
    </row>
    <row r="12" spans="1:15" ht="25.5" customHeight="1">
      <c r="A12" s="57">
        <v>800</v>
      </c>
      <c r="B12" s="57">
        <v>19</v>
      </c>
      <c r="C12" s="57">
        <v>50</v>
      </c>
      <c r="D12" s="57">
        <v>200</v>
      </c>
      <c r="E12" s="57">
        <v>0.23</v>
      </c>
      <c r="F12" s="57">
        <v>2.0499999999999998</v>
      </c>
      <c r="G12" s="57">
        <f t="shared" si="5"/>
        <v>2.6703537555513246E-2</v>
      </c>
      <c r="H12" s="57">
        <f t="shared" si="0"/>
        <v>2.5259999999999998</v>
      </c>
      <c r="I12" s="59">
        <f>+I11</f>
        <v>5300</v>
      </c>
      <c r="J12" s="59">
        <f>+J11</f>
        <v>5000</v>
      </c>
      <c r="K12" s="59">
        <f>+K11</f>
        <v>55000</v>
      </c>
      <c r="L12" s="59">
        <f>+L11</f>
        <v>55000</v>
      </c>
      <c r="M12" s="57">
        <f t="shared" ref="M12" si="6">ROUND(360*G12*(J12-I12)/1000,2)</f>
        <v>-2.88</v>
      </c>
      <c r="N12" s="57">
        <f t="shared" ref="N12" si="7">ROUND(H12*(L12-K12)/1000,2)</f>
        <v>0</v>
      </c>
      <c r="O12" s="57">
        <f t="shared" si="3"/>
        <v>-2.88</v>
      </c>
    </row>
    <row r="13" spans="1:15" ht="25.5" customHeight="1">
      <c r="A13" s="57">
        <v>900</v>
      </c>
      <c r="B13" s="57">
        <v>19</v>
      </c>
      <c r="C13" s="57">
        <v>55</v>
      </c>
      <c r="D13" s="57">
        <v>200</v>
      </c>
      <c r="E13" s="57">
        <v>0.33</v>
      </c>
      <c r="F13" s="57">
        <v>2.25</v>
      </c>
      <c r="G13" s="57">
        <f t="shared" si="5"/>
        <v>3.3002430825960771E-2</v>
      </c>
      <c r="H13" s="57">
        <f t="shared" si="0"/>
        <v>2.85</v>
      </c>
      <c r="I13" s="59">
        <f>I11</f>
        <v>5300</v>
      </c>
      <c r="J13" s="59">
        <f>J11</f>
        <v>5000</v>
      </c>
      <c r="K13" s="59">
        <f>K11</f>
        <v>55000</v>
      </c>
      <c r="L13" s="59">
        <f>L11</f>
        <v>55000</v>
      </c>
      <c r="M13" s="57">
        <f t="shared" si="1"/>
        <v>-3.56</v>
      </c>
      <c r="N13" s="57">
        <f t="shared" si="2"/>
        <v>0</v>
      </c>
      <c r="O13" s="57">
        <f t="shared" si="3"/>
        <v>-3.56</v>
      </c>
    </row>
    <row r="14" spans="1:15" ht="25.5" customHeight="1">
      <c r="A14" s="57">
        <v>1000</v>
      </c>
      <c r="B14" s="57">
        <v>19</v>
      </c>
      <c r="C14" s="57">
        <v>60</v>
      </c>
      <c r="D14" s="57">
        <v>200</v>
      </c>
      <c r="E14" s="57">
        <v>0.33</v>
      </c>
      <c r="F14" s="57">
        <v>3.09</v>
      </c>
      <c r="G14" s="57">
        <f t="shared" si="5"/>
        <v>3.9961058553662165E-2</v>
      </c>
      <c r="H14" s="57">
        <f t="shared" si="0"/>
        <v>3.7907999999999999</v>
      </c>
      <c r="I14" s="59">
        <f t="shared" si="4"/>
        <v>5300</v>
      </c>
      <c r="J14" s="59">
        <f t="shared" si="4"/>
        <v>5000</v>
      </c>
      <c r="K14" s="59">
        <f t="shared" si="4"/>
        <v>55000</v>
      </c>
      <c r="L14" s="59">
        <f t="shared" si="4"/>
        <v>55000</v>
      </c>
      <c r="M14" s="57">
        <f t="shared" si="1"/>
        <v>-4.32</v>
      </c>
      <c r="N14" s="57">
        <f t="shared" si="2"/>
        <v>0</v>
      </c>
      <c r="O14" s="57">
        <f t="shared" si="3"/>
        <v>-4.32</v>
      </c>
    </row>
    <row r="15" spans="1:15" ht="25.5" customHeight="1">
      <c r="A15" s="57">
        <v>1200</v>
      </c>
      <c r="B15" s="57">
        <v>19</v>
      </c>
      <c r="C15" s="57">
        <v>75</v>
      </c>
      <c r="D15" s="57">
        <v>200</v>
      </c>
      <c r="E15" s="57">
        <v>0.5</v>
      </c>
      <c r="F15" s="57">
        <v>5.08</v>
      </c>
      <c r="G15" s="57">
        <f t="shared" si="5"/>
        <v>6.0082959499904796E-2</v>
      </c>
      <c r="H15" s="57">
        <f t="shared" si="0"/>
        <v>6.1896000000000004</v>
      </c>
      <c r="I15" s="59">
        <f t="shared" si="4"/>
        <v>5300</v>
      </c>
      <c r="J15" s="59">
        <f t="shared" si="4"/>
        <v>5000</v>
      </c>
      <c r="K15" s="59">
        <f t="shared" si="4"/>
        <v>55000</v>
      </c>
      <c r="L15" s="59">
        <f t="shared" si="4"/>
        <v>55000</v>
      </c>
      <c r="M15" s="57">
        <f t="shared" si="1"/>
        <v>-6.49</v>
      </c>
      <c r="N15" s="57">
        <f t="shared" si="2"/>
        <v>0</v>
      </c>
      <c r="O15" s="57">
        <f t="shared" si="3"/>
        <v>-6.49</v>
      </c>
    </row>
  </sheetData>
  <sheetProtection password="83A3" sheet="1" objects="1" scenarios="1" selectLockedCells="1" selectUnlockedCells="1"/>
  <mergeCells count="1">
    <mergeCell ref="E6:F6"/>
  </mergeCells>
  <pageMargins left="0.45" right="0.28000000000000003" top="0.53" bottom="0.48" header="0.5" footer="0.5"/>
  <pageSetup paperSize="9" scale="95" orientation="landscape"/>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G29"/>
  <sheetViews>
    <sheetView workbookViewId="0">
      <selection activeCell="K18" sqref="K18"/>
    </sheetView>
  </sheetViews>
  <sheetFormatPr defaultColWidth="8.88671875" defaultRowHeight="14.4"/>
  <cols>
    <col min="1" max="1" width="23.6640625" style="1" customWidth="1"/>
    <col min="2" max="2" width="31.6640625" style="1" customWidth="1"/>
    <col min="3" max="3" width="38.88671875" style="1" customWidth="1"/>
    <col min="4" max="6" width="14.33203125" style="1" customWidth="1"/>
    <col min="7" max="7" width="13.88671875" style="1" customWidth="1"/>
    <col min="8" max="16384" width="8.88671875" style="1"/>
  </cols>
  <sheetData>
    <row r="1" spans="1:7" ht="15.6">
      <c r="A1" s="3003" t="str">
        <f>'Schedule-A'!D3</f>
        <v xml:space="preserve">BT Renewal from Balabadraipally to Danamma Thanda of Gundumal Mandal in Narayanpet District </v>
      </c>
      <c r="B1" s="3003"/>
      <c r="C1" s="3003"/>
      <c r="D1" s="3003"/>
      <c r="E1" s="3003"/>
      <c r="F1" s="3003"/>
      <c r="G1" s="3"/>
    </row>
    <row r="2" spans="1:7" ht="15.6">
      <c r="A2" s="2"/>
      <c r="B2" s="2" t="str">
        <f>"NIT.No-"&amp;'Input Data'!L5</f>
        <v>NIT.No--</v>
      </c>
      <c r="C2" s="4">
        <f>'Schedule-A'!C4</f>
        <v>96.15</v>
      </c>
      <c r="D2" s="2"/>
      <c r="E2" s="2"/>
      <c r="F2" s="2"/>
      <c r="G2" s="3"/>
    </row>
    <row r="3" spans="1:7" ht="17.399999999999999">
      <c r="A3" s="5" t="s">
        <v>330</v>
      </c>
      <c r="B3" s="6">
        <f>'Schedule-A'!H192</f>
        <v>7737566</v>
      </c>
      <c r="C3" s="7">
        <f>B3</f>
        <v>7737566</v>
      </c>
      <c r="D3" s="1820" t="s">
        <v>331</v>
      </c>
      <c r="E3" s="8">
        <v>1.4999999999999999E-2</v>
      </c>
      <c r="F3" s="8">
        <v>2.5000000000000001E-2</v>
      </c>
      <c r="G3" s="9"/>
    </row>
    <row r="4" spans="1:7">
      <c r="A4" s="10" t="s">
        <v>332</v>
      </c>
      <c r="B4" s="11" t="s">
        <v>333</v>
      </c>
      <c r="C4" s="12">
        <f>CEILING(1%*B3,100)</f>
        <v>77400</v>
      </c>
      <c r="D4" s="13">
        <f>CEILING(1%*C3,100)</f>
        <v>77400</v>
      </c>
      <c r="E4" s="13">
        <f>CEILING(1.5%*C3,100)</f>
        <v>116100</v>
      </c>
      <c r="F4" s="13">
        <f>SUM(D4:E4)</f>
        <v>193500</v>
      </c>
      <c r="G4" s="9"/>
    </row>
    <row r="5" spans="1:7" ht="21.6">
      <c r="A5" s="14" t="s">
        <v>334</v>
      </c>
      <c r="B5" s="15" t="s">
        <v>335</v>
      </c>
      <c r="C5" s="16" t="s">
        <v>336</v>
      </c>
      <c r="D5" s="17">
        <f>1.12368*(ROUND(0.03%*C3,0))</f>
        <v>2608.0612799999999</v>
      </c>
      <c r="E5" s="18" t="s">
        <v>337</v>
      </c>
      <c r="F5" s="19"/>
      <c r="G5" s="9"/>
    </row>
    <row r="6" spans="1:7" ht="66">
      <c r="A6" s="20" t="s">
        <v>338</v>
      </c>
      <c r="B6" s="21">
        <v>12</v>
      </c>
      <c r="C6" s="22" t="s">
        <v>2753</v>
      </c>
      <c r="D6" s="23"/>
      <c r="E6" s="23"/>
      <c r="F6" s="23"/>
      <c r="G6" s="9"/>
    </row>
    <row r="7" spans="1:7" ht="22.8">
      <c r="A7" s="20" t="s">
        <v>340</v>
      </c>
      <c r="B7" s="24" t="s">
        <v>341</v>
      </c>
      <c r="C7" s="25">
        <f>ROUNDUP((3*C3)/(B6),0)</f>
        <v>1934392</v>
      </c>
      <c r="D7" s="26" t="s">
        <v>342</v>
      </c>
      <c r="E7" s="27" t="e">
        <f>'Schedule-A'!#REF!</f>
        <v>#REF!</v>
      </c>
      <c r="F7" s="28" t="e">
        <f>'Schedule-A'!#REF!</f>
        <v>#REF!</v>
      </c>
      <c r="G7" s="9"/>
    </row>
    <row r="8" spans="1:7" ht="26.4">
      <c r="A8" s="20" t="s">
        <v>343</v>
      </c>
      <c r="B8" s="29" t="s">
        <v>344</v>
      </c>
      <c r="C8" s="25">
        <f>ROUNDUP(50%*C3*12/B6,0)</f>
        <v>3868783</v>
      </c>
      <c r="D8" s="9"/>
      <c r="E8" s="9"/>
      <c r="F8" s="9"/>
      <c r="G8" s="9"/>
    </row>
    <row r="9" spans="1:7">
      <c r="A9" s="20" t="s">
        <v>345</v>
      </c>
      <c r="B9" s="29" t="s">
        <v>330</v>
      </c>
      <c r="C9" s="25">
        <f>C3</f>
        <v>7737566</v>
      </c>
      <c r="D9" s="9"/>
      <c r="E9" s="9"/>
      <c r="F9" s="9"/>
      <c r="G9" s="9"/>
    </row>
    <row r="10" spans="1:7" ht="27">
      <c r="A10" s="30" t="s">
        <v>346</v>
      </c>
      <c r="B10" s="31" t="s">
        <v>347</v>
      </c>
      <c r="C10" s="32" t="s">
        <v>348</v>
      </c>
      <c r="D10" s="23"/>
      <c r="E10" s="9"/>
      <c r="F10" s="9"/>
      <c r="G10" s="9"/>
    </row>
    <row r="11" spans="1:7">
      <c r="A11" s="33" t="s">
        <v>349</v>
      </c>
      <c r="B11" s="34"/>
      <c r="C11" s="35">
        <f>ROUNDUP(B11*50%*12/B6,0)</f>
        <v>0</v>
      </c>
      <c r="D11" s="23" t="s">
        <v>31</v>
      </c>
      <c r="E11" s="9"/>
      <c r="F11" s="9"/>
      <c r="G11" s="9"/>
    </row>
    <row r="12" spans="1:7">
      <c r="A12" s="33" t="s">
        <v>350</v>
      </c>
      <c r="B12" s="34"/>
      <c r="C12" s="35">
        <f>ROUNDUP(B12*50%*12/B6,0)</f>
        <v>0</v>
      </c>
      <c r="D12" s="23" t="s">
        <v>31</v>
      </c>
      <c r="E12" s="9"/>
      <c r="F12" s="9"/>
      <c r="G12" s="9"/>
    </row>
    <row r="13" spans="1:7">
      <c r="A13" s="33" t="s">
        <v>351</v>
      </c>
      <c r="B13" s="34"/>
      <c r="C13" s="35">
        <f>ROUNDUP(B13*50%*12/B6,0)</f>
        <v>0</v>
      </c>
      <c r="D13" s="23" t="s">
        <v>31</v>
      </c>
      <c r="E13" s="9"/>
      <c r="F13" s="9"/>
      <c r="G13" s="9"/>
    </row>
    <row r="14" spans="1:7">
      <c r="A14" s="33" t="s">
        <v>352</v>
      </c>
      <c r="B14" s="34"/>
      <c r="C14" s="35">
        <f>ROUNDUP(B14*50%*12/B6,0)</f>
        <v>0</v>
      </c>
      <c r="D14" s="23" t="s">
        <v>353</v>
      </c>
      <c r="E14" s="9"/>
      <c r="F14" s="9"/>
      <c r="G14" s="9"/>
    </row>
    <row r="15" spans="1:7">
      <c r="A15" s="33" t="s">
        <v>354</v>
      </c>
      <c r="B15" s="36"/>
      <c r="C15" s="35">
        <f>ROUNDUP(B15*50%*12/B6,0)</f>
        <v>0</v>
      </c>
      <c r="D15" s="23" t="s">
        <v>31</v>
      </c>
      <c r="E15" s="9"/>
      <c r="F15" s="9"/>
      <c r="G15" s="9"/>
    </row>
    <row r="16" spans="1:7">
      <c r="A16" s="37"/>
      <c r="B16" s="3"/>
      <c r="C16" s="38"/>
      <c r="D16" s="3"/>
      <c r="E16" s="3"/>
      <c r="F16" s="3"/>
      <c r="G16" s="3"/>
    </row>
    <row r="17" spans="1:7">
      <c r="A17" s="10" t="s">
        <v>355</v>
      </c>
      <c r="B17" s="39" t="s">
        <v>356</v>
      </c>
      <c r="C17" s="40">
        <f>(C9/3)</f>
        <v>2579188.6666666665</v>
      </c>
      <c r="D17" s="41"/>
      <c r="E17" s="3"/>
      <c r="F17" s="3"/>
      <c r="G17" s="3"/>
    </row>
    <row r="18" spans="1:7">
      <c r="A18" s="10"/>
      <c r="B18" s="39" t="s">
        <v>357</v>
      </c>
      <c r="C18" s="40">
        <f>2*C17</f>
        <v>5158377.333333333</v>
      </c>
      <c r="D18" s="41"/>
      <c r="E18" s="3"/>
      <c r="F18" s="3"/>
      <c r="G18" s="3"/>
    </row>
    <row r="19" spans="1:7">
      <c r="A19" s="10"/>
      <c r="B19" s="39" t="s">
        <v>358</v>
      </c>
      <c r="C19" s="40">
        <f>3*C17</f>
        <v>7737566</v>
      </c>
      <c r="D19" s="41"/>
      <c r="E19" s="3"/>
      <c r="F19" s="3"/>
      <c r="G19" s="3"/>
    </row>
    <row r="20" spans="1:7" ht="26.4">
      <c r="A20" s="9"/>
      <c r="B20" s="42"/>
      <c r="C20" s="43" t="s">
        <v>366</v>
      </c>
      <c r="D20" s="44"/>
      <c r="E20" s="23"/>
      <c r="F20" s="45" t="s">
        <v>359</v>
      </c>
      <c r="G20" s="44"/>
    </row>
    <row r="21" spans="1:7">
      <c r="A21" s="10" t="s">
        <v>361</v>
      </c>
      <c r="B21" s="39" t="s">
        <v>362</v>
      </c>
      <c r="C21" s="46">
        <f>ROUND(((C3/3)/1000),0)</f>
        <v>2579</v>
      </c>
      <c r="D21" s="47">
        <f>C21*10%</f>
        <v>257.90000000000003</v>
      </c>
      <c r="E21" s="48">
        <f>C3/3</f>
        <v>2579188.6666666665</v>
      </c>
      <c r="F21" s="49">
        <f>E21*100/100000</f>
        <v>2579.1886666666664</v>
      </c>
      <c r="G21" s="3"/>
    </row>
    <row r="22" spans="1:7">
      <c r="A22" s="3"/>
      <c r="B22" s="39" t="s">
        <v>363</v>
      </c>
      <c r="C22" s="46">
        <f>C21*2</f>
        <v>5158</v>
      </c>
      <c r="D22" s="47">
        <f t="shared" ref="D22:D23" si="0">C22*10%</f>
        <v>515.80000000000007</v>
      </c>
      <c r="E22" s="48">
        <f>E21*2</f>
        <v>5158377.333333333</v>
      </c>
      <c r="F22" s="49">
        <f>E22*100/100000</f>
        <v>5158.3773333333329</v>
      </c>
      <c r="G22" s="3"/>
    </row>
    <row r="23" spans="1:7">
      <c r="A23" s="3"/>
      <c r="B23" s="39" t="s">
        <v>364</v>
      </c>
      <c r="C23" s="46">
        <f>C21*3</f>
        <v>7737</v>
      </c>
      <c r="D23" s="47">
        <f t="shared" si="0"/>
        <v>773.7</v>
      </c>
      <c r="E23" s="48">
        <f>E21*3</f>
        <v>7737566</v>
      </c>
      <c r="F23" s="49">
        <f>E23*100/100000</f>
        <v>7737.5659999999998</v>
      </c>
      <c r="G23" s="3"/>
    </row>
    <row r="24" spans="1:7">
      <c r="A24" s="50"/>
      <c r="B24" s="51"/>
      <c r="C24" s="39"/>
      <c r="D24" s="3"/>
      <c r="E24" s="52"/>
      <c r="F24" s="52"/>
      <c r="G24" s="3"/>
    </row>
    <row r="25" spans="1:7">
      <c r="A25" s="3"/>
      <c r="B25" s="43" t="s">
        <v>60</v>
      </c>
      <c r="C25" s="53">
        <f>C21*3</f>
        <v>7737</v>
      </c>
      <c r="D25" s="3"/>
      <c r="E25" s="52"/>
      <c r="F25" s="52"/>
      <c r="G25" s="47"/>
    </row>
    <row r="26" spans="1:7">
      <c r="A26" s="3"/>
      <c r="B26" s="3"/>
      <c r="C26" s="3"/>
      <c r="D26" s="3"/>
      <c r="E26" s="52"/>
      <c r="F26" s="52"/>
      <c r="G26" s="47"/>
    </row>
    <row r="27" spans="1:7">
      <c r="A27" s="3"/>
      <c r="B27" s="3"/>
      <c r="C27" s="3"/>
      <c r="D27" s="3"/>
      <c r="E27" s="52"/>
      <c r="F27" s="52"/>
      <c r="G27" s="47"/>
    </row>
    <row r="28" spans="1:7">
      <c r="A28" s="3"/>
      <c r="B28" s="3"/>
      <c r="C28" s="3"/>
      <c r="D28" s="3"/>
      <c r="E28" s="52"/>
      <c r="F28" s="52"/>
      <c r="G28" s="47"/>
    </row>
    <row r="29" spans="1:7">
      <c r="D29" s="3"/>
      <c r="E29" s="52"/>
      <c r="F29" s="52"/>
    </row>
  </sheetData>
  <mergeCells count="1">
    <mergeCell ref="A1:F1"/>
  </mergeCells>
  <printOptions horizontalCentered="1" gridLines="1"/>
  <pageMargins left="0.196850393700787" right="0.196850393700787" top="0.196850393700787" bottom="0.196850393700787" header="0.118110236220472" footer="0.118110236220472"/>
  <pageSetup orientation="landscape"/>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rangeList sheetStid="5" master="" otherUserPermission="visible"/>
  <rangeList sheetStid="127" master="" otherUserPermission="visible"/>
  <rangeList sheetStid="179" master="" otherUserPermission="visible"/>
  <rangeList sheetStid="107" master="" otherUserPermission="visible">
    <arrUserId title="Range1" rangeCreator="" othersAccessPermission="edit"/>
    <arrUserId title="Range1_1" rangeCreator="" othersAccessPermission="edit"/>
  </rangeList>
  <rangeList sheetStid="198" master="" otherUserPermission="visible"/>
  <rangeList sheetStid="200" master="" otherUserPermission="visible"/>
  <rangeList sheetStid="174" master="" otherUserPermission="visible">
    <arrUserId title="Range1" rangeCreator="" othersAccessPermission="edit"/>
  </rangeList>
  <rangeList sheetStid="133" master="" otherUserPermission="visible"/>
  <rangeList sheetStid="191" master="" otherUserPermission="visible"/>
  <rangeList sheetStid="175" master="" otherUserPermission="visible">
    <arrUserId title="Range2" rangeCreator="" othersAccessPermission="edit"/>
    <arrUserId title="Range3" rangeCreator="" othersAccessPermission="edit"/>
    <arrUserId title="Range2_1_1" rangeCreator="" othersAccessPermission="edit"/>
  </rangeList>
  <rangeList sheetStid="185" master="" otherUserPermission="visible"/>
  <rangeList sheetStid="201" master="" otherUserPermission="visible"/>
  <rangeList sheetStid="164" master="" otherUserPermission="visible">
    <arrUserId title="Range4" rangeCreator="" othersAccessPermission="edit"/>
    <arrUserId title="Range4_1" rangeCreator="" othersAccessPermission="edit"/>
    <arrUserId title="Range4_2" rangeCreator="" othersAccessPermission="edit"/>
    <arrUserId title="Range4_3" rangeCreator="" othersAccessPermission="edit"/>
    <arrUserId title="Range4_4" rangeCreator="" othersAccessPermission="edit"/>
    <arrUserId title="Range4_5" rangeCreator="" othersAccessPermission="edit"/>
  </rangeList>
  <rangeList sheetStid="197" master="" otherUserPermission="visible"/>
  <rangeList sheetStid="193" master="" otherUserPermission="visible"/>
  <rangeList sheetStid="128" master="" otherUserPermission="visible"/>
  <rangeList sheetStid="178" master="" otherUserPermission="visible"/>
  <rangeList sheetStid="189" master="" otherUserPermission="visible">
    <arrUserId title="Range3" rangeCreator="" othersAccessPermission="edit"/>
    <arrUserId title="Range1" rangeCreator="" othersAccessPermission="edit"/>
    <arrUserId title="Range4" rangeCreator="" othersAccessPermission="edit"/>
    <arrUserId title="Range4_2" rangeCreator="" othersAccessPermission="edit"/>
    <arrUserId title="Range4_1_1" rangeCreator="" othersAccessPermission="edit"/>
    <arrUserId title="Range4_2_1" rangeCreator="" othersAccessPermission="edit"/>
    <arrUserId title="Range3_1" rangeCreator="" othersAccessPermission="edit"/>
    <arrUserId title="Range1_1" rangeCreator="" othersAccessPermission="edit"/>
  </rangeList>
  <rangeList sheetStid="139" master="" otherUserPermission="visible"/>
  <rangeList sheetStid="140" master="" otherUserPermission="visible">
    <arrUserId title="Range6" rangeCreator="" othersAccessPermission="edit"/>
    <arrUserId title="Range5" rangeCreator="" othersAccessPermission="edit"/>
    <arrUserId title="Range4" rangeCreator="" othersAccessPermission="edit"/>
    <arrUserId title="Range3" rangeCreator="" othersAccessPermission="edit"/>
    <arrUserId title="Range2" rangeCreator="" othersAccessPermission="edit"/>
    <arrUserId title="Range1" rangeCreator="" othersAccessPermission="edit"/>
  </rangeList>
  <rangeList sheetStid="141" master="" otherUserPermission="visible"/>
  <rangeList sheetStid="187" master="" otherUserPermission="visible">
    <arrUserId title="Range4" rangeCreator="" othersAccessPermission="edit"/>
    <arrUserId title="Range4_1" rangeCreator="" othersAccessPermission="edit"/>
  </rangeList>
  <rangeList sheetStid="204" master="" otherUserPermission="visible">
    <arrUserId title="Range4_3" rangeCreator="" othersAccessPermission="edit"/>
    <arrUserId title="Range4_4" rangeCreator="" othersAccessPermission="edit"/>
  </rangeList>
  <rangeList sheetStid="169" master="" otherUserPermission="visible">
    <arrUserId title="Range4" rangeCreator="" othersAccessPermission="edit"/>
    <arrUserId title="Range4_1" rangeCreator="" othersAccessPermission="edit"/>
  </rangeList>
  <rangeList sheetStid="171" master="" otherUserPermission="visible">
    <arrUserId title="Range4" rangeCreator="" othersAccessPermission="edit"/>
  </rangeList>
  <rangeList sheetStid="203" master="" otherUserPermission="visible">
    <arrUserId title="Range3" rangeCreator="" othersAccessPermission="edit"/>
    <arrUserId title="Range2" rangeCreator="" othersAccessPermission="edit"/>
    <arrUserId title="Range1" rangeCreator="" othersAccessPermission="edit"/>
  </rangeList>
  <rangeList sheetStid="94" master="" otherUserPermission="visible"/>
  <rangeList sheetStid="119" master="" otherUserPermission="visible"/>
  <rangeList sheetStid="190" master="" otherUserPermission="visible">
    <arrUserId title="Range4_1_2" rangeCreator="" othersAccessPermission="edit"/>
    <arrUserId title="Range4_1_1_1" rangeCreator="" othersAccessPermission="edit"/>
  </rangeList>
  <rangeList sheetStid="162" master="" otherUserPermission="visible"/>
  <rangeList sheetStid="163" master="" otherUserPermission="visible"/>
  <rangeList sheetStid="7" master="" otherUserPermission="visible"/>
  <rangeList sheetStid="195" master="" otherUserPermission="visible"/>
  <rangeList sheetStid="199" master="" otherUserPermission="visible">
    <arrUserId title="Range4_3" rangeCreator="" othersAccessPermission="edit"/>
    <arrUserId title="Range4_4" rangeCreator="" othersAccessPermission="edit"/>
  </rangeList>
  <rangeList sheetStid="168" master="" otherUserPermission="visible">
    <arrUserId title="Range4" rangeCreator="" othersAccessPermission="edit"/>
    <arrUserId title="Range4_1" rangeCreator="" othersAccessPermission="edit"/>
  </rangeList>
  <rangeList sheetStid="167" master="" otherUserPermission="visible">
    <arrUserId title="Range4" rangeCreator="" othersAccessPermission="edit"/>
    <arrUserId title="Range4_1" rangeCreator="" othersAccessPermission="edit"/>
  </rangeList>
  <rangeList sheetStid="132" master="" otherUserPermission="visible"/>
  <rangeList sheetStid="182" master="" otherUserPermission="visible"/>
  <rangeList sheetStid="186" master="" otherUserPermission="visible">
    <arrUserId title="Range4" rangeCreator="" othersAccessPermission="edit"/>
    <arrUserId title="Range4_1" rangeCreator="" othersAccessPermission="edit"/>
  </rangeList>
  <rangeList sheetStid="165" master="" otherUserPermission="visible">
    <arrUserId title="Range4_3" rangeCreator="" othersAccessPermission="edit"/>
    <arrUserId title="Range4_4" rangeCreator="" othersAccessPermission="edit"/>
  </rangeList>
  <rangeList sheetStid="170" master="" otherUserPermission="visible">
    <arrUserId title="Range4" rangeCreator="" othersAccessPermission="edit"/>
    <arrUserId title="Range4_1" rangeCreator="" othersAccessPermission="edit"/>
  </rangeList>
  <rangeList sheetStid="150" master="" otherUserPermission="visible"/>
  <rangeList sheetStid="86" master="" otherUserPermission="visible"/>
  <rangeList sheetStid="113" master="" otherUserPermission="visible"/>
  <rangeList sheetStid="202" master="" otherUserPermission="visible"/>
  <rangeList sheetStid="146" master="" otherUserPermission="visible"/>
  <rangeList sheetStid="147" master="" otherUserPermission="visible"/>
  <rangeList sheetStid="184" master="" otherUserPermission="visible"/>
  <rangeList sheetStid="205"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www.w3.org/2000/xmlns/"/>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48</vt:i4>
      </vt:variant>
      <vt:variant>
        <vt:lpstr>Named Ranges</vt:lpstr>
      </vt:variant>
      <vt:variant>
        <vt:i4>50</vt:i4>
      </vt:variant>
    </vt:vector>
  </HeadingPairs>
  <TitlesOfParts>
    <vt:vector size="98" baseType="lpstr">
      <vt:lpstr>VUP Data</vt:lpstr>
      <vt:lpstr>temp-calculations</vt:lpstr>
      <vt:lpstr>Input Data</vt:lpstr>
      <vt:lpstr>Cover Page</vt:lpstr>
      <vt:lpstr>Inspection Report</vt:lpstr>
      <vt:lpstr>Note File</vt:lpstr>
      <vt:lpstr>GA</vt:lpstr>
      <vt:lpstr>ESAL-result</vt:lpstr>
      <vt:lpstr>TRAFF-Count-ESAL-Cal</vt:lpstr>
      <vt:lpstr>SPR</vt:lpstr>
      <vt:lpstr>Key Map</vt:lpstr>
      <vt:lpstr>Road Estimate</vt:lpstr>
      <vt:lpstr>ESAL-calculation </vt:lpstr>
      <vt:lpstr>ESAL-Data</vt:lpstr>
      <vt:lpstr>Cover</vt:lpstr>
      <vt:lpstr>google-map</vt:lpstr>
      <vt:lpstr>Road-furniture </vt:lpstr>
      <vt:lpstr>RSI-Estt</vt:lpstr>
      <vt:lpstr>Road data</vt:lpstr>
      <vt:lpstr>Road Furniture-Data</vt:lpstr>
      <vt:lpstr>CD Abs</vt:lpstr>
      <vt:lpstr>Mtc-Abs</vt:lpstr>
      <vt:lpstr>MTS Esti</vt:lpstr>
      <vt:lpstr>Mtc-data</vt:lpstr>
      <vt:lpstr>Slab Culvert 2V 6m x 2m spa</vt:lpstr>
      <vt:lpstr>3V 1m dia Pipe Culverts</vt:lpstr>
      <vt:lpstr>Ret wall</vt:lpstr>
      <vt:lpstr>Slab-Culverts Data</vt:lpstr>
      <vt:lpstr>Seigneorage</vt:lpstr>
      <vt:lpstr>Schedule-A</vt:lpstr>
      <vt:lpstr>Schedule-A (Part-B)</vt:lpstr>
      <vt:lpstr>lead</vt:lpstr>
      <vt:lpstr>LS_2LS</vt:lpstr>
      <vt:lpstr>1V 1m dia Pipe Culverts</vt:lpstr>
      <vt:lpstr>Road dam 30m</vt:lpstr>
      <vt:lpstr>Slab Culvert 1V 5m x 2m span</vt:lpstr>
      <vt:lpstr>Road-Marks</vt:lpstr>
      <vt:lpstr>TENDER-NF</vt:lpstr>
      <vt:lpstr>Slab Culvert 1V 6m x 2m spa</vt:lpstr>
      <vt:lpstr>2V 1m dia Pipe Culverts</vt:lpstr>
      <vt:lpstr>Drain </vt:lpstr>
      <vt:lpstr>SSR-rates</vt:lpstr>
      <vt:lpstr>Pipe data</vt:lpstr>
      <vt:lpstr>MTC DAtas</vt:lpstr>
      <vt:lpstr>NP4 pipes</vt:lpstr>
      <vt:lpstr>NP4 collars</vt:lpstr>
      <vt:lpstr>TEMP-CAL</vt:lpstr>
      <vt:lpstr>Sheet2</vt:lpstr>
      <vt:lpstr>'ESAL-calculation '!BT_Rate_60_70</vt:lpstr>
      <vt:lpstr>BT_Rate_60_70</vt:lpstr>
      <vt:lpstr>'ESAL-calculation '!Emultion_SS</vt:lpstr>
      <vt:lpstr>Emultion_SS</vt:lpstr>
      <vt:lpstr>'ESAL-calculation '!Emution_RS</vt:lpstr>
      <vt:lpstr>Emution_RS</vt:lpstr>
      <vt:lpstr>'2V 1m dia Pipe Culverts'!Print_Area</vt:lpstr>
      <vt:lpstr>'3V 1m dia Pipe Culverts'!Print_Area</vt:lpstr>
      <vt:lpstr>Cover!Print_Area</vt:lpstr>
      <vt:lpstr>'ESAL-result'!Print_Area</vt:lpstr>
      <vt:lpstr>GA!Print_Area</vt:lpstr>
      <vt:lpstr>'Input Data'!Print_Area</vt:lpstr>
      <vt:lpstr>'Key Map'!Print_Area</vt:lpstr>
      <vt:lpstr>lead!Print_Area</vt:lpstr>
      <vt:lpstr>LS_2LS!Print_Area</vt:lpstr>
      <vt:lpstr>'MTS Esti'!Print_Area</vt:lpstr>
      <vt:lpstr>'Note File'!Print_Area</vt:lpstr>
      <vt:lpstr>'NP4 pipes'!Print_Area</vt:lpstr>
      <vt:lpstr>'Road data'!Print_Area</vt:lpstr>
      <vt:lpstr>'Road Estimate'!Print_Area</vt:lpstr>
      <vt:lpstr>'Road Furniture-Data'!Print_Area</vt:lpstr>
      <vt:lpstr>'Road-furniture '!Print_Area</vt:lpstr>
      <vt:lpstr>'Road-Marks'!Print_Area</vt:lpstr>
      <vt:lpstr>'RSI-Estt'!Print_Area</vt:lpstr>
      <vt:lpstr>'Schedule-A'!Print_Area</vt:lpstr>
      <vt:lpstr>'Schedule-A (Part-B)'!Print_Area</vt:lpstr>
      <vt:lpstr>Seigneorage!Print_Area</vt:lpstr>
      <vt:lpstr>'Slab-Culverts Data'!Print_Area</vt:lpstr>
      <vt:lpstr>SPR!Print_Area</vt:lpstr>
      <vt:lpstr>'SSR-rates'!Print_Area</vt:lpstr>
      <vt:lpstr>'TENDER-NF'!Print_Area</vt:lpstr>
      <vt:lpstr>'TRAFF-Count-ESAL-Cal'!Print_Area</vt:lpstr>
      <vt:lpstr>'VUP Data'!Print_Area</vt:lpstr>
      <vt:lpstr>'1V 1m dia Pipe Culverts'!Print_Titles</vt:lpstr>
      <vt:lpstr>'2V 1m dia Pipe Culverts'!Print_Titles</vt:lpstr>
      <vt:lpstr>'3V 1m dia Pipe Culverts'!Print_Titles</vt:lpstr>
      <vt:lpstr>'Drain '!Print_Titles</vt:lpstr>
      <vt:lpstr>'Mtc-data'!Print_Titles</vt:lpstr>
      <vt:lpstr>'Pipe data'!Print_Titles</vt:lpstr>
      <vt:lpstr>'Ret wall'!Print_Titles</vt:lpstr>
      <vt:lpstr>'Road dam 30m'!Print_Titles</vt:lpstr>
      <vt:lpstr>'Road data'!Print_Titles</vt:lpstr>
      <vt:lpstr>'Road Estimate'!Print_Titles</vt:lpstr>
      <vt:lpstr>'Road Furniture-Data'!Print_Titles</vt:lpstr>
      <vt:lpstr>'Schedule-A'!Print_Titles</vt:lpstr>
      <vt:lpstr>'Slab Culvert 1V 5m x 2m span'!Print_Titles</vt:lpstr>
      <vt:lpstr>'Slab Culvert 1V 6m x 2m spa'!Print_Titles</vt:lpstr>
      <vt:lpstr>'Slab Culvert 2V 6m x 2m spa'!Print_Titles</vt:lpstr>
      <vt:lpstr>'Slab-Culverts Data'!Print_Titles</vt:lpstr>
      <vt:lpstr>'VUP Data'!Print_Titles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ILLUMINATI</dc:creator>
  <cp:lastModifiedBy>anjaneyulu ayyaripally</cp:lastModifiedBy>
  <cp:lastPrinted>2025-01-04T06:19:19Z</cp:lastPrinted>
  <dcterms:created xsi:type="dcterms:W3CDTF">2004-01-19T09:56:00Z</dcterms:created>
  <dcterms:modified xsi:type="dcterms:W3CDTF">2025-01-23T02:05:41Z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58F16AD4C2AA41E3AB0CD8D19C6B0544</vt:lpwstr>
  </property>
  <property fmtid="{D5CDD505-2E9C-101B-9397-08002B2CF9AE}" pid="3" name="KSOProductBuildVer">
    <vt:lpwstr>1033-12.2.0.18911</vt:lpwstr>
  </property>
</Properties>
</file>